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ЭтаКнига" hidePivotFieldList="1"/>
  <bookViews>
    <workbookView windowWidth="23040" windowHeight="8615" tabRatio="692" activeTab="1"/>
  </bookViews>
  <sheets>
    <sheet name="Таб1" sheetId="28" r:id="rId1"/>
    <sheet name="Таб2" sheetId="48" r:id="rId2"/>
    <sheet name="Таб8" sheetId="54" r:id="rId3"/>
    <sheet name="Таб3" sheetId="49" r:id="rId4"/>
    <sheet name="Таб4" sheetId="50" r:id="rId5"/>
    <sheet name="Таб5" sheetId="51" r:id="rId6"/>
    <sheet name="Таб6" sheetId="52" r:id="rId7"/>
    <sheet name="Таб7" sheetId="53" r:id="rId8"/>
    <sheet name="Результаты" sheetId="34" r:id="rId9"/>
    <sheet name="Пр1" sheetId="36" r:id="rId10"/>
    <sheet name="Пр2" sheetId="37" r:id="rId11"/>
    <sheet name="Пр3" sheetId="38" r:id="rId12"/>
    <sheet name="Пр4" sheetId="39" r:id="rId13"/>
    <sheet name="Пр5" sheetId="40" r:id="rId14"/>
    <sheet name="Пр6" sheetId="41" r:id="rId15"/>
    <sheet name="Пр7" sheetId="42" r:id="rId16"/>
    <sheet name="Пр8" sheetId="43" r:id="rId17"/>
    <sheet name="Пр9" sheetId="44" r:id="rId18"/>
    <sheet name="Пр10" sheetId="45" r:id="rId19"/>
    <sheet name="Пр11" sheetId="46" r:id="rId20"/>
    <sheet name="Пр12" sheetId="47" r:id="rId21"/>
    <sheet name="Пр13" sheetId="56" r:id="rId22"/>
  </sheets>
  <externalReferences>
    <externalReference r:id="rId24"/>
  </externalReferences>
  <calcPr calcId="191029"/>
  <pivotCaches>
    <pivotCache cacheId="0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A26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Оценивается в ряде случаев, когда данных для определения </t>
        </r>
        <r>
          <rPr>
            <sz val="9"/>
            <rFont val="Calibri"/>
            <charset val="204"/>
          </rPr>
          <t>ε</t>
        </r>
        <r>
          <rPr>
            <sz val="9"/>
            <rFont val="Tahoma"/>
            <charset val="204"/>
          </rPr>
          <t xml:space="preserve"> недостаточно</t>
        </r>
      </text>
    </comment>
    <comment ref="A7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Для оценки суммарного снижения коэффициента теплопередачи при неполном омывании поверхности нагрева, неравномерном поле скоростей и температур, а также наличии застойных вместе с загрязнениями</t>
        </r>
      </text>
    </comment>
    <comment ref="A7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Для оценки суммарного снижения коэффициента теплопередачи при неполном омывании поверхности нагрева, неравномерном поле скоростей и температур, а также наличии застойных вместе с загрязнениями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F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Кикоин Т.16.10 С.274
Бабичев Т.16.1 С.365</t>
        </r>
      </text>
    </comment>
    <comment ref="G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Кикоин Т.16.10 С.274
Бабичев Т.16.1 С.365</t>
        </r>
      </text>
    </comment>
    <comment ref="H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Кикоин Т.16.10 С.274
Бабичев Т.16.1 С.365</t>
        </r>
      </text>
    </comment>
    <comment ref="I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Кикоин Т.16.10 С.274
Бабичев Т.16.1 С.365</t>
        </r>
      </text>
    </comment>
    <comment ref="J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Бабичев Т.15.2 С.345.</t>
        </r>
      </text>
    </comment>
    <comment ref="K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Бабичев Т.15.2 С.345.</t>
        </r>
      </text>
    </comment>
    <comment ref="L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Бабичев Т.15.2 С.345.</t>
        </r>
      </text>
    </comment>
    <comment ref="M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Бабичев Т.15.2 С.345.</t>
        </r>
      </text>
    </comment>
    <comment ref="N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Бабичев Т.15.2 С.345.</t>
        </r>
      </text>
    </comment>
    <comment ref="O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Бабичев Т.15.2 С.345.</t>
        </r>
      </text>
    </comment>
  </commentList>
</comments>
</file>

<file path=xl/sharedStrings.xml><?xml version="1.0" encoding="utf-8"?>
<sst xmlns="http://schemas.openxmlformats.org/spreadsheetml/2006/main" count="969" uniqueCount="473">
  <si>
    <t>Параметры уходящих из печи технологических газов и воздуха</t>
  </si>
  <si>
    <t>Единица</t>
  </si>
  <si>
    <t>Значение</t>
  </si>
  <si>
    <t>Тип энерготехнологического агрегата</t>
  </si>
  <si>
    <t>Другие ЭТА</t>
  </si>
  <si>
    <t>Источник технологического уноса</t>
  </si>
  <si>
    <t>Количество газов над ванной печи</t>
  </si>
  <si>
    <r>
      <rPr>
        <b/>
        <sz val="14"/>
        <color theme="3"/>
        <rFont val="Times New Roman"/>
        <charset val="204"/>
      </rPr>
      <t>нм</t>
    </r>
    <r>
      <rPr>
        <vertAlign val="superscript"/>
        <sz val="14"/>
        <rFont val="Times New Roman"/>
        <charset val="204"/>
      </rPr>
      <t>3</t>
    </r>
    <r>
      <rPr>
        <sz val="14"/>
        <rFont val="Times New Roman"/>
        <charset val="204"/>
      </rPr>
      <t>/ч</t>
    </r>
  </si>
  <si>
    <t xml:space="preserve">Температура уходящих из печи технологических газов </t>
  </si>
  <si>
    <r>
      <rPr>
        <vertAlign val="superscript"/>
        <sz val="14"/>
        <rFont val="Times New Roman"/>
        <charset val="204"/>
      </rPr>
      <t>о</t>
    </r>
    <r>
      <rPr>
        <sz val="14"/>
        <rFont val="Times New Roman"/>
        <charset val="204"/>
      </rPr>
      <t>C</t>
    </r>
  </si>
  <si>
    <t xml:space="preserve">Температура уходящих из КУ технологических газов </t>
  </si>
  <si>
    <t>Средняя крупность пыли</t>
  </si>
  <si>
    <t>мкр</t>
  </si>
  <si>
    <t>Средняя крупность пыли (ручной ввод)</t>
  </si>
  <si>
    <t>Давление уходящих из печи технологических газов</t>
  </si>
  <si>
    <r>
      <rPr>
        <b/>
        <sz val="14"/>
        <color theme="3"/>
        <rFont val="Times New Roman"/>
        <charset val="204"/>
      </rPr>
      <t>кгс/м</t>
    </r>
    <r>
      <rPr>
        <vertAlign val="superscript"/>
        <sz val="14"/>
        <rFont val="Times New Roman"/>
        <charset val="204"/>
      </rPr>
      <t>2</t>
    </r>
  </si>
  <si>
    <t>Давление уходящих из КУ технологических газов</t>
  </si>
  <si>
    <t>Запыленность газов над ванной</t>
  </si>
  <si>
    <r>
      <rPr>
        <b/>
        <sz val="14"/>
        <color theme="3"/>
        <rFont val="Times New Roman"/>
        <charset val="204"/>
      </rPr>
      <t>г/нм</t>
    </r>
    <r>
      <rPr>
        <vertAlign val="superscript"/>
        <sz val="14"/>
        <rFont val="Times New Roman"/>
        <charset val="204"/>
      </rPr>
      <t>3</t>
    </r>
  </si>
  <si>
    <t>Доля подсоса воздуха в печь</t>
  </si>
  <si>
    <t>%</t>
  </si>
  <si>
    <t>Доля подсоса воздуха в КУ</t>
  </si>
  <si>
    <t>Среднегодовая температура воздуха</t>
  </si>
  <si>
    <t>SO2 на выходе из печи</t>
  </si>
  <si>
    <t>SO3  на выходе из печи</t>
  </si>
  <si>
    <t>H2O  на выходе из печи</t>
  </si>
  <si>
    <t>O2  на выходе из печи</t>
  </si>
  <si>
    <t>N2  на выходе из печи</t>
  </si>
  <si>
    <t>CO2  на выходе из печи</t>
  </si>
  <si>
    <t>СО на выходе из печи</t>
  </si>
  <si>
    <t>S на выходе из печи</t>
  </si>
  <si>
    <t>Давление пара в барабане-сепараторе</t>
  </si>
  <si>
    <t>бар</t>
  </si>
  <si>
    <t>Температура питательной воды</t>
  </si>
  <si>
    <t>оC</t>
  </si>
  <si>
    <t xml:space="preserve">Скорость паро-водяной смеси в трубах </t>
  </si>
  <si>
    <t>м/с</t>
  </si>
  <si>
    <t>Количество продувки</t>
  </si>
  <si>
    <t>Доля пара в пароводяной смеси</t>
  </si>
  <si>
    <t>Конструктивные характеристики КУ</t>
  </si>
  <si>
    <t>Зона 1</t>
  </si>
  <si>
    <t>Зона 2</t>
  </si>
  <si>
    <t>Зона 3</t>
  </si>
  <si>
    <t>Зона 4</t>
  </si>
  <si>
    <t>Зона 5</t>
  </si>
  <si>
    <t>Зона 6</t>
  </si>
  <si>
    <t>Зона 7</t>
  </si>
  <si>
    <t>Зона 8</t>
  </si>
  <si>
    <t>Зона 9</t>
  </si>
  <si>
    <t>Зона 10</t>
  </si>
  <si>
    <t>Зона XX</t>
  </si>
  <si>
    <t>Наименование тепловой зоны</t>
  </si>
  <si>
    <t>-</t>
  </si>
  <si>
    <t>Воротник</t>
  </si>
  <si>
    <t>Радиационная
шахта</t>
  </si>
  <si>
    <t>Холодная
воронка 1</t>
  </si>
  <si>
    <t>Конвективная
шахта</t>
  </si>
  <si>
    <t>Переход</t>
  </si>
  <si>
    <t>Газоохладитель
без ширмы</t>
  </si>
  <si>
    <t>Расположение зоны</t>
  </si>
  <si>
    <t>Горизонтальное</t>
  </si>
  <si>
    <t>Вертикальное</t>
  </si>
  <si>
    <t>Длина проходного канала по зонам</t>
  </si>
  <si>
    <t>м</t>
  </si>
  <si>
    <t>Ширина проходного канала по зонам</t>
  </si>
  <si>
    <t>Высота вертикальной части проходного канала</t>
  </si>
  <si>
    <t>Высота конической части проходного канала</t>
  </si>
  <si>
    <t>Площадь стеновой поверхности нагрева</t>
  </si>
  <si>
    <r>
      <rPr>
        <b/>
        <sz val="14"/>
        <color theme="3"/>
        <rFont val="Times New Roman"/>
        <charset val="204"/>
      </rPr>
      <t>м</t>
    </r>
    <r>
      <rPr>
        <vertAlign val="superscript"/>
        <sz val="14"/>
        <rFont val="Times New Roman"/>
        <charset val="204"/>
      </rPr>
      <t>2</t>
    </r>
  </si>
  <si>
    <t>Площадь ширмовой поверхности нагрева</t>
  </si>
  <si>
    <t>Площадь удельной поверхности ширм</t>
  </si>
  <si>
    <t>Ширина ширмы</t>
  </si>
  <si>
    <t>Толщина ширмы</t>
  </si>
  <si>
    <t>Количество ширм</t>
  </si>
  <si>
    <t>шт</t>
  </si>
  <si>
    <t>Шаг между ширмами</t>
  </si>
  <si>
    <t>Толщина стенки нагрева по зонам</t>
  </si>
  <si>
    <t>Коэффициент загрязнения поверхности нагрева, средний</t>
  </si>
  <si>
    <r>
      <rPr>
        <b/>
        <sz val="14"/>
        <color theme="3"/>
        <rFont val="Times New Roman"/>
        <charset val="204"/>
      </rPr>
      <t>(м</t>
    </r>
    <r>
      <rPr>
        <vertAlign val="superscript"/>
        <sz val="14"/>
        <rFont val="Times New Roman"/>
        <charset val="204"/>
      </rPr>
      <t>2</t>
    </r>
    <r>
      <rPr>
        <sz val="14"/>
        <rFont val="Times New Roman"/>
        <charset val="204"/>
      </rPr>
      <t>*ч*оС)/ккал</t>
    </r>
  </si>
  <si>
    <t>Кузнецов Т.6-3 С.30; П.7-Б,д) С.46</t>
  </si>
  <si>
    <t>Толщина пылевых отложений на поверхности нагрева по зонам</t>
  </si>
  <si>
    <t>мм</t>
  </si>
  <si>
    <t>Наружная температура поверхности нагрева по зонам</t>
  </si>
  <si>
    <t>Перепад температуры технологических газов по зонам</t>
  </si>
  <si>
    <t>Наименование</t>
  </si>
  <si>
    <t>Обозначение</t>
  </si>
  <si>
    <t>Единица измерения</t>
  </si>
  <si>
    <t xml:space="preserve">Средняя скорость потока газов в зоне </t>
  </si>
  <si>
    <t>Рекомендуемые параметры</t>
  </si>
  <si>
    <r>
      <rPr>
        <sz val="14"/>
        <rFont val="Times New Roman"/>
        <charset val="204"/>
      </rPr>
      <t xml:space="preserve">1,5 </t>
    </r>
    <r>
      <rPr>
        <sz val="14"/>
        <rFont val="Calibri"/>
        <charset val="204"/>
      </rPr>
      <t>÷</t>
    </r>
    <r>
      <rPr>
        <sz val="7.7"/>
        <rFont val="Times New Roman"/>
        <charset val="204"/>
      </rPr>
      <t xml:space="preserve"> </t>
    </r>
    <r>
      <rPr>
        <sz val="14"/>
        <rFont val="Times New Roman"/>
        <charset val="204"/>
      </rPr>
      <t>3,0</t>
    </r>
  </si>
  <si>
    <r>
      <rPr>
        <sz val="14"/>
        <rFont val="Times New Roman"/>
        <charset val="204"/>
      </rPr>
      <t xml:space="preserve">0,5 </t>
    </r>
    <r>
      <rPr>
        <sz val="14"/>
        <rFont val="Calibri"/>
        <charset val="204"/>
      </rPr>
      <t>÷</t>
    </r>
    <r>
      <rPr>
        <sz val="7.7"/>
        <rFont val="Times New Roman"/>
        <charset val="204"/>
      </rPr>
      <t xml:space="preserve"> </t>
    </r>
    <r>
      <rPr>
        <sz val="14"/>
        <rFont val="Times New Roman"/>
        <charset val="204"/>
      </rPr>
      <t>1,5</t>
    </r>
  </si>
  <si>
    <r>
      <rPr>
        <sz val="14"/>
        <rFont val="Times New Roman"/>
        <charset val="204"/>
      </rPr>
      <t xml:space="preserve">2,0 </t>
    </r>
    <r>
      <rPr>
        <sz val="14"/>
        <rFont val="Calibri"/>
        <charset val="204"/>
      </rPr>
      <t>÷</t>
    </r>
    <r>
      <rPr>
        <sz val="7.7"/>
        <rFont val="Times New Roman"/>
        <charset val="204"/>
      </rPr>
      <t xml:space="preserve"> </t>
    </r>
    <r>
      <rPr>
        <sz val="14"/>
        <rFont val="Times New Roman"/>
        <charset val="204"/>
      </rPr>
      <t>5,0</t>
    </r>
  </si>
  <si>
    <t>Объем газового пространсва в зоне</t>
  </si>
  <si>
    <t>м3</t>
  </si>
  <si>
    <t>Эффективная толщина излучающего слоя</t>
  </si>
  <si>
    <t>Кузнецов НВ
(7-53) стр. 43</t>
  </si>
  <si>
    <t>Эквивалентный диаметр проходного сечения газов</t>
  </si>
  <si>
    <t>Периметр проходного сечения газов</t>
  </si>
  <si>
    <t>Сумма объемных долей трехатомных газов</t>
  </si>
  <si>
    <t>Давление технологических газов на выходе из зоны</t>
  </si>
  <si>
    <t>кгс/м2</t>
  </si>
  <si>
    <t>Коэффициент ослабления лучей трехатомными газами</t>
  </si>
  <si>
    <t>1/(м*кгс/см2)</t>
  </si>
  <si>
    <t>Кузнецов НВ
(6-08) стр. 25</t>
  </si>
  <si>
    <t>Коэффициент ослабления лучей пылевыми частицами</t>
  </si>
  <si>
    <t>Кузнецов НВ
(6-13) стр. 25</t>
  </si>
  <si>
    <t>Суммарная сила поглощения запыленного потока</t>
  </si>
  <si>
    <t>Запыленность газов</t>
  </si>
  <si>
    <t>г/м3</t>
  </si>
  <si>
    <t>Безразмерная концентрация пыли в дымовых газах</t>
  </si>
  <si>
    <t>кг/кг</t>
  </si>
  <si>
    <t>Кузнецов НВ
(4-11) стр. 16</t>
  </si>
  <si>
    <t>Суммарная оптическая толщина запыленного потока</t>
  </si>
  <si>
    <t>Кузнецов НВ
(7-52) стр. 43</t>
  </si>
  <si>
    <t>Степень черноты потока газов</t>
  </si>
  <si>
    <t>Кузнецов НВ
(6-06) стр. 24
(7-51) стр. 43</t>
  </si>
  <si>
    <t>Средний температурный напор</t>
  </si>
  <si>
    <t>оС</t>
  </si>
  <si>
    <t>Расчетная температура потоков газов</t>
  </si>
  <si>
    <t>Кузнецов НВ
п. 7-18 стр. 39</t>
  </si>
  <si>
    <t>К</t>
  </si>
  <si>
    <t>Температура технологических газов на выходе</t>
  </si>
  <si>
    <t>Коэффициент теплоотдачи излучением от газов к листу</t>
  </si>
  <si>
    <t>ккал/(м2*ч*оС)</t>
  </si>
  <si>
    <t>Кузнецов НВ
(7-49) стр. 43</t>
  </si>
  <si>
    <t>Коэффициент сохранения тепла</t>
  </si>
  <si>
    <t>Кузнецов НВ
(5-11) стр. 21</t>
  </si>
  <si>
    <t>Плотность потока с учетом коэффициента сохранения тепла</t>
  </si>
  <si>
    <t>ккал/(м2*ч)</t>
  </si>
  <si>
    <t>Коэффициент загрязнения поверхности нагрева</t>
  </si>
  <si>
    <t>ε</t>
  </si>
  <si>
    <r>
      <rPr>
        <sz val="14"/>
        <rFont val="Times New Roman"/>
        <charset val="204"/>
      </rPr>
      <t>(м</t>
    </r>
    <r>
      <rPr>
        <vertAlign val="superscript"/>
        <sz val="14"/>
        <rFont val="Times New Roman"/>
        <charset val="204"/>
      </rPr>
      <t>2</t>
    </r>
    <r>
      <rPr>
        <sz val="14"/>
        <rFont val="Times New Roman"/>
        <charset val="204"/>
      </rPr>
      <t>*ч*</t>
    </r>
    <r>
      <rPr>
        <vertAlign val="superscript"/>
        <sz val="14"/>
        <rFont val="Times New Roman"/>
        <charset val="204"/>
      </rPr>
      <t>о</t>
    </r>
    <r>
      <rPr>
        <sz val="14"/>
        <rFont val="Times New Roman"/>
        <charset val="204"/>
      </rPr>
      <t>С)/ккал</t>
    </r>
  </si>
  <si>
    <t>Кузнецов Н.В. 
Табл. 6-2 стр. 29
Кузнецов НВ
п. 7-36 стр. 44
рис. 7-9 а) (7-73) стр. 47
Воинов А.П. стр. 131</t>
  </si>
  <si>
    <t>Кэффициент тепловой эффективности</t>
  </si>
  <si>
    <t>Ψ</t>
  </si>
  <si>
    <t>Кузнецов НВ
таб. 7-3 стр. 48
Воинов АП (5.49) стр. 131</t>
  </si>
  <si>
    <t>Температура загрязненной поверхности стенки с учетом коэффициента загрязнения</t>
  </si>
  <si>
    <r>
      <rPr>
        <sz val="14"/>
        <rFont val="Times New Roman"/>
        <charset val="204"/>
      </rPr>
      <t>T</t>
    </r>
    <r>
      <rPr>
        <vertAlign val="subscript"/>
        <sz val="14"/>
        <rFont val="Times New Roman"/>
        <charset val="204"/>
      </rPr>
      <t>з</t>
    </r>
  </si>
  <si>
    <t>Кузнецов НВ
п. 7-36 (7-56)
стр. 44</t>
  </si>
  <si>
    <r>
      <rPr>
        <sz val="14"/>
        <rFont val="Times New Roman"/>
        <charset val="204"/>
      </rPr>
      <t>λ</t>
    </r>
    <r>
      <rPr>
        <vertAlign val="subscript"/>
        <sz val="14"/>
        <rFont val="Times New Roman"/>
        <charset val="204"/>
      </rPr>
      <t>SO2</t>
    </r>
  </si>
  <si>
    <t>Вт/(м*оС)</t>
  </si>
  <si>
    <t>Бабичев Т.15.2 С.345.</t>
  </si>
  <si>
    <r>
      <rPr>
        <sz val="14"/>
        <rFont val="Times New Roman"/>
        <charset val="204"/>
      </rPr>
      <t>λ</t>
    </r>
    <r>
      <rPr>
        <vertAlign val="subscript"/>
        <sz val="14"/>
        <rFont val="Times New Roman"/>
        <charset val="204"/>
      </rPr>
      <t>SO3</t>
    </r>
  </si>
  <si>
    <r>
      <rPr>
        <sz val="14"/>
        <rFont val="Times New Roman"/>
        <charset val="204"/>
      </rPr>
      <t>λ</t>
    </r>
    <r>
      <rPr>
        <vertAlign val="subscript"/>
        <sz val="14"/>
        <rFont val="Times New Roman"/>
        <charset val="204"/>
      </rPr>
      <t>H2O</t>
    </r>
  </si>
  <si>
    <r>
      <rPr>
        <sz val="14"/>
        <rFont val="Times New Roman"/>
        <charset val="204"/>
      </rPr>
      <t>λ</t>
    </r>
    <r>
      <rPr>
        <vertAlign val="subscript"/>
        <sz val="14"/>
        <rFont val="Times New Roman"/>
        <charset val="204"/>
      </rPr>
      <t xml:space="preserve">O2 </t>
    </r>
  </si>
  <si>
    <r>
      <rPr>
        <sz val="14"/>
        <rFont val="Times New Roman"/>
        <charset val="204"/>
      </rPr>
      <t>λ</t>
    </r>
    <r>
      <rPr>
        <vertAlign val="subscript"/>
        <sz val="14"/>
        <rFont val="Times New Roman"/>
        <charset val="204"/>
      </rPr>
      <t xml:space="preserve">N2 </t>
    </r>
  </si>
  <si>
    <r>
      <rPr>
        <sz val="14"/>
        <rFont val="Times New Roman"/>
        <charset val="204"/>
      </rPr>
      <t>λ</t>
    </r>
    <r>
      <rPr>
        <vertAlign val="subscript"/>
        <sz val="14"/>
        <rFont val="Times New Roman"/>
        <charset val="204"/>
      </rPr>
      <t xml:space="preserve">CO2 </t>
    </r>
  </si>
  <si>
    <r>
      <rPr>
        <sz val="14"/>
        <rFont val="Times New Roman"/>
        <charset val="204"/>
      </rPr>
      <t>λ</t>
    </r>
    <r>
      <rPr>
        <vertAlign val="subscript"/>
        <sz val="14"/>
        <rFont val="Times New Roman"/>
        <charset val="204"/>
      </rPr>
      <t>СО</t>
    </r>
  </si>
  <si>
    <t>Коэффициент теплопроводности газов при tср</t>
  </si>
  <si>
    <t>λ</t>
  </si>
  <si>
    <t>ккал/(м*ч*°С)</t>
  </si>
  <si>
    <r>
      <rPr>
        <sz val="14"/>
        <rFont val="Times New Roman"/>
        <charset val="204"/>
      </rPr>
      <t>λ</t>
    </r>
    <r>
      <rPr>
        <vertAlign val="subscript"/>
        <sz val="14"/>
        <rFont val="Times New Roman"/>
        <charset val="204"/>
      </rPr>
      <t>воздух</t>
    </r>
  </si>
  <si>
    <r>
      <rPr>
        <sz val="14"/>
        <rFont val="Times New Roman"/>
        <charset val="204"/>
      </rPr>
      <t>μ</t>
    </r>
    <r>
      <rPr>
        <vertAlign val="subscript"/>
        <sz val="14"/>
        <rFont val="Times New Roman"/>
        <charset val="204"/>
      </rPr>
      <t>SO2</t>
    </r>
  </si>
  <si>
    <t>Па*с</t>
  </si>
  <si>
    <r>
      <rPr>
        <sz val="14"/>
        <rFont val="Times New Roman"/>
        <charset val="204"/>
      </rPr>
      <t>μ</t>
    </r>
    <r>
      <rPr>
        <vertAlign val="subscript"/>
        <sz val="14"/>
        <rFont val="Times New Roman"/>
        <charset val="204"/>
      </rPr>
      <t>SO3</t>
    </r>
  </si>
  <si>
    <r>
      <rPr>
        <sz val="14"/>
        <rFont val="Times New Roman"/>
        <charset val="204"/>
      </rPr>
      <t>μ</t>
    </r>
    <r>
      <rPr>
        <vertAlign val="subscript"/>
        <sz val="14"/>
        <rFont val="Times New Roman"/>
        <charset val="204"/>
      </rPr>
      <t>H2O</t>
    </r>
  </si>
  <si>
    <r>
      <rPr>
        <sz val="14"/>
        <rFont val="Times New Roman"/>
        <charset val="204"/>
      </rPr>
      <t>μ</t>
    </r>
    <r>
      <rPr>
        <vertAlign val="subscript"/>
        <sz val="14"/>
        <rFont val="Times New Roman"/>
        <charset val="204"/>
      </rPr>
      <t xml:space="preserve">O2 </t>
    </r>
  </si>
  <si>
    <r>
      <rPr>
        <sz val="14"/>
        <rFont val="Times New Roman"/>
        <charset val="204"/>
      </rPr>
      <t>μ</t>
    </r>
    <r>
      <rPr>
        <vertAlign val="subscript"/>
        <sz val="14"/>
        <rFont val="Times New Roman"/>
        <charset val="204"/>
      </rPr>
      <t xml:space="preserve">N2 </t>
    </r>
  </si>
  <si>
    <r>
      <rPr>
        <sz val="14"/>
        <rFont val="Times New Roman"/>
        <charset val="204"/>
      </rPr>
      <t>μ</t>
    </r>
    <r>
      <rPr>
        <vertAlign val="subscript"/>
        <sz val="14"/>
        <rFont val="Times New Roman"/>
        <charset val="204"/>
      </rPr>
      <t xml:space="preserve">CO2 </t>
    </r>
  </si>
  <si>
    <r>
      <rPr>
        <sz val="14"/>
        <rFont val="Times New Roman"/>
        <charset val="204"/>
      </rPr>
      <t>μ</t>
    </r>
    <r>
      <rPr>
        <vertAlign val="subscript"/>
        <sz val="14"/>
        <rFont val="Times New Roman"/>
        <charset val="204"/>
      </rPr>
      <t>СО</t>
    </r>
  </si>
  <si>
    <t>Коэффициент динамической вязкости при tср</t>
  </si>
  <si>
    <r>
      <rPr>
        <sz val="14"/>
        <rFont val="Times New Roman"/>
        <charset val="204"/>
      </rPr>
      <t>μ</t>
    </r>
    <r>
      <rPr>
        <vertAlign val="subscript"/>
        <sz val="14"/>
        <rFont val="Times New Roman"/>
        <charset val="204"/>
      </rPr>
      <t>газов</t>
    </r>
  </si>
  <si>
    <t>Коэффициент кинематической вязкости</t>
  </si>
  <si>
    <t>ν</t>
  </si>
  <si>
    <t>м2/с</t>
  </si>
  <si>
    <t>Число Рейнольдса</t>
  </si>
  <si>
    <t>Коэффициент температурапроводности газов</t>
  </si>
  <si>
    <t>α</t>
  </si>
  <si>
    <t>Число Прандтля газа</t>
  </si>
  <si>
    <t>Кузнецов НВ
Табл. IV Стр. 170</t>
  </si>
  <si>
    <t>Число Прандтля стенки</t>
  </si>
  <si>
    <t>Число Нуссельта</t>
  </si>
  <si>
    <t>Мастрюков БС
(34) стр. 30</t>
  </si>
  <si>
    <t>Коэффициент теплоотдачи конвекцией</t>
  </si>
  <si>
    <t>ккал/(м2*ч*°С)</t>
  </si>
  <si>
    <t>Мастрюков БС
(28) стр. 29</t>
  </si>
  <si>
    <t>Суммарный коэффициент теплоотдачи от газов к листу</t>
  </si>
  <si>
    <t>Коэффициент теплопроводности пара</t>
  </si>
  <si>
    <t>Коэффициент теплопроводности воды</t>
  </si>
  <si>
    <t>Коэффициент теплопроводности паро-водяной смеси</t>
  </si>
  <si>
    <t>Коэффициент динамической вязкости пара</t>
  </si>
  <si>
    <t>Коэффициент динамической вязкости воды</t>
  </si>
  <si>
    <t>Коэффициент динамической вязкости паро-водяной смеси</t>
  </si>
  <si>
    <t>Удельный объём пара</t>
  </si>
  <si>
    <t>м3/кг</t>
  </si>
  <si>
    <t>Удельный объём воды</t>
  </si>
  <si>
    <t>Удельный объём паро-водяной смеси</t>
  </si>
  <si>
    <t>Коэффициент кинематической вязкости паро-водяной смеси</t>
  </si>
  <si>
    <t>Критерий Прандтля пара</t>
  </si>
  <si>
    <t>Критерий Прандтля воды</t>
  </si>
  <si>
    <t>Критерий Прандтля паро-водяной смеси</t>
  </si>
  <si>
    <t>Внутренний диаметр труб Ø32х5</t>
  </si>
  <si>
    <t>Коэффициент теплоотдачи от стенки трубы к паро-водяной смеси</t>
  </si>
  <si>
    <t>Коэффициент теплопередачи от газов к паро-водяной смеси</t>
  </si>
  <si>
    <t>Кузнецов НВ
(7-11) стр. 36
Воинов АП
(2.12) стр. 22</t>
  </si>
  <si>
    <t>Теплопроводность стенки металла</t>
  </si>
  <si>
    <t>Мастрюков БС
Прил. IX стр. 261</t>
  </si>
  <si>
    <t>Теплопроводность пыли</t>
  </si>
  <si>
    <t>Степень экранирования для 'труба-лист'</t>
  </si>
  <si>
    <t>χ</t>
  </si>
  <si>
    <t>Кузнецов НВ
(6-04) стр. 23</t>
  </si>
  <si>
    <t>Коэффициент использования поверхности ширм</t>
  </si>
  <si>
    <t>ξ</t>
  </si>
  <si>
    <t>Кузнецов НВ
рис. 7-9 б) стр. 47
Воинов А.П. стр. 131</t>
  </si>
  <si>
    <t>Суммарный коэффициент использования поверхностей</t>
  </si>
  <si>
    <t>Удельный тепловой поток от газов к паро-водяной смеси</t>
  </si>
  <si>
    <t>Тепловосприятие поверхности по уравнению теплопередачи</t>
  </si>
  <si>
    <t>Гкал/ч</t>
  </si>
  <si>
    <t>Тепловосприятие по уравнению теплового баланса</t>
  </si>
  <si>
    <t>Невязка баланса</t>
  </si>
  <si>
    <t>Коэффициент использования тепла
(КИТ)</t>
  </si>
  <si>
    <t>Расход подпиточной воды</t>
  </si>
  <si>
    <t>т/ч</t>
  </si>
  <si>
    <t>Выработка насыщенного пара в зоне</t>
  </si>
  <si>
    <t>Циркуляционный расход пароводяной смеси</t>
  </si>
  <si>
    <t>Истинная теплоёмкость уходящих газов в соответствующем интервале температур</t>
  </si>
  <si>
    <t>кДж/
(м3*оС)</t>
  </si>
  <si>
    <t>SO2</t>
  </si>
  <si>
    <t xml:space="preserve"> -//-</t>
  </si>
  <si>
    <t>SO3</t>
  </si>
  <si>
    <t>H2O</t>
  </si>
  <si>
    <t>O2</t>
  </si>
  <si>
    <t>N2</t>
  </si>
  <si>
    <t>CO2</t>
  </si>
  <si>
    <t>Расход воды для адиабатического охлаждения газов</t>
  </si>
  <si>
    <t>м3/ч</t>
  </si>
  <si>
    <t>СО</t>
  </si>
  <si>
    <t>S</t>
  </si>
  <si>
    <t>Всего</t>
  </si>
  <si>
    <t>Объёмы компонентов газов из печи</t>
  </si>
  <si>
    <r>
      <rPr>
        <sz val="14"/>
        <rFont val="Times New Roman"/>
        <charset val="204"/>
      </rPr>
      <t>нм</t>
    </r>
    <r>
      <rPr>
        <vertAlign val="superscript"/>
        <sz val="14"/>
        <rFont val="Times New Roman"/>
        <charset val="204"/>
      </rPr>
      <t>3</t>
    </r>
    <r>
      <rPr>
        <sz val="14"/>
        <rFont val="Times New Roman"/>
        <charset val="204"/>
      </rPr>
      <t>/ч</t>
    </r>
  </si>
  <si>
    <t>Молярная масса компонентов</t>
  </si>
  <si>
    <t>кг/моль</t>
  </si>
  <si>
    <t>Истинная теплоёмкость на входе в КУ</t>
  </si>
  <si>
    <t xml:space="preserve"> кДж/(м3*оС)</t>
  </si>
  <si>
    <t>Объём газов с учетом подсосов воздуха в печь</t>
  </si>
  <si>
    <t>Доли компонентов с учетом подсосов воздуха в печь</t>
  </si>
  <si>
    <t>Скрытая теплота парообразования</t>
  </si>
  <si>
    <t>Энтальпия насыщенного пара</t>
  </si>
  <si>
    <t>Температура пара на линии насыщения</t>
  </si>
  <si>
    <t>Энтальпия воды на линии насыщения</t>
  </si>
  <si>
    <t>Энтальпия питательной воды</t>
  </si>
  <si>
    <t>Энтальпия пара при Тгаз</t>
  </si>
  <si>
    <t>ккал/кг</t>
  </si>
  <si>
    <t>Степень черноты стенки нагрева по зонам (листа ст.20К)</t>
  </si>
  <si>
    <t>Кузнецов НВ
п. 7-32 стр. 43</t>
  </si>
  <si>
    <t>Площадь боковых стен поверхности нагрева</t>
  </si>
  <si>
    <r>
      <rPr>
        <sz val="14"/>
        <rFont val="Times New Roman"/>
        <charset val="204"/>
      </rPr>
      <t>м</t>
    </r>
    <r>
      <rPr>
        <vertAlign val="superscript"/>
        <sz val="14"/>
        <rFont val="Times New Roman"/>
        <charset val="204"/>
      </rPr>
      <t>2</t>
    </r>
  </si>
  <si>
    <t>Площадь горизонтальных стен поверхности нагрева</t>
  </si>
  <si>
    <t>Площадь поверхности нагрева по зонам и всего</t>
  </si>
  <si>
    <t>Доля стеновой поверхности</t>
  </si>
  <si>
    <t>Доля ширмовой поверхности</t>
  </si>
  <si>
    <t>Площадь проходного сечения по зонам</t>
  </si>
  <si>
    <t>Количество газов на входе в зону</t>
  </si>
  <si>
    <t>Доля присосов в зоне</t>
  </si>
  <si>
    <t>Теплоёмкость воздуха</t>
  </si>
  <si>
    <t>Количество газов на выходе</t>
  </si>
  <si>
    <t>Среднее количество газов</t>
  </si>
  <si>
    <t>Плотность газов</t>
  </si>
  <si>
    <t>кг/нм3</t>
  </si>
  <si>
    <t>Удельный объём</t>
  </si>
  <si>
    <t>нм3/кг</t>
  </si>
  <si>
    <t>Энтальпия  газов на входе в зону</t>
  </si>
  <si>
    <t>ккал/нм3</t>
  </si>
  <si>
    <t>Количество тепла газов на входе в зону</t>
  </si>
  <si>
    <t>Температура технологических газов на выходе по зонам</t>
  </si>
  <si>
    <t>кДж/
(кг*оС)</t>
  </si>
  <si>
    <t>Удельная теплоёмкость шихтового уноса</t>
  </si>
  <si>
    <t>Воинов А.П. 1983 стр. 77
Воинов А.П. 1989 стр. 124</t>
  </si>
  <si>
    <t>Средняя температура газов по зонам</t>
  </si>
  <si>
    <t>K</t>
  </si>
  <si>
    <t>Энтальпия газов на выходе из зоны с учетом подсоса воздуха</t>
  </si>
  <si>
    <t>Количество тепла газов на выходе из зоны с учетом подсоса воздуха</t>
  </si>
  <si>
    <t>Количество тепла, передаваемого от ух. газов к поверхностям</t>
  </si>
  <si>
    <t>Коэффициент теплоотдачи от боковых стен в окружающую среду</t>
  </si>
  <si>
    <t>ккал/(м2*ч*0С)</t>
  </si>
  <si>
    <t>Коэффициент теплоотдачи от горизонтальных стен в окружающую среду</t>
  </si>
  <si>
    <t>Определяющий линейный размер для боковых стен</t>
  </si>
  <si>
    <t>Определяющий линейный размер для горизонтальных стен</t>
  </si>
  <si>
    <t>Определяющая температура для всех поверхностей</t>
  </si>
  <si>
    <t>0C</t>
  </si>
  <si>
    <t>Коэффициент теплопроводности воздуха при tопр</t>
  </si>
  <si>
    <t>ккал/(м*ч*0С)</t>
  </si>
  <si>
    <t>Число Нусельта для боковых стен</t>
  </si>
  <si>
    <t>Мастрюков БС
(29) стр. 29</t>
  </si>
  <si>
    <t>Число Нусельта для горизонтальных стен</t>
  </si>
  <si>
    <t>Число Нусельта</t>
  </si>
  <si>
    <t>Число Грасгоф для боковых стен</t>
  </si>
  <si>
    <t>Число Грасгоф для горизонтальных стен</t>
  </si>
  <si>
    <t>Коэффициент объемного расширения</t>
  </si>
  <si>
    <t>1/K</t>
  </si>
  <si>
    <t>Температурный напор</t>
  </si>
  <si>
    <t>Коэффициент кинематической вязкости воздуха</t>
  </si>
  <si>
    <t>Число Прандтля для воздуха при tопр</t>
  </si>
  <si>
    <t>Число Прандтля для воздуха при температуре стенки</t>
  </si>
  <si>
    <t>Потери тепла через боковые стены</t>
  </si>
  <si>
    <t>ккал/ч</t>
  </si>
  <si>
    <t>Потери тепла через горизонтальные стены</t>
  </si>
  <si>
    <t>Потери тепла в окружающую среду</t>
  </si>
  <si>
    <t>Наименование параметра</t>
  </si>
  <si>
    <t>Количество тепла газов на входе в зону с учетом подсоса воздуха</t>
  </si>
  <si>
    <t>Температура газов на выходе из КУ</t>
  </si>
  <si>
    <r>
      <rPr>
        <vertAlign val="superscript"/>
        <sz val="14"/>
        <color theme="1"/>
        <rFont val="Times New Roman"/>
        <charset val="204"/>
      </rPr>
      <t>о</t>
    </r>
    <r>
      <rPr>
        <sz val="14"/>
        <color theme="1"/>
        <rFont val="Times New Roman"/>
        <charset val="204"/>
      </rPr>
      <t>C</t>
    </r>
  </si>
  <si>
    <t>Температура охлаждающей среды</t>
  </si>
  <si>
    <r>
      <rPr>
        <b/>
        <sz val="15"/>
        <color theme="3"/>
        <rFont val="Calibri"/>
        <charset val="204"/>
        <scheme val="minor"/>
      </rPr>
      <t xml:space="preserve">Температурный напор, </t>
    </r>
    <r>
      <rPr>
        <vertAlign val="superscript"/>
        <sz val="14"/>
        <color rgb="FF000000"/>
        <rFont val="Times New Roman"/>
        <charset val="204"/>
      </rPr>
      <t>о</t>
    </r>
    <r>
      <rPr>
        <sz val="14"/>
        <color rgb="FF000000"/>
        <rFont val="Times New Roman"/>
        <charset val="204"/>
      </rPr>
      <t>С</t>
    </r>
  </si>
  <si>
    <t>Коэффициент теплопередачи</t>
  </si>
  <si>
    <r>
      <rPr>
        <b/>
        <sz val="15"/>
        <color theme="3"/>
        <rFont val="Calibri"/>
        <charset val="204"/>
        <scheme val="minor"/>
      </rPr>
      <t>ккал/(м</t>
    </r>
    <r>
      <rPr>
        <vertAlign val="superscript"/>
        <sz val="14"/>
        <color rgb="FF000000"/>
        <rFont val="Times New Roman"/>
        <charset val="204"/>
      </rPr>
      <t>2</t>
    </r>
    <r>
      <rPr>
        <sz val="14"/>
        <color rgb="FF000000"/>
        <rFont val="Times New Roman"/>
        <charset val="204"/>
      </rPr>
      <t>*ч*К)</t>
    </r>
  </si>
  <si>
    <t>Площадь поверхности нагрева</t>
  </si>
  <si>
    <t>м2</t>
  </si>
  <si>
    <t xml:space="preserve">Доля поверхности стен </t>
  </si>
  <si>
    <t>Доля поверхности ширм</t>
  </si>
  <si>
    <t>Количество полезного тепла</t>
  </si>
  <si>
    <t>Проверка теплового баланса</t>
  </si>
  <si>
    <t>Коэффициент использования тепла, %</t>
  </si>
  <si>
    <t>Выработка насыщенного пара</t>
  </si>
  <si>
    <r>
      <rPr>
        <b/>
        <sz val="15"/>
        <color theme="3"/>
        <rFont val="Calibri"/>
        <charset val="204"/>
        <scheme val="minor"/>
      </rPr>
      <t>Мкал/(м</t>
    </r>
    <r>
      <rPr>
        <vertAlign val="superscript"/>
        <sz val="14"/>
        <color rgb="FF000000"/>
        <rFont val="Times New Roman"/>
        <charset val="204"/>
      </rPr>
      <t>2</t>
    </r>
    <r>
      <rPr>
        <sz val="14"/>
        <color rgb="FF000000"/>
        <rFont val="Times New Roman"/>
        <charset val="204"/>
      </rPr>
      <t>*ч)</t>
    </r>
  </si>
  <si>
    <t>Удельная поверхность нагрева на 1 т выработки пара</t>
  </si>
  <si>
    <r>
      <rPr>
        <b/>
        <sz val="15"/>
        <color theme="3"/>
        <rFont val="Calibri"/>
        <charset val="204"/>
        <scheme val="minor"/>
      </rPr>
      <t>(м</t>
    </r>
    <r>
      <rPr>
        <vertAlign val="superscript"/>
        <sz val="14"/>
        <color rgb="FF000000"/>
        <rFont val="Times New Roman"/>
        <charset val="204"/>
      </rPr>
      <t>2</t>
    </r>
    <r>
      <rPr>
        <sz val="14"/>
        <color rgb="FF000000"/>
        <rFont val="Times New Roman"/>
        <charset val="204"/>
      </rPr>
      <t>*ч)/т</t>
    </r>
  </si>
  <si>
    <t>Названия строк</t>
  </si>
  <si>
    <t xml:space="preserve">Температура газов на выходе из КУ, оC </t>
  </si>
  <si>
    <t xml:space="preserve">Площадь поверхности нагрева, м2 </t>
  </si>
  <si>
    <t xml:space="preserve">Выработка насыщенного пара, т/ч </t>
  </si>
  <si>
    <t xml:space="preserve">Количество полезного тепла, Гкал/ч </t>
  </si>
  <si>
    <t>Зона нагрева</t>
  </si>
  <si>
    <t>X</t>
  </si>
  <si>
    <t>Y</t>
  </si>
  <si>
    <t>Подписи</t>
  </si>
  <si>
    <t>Зона_1</t>
  </si>
  <si>
    <t>Зона_2</t>
  </si>
  <si>
    <t>Зона_3</t>
  </si>
  <si>
    <t>Зона_4</t>
  </si>
  <si>
    <t>Зона_5</t>
  </si>
  <si>
    <t>Зона_6</t>
  </si>
  <si>
    <t>Зона_7</t>
  </si>
  <si>
    <t xml:space="preserve"> </t>
  </si>
  <si>
    <t>Зоны нагрева</t>
  </si>
  <si>
    <t>Количество тепла газов на входе в зону с учетом подсоса воздуха, Гкал/ч</t>
  </si>
  <si>
    <t>Температура газов на выходе из КУ, оC</t>
  </si>
  <si>
    <t>Температура охлаждающей среды, оC</t>
  </si>
  <si>
    <t>Температурный напор, оС</t>
  </si>
  <si>
    <t>Коэффициент теплопередачи, ккал/(м2*ч*К)</t>
  </si>
  <si>
    <t>Площадь поверхности нагрева, м2</t>
  </si>
  <si>
    <t>Доля поверхности стен, %</t>
  </si>
  <si>
    <t>Доля поверхности ширм, %</t>
  </si>
  <si>
    <t>Количество полезного тепла, Гкал/ч</t>
  </si>
  <si>
    <t>Выработка насыщенного пара, т/ч</t>
  </si>
  <si>
    <t>Удельный тепловой поток от газов к паро-водяной смеси, Мкал/(м2*ч)</t>
  </si>
  <si>
    <t>Удельная поверхность нагрева на 1 т выработки пара, (м2*ч)/т</t>
  </si>
  <si>
    <t>Средняя скорость потоков газов по зонам, м/с</t>
  </si>
  <si>
    <t>Средняя скорость потоков газов по зонам, м/с2</t>
  </si>
  <si>
    <t>Потери тепла в окружающую среду2</t>
  </si>
  <si>
    <t>Проверка теплового баланса2</t>
  </si>
  <si>
    <t>Температура, °С</t>
  </si>
  <si>
    <t>Кинематическая вязкость,
ν*10-6, м2/сек</t>
  </si>
  <si>
    <t>Температуропроводность,
λ*10-2, ккал/(м*ч*оС)</t>
  </si>
  <si>
    <t>Критерий Прандтля Pr</t>
  </si>
  <si>
    <t>Кузнецов Т.IV С.170</t>
  </si>
  <si>
    <t>Температура t, оС</t>
  </si>
  <si>
    <t>Давление P, бар</t>
  </si>
  <si>
    <t>Термодинамическая Т, К</t>
  </si>
  <si>
    <t>Уд. объём кипящей воды v', м3/кг</t>
  </si>
  <si>
    <t>Уд. объём насыщенного пара v", м3/кг</t>
  </si>
  <si>
    <t>Уд. энтальпия кипящей воды h', кДж/кг</t>
  </si>
  <si>
    <t>Уд. энтальпия насыщенного пара h", кДж/кг</t>
  </si>
  <si>
    <t>Удельная теплота испарения r, кДж/кг</t>
  </si>
  <si>
    <t>Уд. энтропия кипящей воды s', кДж/(кг*К)</t>
  </si>
  <si>
    <t>Уд. энтропия насыщенного пара s", кДж/(кг*К)</t>
  </si>
  <si>
    <t>Приращение энтропии s"-s', кДж/(кг*К)</t>
  </si>
  <si>
    <t>Температура, оС</t>
  </si>
  <si>
    <t>Теплоёмкость Ср, кДж/(кг*К)</t>
  </si>
  <si>
    <t>Теплопроводность λ,
мВт/(м*К)</t>
  </si>
  <si>
    <t>Динамическая вязкость μ,
мкПа*с</t>
  </si>
  <si>
    <t>Температурапроводность, мкм2/с</t>
  </si>
  <si>
    <t>критерий Прандтля Pr</t>
  </si>
  <si>
    <t>Поверхностное натяжение σ, мН/м</t>
  </si>
  <si>
    <t>Кинематическая вязкость, мкм2/с</t>
  </si>
  <si>
    <t>Удельный объём,
м3/кг</t>
  </si>
  <si>
    <r>
      <rPr>
        <sz val="14"/>
        <rFont val="Times New Roman"/>
        <charset val="204"/>
      </rPr>
      <t xml:space="preserve">Температура, </t>
    </r>
    <r>
      <rPr>
        <vertAlign val="superscript"/>
        <sz val="14"/>
        <rFont val="Times New Roman"/>
        <charset val="204"/>
      </rPr>
      <t>0</t>
    </r>
    <r>
      <rPr>
        <sz val="14"/>
        <rFont val="Times New Roman"/>
        <charset val="204"/>
      </rPr>
      <t>С</t>
    </r>
  </si>
  <si>
    <r>
      <rPr>
        <sz val="14"/>
        <rFont val="Times New Roman"/>
        <charset val="204"/>
      </rPr>
      <t>СО2,
кДж/(м3*</t>
    </r>
    <r>
      <rPr>
        <vertAlign val="superscript"/>
        <sz val="14"/>
        <rFont val="Times New Roman"/>
        <charset val="204"/>
      </rPr>
      <t>о</t>
    </r>
    <r>
      <rPr>
        <sz val="14"/>
        <rFont val="Times New Roman"/>
        <charset val="204"/>
      </rPr>
      <t>С)</t>
    </r>
  </si>
  <si>
    <t>H2O,
кДж/(м3*оС)</t>
  </si>
  <si>
    <t>Воздух,
кДж/(м3*оС)</t>
  </si>
  <si>
    <t>N2,
кДж/(м3*оС)</t>
  </si>
  <si>
    <t>О2,
кДж/(м3*оС)</t>
  </si>
  <si>
    <t>Н2,
кДж/(м3*оС)</t>
  </si>
  <si>
    <t>СО,
кДж/(м3*оС)</t>
  </si>
  <si>
    <t>SO2,
кДж/(м3*оС)</t>
  </si>
  <si>
    <t>CH4,
кДж/(м3*оС)</t>
  </si>
  <si>
    <t>C2H6,
кДж/(м3*оС)</t>
  </si>
  <si>
    <t>Прод.сгор.,
кДж/(м3*оС)</t>
  </si>
  <si>
    <t>—</t>
  </si>
  <si>
    <t>Агрегаты или процесс</t>
  </si>
  <si>
    <t>Расход газов, мин, м3/ч</t>
  </si>
  <si>
    <t>Расход газов, макс, м3/ч</t>
  </si>
  <si>
    <t>CO2 мин</t>
  </si>
  <si>
    <t>CO2 макс</t>
  </si>
  <si>
    <t>CO мин</t>
  </si>
  <si>
    <t>CO макс</t>
  </si>
  <si>
    <t>SO2 мин</t>
  </si>
  <si>
    <t>SO2 макс</t>
  </si>
  <si>
    <t>SO3 мин</t>
  </si>
  <si>
    <t>SO3 макс</t>
  </si>
  <si>
    <t>H2 мин</t>
  </si>
  <si>
    <t>H2 макс</t>
  </si>
  <si>
    <t>H2O мин</t>
  </si>
  <si>
    <t>H2O макс</t>
  </si>
  <si>
    <t>O2 мин</t>
  </si>
  <si>
    <t>O2 макс</t>
  </si>
  <si>
    <t>N2 мин</t>
  </si>
  <si>
    <t>N2 макс</t>
  </si>
  <si>
    <t>Температура газов,
мин, оС</t>
  </si>
  <si>
    <t>Температура газов,
макс, оС</t>
  </si>
  <si>
    <r>
      <rPr>
        <sz val="14"/>
        <rFont val="Times New Roman"/>
        <charset val="204"/>
      </rPr>
      <t xml:space="preserve">Запыленность, мин,
</t>
    </r>
    <r>
      <rPr>
        <sz val="14"/>
        <rFont val="Calibri"/>
        <charset val="204"/>
      </rPr>
      <t>μ</t>
    </r>
    <r>
      <rPr>
        <sz val="14"/>
        <rFont val="Times New Roman"/>
        <charset val="204"/>
      </rPr>
      <t>ун., г/м3</t>
    </r>
  </si>
  <si>
    <t>Запыленность, макс,
μун., г/м3</t>
  </si>
  <si>
    <t>Фракционный состав, мин, dун., мкм</t>
  </si>
  <si>
    <t>Фракционный состав, макс, dун., мкм</t>
  </si>
  <si>
    <t>Фракционный состав мин, %</t>
  </si>
  <si>
    <t>Фракционный состав макс, %</t>
  </si>
  <si>
    <t>Агрегатное состояние</t>
  </si>
  <si>
    <r>
      <rPr>
        <sz val="14"/>
        <rFont val="Times New Roman"/>
        <charset val="204"/>
      </rPr>
      <t xml:space="preserve">Коэффициент загрязнения </t>
    </r>
    <r>
      <rPr>
        <sz val="14"/>
        <rFont val="Calibri"/>
        <charset val="204"/>
      </rPr>
      <t>ε</t>
    </r>
    <r>
      <rPr>
        <sz val="14"/>
        <rFont val="Times New Roman"/>
        <charset val="204"/>
      </rPr>
      <t>, м2*К/Вт</t>
    </r>
  </si>
  <si>
    <t>Теплоёмкость технологического уноса</t>
  </si>
  <si>
    <t>600</t>
  </si>
  <si>
    <t>800</t>
  </si>
  <si>
    <t>1000</t>
  </si>
  <si>
    <t>1200</t>
  </si>
  <si>
    <t>1400</t>
  </si>
  <si>
    <t>1600</t>
  </si>
  <si>
    <t>1800</t>
  </si>
  <si>
    <t>2000</t>
  </si>
  <si>
    <t>Обжиг кольчедана в кипящем слое</t>
  </si>
  <si>
    <t>Твердое</t>
  </si>
  <si>
    <t>Шахтная медная пиритная плавка</t>
  </si>
  <si>
    <t>Отражательная медная плавка</t>
  </si>
  <si>
    <t>Жидкое, твердое, парообразное</t>
  </si>
  <si>
    <t>Кислородно-взвешенная медная плавка</t>
  </si>
  <si>
    <t>Жидкое,
парообразное</t>
  </si>
  <si>
    <t>Конвертеры медных штейнов</t>
  </si>
  <si>
    <t>Огневое рафинирование меди</t>
  </si>
  <si>
    <t>Шахтная никелевая плавка</t>
  </si>
  <si>
    <t>Шахтная свинцовая плавка</t>
  </si>
  <si>
    <t>Шлаковозгоночные печи (Фьюмингование шлаков)</t>
  </si>
  <si>
    <t>Дугосталеплавильные печи 100-150 т</t>
  </si>
  <si>
    <t>Кислородные сталеплавильные конвертеры</t>
  </si>
  <si>
    <t>Жидкое</t>
  </si>
  <si>
    <t>Диагональное</t>
  </si>
  <si>
    <t>Толщина пылевых отложений,_мм</t>
  </si>
  <si>
    <t>Коэффициент загрязнения</t>
  </si>
  <si>
    <t>Температура ограждений,_оС</t>
  </si>
  <si>
    <t>Зоны охлаждения</t>
  </si>
  <si>
    <t>Аптейк</t>
  </si>
  <si>
    <t>Газоохладитель
с ширмой</t>
  </si>
  <si>
    <t>Холодная
воронка 2</t>
  </si>
  <si>
    <t>Адиабатический
охладитель</t>
  </si>
  <si>
    <t>Столбец1</t>
  </si>
  <si>
    <t>Молярная масса</t>
  </si>
  <si>
    <t>Показатель адиабаты при 0 оС</t>
  </si>
  <si>
    <t>Показатель адиабаты при 1200 оС</t>
  </si>
  <si>
    <t>Динамическая вязкость 
при 0 оС</t>
  </si>
  <si>
    <t>Динамическая вязкость 
при 400 оС</t>
  </si>
  <si>
    <t>Динамическая вязкость 
при 600 оС</t>
  </si>
  <si>
    <t>Динамическая вязкость 
при 1000 оС</t>
  </si>
  <si>
    <t>Теплопроводность, при 0 оС</t>
  </si>
  <si>
    <t>Теплопроводность, при 127 оС</t>
  </si>
  <si>
    <t>Теплопроводность, при 327 оС</t>
  </si>
  <si>
    <t>Теплопроводность, при 527 оС</t>
  </si>
  <si>
    <t>Теплопроводность, при 927 оС</t>
  </si>
  <si>
    <t>Теплопроводность, при 1127 оС</t>
  </si>
  <si>
    <t>k</t>
  </si>
  <si>
    <r>
      <rPr>
        <sz val="11"/>
        <color theme="1"/>
        <rFont val="Calibri"/>
        <charset val="204"/>
        <scheme val="minor"/>
      </rPr>
      <t>Вт/(м*</t>
    </r>
    <r>
      <rPr>
        <vertAlign val="superscript"/>
        <sz val="11"/>
        <color theme="1"/>
        <rFont val="Calibri"/>
        <charset val="204"/>
        <scheme val="minor"/>
      </rPr>
      <t>о</t>
    </r>
    <r>
      <rPr>
        <sz val="11"/>
        <color theme="1"/>
        <rFont val="Calibri"/>
        <charset val="204"/>
        <scheme val="minor"/>
      </rPr>
      <t>С)</t>
    </r>
  </si>
  <si>
    <t xml:space="preserve">H2O </t>
  </si>
  <si>
    <t xml:space="preserve">O2 </t>
  </si>
  <si>
    <t xml:space="preserve">N2 </t>
  </si>
  <si>
    <t xml:space="preserve">CO2 </t>
  </si>
  <si>
    <t>Воздух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</si>
</sst>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  <numFmt numFmtId="181" formatCode="0.0%"/>
    <numFmt numFmtId="182" formatCode="0.00000"/>
    <numFmt numFmtId="183" formatCode="0.000"/>
    <numFmt numFmtId="184" formatCode="0.0000"/>
    <numFmt numFmtId="185" formatCode="0.00000000"/>
    <numFmt numFmtId="186" formatCode="#\ ##0"/>
    <numFmt numFmtId="187" formatCode="#\ ##0.0"/>
    <numFmt numFmtId="188" formatCode="#\ ##0.00"/>
    <numFmt numFmtId="189" formatCode="0.000E+00"/>
    <numFmt numFmtId="190" formatCode="0.000000"/>
  </numFmts>
  <fonts count="46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4"/>
      <name val="Times New Roman"/>
      <charset val="204"/>
    </font>
    <font>
      <sz val="14"/>
      <name val="Times New Roman"/>
      <charset val="134"/>
    </font>
    <font>
      <b/>
      <sz val="14"/>
      <name val="Times New Roman"/>
      <charset val="204"/>
    </font>
    <font>
      <sz val="14"/>
      <color theme="1"/>
      <name val="Times New Roman"/>
      <charset val="204"/>
    </font>
    <font>
      <b/>
      <sz val="15"/>
      <color theme="3"/>
      <name val="Calibri"/>
      <charset val="204"/>
      <scheme val="minor"/>
    </font>
    <font>
      <sz val="15"/>
      <name val="Calibri"/>
      <charset val="204"/>
      <scheme val="minor"/>
    </font>
    <font>
      <sz val="14"/>
      <color rgb="FF000000"/>
      <name val="Times New Roman"/>
      <charset val="204"/>
    </font>
    <font>
      <sz val="14"/>
      <name val="Calibri"/>
      <charset val="204"/>
    </font>
    <font>
      <b/>
      <sz val="14"/>
      <color theme="3"/>
      <name val="Times New Roman"/>
      <charset val="204"/>
    </font>
    <font>
      <sz val="14"/>
      <color theme="1"/>
      <name val="Times New Roman"/>
      <charset val="134"/>
    </font>
    <font>
      <b/>
      <sz val="14"/>
      <color theme="1"/>
      <name val="Times New Roman"/>
      <charset val="204"/>
    </font>
    <font>
      <b/>
      <sz val="14"/>
      <name val="Times New Roman"/>
      <charset val="134"/>
    </font>
    <font>
      <b/>
      <sz val="14"/>
      <color theme="0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204"/>
    </font>
    <font>
      <sz val="11"/>
      <color rgb="FF9C0006"/>
      <name val="Calibri"/>
      <charset val="204"/>
    </font>
    <font>
      <sz val="11"/>
      <color rgb="FF000000"/>
      <name val="Calibri"/>
      <charset val="204"/>
    </font>
    <font>
      <vertAlign val="subscript"/>
      <sz val="14"/>
      <name val="Times New Roman"/>
      <charset val="204"/>
    </font>
    <font>
      <vertAlign val="superscript"/>
      <sz val="14"/>
      <name val="Times New Roman"/>
      <charset val="204"/>
    </font>
    <font>
      <vertAlign val="superscript"/>
      <sz val="14"/>
      <color rgb="FF000000"/>
      <name val="Times New Roman"/>
      <charset val="204"/>
    </font>
    <font>
      <vertAlign val="superscript"/>
      <sz val="11"/>
      <color theme="1"/>
      <name val="Calibri"/>
      <charset val="204"/>
      <scheme val="minor"/>
    </font>
    <font>
      <sz val="7.7"/>
      <name val="Times New Roman"/>
      <charset val="204"/>
    </font>
    <font>
      <vertAlign val="superscript"/>
      <sz val="14"/>
      <color theme="1"/>
      <name val="Times New Roman"/>
      <charset val="204"/>
    </font>
    <font>
      <b/>
      <sz val="9"/>
      <name val="Tahoma"/>
      <charset val="204"/>
    </font>
    <font>
      <sz val="9"/>
      <name val="Tahoma"/>
      <charset val="204"/>
    </font>
    <font>
      <sz val="9"/>
      <name val="Calibri"/>
      <charset val="20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7" tint="0.80001220740379"/>
        </stop>
        <stop position="1">
          <color theme="4" tint="0.599993896298105"/>
        </stop>
      </gradientFill>
    </fill>
    <fill>
      <patternFill patternType="solid">
        <fgColor rgb="FFFFFF00"/>
        <bgColor indexed="64"/>
      </patternFill>
    </fill>
    <fill>
      <gradientFill type="path" left="0.5" right="0.5" top="0.5" bottom="0.5">
        <stop position="0">
          <color theme="5" tint="0.400006103701895"/>
        </stop>
        <stop position="1">
          <color rgb="FFFFFF00"/>
        </stop>
      </gradientFill>
    </fill>
    <fill>
      <patternFill patternType="lightDown">
        <fgColor theme="9" tint="0.599963377788629"/>
      </patternFill>
    </fill>
    <fill>
      <patternFill patternType="solid">
        <fgColor rgb="FFFFFFCC"/>
        <bgColor indexed="64"/>
      </patternFill>
    </fill>
    <fill>
      <gradientFill type="path" left="0.5" right="0.5" top="0.5" bottom="0.5">
        <stop position="0">
          <color theme="7" tint="0.80001220740379"/>
        </stop>
        <stop position="1">
          <color theme="5" tint="0.400006103701895"/>
        </stop>
      </gradient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</fills>
  <borders count="4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6"/>
      </left>
      <right/>
      <top/>
      <bottom/>
      <diagonal/>
    </border>
    <border>
      <left/>
      <right/>
      <top style="medium">
        <color theme="6"/>
      </top>
      <bottom/>
      <diagonal/>
    </border>
    <border>
      <left style="thin">
        <color theme="6"/>
      </left>
      <right/>
      <top style="medium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/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 style="thick">
        <color rgb="FF0070C0"/>
      </right>
      <top style="thick">
        <color rgb="FF0070C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rgb="FF000000"/>
      </bottom>
      <diagonal/>
    </border>
    <border>
      <left style="thick">
        <color theme="7" tint="-0.499984740745262"/>
      </left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7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ck">
        <color theme="7" tint="-0.499984740745262"/>
      </left>
      <right/>
      <top/>
      <bottom style="thick">
        <color theme="7" tint="-0.499984740745262"/>
      </bottom>
      <diagonal/>
    </border>
    <border>
      <left style="thick">
        <color theme="7" tint="-0.499984740745262"/>
      </left>
      <right/>
      <top style="thick">
        <color theme="7" tint="-0.499984740745262"/>
      </top>
      <bottom/>
      <diagonal/>
    </border>
    <border>
      <left/>
      <right style="thick">
        <color theme="7" tint="-0.499984740745262"/>
      </right>
      <top/>
      <bottom style="thick">
        <color theme="7" tint="-0.499984740745262"/>
      </bottom>
      <diagonal/>
    </border>
    <border>
      <left style="thick">
        <color theme="7" tint="-0.499984740745262"/>
      </left>
      <right style="thick">
        <color theme="7" tint="-0.499984740745262"/>
      </right>
      <top/>
      <bottom style="thick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3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37" applyNumberFormat="0" applyFill="0" applyAlignment="0" applyProtection="0"/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" fontId="3" fillId="8" borderId="6" applyBorder="0" applyAlignment="0">
      <alignment horizontal="center" vertical="center" wrapText="1"/>
      <protection locked="0"/>
    </xf>
    <xf numFmtId="0" fontId="24" fillId="9" borderId="40" applyNumberFormat="0" applyAlignment="0" applyProtection="0">
      <alignment vertical="center"/>
    </xf>
    <xf numFmtId="0" fontId="25" fillId="9" borderId="41" applyNumberFormat="0" applyAlignment="0" applyProtection="0">
      <alignment vertical="center"/>
    </xf>
    <xf numFmtId="0" fontId="26" fillId="10" borderId="42" applyNumberFormat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1" fillId="0" borderId="0"/>
    <xf numFmtId="0" fontId="34" fillId="0" borderId="0"/>
    <xf numFmtId="0" fontId="34" fillId="0" borderId="0"/>
    <xf numFmtId="0" fontId="1" fillId="0" borderId="0"/>
    <xf numFmtId="0" fontId="35" fillId="38" borderId="0">
      <alignment vertical="top"/>
      <protection locked="0"/>
    </xf>
    <xf numFmtId="9" fontId="36" fillId="0" borderId="0">
      <alignment vertical="top"/>
      <protection locked="0"/>
    </xf>
    <xf numFmtId="9" fontId="1" fillId="0" borderId="0" applyFont="0" applyFill="0" applyBorder="0" applyAlignment="0" applyProtection="0"/>
  </cellStyleXfs>
  <cellXfs count="280">
    <xf numFmtId="0" fontId="0" fillId="0" borderId="0" xfId="0"/>
    <xf numFmtId="0" fontId="1" fillId="0" borderId="0" xfId="52"/>
    <xf numFmtId="0" fontId="1" fillId="0" borderId="0" xfId="52" applyAlignment="1">
      <alignment horizontal="center"/>
    </xf>
    <xf numFmtId="0" fontId="1" fillId="0" borderId="1" xfId="52" applyBorder="1"/>
    <xf numFmtId="0" fontId="1" fillId="0" borderId="2" xfId="52" applyBorder="1" applyAlignment="1">
      <alignment horizontal="center" vertical="center" wrapText="1"/>
    </xf>
    <xf numFmtId="0" fontId="1" fillId="0" borderId="2" xfId="52" applyFont="1" applyBorder="1" applyAlignment="1">
      <alignment horizontal="center" vertical="center" wrapText="1"/>
    </xf>
    <xf numFmtId="0" fontId="1" fillId="0" borderId="3" xfId="52" applyBorder="1"/>
    <xf numFmtId="0" fontId="1" fillId="0" borderId="4" xfId="52" applyBorder="1" applyAlignment="1">
      <alignment horizontal="center" vertical="center" wrapText="1"/>
    </xf>
    <xf numFmtId="0" fontId="1" fillId="0" borderId="4" xfId="52" applyBorder="1" applyAlignment="1">
      <alignment horizontal="center" vertical="center"/>
    </xf>
    <xf numFmtId="2" fontId="1" fillId="0" borderId="4" xfId="52" applyNumberFormat="1" applyBorder="1" applyAlignment="1">
      <alignment horizontal="center" vertical="center"/>
    </xf>
    <xf numFmtId="11" fontId="1" fillId="0" borderId="4" xfId="52" applyNumberFormat="1" applyBorder="1" applyAlignment="1">
      <alignment horizontal="center" vertical="center"/>
    </xf>
    <xf numFmtId="1" fontId="1" fillId="0" borderId="4" xfId="52" applyNumberFormat="1" applyBorder="1" applyAlignment="1">
      <alignment horizontal="center" vertical="center"/>
    </xf>
    <xf numFmtId="0" fontId="2" fillId="0" borderId="0" xfId="52" applyFont="1" applyBorder="1"/>
    <xf numFmtId="180" fontId="2" fillId="0" borderId="0" xfId="52" applyNumberFormat="1" applyFont="1" applyBorder="1" applyAlignment="1">
      <alignment horizontal="center"/>
    </xf>
    <xf numFmtId="11" fontId="2" fillId="0" borderId="0" xfId="52" applyNumberFormat="1" applyFont="1" applyBorder="1" applyAlignment="1">
      <alignment horizontal="center"/>
    </xf>
    <xf numFmtId="0" fontId="1" fillId="0" borderId="5" xfId="52" applyFont="1" applyBorder="1" applyAlignment="1">
      <alignment horizontal="center" vertical="center" wrapText="1"/>
    </xf>
    <xf numFmtId="0" fontId="1" fillId="0" borderId="4" xfId="52" applyFont="1" applyBorder="1" applyAlignment="1">
      <alignment horizontal="center" vertical="center" wrapText="1"/>
    </xf>
    <xf numFmtId="11" fontId="1" fillId="0" borderId="6" xfId="52" applyNumberFormat="1" applyBorder="1" applyAlignment="1">
      <alignment horizontal="center" vertical="center"/>
    </xf>
    <xf numFmtId="2" fontId="2" fillId="0" borderId="0" xfId="52" applyNumberFormat="1" applyFont="1" applyBorder="1" applyAlignment="1">
      <alignment horizontal="center"/>
    </xf>
    <xf numFmtId="0" fontId="3" fillId="0" borderId="7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Fill="1" applyBorder="1" applyAlignment="1" applyProtection="1">
      <alignment horizontal="center"/>
      <protection locked="0"/>
    </xf>
    <xf numFmtId="0" fontId="3" fillId="0" borderId="8" xfId="0" applyFont="1" applyFill="1" applyBorder="1" applyAlignment="1" applyProtection="1">
      <alignment horizontal="center" wrapText="1"/>
      <protection locked="0"/>
    </xf>
    <xf numFmtId="0" fontId="3" fillId="0" borderId="9" xfId="0" applyFont="1" applyFill="1" applyBorder="1" applyAlignment="1" applyProtection="1">
      <alignment horizontal="center" wrapText="1"/>
      <protection locked="0"/>
    </xf>
    <xf numFmtId="0" fontId="3" fillId="0" borderId="9" xfId="0" applyFont="1" applyFill="1" applyBorder="1" applyAlignment="1" applyProtection="1">
      <alignment horizontal="center"/>
      <protection locked="0"/>
    </xf>
    <xf numFmtId="0" fontId="3" fillId="0" borderId="7" xfId="0" applyFont="1" applyFill="1" applyBorder="1" applyAlignment="1" applyProtection="1">
      <alignment horizontal="center" wrapText="1"/>
      <protection locked="0"/>
    </xf>
    <xf numFmtId="180" fontId="3" fillId="0" borderId="8" xfId="0" applyNumberFormat="1" applyFont="1" applyFill="1" applyBorder="1" applyAlignment="1" applyProtection="1">
      <alignment horizontal="center" wrapText="1"/>
      <protection locked="0"/>
    </xf>
    <xf numFmtId="180" fontId="3" fillId="0" borderId="9" xfId="0" applyNumberFormat="1" applyFont="1" applyFill="1" applyBorder="1" applyAlignment="1" applyProtection="1">
      <alignment horizontal="center" wrapText="1"/>
      <protection locked="0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Fill="1" applyBorder="1" applyAlignment="1" applyProtection="1">
      <alignment horizontal="left" vertical="center" wrapText="1"/>
      <protection locked="0"/>
    </xf>
    <xf numFmtId="1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181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horizontal="left" vertical="center" wrapText="1"/>
      <protection locked="0"/>
    </xf>
    <xf numFmtId="1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181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0" xfId="0" applyFont="1" applyFill="1" applyBorder="1" applyAlignment="1" applyProtection="1">
      <alignment horizontal="left" vertical="center" wrapText="1"/>
      <protection locked="0"/>
    </xf>
    <xf numFmtId="1" fontId="4" fillId="0" borderId="10" xfId="0" applyNumberFormat="1" applyFont="1" applyFill="1" applyBorder="1" applyAlignment="1" applyProtection="1">
      <alignment horizontal="center" vertical="center" wrapText="1"/>
      <protection locked="0"/>
    </xf>
    <xf numFmtId="181" fontId="4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18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18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18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18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180" fontId="4" fillId="0" borderId="10" xfId="0" applyNumberFormat="1" applyFont="1" applyFill="1" applyBorder="1" applyAlignment="1" applyProtection="1">
      <alignment horizontal="center" vertical="center" wrapText="1"/>
      <protection locked="0"/>
    </xf>
    <xf numFmtId="180" fontId="4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182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1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9" fontId="3" fillId="0" borderId="11" xfId="3" applyFont="1" applyFill="1" applyBorder="1" applyAlignment="1" applyProtection="1">
      <alignment horizontal="center" vertical="center" wrapText="1"/>
      <protection locked="0"/>
    </xf>
    <xf numFmtId="0" fontId="3" fillId="0" borderId="11" xfId="0" applyFont="1" applyFill="1" applyBorder="1" applyAlignment="1" applyProtection="1">
      <alignment horizontal="center" vertical="center" wrapText="1"/>
      <protection locked="0"/>
    </xf>
    <xf numFmtId="9" fontId="3" fillId="0" borderId="4" xfId="3" applyFont="1" applyFill="1" applyBorder="1" applyAlignment="1" applyProtection="1">
      <alignment horizontal="center" vertical="center" wrapText="1"/>
      <protection locked="0"/>
    </xf>
    <xf numFmtId="2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9" fontId="4" fillId="0" borderId="11" xfId="3" applyFont="1" applyFill="1" applyBorder="1" applyAlignment="1" applyProtection="1">
      <alignment horizontal="center" vertical="center" wrapText="1"/>
      <protection locked="0"/>
    </xf>
    <xf numFmtId="0" fontId="4" fillId="0" borderId="11" xfId="0" applyFont="1" applyFill="1" applyBorder="1" applyAlignment="1" applyProtection="1">
      <alignment horizontal="center" vertical="center" wrapText="1"/>
      <protection locked="0"/>
    </xf>
    <xf numFmtId="2" fontId="4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50" applyFont="1" applyFill="1" applyBorder="1" applyAlignment="1" applyProtection="1">
      <alignment horizontal="center" vertical="center" wrapText="1"/>
      <protection locked="0"/>
    </xf>
    <xf numFmtId="0" fontId="3" fillId="0" borderId="2" xfId="50" applyFont="1" applyFill="1" applyBorder="1" applyAlignment="1" applyProtection="1">
      <alignment horizontal="center" vertical="center" wrapText="1"/>
      <protection locked="0"/>
    </xf>
    <xf numFmtId="0" fontId="3" fillId="0" borderId="3" xfId="50" applyFont="1" applyFill="1" applyBorder="1" applyAlignment="1" applyProtection="1">
      <alignment horizontal="center" vertical="center" wrapText="1"/>
      <protection locked="0"/>
    </xf>
    <xf numFmtId="183" fontId="3" fillId="0" borderId="6" xfId="50" applyNumberFormat="1" applyFont="1" applyFill="1" applyBorder="1" applyAlignment="1" applyProtection="1">
      <alignment horizontal="center" vertical="center"/>
      <protection locked="0"/>
    </xf>
    <xf numFmtId="1" fontId="3" fillId="0" borderId="4" xfId="50" applyNumberFormat="1" applyFont="1" applyFill="1" applyBorder="1" applyAlignment="1" applyProtection="1">
      <alignment horizontal="center" vertical="center" wrapText="1"/>
      <protection locked="0"/>
    </xf>
    <xf numFmtId="183" fontId="3" fillId="0" borderId="4" xfId="50" applyNumberFormat="1" applyFont="1" applyFill="1" applyBorder="1" applyAlignment="1" applyProtection="1">
      <alignment horizontal="center" vertical="center" wrapText="1"/>
      <protection locked="0"/>
    </xf>
    <xf numFmtId="1" fontId="3" fillId="0" borderId="4" xfId="49" applyNumberFormat="1" applyFont="1" applyFill="1" applyBorder="1" applyAlignment="1" applyProtection="1">
      <alignment horizontal="center" vertical="center" wrapText="1"/>
      <protection locked="0"/>
    </xf>
    <xf numFmtId="183" fontId="3" fillId="0" borderId="4" xfId="49" applyNumberFormat="1" applyFont="1" applyFill="1" applyBorder="1" applyAlignment="1" applyProtection="1">
      <alignment horizontal="center" vertical="center" wrapText="1"/>
      <protection locked="0"/>
    </xf>
    <xf numFmtId="1" fontId="3" fillId="0" borderId="3" xfId="5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50" applyFont="1" applyFill="1" applyBorder="1" applyAlignment="1" applyProtection="1">
      <alignment horizontal="center" vertical="center" wrapText="1"/>
      <protection locked="0"/>
    </xf>
    <xf numFmtId="0" fontId="3" fillId="0" borderId="2" xfId="49" applyFont="1" applyFill="1" applyBorder="1" applyAlignment="1" applyProtection="1">
      <alignment horizontal="center" vertical="center" wrapText="1"/>
      <protection locked="0"/>
    </xf>
    <xf numFmtId="0" fontId="3" fillId="0" borderId="6" xfId="50" applyFont="1" applyFill="1" applyBorder="1" applyAlignment="1" applyProtection="1">
      <alignment horizontal="center" vertical="center"/>
      <protection locked="0"/>
    </xf>
    <xf numFmtId="0" fontId="3" fillId="0" borderId="4" xfId="50" applyFont="1" applyFill="1" applyBorder="1" applyAlignment="1" applyProtection="1">
      <alignment horizontal="center" vertical="center"/>
      <protection locked="0"/>
    </xf>
    <xf numFmtId="1" fontId="3" fillId="0" borderId="10" xfId="50" applyNumberFormat="1" applyFont="1" applyFill="1" applyBorder="1" applyAlignment="1" applyProtection="1">
      <alignment horizontal="center" vertical="center" wrapText="1"/>
      <protection locked="0"/>
    </xf>
    <xf numFmtId="183" fontId="3" fillId="0" borderId="11" xfId="50" applyNumberFormat="1" applyFont="1" applyFill="1" applyBorder="1" applyAlignment="1" applyProtection="1">
      <alignment horizontal="center" vertical="center" wrapText="1"/>
      <protection locked="0"/>
    </xf>
    <xf numFmtId="183" fontId="3" fillId="0" borderId="11" xfId="49" applyNumberFormat="1" applyFont="1" applyFill="1" applyBorder="1" applyAlignment="1" applyProtection="1">
      <alignment horizontal="center" vertical="center" wrapText="1"/>
      <protection locked="0"/>
    </xf>
    <xf numFmtId="183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80" fontId="3" fillId="0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183" fontId="3" fillId="0" borderId="4" xfId="0" applyNumberFormat="1" applyFont="1" applyFill="1" applyBorder="1" applyAlignment="1" applyProtection="1">
      <alignment horizontal="center" vertical="center"/>
    </xf>
    <xf numFmtId="2" fontId="3" fillId="0" borderId="4" xfId="0" applyNumberFormat="1" applyFont="1" applyFill="1" applyBorder="1" applyAlignment="1" applyProtection="1">
      <alignment horizontal="center" vertical="center"/>
      <protection locked="0"/>
    </xf>
    <xf numFmtId="180" fontId="3" fillId="0" borderId="10" xfId="0" applyNumberFormat="1" applyFont="1" applyFill="1" applyBorder="1" applyAlignment="1" applyProtection="1">
      <alignment horizontal="center" vertical="center"/>
      <protection locked="0"/>
    </xf>
    <xf numFmtId="0" fontId="3" fillId="0" borderId="11" xfId="0" applyFont="1" applyFill="1" applyBorder="1" applyAlignment="1" applyProtection="1">
      <alignment horizontal="center" vertical="center"/>
      <protection locked="0"/>
    </xf>
    <xf numFmtId="183" fontId="3" fillId="0" borderId="11" xfId="0" applyNumberFormat="1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184" fontId="3" fillId="0" borderId="6" xfId="0" applyNumberFormat="1" applyFont="1" applyFill="1" applyBorder="1" applyAlignment="1" applyProtection="1">
      <alignment horizontal="center" vertical="center"/>
      <protection locked="0"/>
    </xf>
    <xf numFmtId="184" fontId="3" fillId="0" borderId="12" xfId="0" applyNumberFormat="1" applyFont="1" applyFill="1" applyBorder="1" applyAlignment="1" applyProtection="1">
      <alignment horizontal="center" vertical="center"/>
      <protection locked="0"/>
    </xf>
    <xf numFmtId="2" fontId="5" fillId="2" borderId="0" xfId="51" applyNumberFormat="1" applyFont="1" applyFill="1" applyBorder="1" applyAlignment="1">
      <alignment horizontal="center" vertical="center" wrapText="1"/>
    </xf>
    <xf numFmtId="180" fontId="5" fillId="2" borderId="13" xfId="51" applyNumberFormat="1" applyFont="1" applyFill="1" applyBorder="1" applyAlignment="1">
      <alignment horizontal="center" vertical="center" wrapText="1"/>
    </xf>
    <xf numFmtId="0" fontId="5" fillId="2" borderId="13" xfId="51" applyNumberFormat="1" applyFont="1" applyFill="1" applyBorder="1" applyAlignment="1">
      <alignment horizontal="center" vertical="center" wrapText="1"/>
    </xf>
    <xf numFmtId="185" fontId="5" fillId="2" borderId="13" xfId="51" applyNumberFormat="1" applyFont="1" applyFill="1" applyBorder="1" applyAlignment="1">
      <alignment horizontal="center" vertical="center" wrapText="1"/>
    </xf>
    <xf numFmtId="183" fontId="5" fillId="2" borderId="13" xfId="51" applyNumberFormat="1" applyFont="1" applyFill="1" applyBorder="1" applyAlignment="1">
      <alignment horizontal="center" vertical="center" wrapText="1"/>
    </xf>
    <xf numFmtId="180" fontId="3" fillId="0" borderId="14" xfId="51" applyNumberFormat="1" applyFont="1" applyBorder="1" applyAlignment="1">
      <alignment horizontal="center" vertical="center"/>
    </xf>
    <xf numFmtId="0" fontId="3" fillId="0" borderId="15" xfId="51" applyNumberFormat="1" applyFont="1" applyBorder="1" applyAlignment="1">
      <alignment horizontal="center" vertical="center"/>
    </xf>
    <xf numFmtId="184" fontId="3" fillId="0" borderId="15" xfId="51" applyNumberFormat="1" applyFont="1" applyBorder="1" applyAlignment="1">
      <alignment horizontal="center" vertical="center"/>
    </xf>
    <xf numFmtId="183" fontId="3" fillId="0" borderId="15" xfId="51" applyNumberFormat="1" applyFont="1" applyBorder="1" applyAlignment="1">
      <alignment horizontal="center" vertical="center"/>
    </xf>
    <xf numFmtId="2" fontId="3" fillId="0" borderId="15" xfId="51" applyNumberFormat="1" applyFont="1" applyBorder="1" applyAlignment="1">
      <alignment horizontal="center" vertical="center"/>
    </xf>
    <xf numFmtId="180" fontId="3" fillId="0" borderId="15" xfId="51" applyNumberFormat="1" applyFont="1" applyBorder="1" applyAlignment="1">
      <alignment horizontal="center" vertical="center"/>
    </xf>
    <xf numFmtId="2" fontId="3" fillId="0" borderId="16" xfId="51" applyNumberFormat="1" applyFont="1" applyBorder="1" applyAlignment="1">
      <alignment horizontal="center" vertical="center"/>
    </xf>
    <xf numFmtId="0" fontId="3" fillId="0" borderId="17" xfId="51" applyNumberFormat="1" applyFont="1" applyBorder="1" applyAlignment="1">
      <alignment horizontal="center" vertical="center"/>
    </xf>
    <xf numFmtId="184" fontId="3" fillId="0" borderId="17" xfId="51" applyNumberFormat="1" applyFont="1" applyBorder="1" applyAlignment="1">
      <alignment horizontal="center" vertical="center"/>
    </xf>
    <xf numFmtId="183" fontId="3" fillId="0" borderId="17" xfId="51" applyNumberFormat="1" applyFont="1" applyBorder="1" applyAlignment="1">
      <alignment horizontal="center" vertical="center"/>
    </xf>
    <xf numFmtId="2" fontId="3" fillId="0" borderId="17" xfId="51" applyNumberFormat="1" applyFont="1" applyBorder="1" applyAlignment="1">
      <alignment horizontal="center" vertical="center"/>
    </xf>
    <xf numFmtId="180" fontId="3" fillId="0" borderId="17" xfId="51" applyNumberFormat="1" applyFont="1" applyBorder="1" applyAlignment="1">
      <alignment horizontal="center" vertical="center"/>
    </xf>
    <xf numFmtId="180" fontId="3" fillId="0" borderId="16" xfId="51" applyNumberFormat="1" applyFont="1" applyBorder="1" applyAlignment="1">
      <alignment horizontal="center" vertical="center"/>
    </xf>
    <xf numFmtId="2" fontId="5" fillId="2" borderId="13" xfId="51" applyNumberFormat="1" applyFont="1" applyFill="1" applyBorder="1" applyAlignment="1">
      <alignment horizontal="center" vertical="center" wrapText="1"/>
    </xf>
    <xf numFmtId="1" fontId="3" fillId="0" borderId="16" xfId="5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86" fontId="3" fillId="0" borderId="3" xfId="0" applyNumberFormat="1" applyFont="1" applyFill="1" applyBorder="1" applyAlignment="1" applyProtection="1">
      <alignment horizontal="center" vertical="center"/>
      <protection locked="0"/>
    </xf>
    <xf numFmtId="183" fontId="3" fillId="0" borderId="6" xfId="0" applyNumberFormat="1" applyFont="1" applyFill="1" applyBorder="1" applyAlignment="1" applyProtection="1">
      <alignment horizontal="center" vertical="center"/>
      <protection locked="0"/>
    </xf>
    <xf numFmtId="187" fontId="3" fillId="0" borderId="3" xfId="0" applyNumberFormat="1" applyFont="1" applyFill="1" applyBorder="1" applyAlignment="1" applyProtection="1">
      <alignment horizontal="center" vertical="center"/>
      <protection locked="0"/>
    </xf>
    <xf numFmtId="188" fontId="3" fillId="0" borderId="3" xfId="0" applyNumberFormat="1" applyFont="1" applyFill="1" applyBorder="1" applyAlignment="1" applyProtection="1">
      <alignment horizontal="center" vertical="center"/>
      <protection locked="0"/>
    </xf>
    <xf numFmtId="183" fontId="3" fillId="0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3" xfId="0" applyFont="1" applyFill="1" applyBorder="1" applyAlignment="1" applyProtection="1">
      <alignment horizontal="center" vertical="center"/>
      <protection locked="0"/>
    </xf>
    <xf numFmtId="186" fontId="3" fillId="0" borderId="10" xfId="0" applyNumberFormat="1" applyFont="1" applyFill="1" applyBorder="1" applyAlignment="1" applyProtection="1">
      <alignment horizontal="center" vertical="center"/>
      <protection locked="0"/>
    </xf>
    <xf numFmtId="183" fontId="3" fillId="0" borderId="1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3" fillId="0" borderId="6" xfId="0" applyFont="1" applyFill="1" applyBorder="1" applyAlignment="1" applyProtection="1">
      <alignment horizontal="center" vertical="center"/>
      <protection locked="0"/>
    </xf>
    <xf numFmtId="0" fontId="3" fillId="0" borderId="12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7" fillId="3" borderId="18" xfId="12" applyFill="1" applyBorder="1" applyAlignment="1" applyProtection="1">
      <alignment horizontal="left" vertical="center" wrapText="1"/>
      <protection locked="0"/>
    </xf>
    <xf numFmtId="0" fontId="7" fillId="3" borderId="19" xfId="12" applyFill="1" applyBorder="1" applyAlignment="1" applyProtection="1">
      <alignment horizontal="centerContinuous" vertical="center"/>
      <protection locked="0"/>
    </xf>
    <xf numFmtId="0" fontId="7" fillId="3" borderId="20" xfId="12" applyFill="1" applyBorder="1" applyAlignment="1" applyProtection="1">
      <alignment horizontal="left" vertical="center" wrapText="1"/>
      <protection locked="0"/>
    </xf>
    <xf numFmtId="0" fontId="7" fillId="3" borderId="21" xfId="12" applyFill="1" applyBorder="1" applyAlignment="1" applyProtection="1">
      <alignment horizontal="centerContinuous" vertical="center"/>
      <protection locked="0"/>
    </xf>
    <xf numFmtId="1" fontId="8" fillId="3" borderId="21" xfId="0" applyNumberFormat="1" applyFont="1" applyFill="1" applyBorder="1" applyAlignment="1" applyProtection="1">
      <alignment horizontal="center" vertical="center" wrapText="1"/>
      <protection locked="0"/>
    </xf>
    <xf numFmtId="9" fontId="8" fillId="3" borderId="21" xfId="3" applyFont="1" applyFill="1" applyBorder="1" applyAlignment="1" applyProtection="1">
      <alignment horizontal="center" vertical="center" wrapText="1"/>
      <protection locked="0"/>
    </xf>
    <xf numFmtId="9" fontId="8" fillId="3" borderId="21" xfId="3" applyNumberFormat="1" applyFont="1" applyFill="1" applyBorder="1" applyAlignment="1" applyProtection="1">
      <alignment horizontal="center" vertical="center" wrapText="1"/>
      <protection locked="0"/>
    </xf>
    <xf numFmtId="180" fontId="8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22" xfId="12" applyFill="1" applyBorder="1" applyAlignment="1" applyProtection="1">
      <alignment horizontal="left" vertical="center" wrapText="1"/>
      <protection locked="0"/>
    </xf>
    <xf numFmtId="0" fontId="7" fillId="3" borderId="23" xfId="12" applyFill="1" applyBorder="1" applyAlignment="1" applyProtection="1">
      <alignment horizontal="centerContinuous" vertical="center"/>
      <protection locked="0"/>
    </xf>
    <xf numFmtId="180" fontId="8" fillId="3" borderId="2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Fill="1" applyBorder="1" applyAlignment="1" applyProtection="1">
      <alignment horizontal="center" vertical="center" wrapText="1"/>
      <protection locked="0"/>
    </xf>
    <xf numFmtId="180" fontId="6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 wrapText="1"/>
      <protection locked="0"/>
    </xf>
    <xf numFmtId="180" fontId="9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0" xfId="0" applyFont="1" applyFill="1" applyBorder="1" applyAlignment="1" applyProtection="1">
      <alignment horizontal="center" vertical="center" wrapText="1"/>
      <protection locked="0"/>
    </xf>
    <xf numFmtId="180" fontId="6" fillId="0" borderId="11" xfId="0" applyNumberFormat="1" applyFont="1" applyFill="1" applyBorder="1" applyAlignment="1" applyProtection="1">
      <alignment horizontal="center" vertical="center"/>
      <protection locked="0"/>
    </xf>
    <xf numFmtId="1" fontId="9" fillId="0" borderId="11" xfId="0" applyNumberFormat="1" applyFont="1" applyFill="1" applyBorder="1" applyAlignment="1" applyProtection="1">
      <alignment horizontal="center" vertical="center" wrapText="1"/>
      <protection locked="0"/>
    </xf>
    <xf numFmtId="180" fontId="9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Fill="1" applyBorder="1" applyAlignment="1" applyProtection="1">
      <alignment horizontal="center" vertical="center" wrapText="1"/>
      <protection locked="0"/>
    </xf>
    <xf numFmtId="0" fontId="9" fillId="0" borderId="4" xfId="0" applyFont="1" applyFill="1" applyBorder="1" applyAlignment="1" applyProtection="1">
      <alignment horizontal="center" vertical="center" wrapText="1"/>
      <protection locked="0"/>
    </xf>
    <xf numFmtId="9" fontId="9" fillId="0" borderId="4" xfId="3" applyFont="1" applyFill="1" applyBorder="1" applyAlignment="1" applyProtection="1">
      <alignment horizontal="center" vertical="center" wrapText="1"/>
      <protection locked="0"/>
    </xf>
    <xf numFmtId="9" fontId="9" fillId="0" borderId="4" xfId="3" applyNumberFormat="1" applyFont="1" applyFill="1" applyBorder="1" applyAlignment="1" applyProtection="1">
      <alignment horizontal="center" vertical="center" wrapText="1"/>
      <protection locked="0"/>
    </xf>
    <xf numFmtId="9" fontId="9" fillId="0" borderId="11" xfId="3" applyFont="1" applyFill="1" applyBorder="1" applyAlignment="1" applyProtection="1">
      <alignment horizontal="center" vertical="center" wrapText="1"/>
      <protection locked="0"/>
    </xf>
    <xf numFmtId="9" fontId="9" fillId="0" borderId="11" xfId="3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9" fontId="9" fillId="0" borderId="6" xfId="3" applyFont="1" applyFill="1" applyBorder="1" applyAlignment="1" applyProtection="1">
      <alignment horizontal="center" vertical="center" wrapText="1"/>
      <protection locked="0"/>
    </xf>
    <xf numFmtId="9" fontId="9" fillId="0" borderId="0" xfId="3" applyFont="1" applyFill="1" applyBorder="1" applyAlignment="1" applyProtection="1">
      <alignment horizontal="center" vertical="center"/>
      <protection locked="0"/>
    </xf>
    <xf numFmtId="180" fontId="9" fillId="0" borderId="0" xfId="0" applyNumberFormat="1" applyFont="1" applyFill="1" applyBorder="1" applyAlignment="1" applyProtection="1">
      <alignment horizontal="center" vertical="center"/>
      <protection locked="0"/>
    </xf>
    <xf numFmtId="181" fontId="9" fillId="0" borderId="0" xfId="3" applyNumberFormat="1" applyFont="1" applyFill="1" applyBorder="1" applyAlignment="1" applyProtection="1">
      <alignment horizontal="center" vertical="center"/>
      <protection locked="0"/>
    </xf>
    <xf numFmtId="9" fontId="9" fillId="0" borderId="0" xfId="3" applyNumberFormat="1" applyFont="1" applyFill="1" applyBorder="1" applyAlignment="1" applyProtection="1">
      <alignment horizontal="center" vertical="center"/>
      <protection locked="0"/>
    </xf>
    <xf numFmtId="1" fontId="9" fillId="0" borderId="0" xfId="0" applyNumberFormat="1" applyFont="1" applyFill="1" applyBorder="1" applyAlignment="1" applyProtection="1">
      <alignment horizontal="center" vertical="center"/>
      <protection locked="0"/>
    </xf>
    <xf numFmtId="1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9" fontId="9" fillId="0" borderId="12" xfId="3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181" fontId="9" fillId="0" borderId="4" xfId="3" applyNumberFormat="1" applyFont="1" applyFill="1" applyBorder="1" applyAlignment="1" applyProtection="1">
      <alignment horizontal="center" vertical="center"/>
      <protection locked="0"/>
    </xf>
    <xf numFmtId="181" fontId="9" fillId="0" borderId="4" xfId="3" applyNumberFormat="1" applyFont="1" applyFill="1" applyBorder="1" applyAlignment="1" applyProtection="1">
      <alignment horizontal="center" vertical="center" wrapText="1"/>
      <protection locked="0"/>
    </xf>
    <xf numFmtId="180" fontId="9" fillId="0" borderId="4" xfId="0" applyNumberFormat="1" applyFont="1" applyFill="1" applyBorder="1" applyAlignment="1" applyProtection="1">
      <alignment horizontal="center" vertical="center"/>
      <protection locked="0"/>
    </xf>
    <xf numFmtId="181" fontId="6" fillId="0" borderId="4" xfId="3" applyNumberFormat="1" applyFont="1" applyFill="1" applyBorder="1" applyAlignment="1" applyProtection="1">
      <alignment horizontal="center" vertical="center"/>
      <protection locked="0"/>
    </xf>
    <xf numFmtId="181" fontId="9" fillId="0" borderId="11" xfId="3" applyNumberFormat="1" applyFont="1" applyFill="1" applyBorder="1" applyAlignment="1" applyProtection="1">
      <alignment horizontal="center" vertical="center" wrapText="1"/>
      <protection locked="0"/>
    </xf>
    <xf numFmtId="180" fontId="6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left" vertical="center" wrapText="1"/>
      <protection locked="0"/>
    </xf>
    <xf numFmtId="2" fontId="3" fillId="0" borderId="0" xfId="0" applyNumberFormat="1" applyFont="1" applyFill="1" applyBorder="1" applyAlignment="1" applyProtection="1">
      <alignment horizontal="center" vertical="center"/>
      <protection locked="0"/>
    </xf>
    <xf numFmtId="180" fontId="3" fillId="0" borderId="0" xfId="0" applyNumberFormat="1" applyFont="1" applyFill="1" applyBorder="1" applyAlignment="1" applyProtection="1">
      <alignment horizontal="center" vertical="center"/>
      <protection locked="0"/>
    </xf>
    <xf numFmtId="183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horizontal="center" vertical="center"/>
      <protection locked="0"/>
    </xf>
    <xf numFmtId="11" fontId="3" fillId="0" borderId="0" xfId="0" applyNumberFormat="1" applyFont="1" applyFill="1" applyBorder="1" applyAlignment="1" applyProtection="1">
      <alignment horizontal="center" vertical="center"/>
      <protection locked="0"/>
    </xf>
    <xf numFmtId="184" fontId="3" fillId="0" borderId="0" xfId="0" applyNumberFormat="1" applyFont="1" applyFill="1" applyBorder="1" applyAlignment="1" applyProtection="1">
      <alignment horizontal="center" vertical="center"/>
      <protection locked="0"/>
    </xf>
    <xf numFmtId="11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81" fontId="3" fillId="0" borderId="0" xfId="3" applyNumberFormat="1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Border="1" applyAlignment="1" applyProtection="1">
      <alignment horizontal="left" vertical="center" wrapText="1"/>
      <protection locked="0"/>
    </xf>
    <xf numFmtId="0" fontId="3" fillId="4" borderId="0" xfId="0" applyFont="1" applyFill="1" applyBorder="1" applyAlignment="1" applyProtection="1">
      <alignment horizontal="center" vertical="center" wrapText="1"/>
      <protection locked="0"/>
    </xf>
    <xf numFmtId="2" fontId="3" fillId="4" borderId="0" xfId="0" applyNumberFormat="1" applyFont="1" applyFill="1" applyBorder="1" applyAlignment="1" applyProtection="1">
      <alignment horizontal="center" vertical="center"/>
      <protection locked="0"/>
    </xf>
    <xf numFmtId="11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11" fontId="3" fillId="0" borderId="0" xfId="3" applyNumberFormat="1" applyFont="1" applyFill="1" applyBorder="1" applyAlignment="1" applyProtection="1">
      <alignment horizontal="center" vertical="center"/>
      <protection locked="0"/>
    </xf>
    <xf numFmtId="18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81" fontId="6" fillId="0" borderId="12" xfId="3" applyNumberFormat="1" applyFont="1" applyFill="1" applyBorder="1" applyAlignment="1">
      <alignment horizontal="center" vertical="center" wrapText="1"/>
    </xf>
    <xf numFmtId="181" fontId="6" fillId="0" borderId="12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6" xfId="3" applyNumberFormat="1" applyFont="1" applyFill="1" applyBorder="1" applyAlignment="1" applyProtection="1">
      <alignment horizontal="center" vertical="center" wrapText="1"/>
      <protection locked="0"/>
    </xf>
    <xf numFmtId="181" fontId="3" fillId="0" borderId="0" xfId="3" applyNumberFormat="1" applyFont="1" applyFill="1" applyBorder="1" applyAlignment="1" applyProtection="1">
      <alignment horizontal="center" vertical="center" wrapText="1"/>
      <protection locked="0"/>
    </xf>
    <xf numFmtId="2" fontId="3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Border="1" applyAlignment="1" applyProtection="1">
      <alignment horizontal="left" vertical="top" wrapText="1"/>
      <protection locked="0"/>
    </xf>
    <xf numFmtId="180" fontId="3" fillId="4" borderId="0" xfId="0" applyNumberFormat="1" applyFont="1" applyFill="1" applyBorder="1" applyAlignment="1" applyProtection="1">
      <alignment horizontal="center" vertical="center"/>
      <protection locked="0"/>
    </xf>
    <xf numFmtId="180" fontId="3" fillId="4" borderId="0" xfId="3" applyNumberFormat="1" applyFont="1" applyFill="1" applyBorder="1" applyAlignment="1" applyProtection="1">
      <alignment horizontal="center" vertical="center" wrapText="1"/>
      <protection locked="0"/>
    </xf>
    <xf numFmtId="2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left" vertical="top" wrapText="1"/>
      <protection locked="0"/>
    </xf>
    <xf numFmtId="180" fontId="3" fillId="0" borderId="0" xfId="3" applyNumberFormat="1" applyFont="1" applyFill="1" applyBorder="1" applyAlignment="1" applyProtection="1">
      <alignment horizontal="center" vertical="center" wrapText="1"/>
      <protection locked="0"/>
    </xf>
    <xf numFmtId="2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180" fontId="3" fillId="4" borderId="0" xfId="0" applyNumberFormat="1" applyFont="1" applyFill="1" applyBorder="1" applyAlignment="1" applyProtection="1">
      <alignment horizontal="center" vertical="center" wrapText="1"/>
      <protection locked="0"/>
    </xf>
    <xf numFmtId="180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9" fontId="5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25" xfId="0" applyFont="1" applyFill="1" applyBorder="1" applyAlignment="1" applyProtection="1">
      <alignment horizontal="center" vertical="center" wrapText="1"/>
      <protection locked="0"/>
    </xf>
    <xf numFmtId="1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1" fontId="5" fillId="0" borderId="0" xfId="0" applyNumberFormat="1" applyFont="1" applyFill="1" applyBorder="1" applyAlignment="1" applyProtection="1">
      <alignment horizontal="center" vertical="center"/>
      <protection locked="0"/>
    </xf>
    <xf numFmtId="1" fontId="5" fillId="0" borderId="0" xfId="3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left" vertical="center" wrapText="1"/>
      <protection locked="0"/>
    </xf>
    <xf numFmtId="0" fontId="5" fillId="0" borderId="26" xfId="0" applyFont="1" applyFill="1" applyBorder="1" applyAlignment="1" applyProtection="1">
      <alignment horizontal="center" vertical="center" wrapText="1"/>
      <protection locked="0"/>
    </xf>
    <xf numFmtId="0" fontId="3" fillId="0" borderId="27" xfId="0" applyFont="1" applyFill="1" applyBorder="1" applyAlignment="1" applyProtection="1">
      <alignment horizontal="center" vertical="center" wrapText="1"/>
      <protection locked="0"/>
    </xf>
    <xf numFmtId="1" fontId="3" fillId="0" borderId="28" xfId="0" applyNumberFormat="1" applyFont="1" applyFill="1" applyBorder="1" applyAlignment="1" applyProtection="1">
      <alignment horizontal="center" vertical="center" wrapText="1"/>
      <protection locked="0"/>
    </xf>
    <xf numFmtId="183" fontId="3" fillId="0" borderId="0" xfId="0" applyNumberFormat="1" applyFont="1" applyFill="1" applyBorder="1" applyAlignment="1" applyProtection="1">
      <alignment horizontal="center" vertical="center"/>
      <protection locked="0"/>
    </xf>
    <xf numFmtId="189" fontId="3" fillId="0" borderId="0" xfId="0" applyNumberFormat="1" applyFont="1" applyFill="1" applyBorder="1" applyAlignment="1" applyProtection="1">
      <alignment horizontal="center" vertical="center"/>
      <protection locked="0"/>
    </xf>
    <xf numFmtId="1" fontId="3" fillId="4" borderId="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 applyProtection="1">
      <alignment horizontal="center" vertical="center" wrapText="1"/>
      <protection locked="0"/>
    </xf>
    <xf numFmtId="19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" fontId="5" fillId="4" borderId="0" xfId="0" applyNumberFormat="1" applyFont="1" applyFill="1" applyBorder="1" applyAlignment="1" applyProtection="1">
      <alignment horizontal="center" vertical="center"/>
      <protection locked="0"/>
    </xf>
    <xf numFmtId="184" fontId="0" fillId="0" borderId="0" xfId="0" applyNumberFormat="1" applyAlignment="1">
      <alignment horizontal="center" vertical="center"/>
    </xf>
    <xf numFmtId="0" fontId="3" fillId="0" borderId="0" xfId="0" applyFont="1" applyFill="1" applyBorder="1" applyAlignment="1" applyProtection="1">
      <alignment vertical="top"/>
      <protection locked="0"/>
    </xf>
    <xf numFmtId="4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80" fontId="5" fillId="0" borderId="0" xfId="0" applyNumberFormat="1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Fill="1" applyBorder="1" applyAlignment="1" applyProtection="1">
      <alignment horizontal="center" vertical="center"/>
      <protection locked="0"/>
    </xf>
    <xf numFmtId="2" fontId="5" fillId="0" borderId="0" xfId="0" applyNumberFormat="1" applyFont="1" applyFill="1" applyBorder="1" applyAlignment="1" applyProtection="1">
      <alignment horizontal="center" vertical="center"/>
      <protection locked="0"/>
    </xf>
    <xf numFmtId="182" fontId="5" fillId="0" borderId="0" xfId="0" applyNumberFormat="1" applyFont="1" applyFill="1" applyBorder="1" applyAlignment="1" applyProtection="1">
      <alignment horizontal="center" vertical="center"/>
      <protection locked="0"/>
    </xf>
    <xf numFmtId="183" fontId="5" fillId="0" borderId="0" xfId="0" applyNumberFormat="1" applyFont="1" applyFill="1" applyBorder="1" applyAlignment="1" applyProtection="1">
      <alignment horizontal="center" vertical="center"/>
      <protection locked="0"/>
    </xf>
    <xf numFmtId="189" fontId="5" fillId="0" borderId="0" xfId="0" applyNumberFormat="1" applyFont="1" applyFill="1" applyBorder="1" applyAlignment="1" applyProtection="1">
      <alignment horizontal="center" vertical="center"/>
      <protection locked="0"/>
    </xf>
    <xf numFmtId="190" fontId="3" fillId="0" borderId="0" xfId="0" applyNumberFormat="1" applyFont="1" applyFill="1" applyBorder="1" applyAlignment="1" applyProtection="1">
      <alignment horizontal="center" vertical="center"/>
      <protection locked="0"/>
    </xf>
    <xf numFmtId="11" fontId="5" fillId="0" borderId="0" xfId="0" applyNumberFormat="1" applyFont="1" applyFill="1" applyBorder="1" applyAlignment="1" applyProtection="1">
      <alignment horizontal="center" vertical="center"/>
      <protection locked="0"/>
    </xf>
    <xf numFmtId="183" fontId="3" fillId="0" borderId="0" xfId="3" applyNumberFormat="1" applyFont="1" applyFill="1" applyBorder="1" applyAlignment="1" applyProtection="1">
      <alignment horizontal="center" vertical="center"/>
      <protection locked="0"/>
    </xf>
    <xf numFmtId="180" fontId="0" fillId="0" borderId="0" xfId="0" applyNumberFormat="1"/>
    <xf numFmtId="1" fontId="5" fillId="4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181" fontId="5" fillId="0" borderId="0" xfId="3" applyNumberFormat="1" applyFont="1" applyFill="1" applyBorder="1" applyAlignment="1" applyProtection="1">
      <alignment horizontal="center" vertical="center"/>
      <protection locked="0"/>
    </xf>
    <xf numFmtId="180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Protection="1">
      <protection locked="0"/>
    </xf>
    <xf numFmtId="0" fontId="3" fillId="0" borderId="0" xfId="0" applyFont="1" applyFill="1" applyBorder="1" applyAlignment="1" applyProtection="1">
      <alignment wrapText="1"/>
      <protection locked="0"/>
    </xf>
    <xf numFmtId="0" fontId="11" fillId="5" borderId="29" xfId="12" applyFont="1" applyFill="1" applyBorder="1" applyAlignment="1" applyProtection="1">
      <alignment horizontal="center" vertical="center" wrapText="1"/>
      <protection locked="0"/>
    </xf>
    <xf numFmtId="0" fontId="11" fillId="5" borderId="29" xfId="12" applyFont="1" applyFill="1" applyBorder="1" applyAlignment="1" applyProtection="1">
      <alignment horizontal="center" vertical="center"/>
      <protection locked="0"/>
    </xf>
    <xf numFmtId="1" fontId="3" fillId="6" borderId="30" xfId="0" applyNumberFormat="1" applyFont="1" applyFill="1" applyBorder="1" applyAlignment="1" applyProtection="1">
      <alignment horizontal="center" vertical="center" wrapText="1"/>
      <protection locked="0"/>
    </xf>
    <xf numFmtId="180" fontId="3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29" xfId="12" applyFont="1" applyFill="1" applyBorder="1" applyAlignment="1" applyProtection="1">
      <alignment horizontal="center" vertical="center" wrapText="1"/>
      <protection locked="0"/>
    </xf>
    <xf numFmtId="183" fontId="3" fillId="6" borderId="30" xfId="0" applyNumberFormat="1" applyFont="1" applyFill="1" applyBorder="1" applyAlignment="1" applyProtection="1">
      <alignment horizontal="center" vertical="center" wrapText="1"/>
      <protection locked="0"/>
    </xf>
    <xf numFmtId="1" fontId="3" fillId="6" borderId="30" xfId="12" applyNumberFormat="1" applyFont="1" applyFill="1" applyBorder="1" applyAlignment="1" applyProtection="1">
      <alignment horizontal="center" vertical="center" wrapText="1"/>
      <protection locked="0"/>
    </xf>
    <xf numFmtId="180" fontId="3" fillId="6" borderId="30" xfId="12" applyNumberFormat="1" applyFont="1" applyFill="1" applyBorder="1" applyAlignment="1" applyProtection="1">
      <alignment horizontal="center" vertical="center" wrapText="1"/>
      <protection locked="0"/>
    </xf>
    <xf numFmtId="0" fontId="11" fillId="5" borderId="31" xfId="12" applyFont="1" applyFill="1" applyBorder="1" applyAlignment="1" applyProtection="1">
      <alignment horizontal="center" vertical="center" wrapText="1"/>
      <protection locked="0"/>
    </xf>
    <xf numFmtId="2" fontId="3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2" fillId="5" borderId="29" xfId="12" applyFont="1" applyFill="1" applyBorder="1" applyAlignment="1" applyProtection="1">
      <alignment horizontal="center" vertical="center" wrapText="1"/>
      <protection locked="0"/>
    </xf>
    <xf numFmtId="1" fontId="4" fillId="6" borderId="30" xfId="0" applyNumberFormat="1" applyFont="1" applyFill="1" applyBorder="1" applyAlignment="1" applyProtection="1">
      <alignment horizontal="center" vertical="center" wrapText="1"/>
      <protection locked="0"/>
    </xf>
    <xf numFmtId="1" fontId="4" fillId="6" borderId="30" xfId="12" applyNumberFormat="1" applyFont="1" applyFill="1" applyBorder="1" applyAlignment="1" applyProtection="1">
      <alignment horizontal="center" vertical="center" wrapText="1"/>
      <protection locked="0"/>
    </xf>
    <xf numFmtId="1" fontId="3" fillId="6" borderId="32" xfId="0" applyNumberFormat="1" applyFont="1" applyFill="1" applyBorder="1" applyAlignment="1" applyProtection="1">
      <alignment horizontal="center" vertical="center" wrapText="1"/>
      <protection locked="0"/>
    </xf>
    <xf numFmtId="1" fontId="3" fillId="6" borderId="32" xfId="12" applyNumberFormat="1" applyFont="1" applyFill="1" applyBorder="1" applyAlignment="1" applyProtection="1">
      <alignment horizontal="center" vertical="center" wrapText="1"/>
      <protection locked="0"/>
    </xf>
    <xf numFmtId="1" fontId="6" fillId="6" borderId="30" xfId="12" applyNumberFormat="1" applyFont="1" applyFill="1" applyBorder="1" applyAlignment="1" applyProtection="1">
      <alignment horizontal="center" vertical="center" wrapText="1"/>
      <protection locked="0"/>
    </xf>
    <xf numFmtId="1" fontId="3" fillId="6" borderId="33" xfId="12" applyNumberFormat="1" applyFont="1" applyFill="1" applyBorder="1" applyAlignment="1" applyProtection="1">
      <alignment horizontal="center" vertical="center" wrapText="1"/>
      <protection locked="0"/>
    </xf>
    <xf numFmtId="1" fontId="3" fillId="6" borderId="0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11" fillId="5" borderId="34" xfId="12" applyFont="1" applyFill="1" applyBorder="1" applyAlignment="1" applyProtection="1">
      <alignment horizontal="left" vertical="center" wrapText="1"/>
      <protection locked="0"/>
    </xf>
    <xf numFmtId="0" fontId="11" fillId="5" borderId="35" xfId="12" applyFont="1" applyFill="1" applyBorder="1" applyAlignment="1" applyProtection="1">
      <alignment horizontal="center" vertical="center"/>
      <protection locked="0"/>
    </xf>
    <xf numFmtId="0" fontId="11" fillId="5" borderId="32" xfId="12" applyFont="1" applyFill="1" applyBorder="1" applyAlignment="1" applyProtection="1">
      <alignment horizontal="center" vertical="center"/>
      <protection locked="0"/>
    </xf>
    <xf numFmtId="0" fontId="14" fillId="5" borderId="29" xfId="12" applyFont="1" applyFill="1" applyBorder="1" applyAlignment="1" applyProtection="1">
      <alignment horizontal="center" vertical="center" wrapText="1"/>
      <protection locked="0"/>
    </xf>
    <xf numFmtId="0" fontId="11" fillId="5" borderId="31" xfId="12" applyFont="1" applyFill="1" applyBorder="1" applyAlignment="1" applyProtection="1">
      <alignment horizontal="left" vertical="center" wrapText="1"/>
      <protection locked="0"/>
    </xf>
    <xf numFmtId="180" fontId="3" fillId="6" borderId="30" xfId="0" applyNumberFormat="1" applyFont="1" applyFill="1" applyBorder="1" applyAlignment="1" applyProtection="1">
      <alignment horizontal="center" vertical="center"/>
      <protection locked="0"/>
    </xf>
    <xf numFmtId="180" fontId="3" fillId="6" borderId="30" xfId="3" applyNumberFormat="1" applyFont="1" applyFill="1" applyBorder="1" applyAlignment="1" applyProtection="1">
      <alignment horizontal="center" vertical="center" wrapText="1"/>
      <protection locked="0"/>
    </xf>
    <xf numFmtId="1" fontId="3" fillId="6" borderId="30" xfId="3" applyNumberFormat="1" applyFont="1" applyFill="1" applyBorder="1" applyAlignment="1" applyProtection="1">
      <alignment horizontal="center" vertical="center" wrapText="1"/>
      <protection locked="0"/>
    </xf>
    <xf numFmtId="9" fontId="3" fillId="6" borderId="30" xfId="3" applyNumberFormat="1" applyFont="1" applyFill="1" applyBorder="1" applyAlignment="1" applyProtection="1">
      <alignment horizontal="center" vertical="center" wrapText="1"/>
      <protection locked="0"/>
    </xf>
    <xf numFmtId="1" fontId="3" fillId="6" borderId="33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181" fontId="3" fillId="6" borderId="30" xfId="3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Border="1" applyAlignment="1" applyProtection="1">
      <alignment horizontal="center" vertical="center" wrapText="1"/>
      <protection locked="0"/>
    </xf>
    <xf numFmtId="181" fontId="3" fillId="6" borderId="30" xfId="3" applyNumberFormat="1" applyFont="1" applyFill="1" applyBorder="1" applyAlignment="1" applyProtection="1">
      <alignment horizontal="center" vertical="center"/>
      <protection locked="0"/>
    </xf>
    <xf numFmtId="181" fontId="3" fillId="6" borderId="33" xfId="3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left" vertical="center" wrapText="1"/>
      <protection locked="0"/>
    </xf>
    <xf numFmtId="0" fontId="5" fillId="0" borderId="0" xfId="0" applyFont="1" applyFill="1" applyBorder="1" applyAlignment="1" applyProtection="1">
      <alignment vertical="center" wrapText="1"/>
      <protection locked="0"/>
    </xf>
    <xf numFmtId="180" fontId="3" fillId="0" borderId="0" xfId="3" applyNumberFormat="1" applyFont="1" applyFill="1" applyBorder="1" applyAlignment="1" applyProtection="1">
      <alignment vertical="center" wrapText="1"/>
      <protection locked="0"/>
    </xf>
    <xf numFmtId="9" fontId="3" fillId="0" borderId="0" xfId="3" applyFont="1" applyFill="1" applyBorder="1" applyAlignment="1" applyProtection="1">
      <alignment horizontal="center" vertical="center"/>
      <protection locked="0"/>
    </xf>
    <xf numFmtId="2" fontId="3" fillId="0" borderId="0" xfId="0" applyNumberFormat="1" applyFont="1" applyFill="1" applyBorder="1" applyAlignment="1" applyProtection="1">
      <alignment vertical="top"/>
      <protection locked="0"/>
    </xf>
    <xf numFmtId="0" fontId="3" fillId="0" borderId="0" xfId="0" applyFont="1" applyFill="1" applyBorder="1" applyAlignment="1" applyProtection="1">
      <alignment horizontal="left" vertical="center"/>
      <protection locked="0"/>
    </xf>
  </cellXfs>
  <cellStyles count="56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2 2" xfId="50"/>
    <cellStyle name="Обычный 3" xfId="51"/>
    <cellStyle name="Обычный 4" xfId="52"/>
    <cellStyle name="Плохой 2" xfId="53"/>
    <cellStyle name="Процентный 2" xfId="54"/>
    <cellStyle name="Процентный 3" xfId="55"/>
  </cellStyles>
  <dxfs count="266">
    <dxf>
      <alignment horizontal="center"/>
    </dxf>
    <dxf>
      <alignment vertical="center"/>
    </dxf>
    <dxf>
      <numFmt numFmtId="180" formatCode="0.0"/>
    </dxf>
    <dxf>
      <numFmt numFmtId="1" formatCode="0"/>
    </dxf>
    <dxf>
      <numFmt numFmtId="180" formatCode="0.0"/>
    </dxf>
    <dxf>
      <alignment wrapText="1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gradientFill type="path" left="0.5" right="0.5" top="0.5" bottom="0.5">
          <stop position="0">
            <color theme="5" tint="0.400006103701895"/>
          </stop>
          <stop position="1">
            <color rgb="FFFFFF00"/>
          </stop>
        </gradientFill>
      </fill>
      <alignment horizontal="left" vertical="center" wrapText="1"/>
      <border>
        <left/>
        <right style="thick">
          <color theme="7" tint="-0.499984740745262"/>
        </right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strike val="0"/>
        <u val="none"/>
        <sz val="14"/>
        <color auto="1"/>
      </font>
      <fill>
        <gradientFill type="path" left="0.5" right="0.5" top="0.5" bottom="0.5">
          <stop position="0">
            <color theme="5" tint="0.400006103701895"/>
          </stop>
          <stop position="1">
            <color rgb="FFFFFF00"/>
          </stop>
        </gradientFill>
      </fill>
      <alignment horizontal="center" vertical="center" wrapText="1"/>
      <border>
        <left style="thick">
          <color theme="7" tint="-0.499984740745262"/>
        </left>
        <right style="thick">
          <color theme="7" tint="-0.499984740745262"/>
        </right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strike val="0"/>
        <u val="none"/>
        <sz val="14"/>
        <color auto="1"/>
      </font>
      <fill>
        <patternFill patternType="lightDown">
          <fgColor theme="9" tint="0.599963377788629"/>
        </patternFill>
      </fill>
      <border>
        <left style="thick">
          <color theme="7" tint="-0.499984740745262"/>
        </left>
        <right/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color rgb="FFFF0000"/>
      </font>
    </dxf>
    <dxf>
      <fill>
        <patternFill patternType="solid">
          <bgColor theme="9" tint="0.599963377788629"/>
        </patternFill>
      </fill>
    </dxf>
    <dxf>
      <font>
        <name val="Times New Roman"/>
        <scheme val="none"/>
        <b val="0"/>
        <i val="0"/>
        <strike val="0"/>
        <u val="none"/>
        <sz val="14"/>
        <color theme="1"/>
      </font>
      <fill>
        <gradientFill type="path" left="0.5" right="0.5" top="0.5" bottom="0.5">
          <stop position="0">
            <color theme="5" tint="0.400006103701895"/>
          </stop>
          <stop position="1">
            <color rgb="FFFFFF00"/>
          </stop>
        </gradientFill>
      </fill>
      <alignment horizontal="center" vertical="center" wrapText="1"/>
      <border>
        <left style="thick">
          <color theme="7" tint="-0.499984740745262"/>
        </left>
        <right style="thick">
          <color theme="7" tint="-0.499984740745262"/>
        </right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theme="1"/>
      </font>
      <fill>
        <gradientFill type="path" left="0.5" right="0.5" top="0.5" bottom="0.5">
          <stop position="0">
            <color theme="5" tint="0.400006103701895"/>
          </stop>
          <stop position="1">
            <color rgb="FFFFFF00"/>
          </stop>
        </gradientFill>
      </fill>
      <alignment horizontal="center" vertical="center" wrapText="1"/>
      <border>
        <left style="thick">
          <color theme="7" tint="-0.499984740745262"/>
        </left>
        <right style="thick">
          <color theme="7" tint="-0.499984740745262"/>
        </right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lightDown">
          <fgColor theme="9" tint="0.599963377788629"/>
        </patternFill>
      </fill>
      <alignment horizontal="center" vertical="center" wrapText="1"/>
      <border>
        <left style="thick">
          <color theme="7" tint="-0.499984740745262"/>
        </left>
        <right/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lightDown">
          <fgColor theme="9" tint="0.599963377788629"/>
        </patternFill>
      </fill>
      <alignment horizontal="center" vertical="center" wrapText="1"/>
      <border>
        <left style="thick">
          <color theme="7" tint="-0.499984740745262"/>
        </left>
        <right/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lightDown">
          <fgColor theme="9" tint="0.599963377788629"/>
        </patternFill>
      </fill>
      <alignment horizontal="center" vertical="center" wrapText="1"/>
      <border>
        <left style="thick">
          <color theme="7" tint="-0.499984740745262"/>
        </left>
        <right/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lightDown">
          <fgColor theme="9" tint="0.599963377788629"/>
        </patternFill>
      </fill>
      <alignment horizontal="center" vertical="center" wrapText="1"/>
      <border>
        <left style="thick">
          <color theme="7" tint="-0.499984740745262"/>
        </left>
        <right/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lightDown">
          <fgColor theme="9" tint="0.599963377788629"/>
        </patternFill>
      </fill>
      <alignment horizontal="center" vertical="center" wrapText="1"/>
      <border>
        <left style="thick">
          <color theme="7" tint="-0.499984740745262"/>
        </left>
        <right/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lightDown">
          <fgColor theme="9" tint="0.599963377788629"/>
        </patternFill>
      </fill>
      <alignment horizontal="center" vertical="center" wrapText="1"/>
      <border>
        <left style="thick">
          <color theme="7" tint="-0.499984740745262"/>
        </left>
        <right/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lightDown">
          <fgColor theme="9" tint="0.599963377788629"/>
        </patternFill>
      </fill>
      <alignment horizontal="center" vertical="center" wrapText="1"/>
      <border>
        <left style="thick">
          <color theme="7" tint="-0.499984740745262"/>
        </left>
        <right/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lightDown">
          <fgColor theme="9" tint="0.599963377788629"/>
        </patternFill>
      </fill>
      <alignment horizontal="center" vertical="center" wrapText="1"/>
      <border>
        <left style="thick">
          <color theme="7" tint="-0.499984740745262"/>
        </left>
        <right/>
        <top style="thick">
          <color theme="7" tint="-0.499984740745262"/>
        </top>
        <bottom style="thick">
          <color theme="7" tint="-0.499984740745262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left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left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left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0" formatCode="0.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left" vertical="center" wrapText="1"/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left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80" formatCode="0.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80" formatCode="0.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80" formatCode="0.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left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strike val="0"/>
        <u val="none"/>
        <sz val="14"/>
      </font>
      <fill>
        <patternFill patternType="none"/>
      </fill>
      <protection locked="0"/>
    </dxf>
    <dxf>
      <font>
        <name val="Times New Roman"/>
        <scheme val="none"/>
        <b val="0"/>
        <strike val="0"/>
        <u val="none"/>
        <sz val="14"/>
      </font>
      <fill>
        <patternFill patternType="none"/>
      </fill>
      <protection locked="0"/>
    </dxf>
    <dxf>
      <font>
        <name val="Times New Roman"/>
        <scheme val="none"/>
        <b val="0"/>
        <strike val="0"/>
        <u val="none"/>
        <sz val="14"/>
      </font>
      <fill>
        <patternFill patternType="none"/>
      </fill>
      <protection locked="0"/>
    </dxf>
    <dxf>
      <font>
        <name val="Times New Roman"/>
        <scheme val="none"/>
        <b val="0"/>
        <strike val="0"/>
        <u val="none"/>
        <sz val="14"/>
      </font>
      <fill>
        <patternFill patternType="none"/>
      </fill>
      <protection locked="0"/>
    </dxf>
    <dxf>
      <font>
        <name val="Times New Roman"/>
        <scheme val="none"/>
        <b val="0"/>
        <strike val="0"/>
        <u val="none"/>
        <sz val="14"/>
      </font>
      <fill>
        <patternFill patternType="none"/>
      </fill>
      <protection locked="0"/>
    </dxf>
    <dxf>
      <font>
        <name val="Times New Roman"/>
        <scheme val="none"/>
        <b val="0"/>
        <strike val="0"/>
        <u val="none"/>
        <sz val="14"/>
      </font>
      <fill>
        <patternFill patternType="none"/>
      </fill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left" vertical="center" wrapText="1"/>
      <protection locked="0"/>
    </dxf>
    <dxf>
      <font>
        <name val="Times New Roman"/>
        <scheme val="none"/>
        <b val="0"/>
        <strike val="0"/>
        <u val="none"/>
        <sz val="14"/>
        <color auto="1"/>
      </font>
      <fill>
        <patternFill patternType="none"/>
      </fill>
      <alignment horizontal="center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1" formatCode="0.00E+00"/>
      <fill>
        <patternFill patternType="none"/>
      </fill>
      <alignment horizontal="center" vertical="center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1" formatCode="0.00E+0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1" formatCode="0.00E+0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1" formatCode="0.00E+0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1" formatCode="0.00E+0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1" formatCode="0.00E+0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1" formatCode="0.00E+00"/>
      <fill>
        <patternFill patternType="none"/>
      </fill>
      <alignment horizontal="center" vertical="center" wrapText="1"/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1" formatCode="0.00E+00"/>
      <fill>
        <patternFill patternType="none"/>
      </fill>
      <alignment horizontal="center" vertical="center"/>
      <protection locked="0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2" formatCode="0.00"/>
      <alignment horizontal="center" vertical="center"/>
    </dxf>
    <dxf>
      <numFmt numFmtId="180" formatCode="0.0"/>
      <alignment horizontal="center" vertical="center"/>
    </dxf>
    <dxf>
      <numFmt numFmtId="1" formatCode="0"/>
      <alignment horizontal="center" vertical="center"/>
    </dxf>
    <dxf>
      <numFmt numFmtId="1" formatCode="0"/>
      <alignment horizontal="center" vertical="center"/>
    </dxf>
    <dxf>
      <numFmt numFmtId="0" formatCode="General"/>
      <alignment horizontal="center" vertical="center" wrapText="1"/>
    </dxf>
    <dxf>
      <font>
        <name val="Times New Roman"/>
        <scheme val="none"/>
        <b val="0"/>
        <i val="0"/>
        <strike val="0"/>
        <u val="none"/>
        <sz val="14"/>
        <color rgb="FF000000"/>
      </font>
      <fill>
        <gradientFill type="path" left="0.5" right="0.5" top="0.5" bottom="0.5">
          <stop position="0">
            <color theme="7" tint="0.80001220740379"/>
          </stop>
          <stop position="1">
            <color theme="4" tint="0.599993896298105"/>
          </stop>
        </gradientFill>
      </fill>
      <alignment horizontal="left" vertical="center" wrapText="1"/>
      <border>
        <left/>
        <right style="thick">
          <color rgb="FF0070C0"/>
        </right>
        <top style="thick">
          <color rgb="FF0070C0"/>
        </top>
        <bottom style="thick">
          <color rgb="FF0070C0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fill>
        <gradientFill type="path" left="0.5" right="0.5" top="0.5" bottom="0.5">
          <stop position="0">
            <color theme="7" tint="0.80001220740379"/>
          </stop>
          <stop position="1">
            <color theme="4" tint="0.599993896298105"/>
          </stop>
        </gradientFill>
      </fill>
      <alignment horizontal="center" vertical="center" wrapText="1"/>
      <border>
        <left style="thick">
          <color rgb="FF0070C0"/>
        </left>
        <right style="thick">
          <color rgb="FF0070C0"/>
        </right>
        <top style="thick">
          <color rgb="FF0070C0"/>
        </top>
        <bottom style="thick">
          <color rgb="FF0070C0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5"/>
        <color auto="1"/>
      </font>
      <numFmt numFmtId="1" formatCode="0"/>
      <fill>
        <gradientFill type="path" left="0.5" right="0.5" top="0.5" bottom="0.5">
          <stop position="0">
            <color theme="7" tint="0.80001220740379"/>
          </stop>
          <stop position="1">
            <color theme="4" tint="0.599993896298105"/>
          </stop>
        </gradientFill>
      </fill>
      <alignment horizontal="center" vertical="center" wrapText="1"/>
      <border>
        <left style="thick">
          <color rgb="FF0070C0"/>
        </left>
        <right style="thick">
          <color rgb="FF0070C0"/>
        </right>
        <top style="thick">
          <color rgb="FF0070C0"/>
        </top>
        <bottom style="thick">
          <color rgb="FF0070C0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5"/>
        <color auto="1"/>
      </font>
      <numFmt numFmtId="1" formatCode="0"/>
      <fill>
        <gradientFill type="path" left="0.5" right="0.5" top="0.5" bottom="0.5">
          <stop position="0">
            <color theme="7" tint="0.80001220740379"/>
          </stop>
          <stop position="1">
            <color theme="4" tint="0.599993896298105"/>
          </stop>
        </gradientFill>
      </fill>
      <alignment horizontal="center" vertical="center" wrapText="1"/>
      <border>
        <left style="thick">
          <color rgb="FF0070C0"/>
        </left>
        <right style="thick">
          <color rgb="FF0070C0"/>
        </right>
        <top style="thick">
          <color rgb="FF0070C0"/>
        </top>
        <bottom style="thick">
          <color rgb="FF0070C0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5"/>
        <color auto="1"/>
      </font>
      <numFmt numFmtId="1" formatCode="0"/>
      <fill>
        <gradientFill type="path" left="0.5" right="0.5" top="0.5" bottom="0.5">
          <stop position="0">
            <color theme="7" tint="0.80001220740379"/>
          </stop>
          <stop position="1">
            <color theme="4" tint="0.599993896298105"/>
          </stop>
        </gradientFill>
      </fill>
      <alignment horizontal="center" vertical="center" wrapText="1"/>
      <border>
        <left style="thick">
          <color rgb="FF0070C0"/>
        </left>
        <right style="thick">
          <color rgb="FF0070C0"/>
        </right>
        <top style="thick">
          <color rgb="FF0070C0"/>
        </top>
        <bottom style="thick">
          <color rgb="FF0070C0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5"/>
        <color auto="1"/>
      </font>
      <numFmt numFmtId="1" formatCode="0"/>
      <fill>
        <gradientFill type="path" left="0.5" right="0.5" top="0.5" bottom="0.5">
          <stop position="0">
            <color theme="7" tint="0.80001220740379"/>
          </stop>
          <stop position="1">
            <color theme="4" tint="0.599993896298105"/>
          </stop>
        </gradientFill>
      </fill>
      <alignment horizontal="center" vertical="center" wrapText="1"/>
      <border>
        <left style="thick">
          <color rgb="FF0070C0"/>
        </left>
        <right style="thick">
          <color rgb="FF0070C0"/>
        </right>
        <top style="thick">
          <color rgb="FF0070C0"/>
        </top>
        <bottom style="thick">
          <color rgb="FF0070C0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5"/>
        <color auto="1"/>
      </font>
      <numFmt numFmtId="1" formatCode="0"/>
      <fill>
        <gradientFill type="path" left="0.5" right="0.5" top="0.5" bottom="0.5">
          <stop position="0">
            <color theme="7" tint="0.80001220740379"/>
          </stop>
          <stop position="1">
            <color theme="4" tint="0.599993896298105"/>
          </stop>
        </gradientFill>
      </fill>
      <alignment horizontal="center" vertical="center" wrapText="1"/>
      <border>
        <left style="thick">
          <color rgb="FF0070C0"/>
        </left>
        <right style="thick">
          <color rgb="FF0070C0"/>
        </right>
        <top style="thick">
          <color rgb="FF0070C0"/>
        </top>
        <bottom style="thick">
          <color rgb="FF0070C0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5"/>
        <color auto="1"/>
      </font>
      <numFmt numFmtId="1" formatCode="0"/>
      <fill>
        <gradientFill type="path" left="0.5" right="0.5" top="0.5" bottom="0.5">
          <stop position="0">
            <color theme="7" tint="0.80001220740379"/>
          </stop>
          <stop position="1">
            <color theme="4" tint="0.599993896298105"/>
          </stop>
        </gradientFill>
      </fill>
      <alignment horizontal="center" vertical="center" wrapText="1"/>
      <border>
        <left style="thick">
          <color rgb="FF0070C0"/>
        </left>
        <right style="thick">
          <color rgb="FF0070C0"/>
        </right>
        <top style="thick">
          <color rgb="FF0070C0"/>
        </top>
        <bottom style="thick">
          <color rgb="FF0070C0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5"/>
        <color auto="1"/>
      </font>
      <numFmt numFmtId="1" formatCode="0"/>
      <fill>
        <gradientFill type="path" left="0.5" right="0.5" top="0.5" bottom="0.5">
          <stop position="0">
            <color theme="7" tint="0.80001220740379"/>
          </stop>
          <stop position="1">
            <color theme="4" tint="0.599993896298105"/>
          </stop>
        </gradientFill>
      </fill>
      <alignment horizontal="center" vertical="center" wrapText="1"/>
      <border>
        <left style="thick">
          <color rgb="FF0070C0"/>
        </left>
        <right style="thick">
          <color rgb="FF0070C0"/>
        </right>
        <top style="thick">
          <color rgb="FF0070C0"/>
        </top>
        <bottom style="thick">
          <color rgb="FF0070C0"/>
        </bottom>
      </border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theme="1"/>
      </font>
      <numFmt numFmtId="180" formatCode="0.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" formatCode="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" formatCode="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" formatCode="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80" formatCode="0.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" formatCode="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1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80" formatCode="0.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9" formatCode="0%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80" formatCode="0.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80" formatCode="0.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80" formatCode="0.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80" formatCode="0.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theme="1"/>
      </font>
      <numFmt numFmtId="180" formatCode="0.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theme="1"/>
      </font>
      <numFmt numFmtId="181" formatCode="0.0%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80" formatCode="0.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numFmt numFmtId="181" formatCode="0.0%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rgb="FF000000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6" formatCode="#\ ##0"/>
      <fill>
        <patternFill patternType="none"/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6" formatCode="#\ ##0"/>
      <fill>
        <patternFill patternType="none"/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alignment horizontal="center" vertical="center"/>
      <border>
        <left/>
        <right/>
        <top style="thin">
          <color theme="6"/>
        </top>
        <bottom/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0" formatCode="General"/>
      <alignment horizontal="center" vertical="center"/>
      <border>
        <left style="thin">
          <color theme="6"/>
        </left>
        <right/>
        <top style="thin">
          <color theme="6"/>
        </top>
        <bottom/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0" formatCode="General"/>
      <alignment horizontal="center" vertical="center"/>
      <border>
        <left style="thin">
          <color theme="6"/>
        </left>
        <right/>
        <top style="thin">
          <color theme="6"/>
        </top>
        <bottom/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4" formatCode="0.0000"/>
      <alignment horizontal="center" vertical="center"/>
      <border>
        <left style="thin">
          <color theme="6"/>
        </left>
        <right/>
        <top style="thin">
          <color theme="6"/>
        </top>
        <bottom/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alignment horizontal="center" vertical="center"/>
      <border>
        <left style="thin">
          <color theme="6"/>
        </left>
        <right/>
        <top style="thin">
          <color theme="6"/>
        </top>
        <bottom/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alignment horizontal="center" vertical="center"/>
      <border>
        <left style="thin">
          <color theme="6"/>
        </left>
        <right/>
        <top style="thin">
          <color theme="6"/>
        </top>
        <bottom/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0" formatCode="0.0"/>
      <alignment horizontal="center" vertical="center"/>
      <border>
        <left style="thin">
          <color theme="6"/>
        </left>
        <right/>
        <top style="thin">
          <color theme="6"/>
        </top>
        <bottom/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0" formatCode="0.0"/>
      <alignment horizontal="center" vertical="center"/>
      <border>
        <left style="thin">
          <color theme="6"/>
        </left>
        <right/>
        <top style="thin">
          <color theme="6"/>
        </top>
        <bottom/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4" formatCode="0.0000"/>
      <alignment horizontal="center" vertical="center"/>
      <border>
        <left style="thin">
          <color theme="6"/>
        </left>
        <right/>
        <top style="thin">
          <color theme="6"/>
        </top>
        <bottom/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4" formatCode="0.0000"/>
      <alignment horizontal="center" vertical="center"/>
      <border>
        <left style="thin">
          <color theme="6"/>
        </left>
        <right/>
        <top style="thin">
          <color theme="6"/>
        </top>
        <bottom/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4" formatCode="0.0000"/>
      <alignment horizontal="center" vertical="center"/>
      <border>
        <left style="thin">
          <color theme="6"/>
        </left>
        <right/>
        <top style="thin">
          <color theme="6"/>
        </top>
        <bottom/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0" formatCode="0.0"/>
      <fill>
        <patternFill patternType="none"/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0" formatCode="0.0"/>
      <fill>
        <patternFill patternType="none"/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4" formatCode="0.0000"/>
      <fill>
        <patternFill patternType="none"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" formatCode="0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3" formatCode="0.0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left" vertical="center" wrapText="1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/>
        <right/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49" formatCode="@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49" formatCode="@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49" formatCode="@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49" formatCode="@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1" formatCode="0.0%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1" formatCode="0.0%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49" formatCode="@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49" formatCode="@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49" formatCode="@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49" formatCode="@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49" formatCode="@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0" formatCode="0.0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0" formatCode="0.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0" formatCode="0.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0" formatCode="0.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2" formatCode="0.00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numFmt numFmtId="180" formatCode="0.0"/>
      <fill>
        <patternFill patternType="none"/>
      </fill>
      <alignment horizontal="center" wrapText="1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 wrapText="1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name val="Times New Roman"/>
        <scheme val="none"/>
        <b val="0"/>
        <i val="0"/>
        <strike val="0"/>
        <u val="none"/>
        <sz val="14"/>
        <color auto="1"/>
      </font>
      <fill>
        <patternFill patternType="none"/>
      </fill>
      <alignment horizontal="center"/>
      <border>
        <left/>
        <right/>
        <top style="thin">
          <color auto="1"/>
        </top>
        <bottom style="thin">
          <color auto="1"/>
        </bottom>
      </border>
      <protection locked="0"/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1" formatCode="0.00E+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1" formatCode="0.00E+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1" formatCode="0.00E+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1" formatCode="0.00E+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2" formatCode="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Стиль УТ" pivot="0" count="0" xr9:uid="{F8524264-BCE1-4583-88B2-1AC3D7832A33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.xml"/><Relationship Id="rId23" Type="http://schemas.openxmlformats.org/officeDocument/2006/relationships/pivotCacheDefinition" Target="pivotCache/pivotCacheDefinition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spPr>
            <a:noFill/>
            <a:ln w="25400"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2e5947d0-8ba3-459f-b30e-9f6c766378c5}" type="CELLRANGE">
                      <a:t>[CELLRANGE]</a:t>
                    </a:fld>
                    <a:endParaRPr lang="ru-RU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737e2767-d985-4f2c-8775-bd85301ed529}" type="CELLRANGE">
                      <a:t>[CELLRANGE]</a:t>
                    </a:fld>
                    <a:endParaRPr lang="ru-RU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0fdd75e-dbc6-44ab-bc6b-b09f1e2f37bc}" type="CELLRANGE">
                      <a:t>[CELLRANGE]</a:t>
                    </a:fld>
                    <a:endParaRPr lang="ru-RU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33d51c92-25bf-41b5-b1ba-0acaeff8e088}" type="CELLRANGE">
                      <a:t>[CELLRANGE]</a:t>
                    </a:fld>
                    <a:endParaRPr lang="ru-RU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3bc1fa6c-119a-4e71-9f5e-70e4623c370f}" type="CELLRANGE">
                      <a:t>[CELLRANGE]</a:t>
                    </a:fld>
                    <a:endParaRPr lang="ru-RU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df4cdfda-c5cf-4f9c-93b4-b596001e2f89}" type="CELLRANGE">
                      <a:t>[CELLRANGE]</a:t>
                    </a:fld>
                    <a:endParaRPr lang="ru-RU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6bdd5d3b-9160-4eaa-8b12-5b156b8271ad}" type="CELLRANGE">
                      <a:t>[CELLRANGE]</a:t>
                    </a:fld>
                    <a:endParaRPr lang="ru-RU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Результаты!$H$27:$H$33</c:f>
              <c:numCache>
                <c:formatCode>General</c:formatCode>
                <c:ptCount val="7"/>
                <c:pt idx="0">
                  <c:v>10</c:v>
                </c:pt>
                <c:pt idx="1">
                  <c:v>22</c:v>
                </c:pt>
                <c:pt idx="2">
                  <c:v>38</c:v>
                </c:pt>
                <c:pt idx="3">
                  <c:v>50</c:v>
                </c:pt>
                <c:pt idx="4">
                  <c:v>60</c:v>
                </c:pt>
                <c:pt idx="5">
                  <c:v>74</c:v>
                </c:pt>
                <c:pt idx="6">
                  <c:v>74</c:v>
                </c:pt>
              </c:numCache>
            </c:numRef>
          </c:xVal>
          <c:yVal>
            <c:numRef>
              <c:f>Результаты!$I$27:$I$33</c:f>
              <c:numCache>
                <c:formatCode>General</c:formatCode>
                <c:ptCount val="7"/>
                <c:pt idx="0">
                  <c:v>48</c:v>
                </c:pt>
                <c:pt idx="1">
                  <c:v>62</c:v>
                </c:pt>
                <c:pt idx="2">
                  <c:v>40</c:v>
                </c:pt>
                <c:pt idx="3">
                  <c:v>11</c:v>
                </c:pt>
                <c:pt idx="4">
                  <c:v>52</c:v>
                </c:pt>
                <c:pt idx="5">
                  <c:v>83</c:v>
                </c:pt>
                <c:pt idx="6">
                  <c:v>50</c:v>
                </c:pt>
              </c:numCache>
            </c:numRef>
          </c:yVal>
          <c:bubbleSize>
            <c:numRef>
              <c:f>Результаты!$J$27:$J$33</c:f>
              <c:numCache>
                <c:formatCode>0.00</c:formatCode>
                <c:ptCount val="7"/>
                <c:pt idx="0">
                  <c:v>1160</c:v>
                </c:pt>
                <c:pt idx="1">
                  <c:v>1114</c:v>
                </c:pt>
                <c:pt idx="2">
                  <c:v>884</c:v>
                </c:pt>
                <c:pt idx="3">
                  <c:v>816</c:v>
                </c:pt>
                <c:pt idx="4">
                  <c:v>716</c:v>
                </c:pt>
                <c:pt idx="5">
                  <c:v>591</c:v>
                </c:pt>
                <c:pt idx="6">
                  <c:v>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[1]Лист2!$N$27:$N$33</c15:f>
                <c15:dlblRangeCache>
                  <c:ptCount val="7"/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177323008"/>
        <c:axId val="177324800"/>
      </c:bubbleChart>
      <c:valAx>
        <c:axId val="177323008"/>
        <c:scaling>
          <c:orientation val="minMax"/>
          <c:max val="100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324800"/>
        <c:crosses val="autoZero"/>
        <c:crossBetween val="midCat"/>
      </c:valAx>
      <c:valAx>
        <c:axId val="177324800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323008"/>
        <c:crosses val="autoZero"/>
        <c:crossBetween val="midCat"/>
      </c:valAx>
      <c:spPr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63500" cap="flat"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49b80d6-7b84-4374-a25e-7dd78f781829}"/>
      </c:ext>
    </c:extLst>
  </c:chart>
  <c:spPr>
    <a:gradFill flip="none" rotWithShape="1">
      <a:gsLst>
        <a:gs pos="0">
          <a:schemeClr val="accent4">
            <a:lumMod val="67000"/>
          </a:schemeClr>
        </a:gs>
        <a:gs pos="48000">
          <a:schemeClr val="accent4">
            <a:lumMod val="97000"/>
            <a:lumOff val="3000"/>
          </a:schemeClr>
        </a:gs>
        <a:gs pos="100000">
          <a:schemeClr val="accent4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Пр1!$B$1</c:f>
              <c:strCache>
                <c:ptCount val="1"/>
                <c:pt idx="0">
                  <c:v>Кинематическая вязкость,
ν*10-6, м2/сек</c:v>
                </c:pt>
              </c:strCache>
            </c:strRef>
          </c:tx>
          <c:dLbls>
            <c:delete val="1"/>
          </c:dLbls>
          <c:xVal>
            <c:numRef>
              <c:f>Пр1!$A$2:$A$24</c:f>
              <c:numCache>
                <c:formatCode>#\ ##0</c:formatCode>
                <c:ptCount val="2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 c:formatCode="General">
                  <c:v>2100</c:v>
                </c:pt>
                <c:pt idx="22">
                  <c:v>2200</c:v>
                </c:pt>
              </c:numCache>
            </c:numRef>
          </c:xVal>
          <c:yVal>
            <c:numRef>
              <c:f>Пр1!$B$2:$B$24</c:f>
              <c:numCache>
                <c:formatCode>General</c:formatCode>
                <c:ptCount val="23"/>
                <c:pt idx="0">
                  <c:v>11.9</c:v>
                </c:pt>
                <c:pt idx="1">
                  <c:v>20.8</c:v>
                </c:pt>
                <c:pt idx="2">
                  <c:v>31.6</c:v>
                </c:pt>
                <c:pt idx="3">
                  <c:v>43.9</c:v>
                </c:pt>
                <c:pt idx="4">
                  <c:v>57.8</c:v>
                </c:pt>
                <c:pt idx="5">
                  <c:v>73</c:v>
                </c:pt>
                <c:pt idx="6">
                  <c:v>89.4</c:v>
                </c:pt>
                <c:pt idx="7">
                  <c:v>107</c:v>
                </c:pt>
                <c:pt idx="8">
                  <c:v>126</c:v>
                </c:pt>
                <c:pt idx="9">
                  <c:v>146</c:v>
                </c:pt>
                <c:pt idx="10">
                  <c:v>167</c:v>
                </c:pt>
                <c:pt idx="11">
                  <c:v>188</c:v>
                </c:pt>
                <c:pt idx="12">
                  <c:v>211</c:v>
                </c:pt>
                <c:pt idx="13">
                  <c:v>234</c:v>
                </c:pt>
                <c:pt idx="14">
                  <c:v>258</c:v>
                </c:pt>
                <c:pt idx="15">
                  <c:v>282</c:v>
                </c:pt>
                <c:pt idx="16">
                  <c:v>307</c:v>
                </c:pt>
                <c:pt idx="17">
                  <c:v>333</c:v>
                </c:pt>
                <c:pt idx="18">
                  <c:v>361</c:v>
                </c:pt>
                <c:pt idx="19">
                  <c:v>389</c:v>
                </c:pt>
                <c:pt idx="20">
                  <c:v>419</c:v>
                </c:pt>
                <c:pt idx="21">
                  <c:v>450</c:v>
                </c:pt>
                <c:pt idx="22">
                  <c:v>482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56736"/>
        <c:axId val="177958272"/>
      </c:scatterChart>
      <c:valAx>
        <c:axId val="177956736"/>
        <c:scaling>
          <c:orientation val="minMax"/>
        </c:scaling>
        <c:delete val="0"/>
        <c:axPos val="b"/>
        <c:numFmt formatCode="#\ ##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958272"/>
        <c:crosses val="autoZero"/>
        <c:crossBetween val="midCat"/>
      </c:valAx>
      <c:valAx>
        <c:axId val="177958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95673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8622a7-950f-4283-8d2a-50fa47e54fd4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Пр1!$C$1</c:f>
              <c:strCache>
                <c:ptCount val="1"/>
                <c:pt idx="0">
                  <c:v>Температуропроводность,
λ*10-2, ккал/(м*ч*оС)</c:v>
                </c:pt>
              </c:strCache>
            </c:strRef>
          </c:tx>
          <c:dLbls>
            <c:delete val="1"/>
          </c:dLbls>
          <c:xVal>
            <c:numRef>
              <c:f>Пр1!$A$2:$A$24</c:f>
              <c:numCache>
                <c:formatCode>#\ ##0</c:formatCode>
                <c:ptCount val="2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 c:formatCode="General">
                  <c:v>2100</c:v>
                </c:pt>
                <c:pt idx="22">
                  <c:v>2200</c:v>
                </c:pt>
              </c:numCache>
            </c:numRef>
          </c:xVal>
          <c:yVal>
            <c:numRef>
              <c:f>Пр1!$C$2:$C$24</c:f>
              <c:numCache>
                <c:formatCode>General</c:formatCode>
                <c:ptCount val="23"/>
                <c:pt idx="0">
                  <c:v>1.96</c:v>
                </c:pt>
                <c:pt idx="1">
                  <c:v>2.69</c:v>
                </c:pt>
                <c:pt idx="2">
                  <c:v>3.45</c:v>
                </c:pt>
                <c:pt idx="3">
                  <c:v>4.16</c:v>
                </c:pt>
                <c:pt idx="4">
                  <c:v>4.9</c:v>
                </c:pt>
                <c:pt idx="5">
                  <c:v>5.64</c:v>
                </c:pt>
                <c:pt idx="6">
                  <c:v>6.38</c:v>
                </c:pt>
                <c:pt idx="7">
                  <c:v>7.11</c:v>
                </c:pt>
                <c:pt idx="8">
                  <c:v>7.87</c:v>
                </c:pt>
                <c:pt idx="9">
                  <c:v>8.61</c:v>
                </c:pt>
                <c:pt idx="10">
                  <c:v>9.37</c:v>
                </c:pt>
                <c:pt idx="11">
                  <c:v>10.1</c:v>
                </c:pt>
                <c:pt idx="12">
                  <c:v>10.8</c:v>
                </c:pt>
                <c:pt idx="13">
                  <c:v>11.6</c:v>
                </c:pt>
                <c:pt idx="14">
                  <c:v>12.4</c:v>
                </c:pt>
                <c:pt idx="15">
                  <c:v>13.2</c:v>
                </c:pt>
                <c:pt idx="16">
                  <c:v>14</c:v>
                </c:pt>
                <c:pt idx="17">
                  <c:v>14.9</c:v>
                </c:pt>
                <c:pt idx="18">
                  <c:v>15.6</c:v>
                </c:pt>
                <c:pt idx="19">
                  <c:v>16.3</c:v>
                </c:pt>
                <c:pt idx="20">
                  <c:v>17.1</c:v>
                </c:pt>
                <c:pt idx="21">
                  <c:v>17.8</c:v>
                </c:pt>
                <c:pt idx="22">
                  <c:v>18.6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70560"/>
        <c:axId val="177984640"/>
      </c:scatterChart>
      <c:valAx>
        <c:axId val="177970560"/>
        <c:scaling>
          <c:orientation val="minMax"/>
        </c:scaling>
        <c:delete val="0"/>
        <c:axPos val="b"/>
        <c:numFmt formatCode="#\ ##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984640"/>
        <c:crosses val="autoZero"/>
        <c:crossBetween val="midCat"/>
      </c:valAx>
      <c:valAx>
        <c:axId val="17798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97056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2e0dcb-e934-4fe7-bb32-f125dc5cbd2e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Пр1!$D$1</c:f>
              <c:strCache>
                <c:ptCount val="1"/>
                <c:pt idx="0">
                  <c:v>Критерий Прандтля Pr</c:v>
                </c:pt>
              </c:strCache>
            </c:strRef>
          </c:tx>
          <c:dLbls>
            <c:delete val="1"/>
          </c:dLbls>
          <c:xVal>
            <c:numRef>
              <c:f>Пр1!$A$2:$A$24</c:f>
              <c:numCache>
                <c:formatCode>#\ ##0</c:formatCode>
                <c:ptCount val="2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 c:formatCode="General">
                  <c:v>2100</c:v>
                </c:pt>
                <c:pt idx="22">
                  <c:v>2200</c:v>
                </c:pt>
              </c:numCache>
            </c:numRef>
          </c:xVal>
          <c:yVal>
            <c:numRef>
              <c:f>Пр1!$D$2:$D$24</c:f>
              <c:numCache>
                <c:formatCode>General</c:formatCode>
                <c:ptCount val="23"/>
                <c:pt idx="0">
                  <c:v>0.74</c:v>
                </c:pt>
                <c:pt idx="1">
                  <c:v>0.7</c:v>
                </c:pt>
                <c:pt idx="2">
                  <c:v>0.67</c:v>
                </c:pt>
                <c:pt idx="3">
                  <c:v>0.65</c:v>
                </c:pt>
                <c:pt idx="4">
                  <c:v>0.64</c:v>
                </c:pt>
                <c:pt idx="5">
                  <c:v>0.62</c:v>
                </c:pt>
                <c:pt idx="6">
                  <c:v>0.61</c:v>
                </c:pt>
                <c:pt idx="7">
                  <c:v>0.6</c:v>
                </c:pt>
                <c:pt idx="8">
                  <c:v>0.59</c:v>
                </c:pt>
                <c:pt idx="9">
                  <c:v>0.58</c:v>
                </c:pt>
                <c:pt idx="10">
                  <c:v>0.58</c:v>
                </c:pt>
                <c:pt idx="11">
                  <c:v>0.57</c:v>
                </c:pt>
                <c:pt idx="12">
                  <c:v>0.56</c:v>
                </c:pt>
                <c:pt idx="13">
                  <c:v>0.55</c:v>
                </c:pt>
                <c:pt idx="14">
                  <c:v>0.54</c:v>
                </c:pt>
                <c:pt idx="15">
                  <c:v>0.53</c:v>
                </c:pt>
                <c:pt idx="16">
                  <c:v>0.52</c:v>
                </c:pt>
                <c:pt idx="17">
                  <c:v>0.51</c:v>
                </c:pt>
                <c:pt idx="18">
                  <c:v>0.5</c:v>
                </c:pt>
                <c:pt idx="19">
                  <c:v>0.49</c:v>
                </c:pt>
                <c:pt idx="20">
                  <c:v>0.49</c:v>
                </c:pt>
                <c:pt idx="21">
                  <c:v>0.48</c:v>
                </c:pt>
                <c:pt idx="22">
                  <c:v>0.47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56800"/>
        <c:axId val="177758592"/>
      </c:scatterChart>
      <c:valAx>
        <c:axId val="177756800"/>
        <c:scaling>
          <c:orientation val="minMax"/>
        </c:scaling>
        <c:delete val="0"/>
        <c:axPos val="b"/>
        <c:numFmt formatCode="#\ ##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758592"/>
        <c:crosses val="autoZero"/>
        <c:crossBetween val="midCat"/>
      </c:valAx>
      <c:valAx>
        <c:axId val="177758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75680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6f4b36-e4e1-43cf-af82-a42aabac98e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Пр2!$B$1</c:f>
              <c:strCache>
                <c:ptCount val="1"/>
                <c:pt idx="0">
                  <c:v>Кинематическая вязкость,
ν*10-6, м2/сек</c:v>
                </c:pt>
              </c:strCache>
            </c:strRef>
          </c:tx>
          <c:dLbls>
            <c:delete val="1"/>
          </c:dLbls>
          <c:xVal>
            <c:numRef>
              <c:f>Пр2!$A$2:$A$30</c:f>
              <c:numCache>
                <c:formatCode>#\ ##0</c:formatCode>
                <c:ptCount val="29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50</c:v>
                </c:pt>
                <c:pt idx="4">
                  <c:v>62.5</c:v>
                </c:pt>
                <c:pt idx="5">
                  <c:v>75</c:v>
                </c:pt>
                <c:pt idx="6">
                  <c:v>87.5</c:v>
                </c:pt>
                <c:pt idx="7">
                  <c:v>100</c:v>
                </c:pt>
                <c:pt idx="8">
                  <c:v>200</c:v>
                </c:pt>
                <c:pt idx="9">
                  <c:v>300</c:v>
                </c:pt>
                <c:pt idx="10">
                  <c:v>400</c:v>
                </c:pt>
                <c:pt idx="11">
                  <c:v>500</c:v>
                </c:pt>
                <c:pt idx="12">
                  <c:v>600</c:v>
                </c:pt>
                <c:pt idx="13">
                  <c:v>700</c:v>
                </c:pt>
                <c:pt idx="14">
                  <c:v>800</c:v>
                </c:pt>
                <c:pt idx="15">
                  <c:v>900</c:v>
                </c:pt>
                <c:pt idx="16">
                  <c:v>1000</c:v>
                </c:pt>
                <c:pt idx="17">
                  <c:v>1100</c:v>
                </c:pt>
                <c:pt idx="18">
                  <c:v>1200</c:v>
                </c:pt>
                <c:pt idx="19">
                  <c:v>1300</c:v>
                </c:pt>
                <c:pt idx="20">
                  <c:v>1400</c:v>
                </c:pt>
                <c:pt idx="21">
                  <c:v>1500</c:v>
                </c:pt>
                <c:pt idx="22">
                  <c:v>1600</c:v>
                </c:pt>
                <c:pt idx="23">
                  <c:v>1700</c:v>
                </c:pt>
                <c:pt idx="24">
                  <c:v>1800</c:v>
                </c:pt>
                <c:pt idx="25">
                  <c:v>1900</c:v>
                </c:pt>
                <c:pt idx="26">
                  <c:v>2000</c:v>
                </c:pt>
                <c:pt idx="27" c:formatCode="General">
                  <c:v>2100</c:v>
                </c:pt>
                <c:pt idx="28">
                  <c:v>2200</c:v>
                </c:pt>
              </c:numCache>
            </c:numRef>
          </c:xVal>
          <c:yVal>
            <c:numRef>
              <c:f>Пр2!$B$2:$B$30</c:f>
              <c:numCache>
                <c:formatCode>General</c:formatCode>
                <c:ptCount val="29"/>
                <c:pt idx="0">
                  <c:v>13.2</c:v>
                </c:pt>
                <c:pt idx="1" c:formatCode="#\ ##0.0">
                  <c:v>14.45</c:v>
                </c:pt>
                <c:pt idx="2" c:formatCode="#\ ##0.0">
                  <c:v>15.7</c:v>
                </c:pt>
                <c:pt idx="3" c:formatCode="#\ ##0.0">
                  <c:v>18.2</c:v>
                </c:pt>
                <c:pt idx="4" c:formatCode="#\ ##0.0">
                  <c:v>19.45</c:v>
                </c:pt>
                <c:pt idx="5" c:formatCode="#\ ##0.0">
                  <c:v>20.7</c:v>
                </c:pt>
                <c:pt idx="6" c:formatCode="#\ ##0.0">
                  <c:v>21.95</c:v>
                </c:pt>
                <c:pt idx="7">
                  <c:v>23.2</c:v>
                </c:pt>
                <c:pt idx="8">
                  <c:v>34.8</c:v>
                </c:pt>
                <c:pt idx="9">
                  <c:v>48.2</c:v>
                </c:pt>
                <c:pt idx="10">
                  <c:v>62.9</c:v>
                </c:pt>
                <c:pt idx="11">
                  <c:v>79.3</c:v>
                </c:pt>
                <c:pt idx="12">
                  <c:v>96.7</c:v>
                </c:pt>
                <c:pt idx="13">
                  <c:v>115</c:v>
                </c:pt>
                <c:pt idx="14">
                  <c:v>135</c:v>
                </c:pt>
                <c:pt idx="15">
                  <c:v>155</c:v>
                </c:pt>
                <c:pt idx="16">
                  <c:v>177</c:v>
                </c:pt>
                <c:pt idx="17">
                  <c:v>200</c:v>
                </c:pt>
                <c:pt idx="18">
                  <c:v>223</c:v>
                </c:pt>
                <c:pt idx="19">
                  <c:v>247</c:v>
                </c:pt>
                <c:pt idx="20">
                  <c:v>273</c:v>
                </c:pt>
                <c:pt idx="21">
                  <c:v>300</c:v>
                </c:pt>
                <c:pt idx="22">
                  <c:v>327</c:v>
                </c:pt>
                <c:pt idx="23">
                  <c:v>355</c:v>
                </c:pt>
                <c:pt idx="24">
                  <c:v>384</c:v>
                </c:pt>
                <c:pt idx="25">
                  <c:v>415</c:v>
                </c:pt>
                <c:pt idx="26">
                  <c:v>448</c:v>
                </c:pt>
                <c:pt idx="27">
                  <c:v>478</c:v>
                </c:pt>
                <c:pt idx="28">
                  <c:v>511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1952"/>
        <c:axId val="176383488"/>
      </c:scatterChart>
      <c:valAx>
        <c:axId val="176381952"/>
        <c:scaling>
          <c:orientation val="minMax"/>
        </c:scaling>
        <c:delete val="0"/>
        <c:axPos val="b"/>
        <c:numFmt formatCode="#\ ##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6383488"/>
        <c:crosses val="autoZero"/>
        <c:crossBetween val="midCat"/>
      </c:valAx>
      <c:valAx>
        <c:axId val="17638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638195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f3e52f-e2db-4cd4-ad72-54450484f764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Пр2!$C$1</c:f>
              <c:strCache>
                <c:ptCount val="1"/>
                <c:pt idx="0">
                  <c:v>Температуропроводность,
λ*10-2, ккал/(м*ч*оС)</c:v>
                </c:pt>
              </c:strCache>
            </c:strRef>
          </c:tx>
          <c:dLbls>
            <c:delete val="1"/>
          </c:dLbls>
          <c:xVal>
            <c:numRef>
              <c:f>Пр2!$A$2:$A$30</c:f>
              <c:numCache>
                <c:formatCode>#\ ##0</c:formatCode>
                <c:ptCount val="29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50</c:v>
                </c:pt>
                <c:pt idx="4">
                  <c:v>62.5</c:v>
                </c:pt>
                <c:pt idx="5">
                  <c:v>75</c:v>
                </c:pt>
                <c:pt idx="6">
                  <c:v>87.5</c:v>
                </c:pt>
                <c:pt idx="7">
                  <c:v>100</c:v>
                </c:pt>
                <c:pt idx="8">
                  <c:v>200</c:v>
                </c:pt>
                <c:pt idx="9">
                  <c:v>300</c:v>
                </c:pt>
                <c:pt idx="10">
                  <c:v>400</c:v>
                </c:pt>
                <c:pt idx="11">
                  <c:v>500</c:v>
                </c:pt>
                <c:pt idx="12">
                  <c:v>600</c:v>
                </c:pt>
                <c:pt idx="13">
                  <c:v>700</c:v>
                </c:pt>
                <c:pt idx="14">
                  <c:v>800</c:v>
                </c:pt>
                <c:pt idx="15">
                  <c:v>900</c:v>
                </c:pt>
                <c:pt idx="16">
                  <c:v>1000</c:v>
                </c:pt>
                <c:pt idx="17">
                  <c:v>1100</c:v>
                </c:pt>
                <c:pt idx="18">
                  <c:v>1200</c:v>
                </c:pt>
                <c:pt idx="19">
                  <c:v>1300</c:v>
                </c:pt>
                <c:pt idx="20">
                  <c:v>1400</c:v>
                </c:pt>
                <c:pt idx="21">
                  <c:v>1500</c:v>
                </c:pt>
                <c:pt idx="22">
                  <c:v>1600</c:v>
                </c:pt>
                <c:pt idx="23">
                  <c:v>1700</c:v>
                </c:pt>
                <c:pt idx="24">
                  <c:v>1800</c:v>
                </c:pt>
                <c:pt idx="25">
                  <c:v>1900</c:v>
                </c:pt>
                <c:pt idx="26">
                  <c:v>2000</c:v>
                </c:pt>
                <c:pt idx="27" c:formatCode="General">
                  <c:v>2100</c:v>
                </c:pt>
                <c:pt idx="28">
                  <c:v>2200</c:v>
                </c:pt>
              </c:numCache>
            </c:numRef>
          </c:xVal>
          <c:yVal>
            <c:numRef>
              <c:f>Пр2!$C$2:$C$30</c:f>
              <c:numCache>
                <c:formatCode>General</c:formatCode>
                <c:ptCount val="29"/>
                <c:pt idx="0">
                  <c:v>2.09</c:v>
                </c:pt>
                <c:pt idx="1" c:formatCode="#\ ##0.00">
                  <c:v>2.17125</c:v>
                </c:pt>
                <c:pt idx="2" c:formatCode="#\ ##0.00">
                  <c:v>2.2525</c:v>
                </c:pt>
                <c:pt idx="3" c:formatCode="#\ ##0.00">
                  <c:v>2.415</c:v>
                </c:pt>
                <c:pt idx="4" c:formatCode="#\ ##0.00">
                  <c:v>2.49625</c:v>
                </c:pt>
                <c:pt idx="5" c:formatCode="#\ ##0.00">
                  <c:v>2.5775</c:v>
                </c:pt>
                <c:pt idx="6" c:formatCode="#\ ##0.00">
                  <c:v>2.65875</c:v>
                </c:pt>
                <c:pt idx="7">
                  <c:v>2.74</c:v>
                </c:pt>
                <c:pt idx="8">
                  <c:v>3.35</c:v>
                </c:pt>
                <c:pt idx="9">
                  <c:v>3.85</c:v>
                </c:pt>
                <c:pt idx="10">
                  <c:v>4.34</c:v>
                </c:pt>
                <c:pt idx="11">
                  <c:v>4.83</c:v>
                </c:pt>
                <c:pt idx="12">
                  <c:v>5.29</c:v>
                </c:pt>
                <c:pt idx="13">
                  <c:v>5.73</c:v>
                </c:pt>
                <c:pt idx="14">
                  <c:v>6.14</c:v>
                </c:pt>
                <c:pt idx="15">
                  <c:v>6.54</c:v>
                </c:pt>
                <c:pt idx="16">
                  <c:v>6.92</c:v>
                </c:pt>
                <c:pt idx="17">
                  <c:v>7.28</c:v>
                </c:pt>
                <c:pt idx="18">
                  <c:v>7.63</c:v>
                </c:pt>
                <c:pt idx="19">
                  <c:v>7.97</c:v>
                </c:pt>
                <c:pt idx="20">
                  <c:v>8.3</c:v>
                </c:pt>
                <c:pt idx="21">
                  <c:v>8.62</c:v>
                </c:pt>
                <c:pt idx="22">
                  <c:v>8.93</c:v>
                </c:pt>
                <c:pt idx="23">
                  <c:v>9.24</c:v>
                </c:pt>
                <c:pt idx="24">
                  <c:v>9.55</c:v>
                </c:pt>
                <c:pt idx="25">
                  <c:v>9.85</c:v>
                </c:pt>
                <c:pt idx="26">
                  <c:v>10.2</c:v>
                </c:pt>
                <c:pt idx="27">
                  <c:v>10.4</c:v>
                </c:pt>
                <c:pt idx="28">
                  <c:v>10.7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96992"/>
        <c:axId val="177798528"/>
      </c:scatterChart>
      <c:valAx>
        <c:axId val="177796992"/>
        <c:scaling>
          <c:orientation val="minMax"/>
        </c:scaling>
        <c:delete val="0"/>
        <c:axPos val="b"/>
        <c:numFmt formatCode="#\ ##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798528"/>
        <c:crosses val="autoZero"/>
        <c:crossBetween val="midCat"/>
      </c:valAx>
      <c:valAx>
        <c:axId val="177798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79699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97ea6d-e0cb-4c63-aa53-e36b895d4536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Пр2!$D$1</c:f>
              <c:strCache>
                <c:ptCount val="1"/>
                <c:pt idx="0">
                  <c:v>Критерий Прандтля Pr</c:v>
                </c:pt>
              </c:strCache>
            </c:strRef>
          </c:tx>
          <c:dLbls>
            <c:delete val="1"/>
          </c:dLbls>
          <c:xVal>
            <c:numRef>
              <c:f>Пр2!$A$2:$A$30</c:f>
              <c:numCache>
                <c:formatCode>#\ ##0</c:formatCode>
                <c:ptCount val="29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50</c:v>
                </c:pt>
                <c:pt idx="4">
                  <c:v>62.5</c:v>
                </c:pt>
                <c:pt idx="5">
                  <c:v>75</c:v>
                </c:pt>
                <c:pt idx="6">
                  <c:v>87.5</c:v>
                </c:pt>
                <c:pt idx="7">
                  <c:v>100</c:v>
                </c:pt>
                <c:pt idx="8">
                  <c:v>200</c:v>
                </c:pt>
                <c:pt idx="9">
                  <c:v>300</c:v>
                </c:pt>
                <c:pt idx="10">
                  <c:v>400</c:v>
                </c:pt>
                <c:pt idx="11">
                  <c:v>500</c:v>
                </c:pt>
                <c:pt idx="12">
                  <c:v>600</c:v>
                </c:pt>
                <c:pt idx="13">
                  <c:v>700</c:v>
                </c:pt>
                <c:pt idx="14">
                  <c:v>800</c:v>
                </c:pt>
                <c:pt idx="15">
                  <c:v>900</c:v>
                </c:pt>
                <c:pt idx="16">
                  <c:v>1000</c:v>
                </c:pt>
                <c:pt idx="17">
                  <c:v>1100</c:v>
                </c:pt>
                <c:pt idx="18">
                  <c:v>1200</c:v>
                </c:pt>
                <c:pt idx="19">
                  <c:v>1300</c:v>
                </c:pt>
                <c:pt idx="20">
                  <c:v>1400</c:v>
                </c:pt>
                <c:pt idx="21">
                  <c:v>1500</c:v>
                </c:pt>
                <c:pt idx="22">
                  <c:v>1600</c:v>
                </c:pt>
                <c:pt idx="23">
                  <c:v>1700</c:v>
                </c:pt>
                <c:pt idx="24">
                  <c:v>1800</c:v>
                </c:pt>
                <c:pt idx="25">
                  <c:v>1900</c:v>
                </c:pt>
                <c:pt idx="26">
                  <c:v>2000</c:v>
                </c:pt>
                <c:pt idx="27" c:formatCode="General">
                  <c:v>2100</c:v>
                </c:pt>
                <c:pt idx="28">
                  <c:v>2200</c:v>
                </c:pt>
              </c:numCache>
            </c:numRef>
          </c:xVal>
          <c:yVal>
            <c:numRef>
              <c:f>Пр2!$D$2:$D$30</c:f>
              <c:numCache>
                <c:formatCode>0.000</c:formatCode>
                <c:ptCount val="29"/>
                <c:pt idx="0">
                  <c:v>0.7</c:v>
                </c:pt>
                <c:pt idx="1">
                  <c:v>0.69875</c:v>
                </c:pt>
                <c:pt idx="2">
                  <c:v>0.6975</c:v>
                </c:pt>
                <c:pt idx="3">
                  <c:v>0.695</c:v>
                </c:pt>
                <c:pt idx="4">
                  <c:v>0.69375</c:v>
                </c:pt>
                <c:pt idx="5">
                  <c:v>0.6925</c:v>
                </c:pt>
                <c:pt idx="6">
                  <c:v>0.69125</c:v>
                </c:pt>
                <c:pt idx="7">
                  <c:v>0.69</c:v>
                </c:pt>
                <c:pt idx="8">
                  <c:v>0.69</c:v>
                </c:pt>
                <c:pt idx="9">
                  <c:v>0.69</c:v>
                </c:pt>
                <c:pt idx="10">
                  <c:v>0.7</c:v>
                </c:pt>
                <c:pt idx="11">
                  <c:v>0.7</c:v>
                </c:pt>
                <c:pt idx="12">
                  <c:v>0.71</c:v>
                </c:pt>
                <c:pt idx="13">
                  <c:v>0.71</c:v>
                </c:pt>
                <c:pt idx="14">
                  <c:v>0.72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0.74</c:v>
                </c:pt>
                <c:pt idx="23">
                  <c:v>0.74</c:v>
                </c:pt>
                <c:pt idx="24">
                  <c:v>0.74</c:v>
                </c:pt>
                <c:pt idx="25">
                  <c:v>0.74</c:v>
                </c:pt>
                <c:pt idx="26">
                  <c:v>0.74</c:v>
                </c:pt>
                <c:pt idx="27">
                  <c:v>0.75</c:v>
                </c:pt>
                <c:pt idx="28">
                  <c:v>0.75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61312"/>
        <c:axId val="176462848"/>
      </c:scatterChart>
      <c:valAx>
        <c:axId val="176461312"/>
        <c:scaling>
          <c:orientation val="minMax"/>
        </c:scaling>
        <c:delete val="0"/>
        <c:axPos val="b"/>
        <c:numFmt formatCode="#\ ##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6462848"/>
        <c:crosses val="autoZero"/>
        <c:crossBetween val="midCat"/>
      </c:valAx>
      <c:valAx>
        <c:axId val="17646284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646131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2a666e-659b-4d35-887b-c565a755ec95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Пр3!$B$1</c:f>
              <c:strCache>
                <c:ptCount val="1"/>
                <c:pt idx="0">
                  <c:v>Давление P, бар</c:v>
                </c:pt>
              </c:strCache>
            </c:strRef>
          </c:tx>
          <c:dLbls>
            <c:delete val="1"/>
          </c:dLbls>
          <c:xVal>
            <c:numRef>
              <c:f>Пр3!$A$2:$A$398</c:f>
              <c:numCache>
                <c:formatCode>0.0</c:formatCode>
                <c:ptCount val="397"/>
                <c:pt idx="0">
                  <c:v>0</c:v>
                </c:pt>
                <c:pt idx="1" c:formatCode="0.00">
                  <c:v>0.01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  <c:pt idx="25">
                  <c:v>19.5</c:v>
                </c:pt>
                <c:pt idx="26">
                  <c:v>20</c:v>
                </c:pt>
                <c:pt idx="27">
                  <c:v>20.5</c:v>
                </c:pt>
                <c:pt idx="28">
                  <c:v>21</c:v>
                </c:pt>
                <c:pt idx="29">
                  <c:v>21.5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  <c:pt idx="33">
                  <c:v>23.5</c:v>
                </c:pt>
                <c:pt idx="34">
                  <c:v>24</c:v>
                </c:pt>
                <c:pt idx="35">
                  <c:v>24.5</c:v>
                </c:pt>
                <c:pt idx="36">
                  <c:v>25</c:v>
                </c:pt>
                <c:pt idx="37">
                  <c:v>25.5</c:v>
                </c:pt>
                <c:pt idx="38">
                  <c:v>26</c:v>
                </c:pt>
                <c:pt idx="39">
                  <c:v>26.5</c:v>
                </c:pt>
                <c:pt idx="40">
                  <c:v>27</c:v>
                </c:pt>
                <c:pt idx="41">
                  <c:v>27.5</c:v>
                </c:pt>
                <c:pt idx="42">
                  <c:v>28</c:v>
                </c:pt>
                <c:pt idx="43">
                  <c:v>28.5</c:v>
                </c:pt>
                <c:pt idx="44">
                  <c:v>29</c:v>
                </c:pt>
                <c:pt idx="45">
                  <c:v>29.5</c:v>
                </c:pt>
                <c:pt idx="46">
                  <c:v>30</c:v>
                </c:pt>
                <c:pt idx="47">
                  <c:v>30.5</c:v>
                </c:pt>
                <c:pt idx="48">
                  <c:v>31</c:v>
                </c:pt>
                <c:pt idx="49">
                  <c:v>31.5</c:v>
                </c:pt>
                <c:pt idx="50">
                  <c:v>32</c:v>
                </c:pt>
                <c:pt idx="51">
                  <c:v>32.5</c:v>
                </c:pt>
                <c:pt idx="52">
                  <c:v>33</c:v>
                </c:pt>
                <c:pt idx="53">
                  <c:v>33.5</c:v>
                </c:pt>
                <c:pt idx="54">
                  <c:v>34</c:v>
                </c:pt>
                <c:pt idx="55">
                  <c:v>34.5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 c:formatCode="0">
                  <c:v>100</c:v>
                </c:pt>
                <c:pt idx="122" c:formatCode="0">
                  <c:v>101</c:v>
                </c:pt>
                <c:pt idx="123" c:formatCode="0">
                  <c:v>102</c:v>
                </c:pt>
                <c:pt idx="124" c:formatCode="0">
                  <c:v>103</c:v>
                </c:pt>
                <c:pt idx="125" c:formatCode="0">
                  <c:v>104</c:v>
                </c:pt>
                <c:pt idx="126" c:formatCode="0">
                  <c:v>105</c:v>
                </c:pt>
                <c:pt idx="127" c:formatCode="0">
                  <c:v>106</c:v>
                </c:pt>
                <c:pt idx="128" c:formatCode="0">
                  <c:v>107</c:v>
                </c:pt>
                <c:pt idx="129" c:formatCode="0">
                  <c:v>108</c:v>
                </c:pt>
                <c:pt idx="130" c:formatCode="0">
                  <c:v>109</c:v>
                </c:pt>
                <c:pt idx="131" c:formatCode="0">
                  <c:v>110</c:v>
                </c:pt>
                <c:pt idx="132" c:formatCode="0">
                  <c:v>111</c:v>
                </c:pt>
                <c:pt idx="133" c:formatCode="0">
                  <c:v>112</c:v>
                </c:pt>
                <c:pt idx="134" c:formatCode="0">
                  <c:v>113</c:v>
                </c:pt>
                <c:pt idx="135" c:formatCode="0">
                  <c:v>114</c:v>
                </c:pt>
                <c:pt idx="136" c:formatCode="0">
                  <c:v>115</c:v>
                </c:pt>
                <c:pt idx="137" c:formatCode="0">
                  <c:v>116</c:v>
                </c:pt>
                <c:pt idx="138" c:formatCode="0">
                  <c:v>117</c:v>
                </c:pt>
                <c:pt idx="139" c:formatCode="0">
                  <c:v>118</c:v>
                </c:pt>
                <c:pt idx="140" c:formatCode="0">
                  <c:v>119</c:v>
                </c:pt>
                <c:pt idx="141" c:formatCode="0">
                  <c:v>120</c:v>
                </c:pt>
                <c:pt idx="142" c:formatCode="0">
                  <c:v>121</c:v>
                </c:pt>
                <c:pt idx="143" c:formatCode="0">
                  <c:v>122</c:v>
                </c:pt>
                <c:pt idx="144" c:formatCode="0">
                  <c:v>123</c:v>
                </c:pt>
                <c:pt idx="145" c:formatCode="0">
                  <c:v>124</c:v>
                </c:pt>
                <c:pt idx="146" c:formatCode="0">
                  <c:v>125</c:v>
                </c:pt>
                <c:pt idx="147" c:formatCode="0">
                  <c:v>126</c:v>
                </c:pt>
                <c:pt idx="148" c:formatCode="0">
                  <c:v>127</c:v>
                </c:pt>
                <c:pt idx="149" c:formatCode="0">
                  <c:v>128</c:v>
                </c:pt>
                <c:pt idx="150" c:formatCode="0">
                  <c:v>129</c:v>
                </c:pt>
                <c:pt idx="151" c:formatCode="0">
                  <c:v>130</c:v>
                </c:pt>
                <c:pt idx="152" c:formatCode="0">
                  <c:v>131</c:v>
                </c:pt>
                <c:pt idx="153" c:formatCode="0">
                  <c:v>132</c:v>
                </c:pt>
                <c:pt idx="154" c:formatCode="0">
                  <c:v>133</c:v>
                </c:pt>
                <c:pt idx="155" c:formatCode="0">
                  <c:v>134</c:v>
                </c:pt>
                <c:pt idx="156" c:formatCode="0">
                  <c:v>135</c:v>
                </c:pt>
                <c:pt idx="157" c:formatCode="0">
                  <c:v>136</c:v>
                </c:pt>
                <c:pt idx="158" c:formatCode="0">
                  <c:v>137</c:v>
                </c:pt>
                <c:pt idx="159" c:formatCode="0">
                  <c:v>138</c:v>
                </c:pt>
                <c:pt idx="160" c:formatCode="0">
                  <c:v>139</c:v>
                </c:pt>
                <c:pt idx="161" c:formatCode="0">
                  <c:v>140</c:v>
                </c:pt>
                <c:pt idx="162" c:formatCode="0">
                  <c:v>141</c:v>
                </c:pt>
                <c:pt idx="163" c:formatCode="0">
                  <c:v>142</c:v>
                </c:pt>
                <c:pt idx="164" c:formatCode="0">
                  <c:v>143</c:v>
                </c:pt>
                <c:pt idx="165" c:formatCode="0">
                  <c:v>144</c:v>
                </c:pt>
                <c:pt idx="166" c:formatCode="0">
                  <c:v>145</c:v>
                </c:pt>
                <c:pt idx="167" c:formatCode="0">
                  <c:v>146</c:v>
                </c:pt>
                <c:pt idx="168" c:formatCode="0">
                  <c:v>147</c:v>
                </c:pt>
                <c:pt idx="169" c:formatCode="0">
                  <c:v>148</c:v>
                </c:pt>
                <c:pt idx="170" c:formatCode="0">
                  <c:v>149</c:v>
                </c:pt>
                <c:pt idx="171" c:formatCode="0">
                  <c:v>150</c:v>
                </c:pt>
                <c:pt idx="172" c:formatCode="0">
                  <c:v>151</c:v>
                </c:pt>
                <c:pt idx="173" c:formatCode="0">
                  <c:v>152</c:v>
                </c:pt>
                <c:pt idx="174" c:formatCode="0">
                  <c:v>153</c:v>
                </c:pt>
                <c:pt idx="175" c:formatCode="0">
                  <c:v>154</c:v>
                </c:pt>
                <c:pt idx="176" c:formatCode="0">
                  <c:v>155</c:v>
                </c:pt>
                <c:pt idx="177" c:formatCode="0">
                  <c:v>156</c:v>
                </c:pt>
                <c:pt idx="178" c:formatCode="0">
                  <c:v>157</c:v>
                </c:pt>
                <c:pt idx="179" c:formatCode="0">
                  <c:v>158</c:v>
                </c:pt>
                <c:pt idx="180" c:formatCode="0">
                  <c:v>159</c:v>
                </c:pt>
                <c:pt idx="181" c:formatCode="0">
                  <c:v>160</c:v>
                </c:pt>
                <c:pt idx="182" c:formatCode="0">
                  <c:v>161</c:v>
                </c:pt>
                <c:pt idx="183" c:formatCode="0">
                  <c:v>162</c:v>
                </c:pt>
                <c:pt idx="184" c:formatCode="0">
                  <c:v>163</c:v>
                </c:pt>
                <c:pt idx="185" c:formatCode="0">
                  <c:v>164</c:v>
                </c:pt>
                <c:pt idx="186" c:formatCode="0">
                  <c:v>165</c:v>
                </c:pt>
                <c:pt idx="187" c:formatCode="0">
                  <c:v>166</c:v>
                </c:pt>
                <c:pt idx="188" c:formatCode="0">
                  <c:v>167</c:v>
                </c:pt>
                <c:pt idx="189" c:formatCode="0">
                  <c:v>168</c:v>
                </c:pt>
                <c:pt idx="190" c:formatCode="0">
                  <c:v>169</c:v>
                </c:pt>
                <c:pt idx="191" c:formatCode="0">
                  <c:v>170</c:v>
                </c:pt>
                <c:pt idx="192" c:formatCode="0">
                  <c:v>171</c:v>
                </c:pt>
                <c:pt idx="193" c:formatCode="0">
                  <c:v>172</c:v>
                </c:pt>
                <c:pt idx="194" c:formatCode="0">
                  <c:v>173</c:v>
                </c:pt>
                <c:pt idx="195" c:formatCode="0">
                  <c:v>174</c:v>
                </c:pt>
                <c:pt idx="196" c:formatCode="0">
                  <c:v>175</c:v>
                </c:pt>
                <c:pt idx="197" c:formatCode="0">
                  <c:v>176</c:v>
                </c:pt>
                <c:pt idx="198" c:formatCode="0">
                  <c:v>177</c:v>
                </c:pt>
                <c:pt idx="199" c:formatCode="0">
                  <c:v>178</c:v>
                </c:pt>
                <c:pt idx="200" c:formatCode="0">
                  <c:v>179</c:v>
                </c:pt>
                <c:pt idx="201" c:formatCode="0">
                  <c:v>180</c:v>
                </c:pt>
                <c:pt idx="202" c:formatCode="0">
                  <c:v>181</c:v>
                </c:pt>
                <c:pt idx="203" c:formatCode="0">
                  <c:v>182</c:v>
                </c:pt>
                <c:pt idx="204" c:formatCode="0">
                  <c:v>183</c:v>
                </c:pt>
                <c:pt idx="205" c:formatCode="0">
                  <c:v>184</c:v>
                </c:pt>
                <c:pt idx="206" c:formatCode="0">
                  <c:v>185</c:v>
                </c:pt>
                <c:pt idx="207" c:formatCode="0">
                  <c:v>186</c:v>
                </c:pt>
                <c:pt idx="208" c:formatCode="0">
                  <c:v>187</c:v>
                </c:pt>
                <c:pt idx="209" c:formatCode="0">
                  <c:v>188</c:v>
                </c:pt>
                <c:pt idx="210" c:formatCode="0">
                  <c:v>189</c:v>
                </c:pt>
                <c:pt idx="211" c:formatCode="0">
                  <c:v>190</c:v>
                </c:pt>
                <c:pt idx="212" c:formatCode="0">
                  <c:v>191</c:v>
                </c:pt>
                <c:pt idx="213" c:formatCode="0">
                  <c:v>192</c:v>
                </c:pt>
                <c:pt idx="214" c:formatCode="0">
                  <c:v>193</c:v>
                </c:pt>
                <c:pt idx="215" c:formatCode="0">
                  <c:v>194</c:v>
                </c:pt>
                <c:pt idx="216" c:formatCode="0">
                  <c:v>195</c:v>
                </c:pt>
                <c:pt idx="217" c:formatCode="0">
                  <c:v>196</c:v>
                </c:pt>
                <c:pt idx="218" c:formatCode="0">
                  <c:v>197</c:v>
                </c:pt>
                <c:pt idx="219" c:formatCode="0">
                  <c:v>198</c:v>
                </c:pt>
                <c:pt idx="220" c:formatCode="0">
                  <c:v>199</c:v>
                </c:pt>
                <c:pt idx="221" c:formatCode="0">
                  <c:v>200</c:v>
                </c:pt>
                <c:pt idx="222" c:formatCode="0">
                  <c:v>201</c:v>
                </c:pt>
                <c:pt idx="223" c:formatCode="0">
                  <c:v>202</c:v>
                </c:pt>
                <c:pt idx="224" c:formatCode="0">
                  <c:v>203</c:v>
                </c:pt>
                <c:pt idx="225" c:formatCode="0">
                  <c:v>204</c:v>
                </c:pt>
                <c:pt idx="226" c:formatCode="0">
                  <c:v>205</c:v>
                </c:pt>
                <c:pt idx="227" c:formatCode="0">
                  <c:v>206</c:v>
                </c:pt>
                <c:pt idx="228" c:formatCode="0">
                  <c:v>207</c:v>
                </c:pt>
                <c:pt idx="229" c:formatCode="0">
                  <c:v>208</c:v>
                </c:pt>
                <c:pt idx="230" c:formatCode="0">
                  <c:v>209</c:v>
                </c:pt>
                <c:pt idx="231" c:formatCode="0">
                  <c:v>210</c:v>
                </c:pt>
                <c:pt idx="232" c:formatCode="0">
                  <c:v>211</c:v>
                </c:pt>
                <c:pt idx="233" c:formatCode="0">
                  <c:v>212</c:v>
                </c:pt>
                <c:pt idx="234" c:formatCode="0">
                  <c:v>213</c:v>
                </c:pt>
                <c:pt idx="235" c:formatCode="0">
                  <c:v>214</c:v>
                </c:pt>
                <c:pt idx="236" c:formatCode="0">
                  <c:v>215</c:v>
                </c:pt>
                <c:pt idx="237" c:formatCode="0">
                  <c:v>216</c:v>
                </c:pt>
                <c:pt idx="238" c:formatCode="0">
                  <c:v>217</c:v>
                </c:pt>
                <c:pt idx="239" c:formatCode="0">
                  <c:v>218</c:v>
                </c:pt>
                <c:pt idx="240" c:formatCode="0">
                  <c:v>219</c:v>
                </c:pt>
                <c:pt idx="241" c:formatCode="0">
                  <c:v>220</c:v>
                </c:pt>
                <c:pt idx="242" c:formatCode="0">
                  <c:v>221</c:v>
                </c:pt>
                <c:pt idx="243" c:formatCode="0">
                  <c:v>222</c:v>
                </c:pt>
                <c:pt idx="244" c:formatCode="0">
                  <c:v>223</c:v>
                </c:pt>
                <c:pt idx="245" c:formatCode="0">
                  <c:v>224</c:v>
                </c:pt>
                <c:pt idx="246" c:formatCode="0">
                  <c:v>225</c:v>
                </c:pt>
                <c:pt idx="247" c:formatCode="0">
                  <c:v>226</c:v>
                </c:pt>
                <c:pt idx="248" c:formatCode="0">
                  <c:v>227</c:v>
                </c:pt>
                <c:pt idx="249" c:formatCode="0">
                  <c:v>228</c:v>
                </c:pt>
                <c:pt idx="250" c:formatCode="0">
                  <c:v>229</c:v>
                </c:pt>
                <c:pt idx="251" c:formatCode="0">
                  <c:v>230</c:v>
                </c:pt>
                <c:pt idx="252" c:formatCode="0">
                  <c:v>231</c:v>
                </c:pt>
                <c:pt idx="253" c:formatCode="0">
                  <c:v>232</c:v>
                </c:pt>
                <c:pt idx="254" c:formatCode="0">
                  <c:v>233</c:v>
                </c:pt>
                <c:pt idx="255" c:formatCode="0">
                  <c:v>234</c:v>
                </c:pt>
                <c:pt idx="256" c:formatCode="0">
                  <c:v>235</c:v>
                </c:pt>
                <c:pt idx="257" c:formatCode="0">
                  <c:v>236</c:v>
                </c:pt>
                <c:pt idx="258" c:formatCode="0">
                  <c:v>237</c:v>
                </c:pt>
                <c:pt idx="259" c:formatCode="0">
                  <c:v>238</c:v>
                </c:pt>
                <c:pt idx="260" c:formatCode="0">
                  <c:v>239</c:v>
                </c:pt>
                <c:pt idx="261" c:formatCode="0">
                  <c:v>240</c:v>
                </c:pt>
                <c:pt idx="262" c:formatCode="0">
                  <c:v>241</c:v>
                </c:pt>
                <c:pt idx="263" c:formatCode="0">
                  <c:v>242</c:v>
                </c:pt>
                <c:pt idx="264" c:formatCode="0">
                  <c:v>243</c:v>
                </c:pt>
                <c:pt idx="265" c:formatCode="0">
                  <c:v>244</c:v>
                </c:pt>
                <c:pt idx="266" c:formatCode="0">
                  <c:v>245</c:v>
                </c:pt>
                <c:pt idx="267" c:formatCode="0">
                  <c:v>246</c:v>
                </c:pt>
                <c:pt idx="268" c:formatCode="0">
                  <c:v>247</c:v>
                </c:pt>
                <c:pt idx="269" c:formatCode="0">
                  <c:v>248</c:v>
                </c:pt>
                <c:pt idx="270" c:formatCode="0">
                  <c:v>249</c:v>
                </c:pt>
                <c:pt idx="271" c:formatCode="0">
                  <c:v>250</c:v>
                </c:pt>
                <c:pt idx="272" c:formatCode="0">
                  <c:v>251</c:v>
                </c:pt>
                <c:pt idx="273" c:formatCode="0">
                  <c:v>252</c:v>
                </c:pt>
                <c:pt idx="274" c:formatCode="0">
                  <c:v>253</c:v>
                </c:pt>
                <c:pt idx="275" c:formatCode="0">
                  <c:v>254</c:v>
                </c:pt>
                <c:pt idx="276" c:formatCode="0">
                  <c:v>255</c:v>
                </c:pt>
                <c:pt idx="277" c:formatCode="0">
                  <c:v>256</c:v>
                </c:pt>
                <c:pt idx="278" c:formatCode="0">
                  <c:v>257</c:v>
                </c:pt>
                <c:pt idx="279" c:formatCode="0">
                  <c:v>258</c:v>
                </c:pt>
                <c:pt idx="280" c:formatCode="0">
                  <c:v>259</c:v>
                </c:pt>
                <c:pt idx="281" c:formatCode="0">
                  <c:v>260</c:v>
                </c:pt>
                <c:pt idx="282" c:formatCode="0">
                  <c:v>261</c:v>
                </c:pt>
                <c:pt idx="283" c:formatCode="0">
                  <c:v>262</c:v>
                </c:pt>
                <c:pt idx="284" c:formatCode="0">
                  <c:v>263</c:v>
                </c:pt>
                <c:pt idx="285" c:formatCode="0">
                  <c:v>264</c:v>
                </c:pt>
                <c:pt idx="286" c:formatCode="0">
                  <c:v>265</c:v>
                </c:pt>
                <c:pt idx="287" c:formatCode="0">
                  <c:v>266</c:v>
                </c:pt>
                <c:pt idx="288" c:formatCode="0">
                  <c:v>267</c:v>
                </c:pt>
                <c:pt idx="289" c:formatCode="0">
                  <c:v>268</c:v>
                </c:pt>
                <c:pt idx="290" c:formatCode="0">
                  <c:v>269</c:v>
                </c:pt>
                <c:pt idx="291" c:formatCode="0">
                  <c:v>270</c:v>
                </c:pt>
                <c:pt idx="292" c:formatCode="0">
                  <c:v>271</c:v>
                </c:pt>
                <c:pt idx="293" c:formatCode="0">
                  <c:v>272</c:v>
                </c:pt>
                <c:pt idx="294" c:formatCode="0">
                  <c:v>273</c:v>
                </c:pt>
                <c:pt idx="295" c:formatCode="0">
                  <c:v>274</c:v>
                </c:pt>
                <c:pt idx="296" c:formatCode="0">
                  <c:v>275</c:v>
                </c:pt>
                <c:pt idx="297" c:formatCode="0">
                  <c:v>276</c:v>
                </c:pt>
                <c:pt idx="298" c:formatCode="0">
                  <c:v>277</c:v>
                </c:pt>
                <c:pt idx="299" c:formatCode="0">
                  <c:v>278</c:v>
                </c:pt>
                <c:pt idx="300" c:formatCode="0">
                  <c:v>279</c:v>
                </c:pt>
                <c:pt idx="301" c:formatCode="0">
                  <c:v>280</c:v>
                </c:pt>
                <c:pt idx="302" c:formatCode="0">
                  <c:v>281</c:v>
                </c:pt>
                <c:pt idx="303" c:formatCode="0">
                  <c:v>282</c:v>
                </c:pt>
                <c:pt idx="304" c:formatCode="0">
                  <c:v>283</c:v>
                </c:pt>
                <c:pt idx="305" c:formatCode="0">
                  <c:v>284</c:v>
                </c:pt>
                <c:pt idx="306" c:formatCode="0">
                  <c:v>285</c:v>
                </c:pt>
                <c:pt idx="307" c:formatCode="0">
                  <c:v>286</c:v>
                </c:pt>
                <c:pt idx="308" c:formatCode="0">
                  <c:v>287</c:v>
                </c:pt>
                <c:pt idx="309" c:formatCode="0">
                  <c:v>288</c:v>
                </c:pt>
                <c:pt idx="310" c:formatCode="0">
                  <c:v>289</c:v>
                </c:pt>
                <c:pt idx="311" c:formatCode="0">
                  <c:v>290</c:v>
                </c:pt>
                <c:pt idx="312" c:formatCode="0">
                  <c:v>291</c:v>
                </c:pt>
                <c:pt idx="313" c:formatCode="0">
                  <c:v>292</c:v>
                </c:pt>
                <c:pt idx="314" c:formatCode="0">
                  <c:v>293</c:v>
                </c:pt>
                <c:pt idx="315" c:formatCode="0">
                  <c:v>294</c:v>
                </c:pt>
                <c:pt idx="316" c:formatCode="0">
                  <c:v>295</c:v>
                </c:pt>
                <c:pt idx="317" c:formatCode="0">
                  <c:v>296</c:v>
                </c:pt>
                <c:pt idx="318" c:formatCode="0">
                  <c:v>297</c:v>
                </c:pt>
                <c:pt idx="319" c:formatCode="0">
                  <c:v>298</c:v>
                </c:pt>
                <c:pt idx="320" c:formatCode="0">
                  <c:v>299</c:v>
                </c:pt>
                <c:pt idx="321" c:formatCode="0">
                  <c:v>300</c:v>
                </c:pt>
                <c:pt idx="322" c:formatCode="0">
                  <c:v>301</c:v>
                </c:pt>
                <c:pt idx="323" c:formatCode="0">
                  <c:v>302</c:v>
                </c:pt>
                <c:pt idx="324" c:formatCode="0">
                  <c:v>303</c:v>
                </c:pt>
                <c:pt idx="325" c:formatCode="0">
                  <c:v>304</c:v>
                </c:pt>
                <c:pt idx="326" c:formatCode="0">
                  <c:v>305</c:v>
                </c:pt>
                <c:pt idx="327" c:formatCode="0">
                  <c:v>306</c:v>
                </c:pt>
                <c:pt idx="328" c:formatCode="0">
                  <c:v>307</c:v>
                </c:pt>
                <c:pt idx="329" c:formatCode="0">
                  <c:v>308</c:v>
                </c:pt>
                <c:pt idx="330" c:formatCode="0">
                  <c:v>309</c:v>
                </c:pt>
                <c:pt idx="331" c:formatCode="0">
                  <c:v>310</c:v>
                </c:pt>
                <c:pt idx="332" c:formatCode="0">
                  <c:v>311</c:v>
                </c:pt>
                <c:pt idx="333" c:formatCode="0">
                  <c:v>312</c:v>
                </c:pt>
                <c:pt idx="334" c:formatCode="0">
                  <c:v>313</c:v>
                </c:pt>
                <c:pt idx="335" c:formatCode="0">
                  <c:v>314</c:v>
                </c:pt>
                <c:pt idx="336" c:formatCode="0">
                  <c:v>315</c:v>
                </c:pt>
                <c:pt idx="337" c:formatCode="0">
                  <c:v>316</c:v>
                </c:pt>
                <c:pt idx="338" c:formatCode="0">
                  <c:v>317</c:v>
                </c:pt>
                <c:pt idx="339" c:formatCode="0">
                  <c:v>318</c:v>
                </c:pt>
                <c:pt idx="340" c:formatCode="0">
                  <c:v>319</c:v>
                </c:pt>
                <c:pt idx="341" c:formatCode="0">
                  <c:v>320</c:v>
                </c:pt>
                <c:pt idx="342" c:formatCode="0">
                  <c:v>321</c:v>
                </c:pt>
                <c:pt idx="343" c:formatCode="0">
                  <c:v>322</c:v>
                </c:pt>
                <c:pt idx="344" c:formatCode="0">
                  <c:v>323</c:v>
                </c:pt>
                <c:pt idx="345" c:formatCode="0">
                  <c:v>324</c:v>
                </c:pt>
                <c:pt idx="346" c:formatCode="0">
                  <c:v>325</c:v>
                </c:pt>
                <c:pt idx="347" c:formatCode="0">
                  <c:v>326</c:v>
                </c:pt>
                <c:pt idx="348" c:formatCode="0">
                  <c:v>327</c:v>
                </c:pt>
                <c:pt idx="349" c:formatCode="0">
                  <c:v>328</c:v>
                </c:pt>
                <c:pt idx="350" c:formatCode="0">
                  <c:v>329</c:v>
                </c:pt>
                <c:pt idx="351" c:formatCode="0">
                  <c:v>330</c:v>
                </c:pt>
                <c:pt idx="352" c:formatCode="0">
                  <c:v>331</c:v>
                </c:pt>
                <c:pt idx="353" c:formatCode="0">
                  <c:v>332</c:v>
                </c:pt>
                <c:pt idx="354" c:formatCode="0">
                  <c:v>333</c:v>
                </c:pt>
                <c:pt idx="355" c:formatCode="0">
                  <c:v>334</c:v>
                </c:pt>
                <c:pt idx="356" c:formatCode="0">
                  <c:v>335</c:v>
                </c:pt>
                <c:pt idx="357" c:formatCode="0">
                  <c:v>336</c:v>
                </c:pt>
                <c:pt idx="358" c:formatCode="0">
                  <c:v>337</c:v>
                </c:pt>
                <c:pt idx="359" c:formatCode="0">
                  <c:v>338</c:v>
                </c:pt>
                <c:pt idx="360" c:formatCode="0">
                  <c:v>339</c:v>
                </c:pt>
                <c:pt idx="361" c:formatCode="0">
                  <c:v>340</c:v>
                </c:pt>
                <c:pt idx="362" c:formatCode="0">
                  <c:v>341</c:v>
                </c:pt>
                <c:pt idx="363" c:formatCode="0">
                  <c:v>342</c:v>
                </c:pt>
                <c:pt idx="364" c:formatCode="0">
                  <c:v>343</c:v>
                </c:pt>
                <c:pt idx="365" c:formatCode="0">
                  <c:v>344</c:v>
                </c:pt>
                <c:pt idx="366" c:formatCode="0">
                  <c:v>345</c:v>
                </c:pt>
                <c:pt idx="367" c:formatCode="0">
                  <c:v>346</c:v>
                </c:pt>
                <c:pt idx="368" c:formatCode="0">
                  <c:v>347</c:v>
                </c:pt>
                <c:pt idx="369" c:formatCode="0">
                  <c:v>348</c:v>
                </c:pt>
                <c:pt idx="370" c:formatCode="0">
                  <c:v>349</c:v>
                </c:pt>
                <c:pt idx="371" c:formatCode="0">
                  <c:v>350</c:v>
                </c:pt>
                <c:pt idx="372" c:formatCode="0">
                  <c:v>351</c:v>
                </c:pt>
                <c:pt idx="373" c:formatCode="0">
                  <c:v>352</c:v>
                </c:pt>
                <c:pt idx="374" c:formatCode="0">
                  <c:v>353</c:v>
                </c:pt>
                <c:pt idx="375" c:formatCode="0">
                  <c:v>354</c:v>
                </c:pt>
                <c:pt idx="376" c:formatCode="0">
                  <c:v>355</c:v>
                </c:pt>
                <c:pt idx="377" c:formatCode="0">
                  <c:v>356</c:v>
                </c:pt>
                <c:pt idx="378" c:formatCode="0">
                  <c:v>357</c:v>
                </c:pt>
                <c:pt idx="379" c:formatCode="0">
                  <c:v>358</c:v>
                </c:pt>
                <c:pt idx="380" c:formatCode="0">
                  <c:v>359</c:v>
                </c:pt>
                <c:pt idx="381" c:formatCode="0">
                  <c:v>360</c:v>
                </c:pt>
                <c:pt idx="382" c:formatCode="0">
                  <c:v>361</c:v>
                </c:pt>
                <c:pt idx="383" c:formatCode="0">
                  <c:v>362</c:v>
                </c:pt>
                <c:pt idx="384" c:formatCode="0">
                  <c:v>363</c:v>
                </c:pt>
                <c:pt idx="385" c:formatCode="0">
                  <c:v>364</c:v>
                </c:pt>
                <c:pt idx="386" c:formatCode="0">
                  <c:v>365</c:v>
                </c:pt>
                <c:pt idx="387" c:formatCode="0">
                  <c:v>366</c:v>
                </c:pt>
                <c:pt idx="388" c:formatCode="0">
                  <c:v>367</c:v>
                </c:pt>
                <c:pt idx="389" c:formatCode="0">
                  <c:v>368</c:v>
                </c:pt>
                <c:pt idx="390" c:formatCode="0">
                  <c:v>369</c:v>
                </c:pt>
                <c:pt idx="391" c:formatCode="0">
                  <c:v>370</c:v>
                </c:pt>
                <c:pt idx="392" c:formatCode="0">
                  <c:v>371</c:v>
                </c:pt>
                <c:pt idx="393" c:formatCode="0">
                  <c:v>372</c:v>
                </c:pt>
                <c:pt idx="394" c:formatCode="0">
                  <c:v>373</c:v>
                </c:pt>
                <c:pt idx="395" c:formatCode="0">
                  <c:v>374</c:v>
                </c:pt>
                <c:pt idx="396" c:formatCode="0.00">
                  <c:v>374.12</c:v>
                </c:pt>
              </c:numCache>
            </c:numRef>
          </c:xVal>
          <c:yVal>
            <c:numRef>
              <c:f>Пр3!$B$2:$B$398</c:f>
              <c:numCache>
                <c:formatCode>General</c:formatCode>
                <c:ptCount val="397"/>
                <c:pt idx="0">
                  <c:v>0.006108</c:v>
                </c:pt>
                <c:pt idx="1">
                  <c:v>0.006112</c:v>
                </c:pt>
                <c:pt idx="2">
                  <c:v>0.006566</c:v>
                </c:pt>
                <c:pt idx="3">
                  <c:v>0.007054</c:v>
                </c:pt>
                <c:pt idx="4">
                  <c:v>0.007575</c:v>
                </c:pt>
                <c:pt idx="5">
                  <c:v>0.008129</c:v>
                </c:pt>
                <c:pt idx="6">
                  <c:v>0.008718</c:v>
                </c:pt>
                <c:pt idx="7">
                  <c:v>0.009346</c:v>
                </c:pt>
                <c:pt idx="8">
                  <c:v>0.010012</c:v>
                </c:pt>
                <c:pt idx="9">
                  <c:v>0.010721</c:v>
                </c:pt>
                <c:pt idx="10">
                  <c:v>0.011473</c:v>
                </c:pt>
                <c:pt idx="11">
                  <c:v>0.012271</c:v>
                </c:pt>
                <c:pt idx="12">
                  <c:v>0.013118</c:v>
                </c:pt>
                <c:pt idx="13">
                  <c:v>0.014015</c:v>
                </c:pt>
                <c:pt idx="14">
                  <c:v>0.014967</c:v>
                </c:pt>
                <c:pt idx="15">
                  <c:v>0.015974</c:v>
                </c:pt>
                <c:pt idx="16">
                  <c:v>0.017041</c:v>
                </c:pt>
                <c:pt idx="17">
                  <c:v>0.017698</c:v>
                </c:pt>
                <c:pt idx="18">
                  <c:v>0.01817</c:v>
                </c:pt>
                <c:pt idx="19">
                  <c:v>0.018759</c:v>
                </c:pt>
                <c:pt idx="20">
                  <c:v>0.019364</c:v>
                </c:pt>
                <c:pt idx="21">
                  <c:v>0.019986</c:v>
                </c:pt>
                <c:pt idx="22">
                  <c:v>0.020626</c:v>
                </c:pt>
                <c:pt idx="23">
                  <c:v>0.021284</c:v>
                </c:pt>
                <c:pt idx="24">
                  <c:v>0.02196</c:v>
                </c:pt>
                <c:pt idx="25">
                  <c:v>0.022654</c:v>
                </c:pt>
                <c:pt idx="26">
                  <c:v>0.023368</c:v>
                </c:pt>
                <c:pt idx="27">
                  <c:v>0.024102</c:v>
                </c:pt>
                <c:pt idx="28">
                  <c:v>0.024855</c:v>
                </c:pt>
                <c:pt idx="29">
                  <c:v>0.025629</c:v>
                </c:pt>
                <c:pt idx="30">
                  <c:v>0.026424</c:v>
                </c:pt>
                <c:pt idx="31">
                  <c:v>0.027241</c:v>
                </c:pt>
                <c:pt idx="32">
                  <c:v>0.028079</c:v>
                </c:pt>
                <c:pt idx="33">
                  <c:v>0.02894</c:v>
                </c:pt>
                <c:pt idx="34">
                  <c:v>0.029824</c:v>
                </c:pt>
                <c:pt idx="35">
                  <c:v>0.030731</c:v>
                </c:pt>
                <c:pt idx="36">
                  <c:v>0.031663</c:v>
                </c:pt>
                <c:pt idx="37">
                  <c:v>0.032619</c:v>
                </c:pt>
                <c:pt idx="38">
                  <c:v>0.0336</c:v>
                </c:pt>
                <c:pt idx="39">
                  <c:v>0.034606</c:v>
                </c:pt>
                <c:pt idx="40">
                  <c:v>0.035639</c:v>
                </c:pt>
                <c:pt idx="41">
                  <c:v>0.036698</c:v>
                </c:pt>
                <c:pt idx="42">
                  <c:v>0.037785</c:v>
                </c:pt>
                <c:pt idx="43">
                  <c:v>0.0389</c:v>
                </c:pt>
                <c:pt idx="44">
                  <c:v>0.040043</c:v>
                </c:pt>
                <c:pt idx="45">
                  <c:v>0.041215</c:v>
                </c:pt>
                <c:pt idx="46">
                  <c:v>0.042417</c:v>
                </c:pt>
                <c:pt idx="47">
                  <c:v>0.04365</c:v>
                </c:pt>
                <c:pt idx="48">
                  <c:v>0.044913</c:v>
                </c:pt>
                <c:pt idx="49">
                  <c:v>0.046208</c:v>
                </c:pt>
                <c:pt idx="50">
                  <c:v>0.047536</c:v>
                </c:pt>
                <c:pt idx="51">
                  <c:v>0.048896</c:v>
                </c:pt>
                <c:pt idx="52">
                  <c:v>0.05029</c:v>
                </c:pt>
                <c:pt idx="53">
                  <c:v>0.051718</c:v>
                </c:pt>
                <c:pt idx="54">
                  <c:v>0.053182</c:v>
                </c:pt>
                <c:pt idx="55">
                  <c:v>0.054681</c:v>
                </c:pt>
                <c:pt idx="56">
                  <c:v>0.056217</c:v>
                </c:pt>
                <c:pt idx="57">
                  <c:v>0.059401</c:v>
                </c:pt>
                <c:pt idx="58">
                  <c:v>0.06274</c:v>
                </c:pt>
                <c:pt idx="59">
                  <c:v>0.06624</c:v>
                </c:pt>
                <c:pt idx="60">
                  <c:v>0.069907</c:v>
                </c:pt>
                <c:pt idx="61">
                  <c:v>0.073749</c:v>
                </c:pt>
                <c:pt idx="62">
                  <c:v>0.077772</c:v>
                </c:pt>
                <c:pt idx="63">
                  <c:v>0.081983</c:v>
                </c:pt>
                <c:pt idx="64">
                  <c:v>0.08639</c:v>
                </c:pt>
                <c:pt idx="65">
                  <c:v>0.090998</c:v>
                </c:pt>
                <c:pt idx="66">
                  <c:v>0.093817</c:v>
                </c:pt>
                <c:pt idx="67">
                  <c:v>0.10085</c:v>
                </c:pt>
                <c:pt idx="68">
                  <c:v>0.10612</c:v>
                </c:pt>
                <c:pt idx="69">
                  <c:v>0.11161</c:v>
                </c:pt>
                <c:pt idx="70">
                  <c:v>0.11735</c:v>
                </c:pt>
                <c:pt idx="71">
                  <c:v>0.12335</c:v>
                </c:pt>
                <c:pt idx="72">
                  <c:v>0.1296</c:v>
                </c:pt>
                <c:pt idx="73">
                  <c:v>0.13612</c:v>
                </c:pt>
                <c:pt idx="74">
                  <c:v>0.14292</c:v>
                </c:pt>
                <c:pt idx="75">
                  <c:v>0.15001</c:v>
                </c:pt>
                <c:pt idx="76">
                  <c:v>0.1574</c:v>
                </c:pt>
                <c:pt idx="77">
                  <c:v>0.1651</c:v>
                </c:pt>
                <c:pt idx="78">
                  <c:v>0.17312</c:v>
                </c:pt>
                <c:pt idx="79">
                  <c:v>0.18146</c:v>
                </c:pt>
                <c:pt idx="80">
                  <c:v>0.19015</c:v>
                </c:pt>
                <c:pt idx="81">
                  <c:v>0.19919</c:v>
                </c:pt>
                <c:pt idx="82">
                  <c:v>0.20859</c:v>
                </c:pt>
                <c:pt idx="83">
                  <c:v>0.21837</c:v>
                </c:pt>
                <c:pt idx="84">
                  <c:v>0.22854</c:v>
                </c:pt>
                <c:pt idx="85">
                  <c:v>0.2391</c:v>
                </c:pt>
                <c:pt idx="86">
                  <c:v>0.25008</c:v>
                </c:pt>
                <c:pt idx="87">
                  <c:v>0.26148</c:v>
                </c:pt>
                <c:pt idx="88">
                  <c:v>0.27332</c:v>
                </c:pt>
                <c:pt idx="89">
                  <c:v>0.28561</c:v>
                </c:pt>
                <c:pt idx="90">
                  <c:v>0.29837</c:v>
                </c:pt>
                <c:pt idx="91">
                  <c:v>0.31161</c:v>
                </c:pt>
                <c:pt idx="92">
                  <c:v>0.32533</c:v>
                </c:pt>
                <c:pt idx="93">
                  <c:v>0.33957</c:v>
                </c:pt>
                <c:pt idx="94">
                  <c:v>0.35433</c:v>
                </c:pt>
                <c:pt idx="95">
                  <c:v>0.36963</c:v>
                </c:pt>
                <c:pt idx="96">
                  <c:v>0.38548</c:v>
                </c:pt>
                <c:pt idx="97">
                  <c:v>0.4019</c:v>
                </c:pt>
                <c:pt idx="98">
                  <c:v>0.4189</c:v>
                </c:pt>
                <c:pt idx="99">
                  <c:v>0.4365</c:v>
                </c:pt>
                <c:pt idx="100">
                  <c:v>0.45473</c:v>
                </c:pt>
                <c:pt idx="101">
                  <c:v>0.47359</c:v>
                </c:pt>
                <c:pt idx="102">
                  <c:v>0.4931</c:v>
                </c:pt>
                <c:pt idx="103">
                  <c:v>0.51328</c:v>
                </c:pt>
                <c:pt idx="104">
                  <c:v>0.53415</c:v>
                </c:pt>
                <c:pt idx="105">
                  <c:v>0.55572</c:v>
                </c:pt>
                <c:pt idx="106">
                  <c:v>0.57803</c:v>
                </c:pt>
                <c:pt idx="107">
                  <c:v>0.60107</c:v>
                </c:pt>
                <c:pt idx="108">
                  <c:v>0.62488</c:v>
                </c:pt>
                <c:pt idx="109">
                  <c:v>0.64947</c:v>
                </c:pt>
                <c:pt idx="110">
                  <c:v>0.67486</c:v>
                </c:pt>
                <c:pt idx="111">
                  <c:v>0.70108</c:v>
                </c:pt>
                <c:pt idx="112">
                  <c:v>0.72814</c:v>
                </c:pt>
                <c:pt idx="113">
                  <c:v>0.75607</c:v>
                </c:pt>
                <c:pt idx="114">
                  <c:v>0.78488</c:v>
                </c:pt>
                <c:pt idx="115">
                  <c:v>0.8146</c:v>
                </c:pt>
                <c:pt idx="116">
                  <c:v>0.84525</c:v>
                </c:pt>
                <c:pt idx="117">
                  <c:v>0.87685</c:v>
                </c:pt>
                <c:pt idx="118">
                  <c:v>0.90943</c:v>
                </c:pt>
                <c:pt idx="119">
                  <c:v>0.94301</c:v>
                </c:pt>
                <c:pt idx="120">
                  <c:v>0.9776</c:v>
                </c:pt>
                <c:pt idx="121">
                  <c:v>1.01325</c:v>
                </c:pt>
                <c:pt idx="122">
                  <c:v>1.05</c:v>
                </c:pt>
                <c:pt idx="123">
                  <c:v>1.0878</c:v>
                </c:pt>
                <c:pt idx="124">
                  <c:v>1.1267</c:v>
                </c:pt>
                <c:pt idx="125">
                  <c:v>1.1668</c:v>
                </c:pt>
                <c:pt idx="126">
                  <c:v>1.208</c:v>
                </c:pt>
                <c:pt idx="127">
                  <c:v>1.2504</c:v>
                </c:pt>
                <c:pt idx="128">
                  <c:v>1.2941</c:v>
                </c:pt>
                <c:pt idx="129">
                  <c:v>1.339</c:v>
                </c:pt>
                <c:pt idx="130">
                  <c:v>1.3852</c:v>
                </c:pt>
                <c:pt idx="131">
                  <c:v>1.4326</c:v>
                </c:pt>
                <c:pt idx="132">
                  <c:v>1.4814</c:v>
                </c:pt>
                <c:pt idx="133">
                  <c:v>1.5316</c:v>
                </c:pt>
                <c:pt idx="134">
                  <c:v>1.5832</c:v>
                </c:pt>
                <c:pt idx="135">
                  <c:v>1.6361</c:v>
                </c:pt>
                <c:pt idx="136">
                  <c:v>1.6905</c:v>
                </c:pt>
                <c:pt idx="137">
                  <c:v>1.7464</c:v>
                </c:pt>
                <c:pt idx="138">
                  <c:v>1.8038</c:v>
                </c:pt>
                <c:pt idx="139">
                  <c:v>1.8628</c:v>
                </c:pt>
                <c:pt idx="140">
                  <c:v>1.9233</c:v>
                </c:pt>
                <c:pt idx="141">
                  <c:v>1.9854</c:v>
                </c:pt>
                <c:pt idx="142">
                  <c:v>2.0491</c:v>
                </c:pt>
                <c:pt idx="143">
                  <c:v>2.1145</c:v>
                </c:pt>
                <c:pt idx="144">
                  <c:v>2.1815</c:v>
                </c:pt>
                <c:pt idx="145">
                  <c:v>2.2503</c:v>
                </c:pt>
                <c:pt idx="146">
                  <c:v>2.3209</c:v>
                </c:pt>
                <c:pt idx="147">
                  <c:v>2.3932</c:v>
                </c:pt>
                <c:pt idx="148">
                  <c:v>2.4674</c:v>
                </c:pt>
                <c:pt idx="149">
                  <c:v>2.5434</c:v>
                </c:pt>
                <c:pt idx="150">
                  <c:v>2.6213</c:v>
                </c:pt>
                <c:pt idx="151">
                  <c:v>2.7012</c:v>
                </c:pt>
                <c:pt idx="152">
                  <c:v>2.783</c:v>
                </c:pt>
                <c:pt idx="153">
                  <c:v>2.8668</c:v>
                </c:pt>
                <c:pt idx="154">
                  <c:v>2.9527</c:v>
                </c:pt>
                <c:pt idx="155">
                  <c:v>3.0406</c:v>
                </c:pt>
                <c:pt idx="156">
                  <c:v>3.1306</c:v>
                </c:pt>
                <c:pt idx="157">
                  <c:v>3.2227</c:v>
                </c:pt>
                <c:pt idx="158">
                  <c:v>3.3171</c:v>
                </c:pt>
                <c:pt idx="159">
                  <c:v>3.4137</c:v>
                </c:pt>
                <c:pt idx="160">
                  <c:v>3.5125</c:v>
                </c:pt>
                <c:pt idx="161">
                  <c:v>3.6136</c:v>
                </c:pt>
                <c:pt idx="162">
                  <c:v>3.717</c:v>
                </c:pt>
                <c:pt idx="163">
                  <c:v>3.8228</c:v>
                </c:pt>
                <c:pt idx="164">
                  <c:v>3.9311</c:v>
                </c:pt>
                <c:pt idx="165">
                  <c:v>4.0418</c:v>
                </c:pt>
                <c:pt idx="166">
                  <c:v>4.155</c:v>
                </c:pt>
                <c:pt idx="167">
                  <c:v>4.2707</c:v>
                </c:pt>
                <c:pt idx="168">
                  <c:v>4.389</c:v>
                </c:pt>
                <c:pt idx="169">
                  <c:v>4.5099</c:v>
                </c:pt>
                <c:pt idx="170">
                  <c:v>4.6334</c:v>
                </c:pt>
                <c:pt idx="171">
                  <c:v>4.7597</c:v>
                </c:pt>
                <c:pt idx="172">
                  <c:v>4.8887</c:v>
                </c:pt>
                <c:pt idx="173">
                  <c:v>5.0205</c:v>
                </c:pt>
                <c:pt idx="174">
                  <c:v>5.1552</c:v>
                </c:pt>
                <c:pt idx="175">
                  <c:v>5.2926</c:v>
                </c:pt>
                <c:pt idx="176">
                  <c:v>5.4331</c:v>
                </c:pt>
                <c:pt idx="177">
                  <c:v>5.5764</c:v>
                </c:pt>
                <c:pt idx="178">
                  <c:v>5.7228</c:v>
                </c:pt>
                <c:pt idx="179">
                  <c:v>5.8722</c:v>
                </c:pt>
                <c:pt idx="180">
                  <c:v>6.0248</c:v>
                </c:pt>
                <c:pt idx="181">
                  <c:v>6.1804</c:v>
                </c:pt>
                <c:pt idx="182">
                  <c:v>6.3393</c:v>
                </c:pt>
                <c:pt idx="183">
                  <c:v>6.5014</c:v>
                </c:pt>
                <c:pt idx="184">
                  <c:v>6.6668</c:v>
                </c:pt>
                <c:pt idx="185">
                  <c:v>6.8355</c:v>
                </c:pt>
                <c:pt idx="186">
                  <c:v>7.0075</c:v>
                </c:pt>
                <c:pt idx="187">
                  <c:v>7.183</c:v>
                </c:pt>
                <c:pt idx="188">
                  <c:v>7.362</c:v>
                </c:pt>
                <c:pt idx="189">
                  <c:v>7.5445</c:v>
                </c:pt>
                <c:pt idx="190">
                  <c:v>7.7305</c:v>
                </c:pt>
                <c:pt idx="191">
                  <c:v>7.9202</c:v>
                </c:pt>
                <c:pt idx="192">
                  <c:v>8.1136</c:v>
                </c:pt>
                <c:pt idx="193">
                  <c:v>8.3106</c:v>
                </c:pt>
                <c:pt idx="194">
                  <c:v>8.5114</c:v>
                </c:pt>
                <c:pt idx="195">
                  <c:v>8.7161</c:v>
                </c:pt>
                <c:pt idx="196">
                  <c:v>8.9246</c:v>
                </c:pt>
                <c:pt idx="197">
                  <c:v>9.137</c:v>
                </c:pt>
                <c:pt idx="198">
                  <c:v>9.3534</c:v>
                </c:pt>
                <c:pt idx="199">
                  <c:v>9.5739</c:v>
                </c:pt>
                <c:pt idx="200">
                  <c:v>9.7984</c:v>
                </c:pt>
                <c:pt idx="201">
                  <c:v>10.027</c:v>
                </c:pt>
                <c:pt idx="202">
                  <c:v>10.26</c:v>
                </c:pt>
                <c:pt idx="203">
                  <c:v>10.497</c:v>
                </c:pt>
                <c:pt idx="204">
                  <c:v>10.738</c:v>
                </c:pt>
                <c:pt idx="205">
                  <c:v>10.984</c:v>
                </c:pt>
                <c:pt idx="206">
                  <c:v>11.234</c:v>
                </c:pt>
                <c:pt idx="207">
                  <c:v>11.488</c:v>
                </c:pt>
                <c:pt idx="208">
                  <c:v>11.748</c:v>
                </c:pt>
                <c:pt idx="209">
                  <c:v>12.011</c:v>
                </c:pt>
                <c:pt idx="210">
                  <c:v>12.279</c:v>
                </c:pt>
                <c:pt idx="211">
                  <c:v>12.552</c:v>
                </c:pt>
                <c:pt idx="212">
                  <c:v>12.83</c:v>
                </c:pt>
                <c:pt idx="213">
                  <c:v>13.112</c:v>
                </c:pt>
                <c:pt idx="214">
                  <c:v>13.4</c:v>
                </c:pt>
                <c:pt idx="215">
                  <c:v>13.692</c:v>
                </c:pt>
                <c:pt idx="216">
                  <c:v>13.989</c:v>
                </c:pt>
                <c:pt idx="217">
                  <c:v>14.291</c:v>
                </c:pt>
                <c:pt idx="218">
                  <c:v>14.598</c:v>
                </c:pt>
                <c:pt idx="219">
                  <c:v>14.91</c:v>
                </c:pt>
                <c:pt idx="220">
                  <c:v>15.228</c:v>
                </c:pt>
                <c:pt idx="221">
                  <c:v>15.551</c:v>
                </c:pt>
                <c:pt idx="222">
                  <c:v>15.879</c:v>
                </c:pt>
                <c:pt idx="223">
                  <c:v>16.212</c:v>
                </c:pt>
                <c:pt idx="224">
                  <c:v>16.551</c:v>
                </c:pt>
                <c:pt idx="225">
                  <c:v>16.895</c:v>
                </c:pt>
                <c:pt idx="226">
                  <c:v>17.245</c:v>
                </c:pt>
                <c:pt idx="227">
                  <c:v>17.601</c:v>
                </c:pt>
                <c:pt idx="228">
                  <c:v>17.962</c:v>
                </c:pt>
                <c:pt idx="229">
                  <c:v>18.329</c:v>
                </c:pt>
                <c:pt idx="230">
                  <c:v>18.701</c:v>
                </c:pt>
                <c:pt idx="231">
                  <c:v>19.079</c:v>
                </c:pt>
                <c:pt idx="232">
                  <c:v>19.464</c:v>
                </c:pt>
                <c:pt idx="233">
                  <c:v>19.855</c:v>
                </c:pt>
                <c:pt idx="234">
                  <c:v>20.251</c:v>
                </c:pt>
                <c:pt idx="235">
                  <c:v>20.654</c:v>
                </c:pt>
                <c:pt idx="236">
                  <c:v>21.063</c:v>
                </c:pt>
                <c:pt idx="237">
                  <c:v>21.478</c:v>
                </c:pt>
                <c:pt idx="238">
                  <c:v>21.899</c:v>
                </c:pt>
                <c:pt idx="239">
                  <c:v>22.327</c:v>
                </c:pt>
                <c:pt idx="240">
                  <c:v>22.761</c:v>
                </c:pt>
                <c:pt idx="241">
                  <c:v>23.201</c:v>
                </c:pt>
                <c:pt idx="242">
                  <c:v>23.648</c:v>
                </c:pt>
                <c:pt idx="243">
                  <c:v>24.102</c:v>
                </c:pt>
                <c:pt idx="244">
                  <c:v>24.563</c:v>
                </c:pt>
                <c:pt idx="245">
                  <c:v>25.03</c:v>
                </c:pt>
                <c:pt idx="246">
                  <c:v>25.504</c:v>
                </c:pt>
                <c:pt idx="247">
                  <c:v>25.985</c:v>
                </c:pt>
                <c:pt idx="248">
                  <c:v>26.473</c:v>
                </c:pt>
                <c:pt idx="249">
                  <c:v>26.968</c:v>
                </c:pt>
                <c:pt idx="250">
                  <c:v>27.47</c:v>
                </c:pt>
                <c:pt idx="251">
                  <c:v>27.979</c:v>
                </c:pt>
                <c:pt idx="252">
                  <c:v>28.495</c:v>
                </c:pt>
                <c:pt idx="253">
                  <c:v>29.019</c:v>
                </c:pt>
                <c:pt idx="254">
                  <c:v>29.55</c:v>
                </c:pt>
                <c:pt idx="255">
                  <c:v>30.089</c:v>
                </c:pt>
                <c:pt idx="256">
                  <c:v>30.635</c:v>
                </c:pt>
                <c:pt idx="257">
                  <c:v>31.189</c:v>
                </c:pt>
                <c:pt idx="258">
                  <c:v>31.75</c:v>
                </c:pt>
                <c:pt idx="259">
                  <c:v>32.319</c:v>
                </c:pt>
                <c:pt idx="260">
                  <c:v>32.896</c:v>
                </c:pt>
                <c:pt idx="261">
                  <c:v>33.48</c:v>
                </c:pt>
                <c:pt idx="262">
                  <c:v>34.073</c:v>
                </c:pt>
                <c:pt idx="263">
                  <c:v>34.674</c:v>
                </c:pt>
                <c:pt idx="264">
                  <c:v>35.282</c:v>
                </c:pt>
                <c:pt idx="265">
                  <c:v>35.899</c:v>
                </c:pt>
                <c:pt idx="266">
                  <c:v>36.524</c:v>
                </c:pt>
                <c:pt idx="267">
                  <c:v>37.158</c:v>
                </c:pt>
                <c:pt idx="268">
                  <c:v>37.8</c:v>
                </c:pt>
                <c:pt idx="269">
                  <c:v>38.45</c:v>
                </c:pt>
                <c:pt idx="270">
                  <c:v>39.109</c:v>
                </c:pt>
                <c:pt idx="271">
                  <c:v>39.776</c:v>
                </c:pt>
                <c:pt idx="272">
                  <c:v>40.452</c:v>
                </c:pt>
                <c:pt idx="273">
                  <c:v>41.137</c:v>
                </c:pt>
                <c:pt idx="274">
                  <c:v>41.83</c:v>
                </c:pt>
                <c:pt idx="275">
                  <c:v>42.533</c:v>
                </c:pt>
                <c:pt idx="276">
                  <c:v>43.245</c:v>
                </c:pt>
                <c:pt idx="277">
                  <c:v>43.965</c:v>
                </c:pt>
                <c:pt idx="278">
                  <c:v>44.695</c:v>
                </c:pt>
                <c:pt idx="279">
                  <c:v>45.434</c:v>
                </c:pt>
                <c:pt idx="280">
                  <c:v>46.182</c:v>
                </c:pt>
                <c:pt idx="281">
                  <c:v>46.94</c:v>
                </c:pt>
                <c:pt idx="282">
                  <c:v>47.707</c:v>
                </c:pt>
                <c:pt idx="283">
                  <c:v>48.484</c:v>
                </c:pt>
                <c:pt idx="284">
                  <c:v>49.27</c:v>
                </c:pt>
                <c:pt idx="285">
                  <c:v>50.066</c:v>
                </c:pt>
                <c:pt idx="286">
                  <c:v>50.872</c:v>
                </c:pt>
                <c:pt idx="287">
                  <c:v>51.688</c:v>
                </c:pt>
                <c:pt idx="288">
                  <c:v>52.514</c:v>
                </c:pt>
                <c:pt idx="289">
                  <c:v>53.349</c:v>
                </c:pt>
                <c:pt idx="290">
                  <c:v>54.195</c:v>
                </c:pt>
                <c:pt idx="291">
                  <c:v>55.051</c:v>
                </c:pt>
                <c:pt idx="292">
                  <c:v>55.917</c:v>
                </c:pt>
                <c:pt idx="293">
                  <c:v>56.794</c:v>
                </c:pt>
                <c:pt idx="294">
                  <c:v>57.681</c:v>
                </c:pt>
                <c:pt idx="295">
                  <c:v>58.579</c:v>
                </c:pt>
                <c:pt idx="296">
                  <c:v>59.487</c:v>
                </c:pt>
                <c:pt idx="297">
                  <c:v>60.406</c:v>
                </c:pt>
                <c:pt idx="298">
                  <c:v>61.336</c:v>
                </c:pt>
                <c:pt idx="299">
                  <c:v>62.277</c:v>
                </c:pt>
                <c:pt idx="300">
                  <c:v>63.228</c:v>
                </c:pt>
                <c:pt idx="301">
                  <c:v>64.191</c:v>
                </c:pt>
                <c:pt idx="302">
                  <c:v>65.165</c:v>
                </c:pt>
                <c:pt idx="303">
                  <c:v>66.15</c:v>
                </c:pt>
                <c:pt idx="304">
                  <c:v>67.147</c:v>
                </c:pt>
                <c:pt idx="305">
                  <c:v>68.155</c:v>
                </c:pt>
                <c:pt idx="306">
                  <c:v>69.174</c:v>
                </c:pt>
                <c:pt idx="307">
                  <c:v>70.206</c:v>
                </c:pt>
                <c:pt idx="308">
                  <c:v>71.249</c:v>
                </c:pt>
                <c:pt idx="309">
                  <c:v>72.303</c:v>
                </c:pt>
                <c:pt idx="310">
                  <c:v>73.37</c:v>
                </c:pt>
                <c:pt idx="311">
                  <c:v>74.448</c:v>
                </c:pt>
                <c:pt idx="312">
                  <c:v>75.539</c:v>
                </c:pt>
                <c:pt idx="313">
                  <c:v>76.642</c:v>
                </c:pt>
                <c:pt idx="314">
                  <c:v>77.757</c:v>
                </c:pt>
                <c:pt idx="315">
                  <c:v>78.885</c:v>
                </c:pt>
                <c:pt idx="316">
                  <c:v>80.025</c:v>
                </c:pt>
                <c:pt idx="317">
                  <c:v>81.178</c:v>
                </c:pt>
                <c:pt idx="318">
                  <c:v>82.343</c:v>
                </c:pt>
                <c:pt idx="319">
                  <c:v>83.521</c:v>
                </c:pt>
                <c:pt idx="320">
                  <c:v>84.712</c:v>
                </c:pt>
                <c:pt idx="321">
                  <c:v>85.917</c:v>
                </c:pt>
                <c:pt idx="322">
                  <c:v>87.134</c:v>
                </c:pt>
                <c:pt idx="323">
                  <c:v>88.364</c:v>
                </c:pt>
                <c:pt idx="324">
                  <c:v>89.608</c:v>
                </c:pt>
                <c:pt idx="325">
                  <c:v>90.865</c:v>
                </c:pt>
                <c:pt idx="326">
                  <c:v>92.136</c:v>
                </c:pt>
                <c:pt idx="327">
                  <c:v>93.42</c:v>
                </c:pt>
                <c:pt idx="328">
                  <c:v>94.719</c:v>
                </c:pt>
                <c:pt idx="329">
                  <c:v>96.031</c:v>
                </c:pt>
                <c:pt idx="330">
                  <c:v>97.357</c:v>
                </c:pt>
                <c:pt idx="331">
                  <c:v>98.697</c:v>
                </c:pt>
                <c:pt idx="332">
                  <c:v>100.05</c:v>
                </c:pt>
                <c:pt idx="333">
                  <c:v>101.42</c:v>
                </c:pt>
                <c:pt idx="334">
                  <c:v>102.8</c:v>
                </c:pt>
                <c:pt idx="335">
                  <c:v>104.2</c:v>
                </c:pt>
                <c:pt idx="336">
                  <c:v>105.61</c:v>
                </c:pt>
                <c:pt idx="337">
                  <c:v>107.04</c:v>
                </c:pt>
                <c:pt idx="338">
                  <c:v>108.48</c:v>
                </c:pt>
                <c:pt idx="339">
                  <c:v>109.94</c:v>
                </c:pt>
                <c:pt idx="340">
                  <c:v>111.41</c:v>
                </c:pt>
                <c:pt idx="341">
                  <c:v>112.9</c:v>
                </c:pt>
                <c:pt idx="342">
                  <c:v>114.4</c:v>
                </c:pt>
                <c:pt idx="343">
                  <c:v>115.92</c:v>
                </c:pt>
                <c:pt idx="344">
                  <c:v>117.46</c:v>
                </c:pt>
                <c:pt idx="345">
                  <c:v>119</c:v>
                </c:pt>
                <c:pt idx="346">
                  <c:v>120.57</c:v>
                </c:pt>
                <c:pt idx="347">
                  <c:v>122.15</c:v>
                </c:pt>
                <c:pt idx="348">
                  <c:v>123.75</c:v>
                </c:pt>
                <c:pt idx="349">
                  <c:v>125.37</c:v>
                </c:pt>
                <c:pt idx="350">
                  <c:v>127</c:v>
                </c:pt>
                <c:pt idx="351">
                  <c:v>128.65</c:v>
                </c:pt>
                <c:pt idx="352">
                  <c:v>130.31</c:v>
                </c:pt>
                <c:pt idx="353">
                  <c:v>131.99</c:v>
                </c:pt>
                <c:pt idx="354">
                  <c:v>133.69</c:v>
                </c:pt>
                <c:pt idx="355">
                  <c:v>135.41</c:v>
                </c:pt>
                <c:pt idx="356">
                  <c:v>137.14</c:v>
                </c:pt>
                <c:pt idx="357">
                  <c:v>138.89</c:v>
                </c:pt>
                <c:pt idx="358">
                  <c:v>140.66</c:v>
                </c:pt>
                <c:pt idx="359">
                  <c:v>142.45</c:v>
                </c:pt>
                <c:pt idx="360">
                  <c:v>144.26</c:v>
                </c:pt>
                <c:pt idx="361">
                  <c:v>146.08</c:v>
                </c:pt>
                <c:pt idx="362">
                  <c:v>147.92</c:v>
                </c:pt>
                <c:pt idx="363">
                  <c:v>149.78</c:v>
                </c:pt>
                <c:pt idx="364">
                  <c:v>151.66</c:v>
                </c:pt>
                <c:pt idx="365">
                  <c:v>153.56</c:v>
                </c:pt>
                <c:pt idx="366">
                  <c:v>155.48</c:v>
                </c:pt>
                <c:pt idx="367">
                  <c:v>157.42</c:v>
                </c:pt>
                <c:pt idx="368">
                  <c:v>159.37</c:v>
                </c:pt>
                <c:pt idx="369">
                  <c:v>161.35</c:v>
                </c:pt>
                <c:pt idx="370">
                  <c:v>163.35</c:v>
                </c:pt>
                <c:pt idx="371">
                  <c:v>165.37</c:v>
                </c:pt>
                <c:pt idx="372">
                  <c:v>167.41</c:v>
                </c:pt>
                <c:pt idx="373">
                  <c:v>169.47</c:v>
                </c:pt>
                <c:pt idx="374">
                  <c:v>171.55</c:v>
                </c:pt>
                <c:pt idx="375">
                  <c:v>173.65</c:v>
                </c:pt>
                <c:pt idx="376">
                  <c:v>175.77</c:v>
                </c:pt>
                <c:pt idx="377">
                  <c:v>177.92</c:v>
                </c:pt>
                <c:pt idx="378">
                  <c:v>180.09</c:v>
                </c:pt>
                <c:pt idx="379">
                  <c:v>182.28</c:v>
                </c:pt>
                <c:pt idx="380">
                  <c:v>184.5</c:v>
                </c:pt>
                <c:pt idx="381">
                  <c:v>186.74</c:v>
                </c:pt>
                <c:pt idx="382">
                  <c:v>189</c:v>
                </c:pt>
                <c:pt idx="383">
                  <c:v>191.29</c:v>
                </c:pt>
                <c:pt idx="384">
                  <c:v>193.6</c:v>
                </c:pt>
                <c:pt idx="385">
                  <c:v>195.94</c:v>
                </c:pt>
                <c:pt idx="386">
                  <c:v>198.3</c:v>
                </c:pt>
                <c:pt idx="387">
                  <c:v>200.69</c:v>
                </c:pt>
                <c:pt idx="388">
                  <c:v>203.11</c:v>
                </c:pt>
                <c:pt idx="389">
                  <c:v>205.55</c:v>
                </c:pt>
                <c:pt idx="390">
                  <c:v>208.03</c:v>
                </c:pt>
                <c:pt idx="391">
                  <c:v>210.53</c:v>
                </c:pt>
                <c:pt idx="392">
                  <c:v>213.06</c:v>
                </c:pt>
                <c:pt idx="393">
                  <c:v>215.62</c:v>
                </c:pt>
                <c:pt idx="394">
                  <c:v>218.21</c:v>
                </c:pt>
                <c:pt idx="395">
                  <c:v>220.84</c:v>
                </c:pt>
                <c:pt idx="396">
                  <c:v>221.15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92544"/>
        <c:axId val="176494080"/>
      </c:scatterChart>
      <c:valAx>
        <c:axId val="176492544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6494080"/>
        <c:crosses val="autoZero"/>
        <c:crossBetween val="midCat"/>
      </c:valAx>
      <c:valAx>
        <c:axId val="176494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649254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08c6e9-f3eb-4cbe-a816-b4cc13dac312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Пр3!$C$1</c:f>
              <c:strCache>
                <c:ptCount val="1"/>
                <c:pt idx="0">
                  <c:v>Термодинамическая Т, К</c:v>
                </c:pt>
              </c:strCache>
            </c:strRef>
          </c:tx>
          <c:dLbls>
            <c:delete val="1"/>
          </c:dLbls>
          <c:xVal>
            <c:numRef>
              <c:f>Пр3!$A$2:$A$398</c:f>
              <c:numCache>
                <c:formatCode>0.0</c:formatCode>
                <c:ptCount val="397"/>
                <c:pt idx="0">
                  <c:v>0</c:v>
                </c:pt>
                <c:pt idx="1" c:formatCode="0.00">
                  <c:v>0.01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  <c:pt idx="25">
                  <c:v>19.5</c:v>
                </c:pt>
                <c:pt idx="26">
                  <c:v>20</c:v>
                </c:pt>
                <c:pt idx="27">
                  <c:v>20.5</c:v>
                </c:pt>
                <c:pt idx="28">
                  <c:v>21</c:v>
                </c:pt>
                <c:pt idx="29">
                  <c:v>21.5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  <c:pt idx="33">
                  <c:v>23.5</c:v>
                </c:pt>
                <c:pt idx="34">
                  <c:v>24</c:v>
                </c:pt>
                <c:pt idx="35">
                  <c:v>24.5</c:v>
                </c:pt>
                <c:pt idx="36">
                  <c:v>25</c:v>
                </c:pt>
                <c:pt idx="37">
                  <c:v>25.5</c:v>
                </c:pt>
                <c:pt idx="38">
                  <c:v>26</c:v>
                </c:pt>
                <c:pt idx="39">
                  <c:v>26.5</c:v>
                </c:pt>
                <c:pt idx="40">
                  <c:v>27</c:v>
                </c:pt>
                <c:pt idx="41">
                  <c:v>27.5</c:v>
                </c:pt>
                <c:pt idx="42">
                  <c:v>28</c:v>
                </c:pt>
                <c:pt idx="43">
                  <c:v>28.5</c:v>
                </c:pt>
                <c:pt idx="44">
                  <c:v>29</c:v>
                </c:pt>
                <c:pt idx="45">
                  <c:v>29.5</c:v>
                </c:pt>
                <c:pt idx="46">
                  <c:v>30</c:v>
                </c:pt>
                <c:pt idx="47">
                  <c:v>30.5</c:v>
                </c:pt>
                <c:pt idx="48">
                  <c:v>31</c:v>
                </c:pt>
                <c:pt idx="49">
                  <c:v>31.5</c:v>
                </c:pt>
                <c:pt idx="50">
                  <c:v>32</c:v>
                </c:pt>
                <c:pt idx="51">
                  <c:v>32.5</c:v>
                </c:pt>
                <c:pt idx="52">
                  <c:v>33</c:v>
                </c:pt>
                <c:pt idx="53">
                  <c:v>33.5</c:v>
                </c:pt>
                <c:pt idx="54">
                  <c:v>34</c:v>
                </c:pt>
                <c:pt idx="55">
                  <c:v>34.5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 c:formatCode="0">
                  <c:v>100</c:v>
                </c:pt>
                <c:pt idx="122" c:formatCode="0">
                  <c:v>101</c:v>
                </c:pt>
                <c:pt idx="123" c:formatCode="0">
                  <c:v>102</c:v>
                </c:pt>
                <c:pt idx="124" c:formatCode="0">
                  <c:v>103</c:v>
                </c:pt>
                <c:pt idx="125" c:formatCode="0">
                  <c:v>104</c:v>
                </c:pt>
                <c:pt idx="126" c:formatCode="0">
                  <c:v>105</c:v>
                </c:pt>
                <c:pt idx="127" c:formatCode="0">
                  <c:v>106</c:v>
                </c:pt>
                <c:pt idx="128" c:formatCode="0">
                  <c:v>107</c:v>
                </c:pt>
                <c:pt idx="129" c:formatCode="0">
                  <c:v>108</c:v>
                </c:pt>
                <c:pt idx="130" c:formatCode="0">
                  <c:v>109</c:v>
                </c:pt>
                <c:pt idx="131" c:formatCode="0">
                  <c:v>110</c:v>
                </c:pt>
                <c:pt idx="132" c:formatCode="0">
                  <c:v>111</c:v>
                </c:pt>
                <c:pt idx="133" c:formatCode="0">
                  <c:v>112</c:v>
                </c:pt>
                <c:pt idx="134" c:formatCode="0">
                  <c:v>113</c:v>
                </c:pt>
                <c:pt idx="135" c:formatCode="0">
                  <c:v>114</c:v>
                </c:pt>
                <c:pt idx="136" c:formatCode="0">
                  <c:v>115</c:v>
                </c:pt>
                <c:pt idx="137" c:formatCode="0">
                  <c:v>116</c:v>
                </c:pt>
                <c:pt idx="138" c:formatCode="0">
                  <c:v>117</c:v>
                </c:pt>
                <c:pt idx="139" c:formatCode="0">
                  <c:v>118</c:v>
                </c:pt>
                <c:pt idx="140" c:formatCode="0">
                  <c:v>119</c:v>
                </c:pt>
                <c:pt idx="141" c:formatCode="0">
                  <c:v>120</c:v>
                </c:pt>
                <c:pt idx="142" c:formatCode="0">
                  <c:v>121</c:v>
                </c:pt>
                <c:pt idx="143" c:formatCode="0">
                  <c:v>122</c:v>
                </c:pt>
                <c:pt idx="144" c:formatCode="0">
                  <c:v>123</c:v>
                </c:pt>
                <c:pt idx="145" c:formatCode="0">
                  <c:v>124</c:v>
                </c:pt>
                <c:pt idx="146" c:formatCode="0">
                  <c:v>125</c:v>
                </c:pt>
                <c:pt idx="147" c:formatCode="0">
                  <c:v>126</c:v>
                </c:pt>
                <c:pt idx="148" c:formatCode="0">
                  <c:v>127</c:v>
                </c:pt>
                <c:pt idx="149" c:formatCode="0">
                  <c:v>128</c:v>
                </c:pt>
                <c:pt idx="150" c:formatCode="0">
                  <c:v>129</c:v>
                </c:pt>
                <c:pt idx="151" c:formatCode="0">
                  <c:v>130</c:v>
                </c:pt>
                <c:pt idx="152" c:formatCode="0">
                  <c:v>131</c:v>
                </c:pt>
                <c:pt idx="153" c:formatCode="0">
                  <c:v>132</c:v>
                </c:pt>
                <c:pt idx="154" c:formatCode="0">
                  <c:v>133</c:v>
                </c:pt>
                <c:pt idx="155" c:formatCode="0">
                  <c:v>134</c:v>
                </c:pt>
                <c:pt idx="156" c:formatCode="0">
                  <c:v>135</c:v>
                </c:pt>
                <c:pt idx="157" c:formatCode="0">
                  <c:v>136</c:v>
                </c:pt>
                <c:pt idx="158" c:formatCode="0">
                  <c:v>137</c:v>
                </c:pt>
                <c:pt idx="159" c:formatCode="0">
                  <c:v>138</c:v>
                </c:pt>
                <c:pt idx="160" c:formatCode="0">
                  <c:v>139</c:v>
                </c:pt>
                <c:pt idx="161" c:formatCode="0">
                  <c:v>140</c:v>
                </c:pt>
                <c:pt idx="162" c:formatCode="0">
                  <c:v>141</c:v>
                </c:pt>
                <c:pt idx="163" c:formatCode="0">
                  <c:v>142</c:v>
                </c:pt>
                <c:pt idx="164" c:formatCode="0">
                  <c:v>143</c:v>
                </c:pt>
                <c:pt idx="165" c:formatCode="0">
                  <c:v>144</c:v>
                </c:pt>
                <c:pt idx="166" c:formatCode="0">
                  <c:v>145</c:v>
                </c:pt>
                <c:pt idx="167" c:formatCode="0">
                  <c:v>146</c:v>
                </c:pt>
                <c:pt idx="168" c:formatCode="0">
                  <c:v>147</c:v>
                </c:pt>
                <c:pt idx="169" c:formatCode="0">
                  <c:v>148</c:v>
                </c:pt>
                <c:pt idx="170" c:formatCode="0">
                  <c:v>149</c:v>
                </c:pt>
                <c:pt idx="171" c:formatCode="0">
                  <c:v>150</c:v>
                </c:pt>
                <c:pt idx="172" c:formatCode="0">
                  <c:v>151</c:v>
                </c:pt>
                <c:pt idx="173" c:formatCode="0">
                  <c:v>152</c:v>
                </c:pt>
                <c:pt idx="174" c:formatCode="0">
                  <c:v>153</c:v>
                </c:pt>
                <c:pt idx="175" c:formatCode="0">
                  <c:v>154</c:v>
                </c:pt>
                <c:pt idx="176" c:formatCode="0">
                  <c:v>155</c:v>
                </c:pt>
                <c:pt idx="177" c:formatCode="0">
                  <c:v>156</c:v>
                </c:pt>
                <c:pt idx="178" c:formatCode="0">
                  <c:v>157</c:v>
                </c:pt>
                <c:pt idx="179" c:formatCode="0">
                  <c:v>158</c:v>
                </c:pt>
                <c:pt idx="180" c:formatCode="0">
                  <c:v>159</c:v>
                </c:pt>
                <c:pt idx="181" c:formatCode="0">
                  <c:v>160</c:v>
                </c:pt>
                <c:pt idx="182" c:formatCode="0">
                  <c:v>161</c:v>
                </c:pt>
                <c:pt idx="183" c:formatCode="0">
                  <c:v>162</c:v>
                </c:pt>
                <c:pt idx="184" c:formatCode="0">
                  <c:v>163</c:v>
                </c:pt>
                <c:pt idx="185" c:formatCode="0">
                  <c:v>164</c:v>
                </c:pt>
                <c:pt idx="186" c:formatCode="0">
                  <c:v>165</c:v>
                </c:pt>
                <c:pt idx="187" c:formatCode="0">
                  <c:v>166</c:v>
                </c:pt>
                <c:pt idx="188" c:formatCode="0">
                  <c:v>167</c:v>
                </c:pt>
                <c:pt idx="189" c:formatCode="0">
                  <c:v>168</c:v>
                </c:pt>
                <c:pt idx="190" c:formatCode="0">
                  <c:v>169</c:v>
                </c:pt>
                <c:pt idx="191" c:formatCode="0">
                  <c:v>170</c:v>
                </c:pt>
                <c:pt idx="192" c:formatCode="0">
                  <c:v>171</c:v>
                </c:pt>
                <c:pt idx="193" c:formatCode="0">
                  <c:v>172</c:v>
                </c:pt>
                <c:pt idx="194" c:formatCode="0">
                  <c:v>173</c:v>
                </c:pt>
                <c:pt idx="195" c:formatCode="0">
                  <c:v>174</c:v>
                </c:pt>
                <c:pt idx="196" c:formatCode="0">
                  <c:v>175</c:v>
                </c:pt>
                <c:pt idx="197" c:formatCode="0">
                  <c:v>176</c:v>
                </c:pt>
                <c:pt idx="198" c:formatCode="0">
                  <c:v>177</c:v>
                </c:pt>
                <c:pt idx="199" c:formatCode="0">
                  <c:v>178</c:v>
                </c:pt>
                <c:pt idx="200" c:formatCode="0">
                  <c:v>179</c:v>
                </c:pt>
                <c:pt idx="201" c:formatCode="0">
                  <c:v>180</c:v>
                </c:pt>
                <c:pt idx="202" c:formatCode="0">
                  <c:v>181</c:v>
                </c:pt>
                <c:pt idx="203" c:formatCode="0">
                  <c:v>182</c:v>
                </c:pt>
                <c:pt idx="204" c:formatCode="0">
                  <c:v>183</c:v>
                </c:pt>
                <c:pt idx="205" c:formatCode="0">
                  <c:v>184</c:v>
                </c:pt>
                <c:pt idx="206" c:formatCode="0">
                  <c:v>185</c:v>
                </c:pt>
                <c:pt idx="207" c:formatCode="0">
                  <c:v>186</c:v>
                </c:pt>
                <c:pt idx="208" c:formatCode="0">
                  <c:v>187</c:v>
                </c:pt>
                <c:pt idx="209" c:formatCode="0">
                  <c:v>188</c:v>
                </c:pt>
                <c:pt idx="210" c:formatCode="0">
                  <c:v>189</c:v>
                </c:pt>
                <c:pt idx="211" c:formatCode="0">
                  <c:v>190</c:v>
                </c:pt>
                <c:pt idx="212" c:formatCode="0">
                  <c:v>191</c:v>
                </c:pt>
                <c:pt idx="213" c:formatCode="0">
                  <c:v>192</c:v>
                </c:pt>
                <c:pt idx="214" c:formatCode="0">
                  <c:v>193</c:v>
                </c:pt>
                <c:pt idx="215" c:formatCode="0">
                  <c:v>194</c:v>
                </c:pt>
                <c:pt idx="216" c:formatCode="0">
                  <c:v>195</c:v>
                </c:pt>
                <c:pt idx="217" c:formatCode="0">
                  <c:v>196</c:v>
                </c:pt>
                <c:pt idx="218" c:formatCode="0">
                  <c:v>197</c:v>
                </c:pt>
                <c:pt idx="219" c:formatCode="0">
                  <c:v>198</c:v>
                </c:pt>
                <c:pt idx="220" c:formatCode="0">
                  <c:v>199</c:v>
                </c:pt>
                <c:pt idx="221" c:formatCode="0">
                  <c:v>200</c:v>
                </c:pt>
                <c:pt idx="222" c:formatCode="0">
                  <c:v>201</c:v>
                </c:pt>
                <c:pt idx="223" c:formatCode="0">
                  <c:v>202</c:v>
                </c:pt>
                <c:pt idx="224" c:formatCode="0">
                  <c:v>203</c:v>
                </c:pt>
                <c:pt idx="225" c:formatCode="0">
                  <c:v>204</c:v>
                </c:pt>
                <c:pt idx="226" c:formatCode="0">
                  <c:v>205</c:v>
                </c:pt>
                <c:pt idx="227" c:formatCode="0">
                  <c:v>206</c:v>
                </c:pt>
                <c:pt idx="228" c:formatCode="0">
                  <c:v>207</c:v>
                </c:pt>
                <c:pt idx="229" c:formatCode="0">
                  <c:v>208</c:v>
                </c:pt>
                <c:pt idx="230" c:formatCode="0">
                  <c:v>209</c:v>
                </c:pt>
                <c:pt idx="231" c:formatCode="0">
                  <c:v>210</c:v>
                </c:pt>
                <c:pt idx="232" c:formatCode="0">
                  <c:v>211</c:v>
                </c:pt>
                <c:pt idx="233" c:formatCode="0">
                  <c:v>212</c:v>
                </c:pt>
                <c:pt idx="234" c:formatCode="0">
                  <c:v>213</c:v>
                </c:pt>
                <c:pt idx="235" c:formatCode="0">
                  <c:v>214</c:v>
                </c:pt>
                <c:pt idx="236" c:formatCode="0">
                  <c:v>215</c:v>
                </c:pt>
                <c:pt idx="237" c:formatCode="0">
                  <c:v>216</c:v>
                </c:pt>
                <c:pt idx="238" c:formatCode="0">
                  <c:v>217</c:v>
                </c:pt>
                <c:pt idx="239" c:formatCode="0">
                  <c:v>218</c:v>
                </c:pt>
                <c:pt idx="240" c:formatCode="0">
                  <c:v>219</c:v>
                </c:pt>
                <c:pt idx="241" c:formatCode="0">
                  <c:v>220</c:v>
                </c:pt>
                <c:pt idx="242" c:formatCode="0">
                  <c:v>221</c:v>
                </c:pt>
                <c:pt idx="243" c:formatCode="0">
                  <c:v>222</c:v>
                </c:pt>
                <c:pt idx="244" c:formatCode="0">
                  <c:v>223</c:v>
                </c:pt>
                <c:pt idx="245" c:formatCode="0">
                  <c:v>224</c:v>
                </c:pt>
                <c:pt idx="246" c:formatCode="0">
                  <c:v>225</c:v>
                </c:pt>
                <c:pt idx="247" c:formatCode="0">
                  <c:v>226</c:v>
                </c:pt>
                <c:pt idx="248" c:formatCode="0">
                  <c:v>227</c:v>
                </c:pt>
                <c:pt idx="249" c:formatCode="0">
                  <c:v>228</c:v>
                </c:pt>
                <c:pt idx="250" c:formatCode="0">
                  <c:v>229</c:v>
                </c:pt>
                <c:pt idx="251" c:formatCode="0">
                  <c:v>230</c:v>
                </c:pt>
                <c:pt idx="252" c:formatCode="0">
                  <c:v>231</c:v>
                </c:pt>
                <c:pt idx="253" c:formatCode="0">
                  <c:v>232</c:v>
                </c:pt>
                <c:pt idx="254" c:formatCode="0">
                  <c:v>233</c:v>
                </c:pt>
                <c:pt idx="255" c:formatCode="0">
                  <c:v>234</c:v>
                </c:pt>
                <c:pt idx="256" c:formatCode="0">
                  <c:v>235</c:v>
                </c:pt>
                <c:pt idx="257" c:formatCode="0">
                  <c:v>236</c:v>
                </c:pt>
                <c:pt idx="258" c:formatCode="0">
                  <c:v>237</c:v>
                </c:pt>
                <c:pt idx="259" c:formatCode="0">
                  <c:v>238</c:v>
                </c:pt>
                <c:pt idx="260" c:formatCode="0">
                  <c:v>239</c:v>
                </c:pt>
                <c:pt idx="261" c:formatCode="0">
                  <c:v>240</c:v>
                </c:pt>
                <c:pt idx="262" c:formatCode="0">
                  <c:v>241</c:v>
                </c:pt>
                <c:pt idx="263" c:formatCode="0">
                  <c:v>242</c:v>
                </c:pt>
                <c:pt idx="264" c:formatCode="0">
                  <c:v>243</c:v>
                </c:pt>
                <c:pt idx="265" c:formatCode="0">
                  <c:v>244</c:v>
                </c:pt>
                <c:pt idx="266" c:formatCode="0">
                  <c:v>245</c:v>
                </c:pt>
                <c:pt idx="267" c:formatCode="0">
                  <c:v>246</c:v>
                </c:pt>
                <c:pt idx="268" c:formatCode="0">
                  <c:v>247</c:v>
                </c:pt>
                <c:pt idx="269" c:formatCode="0">
                  <c:v>248</c:v>
                </c:pt>
                <c:pt idx="270" c:formatCode="0">
                  <c:v>249</c:v>
                </c:pt>
                <c:pt idx="271" c:formatCode="0">
                  <c:v>250</c:v>
                </c:pt>
                <c:pt idx="272" c:formatCode="0">
                  <c:v>251</c:v>
                </c:pt>
                <c:pt idx="273" c:formatCode="0">
                  <c:v>252</c:v>
                </c:pt>
                <c:pt idx="274" c:formatCode="0">
                  <c:v>253</c:v>
                </c:pt>
                <c:pt idx="275" c:formatCode="0">
                  <c:v>254</c:v>
                </c:pt>
                <c:pt idx="276" c:formatCode="0">
                  <c:v>255</c:v>
                </c:pt>
                <c:pt idx="277" c:formatCode="0">
                  <c:v>256</c:v>
                </c:pt>
                <c:pt idx="278" c:formatCode="0">
                  <c:v>257</c:v>
                </c:pt>
                <c:pt idx="279" c:formatCode="0">
                  <c:v>258</c:v>
                </c:pt>
                <c:pt idx="280" c:formatCode="0">
                  <c:v>259</c:v>
                </c:pt>
                <c:pt idx="281" c:formatCode="0">
                  <c:v>260</c:v>
                </c:pt>
                <c:pt idx="282" c:formatCode="0">
                  <c:v>261</c:v>
                </c:pt>
                <c:pt idx="283" c:formatCode="0">
                  <c:v>262</c:v>
                </c:pt>
                <c:pt idx="284" c:formatCode="0">
                  <c:v>263</c:v>
                </c:pt>
                <c:pt idx="285" c:formatCode="0">
                  <c:v>264</c:v>
                </c:pt>
                <c:pt idx="286" c:formatCode="0">
                  <c:v>265</c:v>
                </c:pt>
                <c:pt idx="287" c:formatCode="0">
                  <c:v>266</c:v>
                </c:pt>
                <c:pt idx="288" c:formatCode="0">
                  <c:v>267</c:v>
                </c:pt>
                <c:pt idx="289" c:formatCode="0">
                  <c:v>268</c:v>
                </c:pt>
                <c:pt idx="290" c:formatCode="0">
                  <c:v>269</c:v>
                </c:pt>
                <c:pt idx="291" c:formatCode="0">
                  <c:v>270</c:v>
                </c:pt>
                <c:pt idx="292" c:formatCode="0">
                  <c:v>271</c:v>
                </c:pt>
                <c:pt idx="293" c:formatCode="0">
                  <c:v>272</c:v>
                </c:pt>
                <c:pt idx="294" c:formatCode="0">
                  <c:v>273</c:v>
                </c:pt>
                <c:pt idx="295" c:formatCode="0">
                  <c:v>274</c:v>
                </c:pt>
                <c:pt idx="296" c:formatCode="0">
                  <c:v>275</c:v>
                </c:pt>
                <c:pt idx="297" c:formatCode="0">
                  <c:v>276</c:v>
                </c:pt>
                <c:pt idx="298" c:formatCode="0">
                  <c:v>277</c:v>
                </c:pt>
                <c:pt idx="299" c:formatCode="0">
                  <c:v>278</c:v>
                </c:pt>
                <c:pt idx="300" c:formatCode="0">
                  <c:v>279</c:v>
                </c:pt>
                <c:pt idx="301" c:formatCode="0">
                  <c:v>280</c:v>
                </c:pt>
                <c:pt idx="302" c:formatCode="0">
                  <c:v>281</c:v>
                </c:pt>
                <c:pt idx="303" c:formatCode="0">
                  <c:v>282</c:v>
                </c:pt>
                <c:pt idx="304" c:formatCode="0">
                  <c:v>283</c:v>
                </c:pt>
                <c:pt idx="305" c:formatCode="0">
                  <c:v>284</c:v>
                </c:pt>
                <c:pt idx="306" c:formatCode="0">
                  <c:v>285</c:v>
                </c:pt>
                <c:pt idx="307" c:formatCode="0">
                  <c:v>286</c:v>
                </c:pt>
                <c:pt idx="308" c:formatCode="0">
                  <c:v>287</c:v>
                </c:pt>
                <c:pt idx="309" c:formatCode="0">
                  <c:v>288</c:v>
                </c:pt>
                <c:pt idx="310" c:formatCode="0">
                  <c:v>289</c:v>
                </c:pt>
                <c:pt idx="311" c:formatCode="0">
                  <c:v>290</c:v>
                </c:pt>
                <c:pt idx="312" c:formatCode="0">
                  <c:v>291</c:v>
                </c:pt>
                <c:pt idx="313" c:formatCode="0">
                  <c:v>292</c:v>
                </c:pt>
                <c:pt idx="314" c:formatCode="0">
                  <c:v>293</c:v>
                </c:pt>
                <c:pt idx="315" c:formatCode="0">
                  <c:v>294</c:v>
                </c:pt>
                <c:pt idx="316" c:formatCode="0">
                  <c:v>295</c:v>
                </c:pt>
                <c:pt idx="317" c:formatCode="0">
                  <c:v>296</c:v>
                </c:pt>
                <c:pt idx="318" c:formatCode="0">
                  <c:v>297</c:v>
                </c:pt>
                <c:pt idx="319" c:formatCode="0">
                  <c:v>298</c:v>
                </c:pt>
                <c:pt idx="320" c:formatCode="0">
                  <c:v>299</c:v>
                </c:pt>
                <c:pt idx="321" c:formatCode="0">
                  <c:v>300</c:v>
                </c:pt>
                <c:pt idx="322" c:formatCode="0">
                  <c:v>301</c:v>
                </c:pt>
                <c:pt idx="323" c:formatCode="0">
                  <c:v>302</c:v>
                </c:pt>
                <c:pt idx="324" c:formatCode="0">
                  <c:v>303</c:v>
                </c:pt>
                <c:pt idx="325" c:formatCode="0">
                  <c:v>304</c:v>
                </c:pt>
                <c:pt idx="326" c:formatCode="0">
                  <c:v>305</c:v>
                </c:pt>
                <c:pt idx="327" c:formatCode="0">
                  <c:v>306</c:v>
                </c:pt>
                <c:pt idx="328" c:formatCode="0">
                  <c:v>307</c:v>
                </c:pt>
                <c:pt idx="329" c:formatCode="0">
                  <c:v>308</c:v>
                </c:pt>
                <c:pt idx="330" c:formatCode="0">
                  <c:v>309</c:v>
                </c:pt>
                <c:pt idx="331" c:formatCode="0">
                  <c:v>310</c:v>
                </c:pt>
                <c:pt idx="332" c:formatCode="0">
                  <c:v>311</c:v>
                </c:pt>
                <c:pt idx="333" c:formatCode="0">
                  <c:v>312</c:v>
                </c:pt>
                <c:pt idx="334" c:formatCode="0">
                  <c:v>313</c:v>
                </c:pt>
                <c:pt idx="335" c:formatCode="0">
                  <c:v>314</c:v>
                </c:pt>
                <c:pt idx="336" c:formatCode="0">
                  <c:v>315</c:v>
                </c:pt>
                <c:pt idx="337" c:formatCode="0">
                  <c:v>316</c:v>
                </c:pt>
                <c:pt idx="338" c:formatCode="0">
                  <c:v>317</c:v>
                </c:pt>
                <c:pt idx="339" c:formatCode="0">
                  <c:v>318</c:v>
                </c:pt>
                <c:pt idx="340" c:formatCode="0">
                  <c:v>319</c:v>
                </c:pt>
                <c:pt idx="341" c:formatCode="0">
                  <c:v>320</c:v>
                </c:pt>
                <c:pt idx="342" c:formatCode="0">
                  <c:v>321</c:v>
                </c:pt>
                <c:pt idx="343" c:formatCode="0">
                  <c:v>322</c:v>
                </c:pt>
                <c:pt idx="344" c:formatCode="0">
                  <c:v>323</c:v>
                </c:pt>
                <c:pt idx="345" c:formatCode="0">
                  <c:v>324</c:v>
                </c:pt>
                <c:pt idx="346" c:formatCode="0">
                  <c:v>325</c:v>
                </c:pt>
                <c:pt idx="347" c:formatCode="0">
                  <c:v>326</c:v>
                </c:pt>
                <c:pt idx="348" c:formatCode="0">
                  <c:v>327</c:v>
                </c:pt>
                <c:pt idx="349" c:formatCode="0">
                  <c:v>328</c:v>
                </c:pt>
                <c:pt idx="350" c:formatCode="0">
                  <c:v>329</c:v>
                </c:pt>
                <c:pt idx="351" c:formatCode="0">
                  <c:v>330</c:v>
                </c:pt>
                <c:pt idx="352" c:formatCode="0">
                  <c:v>331</c:v>
                </c:pt>
                <c:pt idx="353" c:formatCode="0">
                  <c:v>332</c:v>
                </c:pt>
                <c:pt idx="354" c:formatCode="0">
                  <c:v>333</c:v>
                </c:pt>
                <c:pt idx="355" c:formatCode="0">
                  <c:v>334</c:v>
                </c:pt>
                <c:pt idx="356" c:formatCode="0">
                  <c:v>335</c:v>
                </c:pt>
                <c:pt idx="357" c:formatCode="0">
                  <c:v>336</c:v>
                </c:pt>
                <c:pt idx="358" c:formatCode="0">
                  <c:v>337</c:v>
                </c:pt>
                <c:pt idx="359" c:formatCode="0">
                  <c:v>338</c:v>
                </c:pt>
                <c:pt idx="360" c:formatCode="0">
                  <c:v>339</c:v>
                </c:pt>
                <c:pt idx="361" c:formatCode="0">
                  <c:v>340</c:v>
                </c:pt>
                <c:pt idx="362" c:formatCode="0">
                  <c:v>341</c:v>
                </c:pt>
                <c:pt idx="363" c:formatCode="0">
                  <c:v>342</c:v>
                </c:pt>
                <c:pt idx="364" c:formatCode="0">
                  <c:v>343</c:v>
                </c:pt>
                <c:pt idx="365" c:formatCode="0">
                  <c:v>344</c:v>
                </c:pt>
                <c:pt idx="366" c:formatCode="0">
                  <c:v>345</c:v>
                </c:pt>
                <c:pt idx="367" c:formatCode="0">
                  <c:v>346</c:v>
                </c:pt>
                <c:pt idx="368" c:formatCode="0">
                  <c:v>347</c:v>
                </c:pt>
                <c:pt idx="369" c:formatCode="0">
                  <c:v>348</c:v>
                </c:pt>
                <c:pt idx="370" c:formatCode="0">
                  <c:v>349</c:v>
                </c:pt>
                <c:pt idx="371" c:formatCode="0">
                  <c:v>350</c:v>
                </c:pt>
                <c:pt idx="372" c:formatCode="0">
                  <c:v>351</c:v>
                </c:pt>
                <c:pt idx="373" c:formatCode="0">
                  <c:v>352</c:v>
                </c:pt>
                <c:pt idx="374" c:formatCode="0">
                  <c:v>353</c:v>
                </c:pt>
                <c:pt idx="375" c:formatCode="0">
                  <c:v>354</c:v>
                </c:pt>
                <c:pt idx="376" c:formatCode="0">
                  <c:v>355</c:v>
                </c:pt>
                <c:pt idx="377" c:formatCode="0">
                  <c:v>356</c:v>
                </c:pt>
                <c:pt idx="378" c:formatCode="0">
                  <c:v>357</c:v>
                </c:pt>
                <c:pt idx="379" c:formatCode="0">
                  <c:v>358</c:v>
                </c:pt>
                <c:pt idx="380" c:formatCode="0">
                  <c:v>359</c:v>
                </c:pt>
                <c:pt idx="381" c:formatCode="0">
                  <c:v>360</c:v>
                </c:pt>
                <c:pt idx="382" c:formatCode="0">
                  <c:v>361</c:v>
                </c:pt>
                <c:pt idx="383" c:formatCode="0">
                  <c:v>362</c:v>
                </c:pt>
                <c:pt idx="384" c:formatCode="0">
                  <c:v>363</c:v>
                </c:pt>
                <c:pt idx="385" c:formatCode="0">
                  <c:v>364</c:v>
                </c:pt>
                <c:pt idx="386" c:formatCode="0">
                  <c:v>365</c:v>
                </c:pt>
                <c:pt idx="387" c:formatCode="0">
                  <c:v>366</c:v>
                </c:pt>
                <c:pt idx="388" c:formatCode="0">
                  <c:v>367</c:v>
                </c:pt>
                <c:pt idx="389" c:formatCode="0">
                  <c:v>368</c:v>
                </c:pt>
                <c:pt idx="390" c:formatCode="0">
                  <c:v>369</c:v>
                </c:pt>
                <c:pt idx="391" c:formatCode="0">
                  <c:v>370</c:v>
                </c:pt>
                <c:pt idx="392" c:formatCode="0">
                  <c:v>371</c:v>
                </c:pt>
                <c:pt idx="393" c:formatCode="0">
                  <c:v>372</c:v>
                </c:pt>
                <c:pt idx="394" c:formatCode="0">
                  <c:v>373</c:v>
                </c:pt>
                <c:pt idx="395" c:formatCode="0">
                  <c:v>374</c:v>
                </c:pt>
                <c:pt idx="396" c:formatCode="0.00">
                  <c:v>374.12</c:v>
                </c:pt>
              </c:numCache>
            </c:numRef>
          </c:xVal>
          <c:yVal>
            <c:numRef>
              <c:f>Пр3!$C$2:$C$398</c:f>
              <c:numCache>
                <c:formatCode>General</c:formatCode>
                <c:ptCount val="397"/>
                <c:pt idx="0">
                  <c:v>273.15</c:v>
                </c:pt>
                <c:pt idx="1">
                  <c:v>273.16</c:v>
                </c:pt>
                <c:pt idx="2">
                  <c:v>274.15</c:v>
                </c:pt>
                <c:pt idx="3">
                  <c:v>275.15</c:v>
                </c:pt>
                <c:pt idx="4">
                  <c:v>276.15</c:v>
                </c:pt>
                <c:pt idx="5">
                  <c:v>277.15</c:v>
                </c:pt>
                <c:pt idx="6">
                  <c:v>278.15</c:v>
                </c:pt>
                <c:pt idx="7">
                  <c:v>279.15</c:v>
                </c:pt>
                <c:pt idx="8">
                  <c:v>280.15</c:v>
                </c:pt>
                <c:pt idx="9">
                  <c:v>281.15</c:v>
                </c:pt>
                <c:pt idx="10">
                  <c:v>282.15</c:v>
                </c:pt>
                <c:pt idx="11">
                  <c:v>283.15</c:v>
                </c:pt>
                <c:pt idx="12">
                  <c:v>284.15</c:v>
                </c:pt>
                <c:pt idx="13">
                  <c:v>285.15</c:v>
                </c:pt>
                <c:pt idx="14">
                  <c:v>286.15</c:v>
                </c:pt>
                <c:pt idx="15">
                  <c:v>287.15</c:v>
                </c:pt>
                <c:pt idx="16">
                  <c:v>288.15</c:v>
                </c:pt>
                <c:pt idx="17">
                  <c:v>288.65</c:v>
                </c:pt>
                <c:pt idx="18">
                  <c:v>289.15</c:v>
                </c:pt>
                <c:pt idx="19">
                  <c:v>289.65</c:v>
                </c:pt>
                <c:pt idx="20">
                  <c:v>290.15</c:v>
                </c:pt>
                <c:pt idx="21">
                  <c:v>290.65</c:v>
                </c:pt>
                <c:pt idx="22">
                  <c:v>291.15</c:v>
                </c:pt>
                <c:pt idx="23">
                  <c:v>291.65</c:v>
                </c:pt>
                <c:pt idx="24">
                  <c:v>292.15</c:v>
                </c:pt>
                <c:pt idx="25">
                  <c:v>292.65</c:v>
                </c:pt>
                <c:pt idx="26">
                  <c:v>293.15</c:v>
                </c:pt>
                <c:pt idx="27">
                  <c:v>293.65</c:v>
                </c:pt>
                <c:pt idx="28">
                  <c:v>294.15</c:v>
                </c:pt>
                <c:pt idx="29">
                  <c:v>294.65</c:v>
                </c:pt>
                <c:pt idx="30">
                  <c:v>295.15</c:v>
                </c:pt>
                <c:pt idx="31">
                  <c:v>295.65</c:v>
                </c:pt>
                <c:pt idx="32">
                  <c:v>296.15</c:v>
                </c:pt>
                <c:pt idx="33">
                  <c:v>296.65</c:v>
                </c:pt>
                <c:pt idx="34">
                  <c:v>297.15</c:v>
                </c:pt>
                <c:pt idx="35">
                  <c:v>297.65</c:v>
                </c:pt>
                <c:pt idx="36">
                  <c:v>298.15</c:v>
                </c:pt>
                <c:pt idx="37">
                  <c:v>298.65</c:v>
                </c:pt>
                <c:pt idx="38">
                  <c:v>299.15</c:v>
                </c:pt>
                <c:pt idx="39">
                  <c:v>299.65</c:v>
                </c:pt>
                <c:pt idx="40">
                  <c:v>300.15</c:v>
                </c:pt>
                <c:pt idx="41">
                  <c:v>300.65</c:v>
                </c:pt>
                <c:pt idx="42">
                  <c:v>301.15</c:v>
                </c:pt>
                <c:pt idx="43">
                  <c:v>301.65</c:v>
                </c:pt>
                <c:pt idx="44">
                  <c:v>302.15</c:v>
                </c:pt>
                <c:pt idx="45">
                  <c:v>302.65</c:v>
                </c:pt>
                <c:pt idx="46">
                  <c:v>303.15</c:v>
                </c:pt>
                <c:pt idx="47">
                  <c:v>303.65</c:v>
                </c:pt>
                <c:pt idx="48">
                  <c:v>304.15</c:v>
                </c:pt>
                <c:pt idx="49">
                  <c:v>304.65</c:v>
                </c:pt>
                <c:pt idx="50">
                  <c:v>305.15</c:v>
                </c:pt>
                <c:pt idx="51">
                  <c:v>305.65</c:v>
                </c:pt>
                <c:pt idx="52">
                  <c:v>306.15</c:v>
                </c:pt>
                <c:pt idx="53">
                  <c:v>306.65</c:v>
                </c:pt>
                <c:pt idx="54">
                  <c:v>307.15</c:v>
                </c:pt>
                <c:pt idx="55">
                  <c:v>307.65</c:v>
                </c:pt>
                <c:pt idx="56">
                  <c:v>308.15</c:v>
                </c:pt>
                <c:pt idx="57">
                  <c:v>309.15</c:v>
                </c:pt>
                <c:pt idx="58">
                  <c:v>310.15</c:v>
                </c:pt>
                <c:pt idx="59">
                  <c:v>311.15</c:v>
                </c:pt>
                <c:pt idx="60">
                  <c:v>312.15</c:v>
                </c:pt>
                <c:pt idx="61">
                  <c:v>313.15</c:v>
                </c:pt>
                <c:pt idx="62">
                  <c:v>314.15</c:v>
                </c:pt>
                <c:pt idx="63">
                  <c:v>315.15</c:v>
                </c:pt>
                <c:pt idx="64">
                  <c:v>316.15</c:v>
                </c:pt>
                <c:pt idx="65">
                  <c:v>317.15</c:v>
                </c:pt>
                <c:pt idx="66">
                  <c:v>318.15</c:v>
                </c:pt>
                <c:pt idx="67">
                  <c:v>319.15</c:v>
                </c:pt>
                <c:pt idx="68">
                  <c:v>320.15</c:v>
                </c:pt>
                <c:pt idx="69">
                  <c:v>321.15</c:v>
                </c:pt>
                <c:pt idx="70">
                  <c:v>322.15</c:v>
                </c:pt>
                <c:pt idx="71">
                  <c:v>323.15</c:v>
                </c:pt>
                <c:pt idx="72">
                  <c:v>324.15</c:v>
                </c:pt>
                <c:pt idx="73">
                  <c:v>325.15</c:v>
                </c:pt>
                <c:pt idx="74">
                  <c:v>326.15</c:v>
                </c:pt>
                <c:pt idx="75">
                  <c:v>327.15</c:v>
                </c:pt>
                <c:pt idx="76">
                  <c:v>328.15</c:v>
                </c:pt>
                <c:pt idx="77">
                  <c:v>329.15</c:v>
                </c:pt>
                <c:pt idx="78">
                  <c:v>330.15</c:v>
                </c:pt>
                <c:pt idx="79">
                  <c:v>331.15</c:v>
                </c:pt>
                <c:pt idx="80">
                  <c:v>332.15</c:v>
                </c:pt>
                <c:pt idx="81">
                  <c:v>333.15</c:v>
                </c:pt>
                <c:pt idx="82">
                  <c:v>334.15</c:v>
                </c:pt>
                <c:pt idx="83">
                  <c:v>335.15</c:v>
                </c:pt>
                <c:pt idx="84">
                  <c:v>336.15</c:v>
                </c:pt>
                <c:pt idx="85">
                  <c:v>337.15</c:v>
                </c:pt>
                <c:pt idx="86">
                  <c:v>338.15</c:v>
                </c:pt>
                <c:pt idx="87">
                  <c:v>339.15</c:v>
                </c:pt>
                <c:pt idx="88">
                  <c:v>340.15</c:v>
                </c:pt>
                <c:pt idx="89">
                  <c:v>341.15</c:v>
                </c:pt>
                <c:pt idx="90">
                  <c:v>342.15</c:v>
                </c:pt>
                <c:pt idx="91">
                  <c:v>343.15</c:v>
                </c:pt>
                <c:pt idx="92">
                  <c:v>344.15</c:v>
                </c:pt>
                <c:pt idx="93">
                  <c:v>345.15</c:v>
                </c:pt>
                <c:pt idx="94">
                  <c:v>346.15</c:v>
                </c:pt>
                <c:pt idx="95">
                  <c:v>347.15</c:v>
                </c:pt>
                <c:pt idx="96">
                  <c:v>348.15</c:v>
                </c:pt>
                <c:pt idx="97">
                  <c:v>349.15</c:v>
                </c:pt>
                <c:pt idx="98">
                  <c:v>350.15</c:v>
                </c:pt>
                <c:pt idx="99">
                  <c:v>351.15</c:v>
                </c:pt>
                <c:pt idx="100">
                  <c:v>352.15</c:v>
                </c:pt>
                <c:pt idx="101">
                  <c:v>353.15</c:v>
                </c:pt>
                <c:pt idx="102">
                  <c:v>354.15</c:v>
                </c:pt>
                <c:pt idx="103">
                  <c:v>355.15</c:v>
                </c:pt>
                <c:pt idx="104">
                  <c:v>356.15</c:v>
                </c:pt>
                <c:pt idx="105">
                  <c:v>357.15</c:v>
                </c:pt>
                <c:pt idx="106">
                  <c:v>358.15</c:v>
                </c:pt>
                <c:pt idx="107">
                  <c:v>359.15</c:v>
                </c:pt>
                <c:pt idx="108">
                  <c:v>360.15</c:v>
                </c:pt>
                <c:pt idx="109">
                  <c:v>361.15</c:v>
                </c:pt>
                <c:pt idx="110">
                  <c:v>362.15</c:v>
                </c:pt>
                <c:pt idx="111">
                  <c:v>363.15</c:v>
                </c:pt>
                <c:pt idx="112">
                  <c:v>364.15</c:v>
                </c:pt>
                <c:pt idx="113">
                  <c:v>365.15</c:v>
                </c:pt>
                <c:pt idx="114">
                  <c:v>366.15</c:v>
                </c:pt>
                <c:pt idx="115">
                  <c:v>367.15</c:v>
                </c:pt>
                <c:pt idx="116">
                  <c:v>368.15</c:v>
                </c:pt>
                <c:pt idx="117">
                  <c:v>369.15</c:v>
                </c:pt>
                <c:pt idx="118">
                  <c:v>370.15</c:v>
                </c:pt>
                <c:pt idx="119">
                  <c:v>371.15</c:v>
                </c:pt>
                <c:pt idx="120">
                  <c:v>372.15</c:v>
                </c:pt>
                <c:pt idx="121">
                  <c:v>373.15</c:v>
                </c:pt>
                <c:pt idx="122">
                  <c:v>374.15</c:v>
                </c:pt>
                <c:pt idx="123">
                  <c:v>375.15</c:v>
                </c:pt>
                <c:pt idx="124">
                  <c:v>376.15</c:v>
                </c:pt>
                <c:pt idx="125">
                  <c:v>377.15</c:v>
                </c:pt>
                <c:pt idx="126">
                  <c:v>378.15</c:v>
                </c:pt>
                <c:pt idx="127">
                  <c:v>379.15</c:v>
                </c:pt>
                <c:pt idx="128">
                  <c:v>380.15</c:v>
                </c:pt>
                <c:pt idx="129">
                  <c:v>381.15</c:v>
                </c:pt>
                <c:pt idx="130">
                  <c:v>382.15</c:v>
                </c:pt>
                <c:pt idx="131">
                  <c:v>383.15</c:v>
                </c:pt>
                <c:pt idx="132">
                  <c:v>384.15</c:v>
                </c:pt>
                <c:pt idx="133">
                  <c:v>385.15</c:v>
                </c:pt>
                <c:pt idx="134">
                  <c:v>386.15</c:v>
                </c:pt>
                <c:pt idx="135">
                  <c:v>387.15</c:v>
                </c:pt>
                <c:pt idx="136">
                  <c:v>388.15</c:v>
                </c:pt>
                <c:pt idx="137">
                  <c:v>389.15</c:v>
                </c:pt>
                <c:pt idx="138">
                  <c:v>390.15</c:v>
                </c:pt>
                <c:pt idx="139">
                  <c:v>391.15</c:v>
                </c:pt>
                <c:pt idx="140">
                  <c:v>392.15</c:v>
                </c:pt>
                <c:pt idx="141">
                  <c:v>393.15</c:v>
                </c:pt>
                <c:pt idx="142">
                  <c:v>394.15</c:v>
                </c:pt>
                <c:pt idx="143">
                  <c:v>395.15</c:v>
                </c:pt>
                <c:pt idx="144">
                  <c:v>396.15</c:v>
                </c:pt>
                <c:pt idx="145">
                  <c:v>397.15</c:v>
                </c:pt>
                <c:pt idx="146">
                  <c:v>398.15</c:v>
                </c:pt>
                <c:pt idx="147">
                  <c:v>399.15</c:v>
                </c:pt>
                <c:pt idx="148">
                  <c:v>400.15</c:v>
                </c:pt>
                <c:pt idx="149">
                  <c:v>401.15</c:v>
                </c:pt>
                <c:pt idx="150">
                  <c:v>402.15</c:v>
                </c:pt>
                <c:pt idx="151">
                  <c:v>403.15</c:v>
                </c:pt>
                <c:pt idx="152">
                  <c:v>404.15</c:v>
                </c:pt>
                <c:pt idx="153">
                  <c:v>405.15</c:v>
                </c:pt>
                <c:pt idx="154">
                  <c:v>406.15</c:v>
                </c:pt>
                <c:pt idx="155">
                  <c:v>407.15</c:v>
                </c:pt>
                <c:pt idx="156">
                  <c:v>408.15</c:v>
                </c:pt>
                <c:pt idx="157">
                  <c:v>409.15</c:v>
                </c:pt>
                <c:pt idx="158">
                  <c:v>410.15</c:v>
                </c:pt>
                <c:pt idx="159">
                  <c:v>411.15</c:v>
                </c:pt>
                <c:pt idx="160">
                  <c:v>412.15</c:v>
                </c:pt>
                <c:pt idx="161">
                  <c:v>413.15</c:v>
                </c:pt>
                <c:pt idx="162">
                  <c:v>414.15</c:v>
                </c:pt>
                <c:pt idx="163">
                  <c:v>415.15</c:v>
                </c:pt>
                <c:pt idx="164">
                  <c:v>416.15</c:v>
                </c:pt>
                <c:pt idx="165">
                  <c:v>417.15</c:v>
                </c:pt>
                <c:pt idx="166">
                  <c:v>418.15</c:v>
                </c:pt>
                <c:pt idx="167">
                  <c:v>419.15</c:v>
                </c:pt>
                <c:pt idx="168">
                  <c:v>420.15</c:v>
                </c:pt>
                <c:pt idx="169">
                  <c:v>421.15</c:v>
                </c:pt>
                <c:pt idx="170">
                  <c:v>422.15</c:v>
                </c:pt>
                <c:pt idx="171">
                  <c:v>423.15</c:v>
                </c:pt>
                <c:pt idx="172">
                  <c:v>424.15</c:v>
                </c:pt>
                <c:pt idx="173">
                  <c:v>425.15</c:v>
                </c:pt>
                <c:pt idx="174">
                  <c:v>426.15</c:v>
                </c:pt>
                <c:pt idx="175">
                  <c:v>427.15</c:v>
                </c:pt>
                <c:pt idx="176">
                  <c:v>428.15</c:v>
                </c:pt>
                <c:pt idx="177">
                  <c:v>429.15</c:v>
                </c:pt>
                <c:pt idx="178">
                  <c:v>430.15</c:v>
                </c:pt>
                <c:pt idx="179">
                  <c:v>431.15</c:v>
                </c:pt>
                <c:pt idx="180">
                  <c:v>432.15</c:v>
                </c:pt>
                <c:pt idx="181">
                  <c:v>433.15</c:v>
                </c:pt>
                <c:pt idx="182">
                  <c:v>434.15</c:v>
                </c:pt>
                <c:pt idx="183">
                  <c:v>435.15</c:v>
                </c:pt>
                <c:pt idx="184">
                  <c:v>436.15</c:v>
                </c:pt>
                <c:pt idx="185">
                  <c:v>437.15</c:v>
                </c:pt>
                <c:pt idx="186">
                  <c:v>438.15</c:v>
                </c:pt>
                <c:pt idx="187">
                  <c:v>439.15</c:v>
                </c:pt>
                <c:pt idx="188">
                  <c:v>440.15</c:v>
                </c:pt>
                <c:pt idx="189">
                  <c:v>441.15</c:v>
                </c:pt>
                <c:pt idx="190">
                  <c:v>442.15</c:v>
                </c:pt>
                <c:pt idx="191">
                  <c:v>443.15</c:v>
                </c:pt>
                <c:pt idx="192">
                  <c:v>444.15</c:v>
                </c:pt>
                <c:pt idx="193">
                  <c:v>445.15</c:v>
                </c:pt>
                <c:pt idx="194">
                  <c:v>446.15</c:v>
                </c:pt>
                <c:pt idx="195">
                  <c:v>447.15</c:v>
                </c:pt>
                <c:pt idx="196">
                  <c:v>448.15</c:v>
                </c:pt>
                <c:pt idx="197">
                  <c:v>449.15</c:v>
                </c:pt>
                <c:pt idx="198">
                  <c:v>450.15</c:v>
                </c:pt>
                <c:pt idx="199">
                  <c:v>451.15</c:v>
                </c:pt>
                <c:pt idx="200">
                  <c:v>452.15</c:v>
                </c:pt>
                <c:pt idx="201">
                  <c:v>453.15</c:v>
                </c:pt>
                <c:pt idx="202">
                  <c:v>454.15</c:v>
                </c:pt>
                <c:pt idx="203">
                  <c:v>455.15</c:v>
                </c:pt>
                <c:pt idx="204">
                  <c:v>456.15</c:v>
                </c:pt>
                <c:pt idx="205">
                  <c:v>457.15</c:v>
                </c:pt>
                <c:pt idx="206">
                  <c:v>458.15</c:v>
                </c:pt>
                <c:pt idx="207">
                  <c:v>459.15</c:v>
                </c:pt>
                <c:pt idx="208">
                  <c:v>460.15</c:v>
                </c:pt>
                <c:pt idx="209">
                  <c:v>461.15</c:v>
                </c:pt>
                <c:pt idx="210">
                  <c:v>462.15</c:v>
                </c:pt>
                <c:pt idx="211">
                  <c:v>463.15</c:v>
                </c:pt>
                <c:pt idx="212">
                  <c:v>464.15</c:v>
                </c:pt>
                <c:pt idx="213">
                  <c:v>465.15</c:v>
                </c:pt>
                <c:pt idx="214">
                  <c:v>466.15</c:v>
                </c:pt>
                <c:pt idx="215">
                  <c:v>467.15</c:v>
                </c:pt>
                <c:pt idx="216">
                  <c:v>468.15</c:v>
                </c:pt>
                <c:pt idx="217">
                  <c:v>469.15</c:v>
                </c:pt>
                <c:pt idx="218">
                  <c:v>470.15</c:v>
                </c:pt>
                <c:pt idx="219">
                  <c:v>471.15</c:v>
                </c:pt>
                <c:pt idx="220">
                  <c:v>472.15</c:v>
                </c:pt>
                <c:pt idx="221">
                  <c:v>473.15</c:v>
                </c:pt>
                <c:pt idx="222">
                  <c:v>474.15</c:v>
                </c:pt>
                <c:pt idx="223">
                  <c:v>475.15</c:v>
                </c:pt>
                <c:pt idx="224">
                  <c:v>476.15</c:v>
                </c:pt>
                <c:pt idx="225">
                  <c:v>477.15</c:v>
                </c:pt>
                <c:pt idx="226">
                  <c:v>478.15</c:v>
                </c:pt>
                <c:pt idx="227">
                  <c:v>479.15</c:v>
                </c:pt>
                <c:pt idx="228">
                  <c:v>480.15</c:v>
                </c:pt>
                <c:pt idx="229">
                  <c:v>481.15</c:v>
                </c:pt>
                <c:pt idx="230">
                  <c:v>482.15</c:v>
                </c:pt>
                <c:pt idx="231">
                  <c:v>483.15</c:v>
                </c:pt>
                <c:pt idx="232">
                  <c:v>484.15</c:v>
                </c:pt>
                <c:pt idx="233">
                  <c:v>485.15</c:v>
                </c:pt>
                <c:pt idx="234">
                  <c:v>486.15</c:v>
                </c:pt>
                <c:pt idx="235">
                  <c:v>487.15</c:v>
                </c:pt>
                <c:pt idx="236">
                  <c:v>488.15</c:v>
                </c:pt>
                <c:pt idx="237">
                  <c:v>489.15</c:v>
                </c:pt>
                <c:pt idx="238">
                  <c:v>490.15</c:v>
                </c:pt>
                <c:pt idx="239">
                  <c:v>491.15</c:v>
                </c:pt>
                <c:pt idx="240">
                  <c:v>492.15</c:v>
                </c:pt>
                <c:pt idx="241">
                  <c:v>493.15</c:v>
                </c:pt>
                <c:pt idx="242">
                  <c:v>494.15</c:v>
                </c:pt>
                <c:pt idx="243">
                  <c:v>495.15</c:v>
                </c:pt>
                <c:pt idx="244">
                  <c:v>496.15</c:v>
                </c:pt>
                <c:pt idx="245">
                  <c:v>497.15</c:v>
                </c:pt>
                <c:pt idx="246">
                  <c:v>498.15</c:v>
                </c:pt>
                <c:pt idx="247">
                  <c:v>499.15</c:v>
                </c:pt>
                <c:pt idx="248">
                  <c:v>500.15</c:v>
                </c:pt>
                <c:pt idx="249">
                  <c:v>501.15</c:v>
                </c:pt>
                <c:pt idx="250">
                  <c:v>502.15</c:v>
                </c:pt>
                <c:pt idx="251">
                  <c:v>503.15</c:v>
                </c:pt>
                <c:pt idx="252">
                  <c:v>504.15</c:v>
                </c:pt>
                <c:pt idx="253">
                  <c:v>505.15</c:v>
                </c:pt>
                <c:pt idx="254">
                  <c:v>506.15</c:v>
                </c:pt>
                <c:pt idx="255">
                  <c:v>507.15</c:v>
                </c:pt>
                <c:pt idx="256">
                  <c:v>508.15</c:v>
                </c:pt>
                <c:pt idx="257">
                  <c:v>509.15</c:v>
                </c:pt>
                <c:pt idx="258">
                  <c:v>510.15</c:v>
                </c:pt>
                <c:pt idx="259">
                  <c:v>511.15</c:v>
                </c:pt>
                <c:pt idx="260">
                  <c:v>512.15</c:v>
                </c:pt>
                <c:pt idx="261">
                  <c:v>513.15</c:v>
                </c:pt>
                <c:pt idx="262">
                  <c:v>514.15</c:v>
                </c:pt>
                <c:pt idx="263">
                  <c:v>515.15</c:v>
                </c:pt>
                <c:pt idx="264">
                  <c:v>516.15</c:v>
                </c:pt>
                <c:pt idx="265">
                  <c:v>517.15</c:v>
                </c:pt>
                <c:pt idx="266">
                  <c:v>518.15</c:v>
                </c:pt>
                <c:pt idx="267">
                  <c:v>519.15</c:v>
                </c:pt>
                <c:pt idx="268">
                  <c:v>520.15</c:v>
                </c:pt>
                <c:pt idx="269">
                  <c:v>521.15</c:v>
                </c:pt>
                <c:pt idx="270">
                  <c:v>522.15</c:v>
                </c:pt>
                <c:pt idx="271">
                  <c:v>523.15</c:v>
                </c:pt>
                <c:pt idx="272">
                  <c:v>524.15</c:v>
                </c:pt>
                <c:pt idx="273">
                  <c:v>525.15</c:v>
                </c:pt>
                <c:pt idx="274">
                  <c:v>526.15</c:v>
                </c:pt>
                <c:pt idx="275">
                  <c:v>527.15</c:v>
                </c:pt>
                <c:pt idx="276">
                  <c:v>528.15</c:v>
                </c:pt>
                <c:pt idx="277">
                  <c:v>529.15</c:v>
                </c:pt>
                <c:pt idx="278">
                  <c:v>530.15</c:v>
                </c:pt>
                <c:pt idx="279">
                  <c:v>531.15</c:v>
                </c:pt>
                <c:pt idx="280">
                  <c:v>532.15</c:v>
                </c:pt>
                <c:pt idx="281">
                  <c:v>533.15</c:v>
                </c:pt>
                <c:pt idx="282">
                  <c:v>534.15</c:v>
                </c:pt>
                <c:pt idx="283">
                  <c:v>535.15</c:v>
                </c:pt>
                <c:pt idx="284">
                  <c:v>536.15</c:v>
                </c:pt>
                <c:pt idx="285">
                  <c:v>537.15</c:v>
                </c:pt>
                <c:pt idx="286">
                  <c:v>538.15</c:v>
                </c:pt>
                <c:pt idx="287">
                  <c:v>539.15</c:v>
                </c:pt>
                <c:pt idx="288">
                  <c:v>540.15</c:v>
                </c:pt>
                <c:pt idx="289">
                  <c:v>541.15</c:v>
                </c:pt>
                <c:pt idx="290">
                  <c:v>542.15</c:v>
                </c:pt>
                <c:pt idx="291">
                  <c:v>543.15</c:v>
                </c:pt>
                <c:pt idx="292">
                  <c:v>544.15</c:v>
                </c:pt>
                <c:pt idx="293">
                  <c:v>545.15</c:v>
                </c:pt>
                <c:pt idx="294">
                  <c:v>546.15</c:v>
                </c:pt>
                <c:pt idx="295">
                  <c:v>547.15</c:v>
                </c:pt>
                <c:pt idx="296">
                  <c:v>548.15</c:v>
                </c:pt>
                <c:pt idx="297">
                  <c:v>549.15</c:v>
                </c:pt>
                <c:pt idx="298">
                  <c:v>550.15</c:v>
                </c:pt>
                <c:pt idx="299">
                  <c:v>551.15</c:v>
                </c:pt>
                <c:pt idx="300">
                  <c:v>552.15</c:v>
                </c:pt>
                <c:pt idx="301">
                  <c:v>553.15</c:v>
                </c:pt>
                <c:pt idx="302">
                  <c:v>554.15</c:v>
                </c:pt>
                <c:pt idx="303">
                  <c:v>555.15</c:v>
                </c:pt>
                <c:pt idx="304">
                  <c:v>556.15</c:v>
                </c:pt>
                <c:pt idx="305">
                  <c:v>557.15</c:v>
                </c:pt>
                <c:pt idx="306">
                  <c:v>558.15</c:v>
                </c:pt>
                <c:pt idx="307">
                  <c:v>559.15</c:v>
                </c:pt>
                <c:pt idx="308">
                  <c:v>560.15</c:v>
                </c:pt>
                <c:pt idx="309">
                  <c:v>561.15</c:v>
                </c:pt>
                <c:pt idx="310">
                  <c:v>562.15</c:v>
                </c:pt>
                <c:pt idx="311">
                  <c:v>563.15</c:v>
                </c:pt>
                <c:pt idx="312">
                  <c:v>564.15</c:v>
                </c:pt>
                <c:pt idx="313">
                  <c:v>565.15</c:v>
                </c:pt>
                <c:pt idx="314">
                  <c:v>566.15</c:v>
                </c:pt>
                <c:pt idx="315">
                  <c:v>567.15</c:v>
                </c:pt>
                <c:pt idx="316">
                  <c:v>568.15</c:v>
                </c:pt>
                <c:pt idx="317">
                  <c:v>569.15</c:v>
                </c:pt>
                <c:pt idx="318">
                  <c:v>570.15</c:v>
                </c:pt>
                <c:pt idx="319">
                  <c:v>571.15</c:v>
                </c:pt>
                <c:pt idx="320">
                  <c:v>572.15</c:v>
                </c:pt>
                <c:pt idx="321">
                  <c:v>573.15</c:v>
                </c:pt>
                <c:pt idx="322">
                  <c:v>574.15</c:v>
                </c:pt>
                <c:pt idx="323">
                  <c:v>575.15</c:v>
                </c:pt>
                <c:pt idx="324">
                  <c:v>576.15</c:v>
                </c:pt>
                <c:pt idx="325">
                  <c:v>577.15</c:v>
                </c:pt>
                <c:pt idx="326">
                  <c:v>578.15</c:v>
                </c:pt>
                <c:pt idx="327">
                  <c:v>579.15</c:v>
                </c:pt>
                <c:pt idx="328">
                  <c:v>580.15</c:v>
                </c:pt>
                <c:pt idx="329">
                  <c:v>581.15</c:v>
                </c:pt>
                <c:pt idx="330">
                  <c:v>582.15</c:v>
                </c:pt>
                <c:pt idx="331">
                  <c:v>583.15</c:v>
                </c:pt>
                <c:pt idx="332">
                  <c:v>584.15</c:v>
                </c:pt>
                <c:pt idx="333">
                  <c:v>585.15</c:v>
                </c:pt>
                <c:pt idx="334">
                  <c:v>586.15</c:v>
                </c:pt>
                <c:pt idx="335">
                  <c:v>587.15</c:v>
                </c:pt>
                <c:pt idx="336">
                  <c:v>588.15</c:v>
                </c:pt>
                <c:pt idx="337">
                  <c:v>589.15</c:v>
                </c:pt>
                <c:pt idx="338">
                  <c:v>590.15</c:v>
                </c:pt>
                <c:pt idx="339">
                  <c:v>591.15</c:v>
                </c:pt>
                <c:pt idx="340">
                  <c:v>592.15</c:v>
                </c:pt>
                <c:pt idx="341">
                  <c:v>593.15</c:v>
                </c:pt>
                <c:pt idx="342">
                  <c:v>594.15</c:v>
                </c:pt>
                <c:pt idx="343">
                  <c:v>595.15</c:v>
                </c:pt>
                <c:pt idx="344">
                  <c:v>596.15</c:v>
                </c:pt>
                <c:pt idx="345">
                  <c:v>597.15</c:v>
                </c:pt>
                <c:pt idx="346">
                  <c:v>598.15</c:v>
                </c:pt>
                <c:pt idx="347">
                  <c:v>599.15</c:v>
                </c:pt>
                <c:pt idx="348">
                  <c:v>600.15</c:v>
                </c:pt>
                <c:pt idx="349">
                  <c:v>601.15</c:v>
                </c:pt>
                <c:pt idx="350">
                  <c:v>602.15</c:v>
                </c:pt>
                <c:pt idx="351">
                  <c:v>603.15</c:v>
                </c:pt>
                <c:pt idx="352">
                  <c:v>604.15</c:v>
                </c:pt>
                <c:pt idx="353">
                  <c:v>605.15</c:v>
                </c:pt>
                <c:pt idx="354">
                  <c:v>606.15</c:v>
                </c:pt>
                <c:pt idx="355">
                  <c:v>607.15</c:v>
                </c:pt>
                <c:pt idx="356">
                  <c:v>608.15</c:v>
                </c:pt>
                <c:pt idx="357">
                  <c:v>609.15</c:v>
                </c:pt>
                <c:pt idx="358">
                  <c:v>610.15</c:v>
                </c:pt>
                <c:pt idx="359">
                  <c:v>611.15</c:v>
                </c:pt>
                <c:pt idx="360">
                  <c:v>612.15</c:v>
                </c:pt>
                <c:pt idx="361">
                  <c:v>613.15</c:v>
                </c:pt>
                <c:pt idx="362">
                  <c:v>614.15</c:v>
                </c:pt>
                <c:pt idx="363">
                  <c:v>615.15</c:v>
                </c:pt>
                <c:pt idx="364">
                  <c:v>616.15</c:v>
                </c:pt>
                <c:pt idx="365">
                  <c:v>617.15</c:v>
                </c:pt>
                <c:pt idx="366">
                  <c:v>618.15</c:v>
                </c:pt>
                <c:pt idx="367">
                  <c:v>619.15</c:v>
                </c:pt>
                <c:pt idx="368">
                  <c:v>620.15</c:v>
                </c:pt>
                <c:pt idx="369">
                  <c:v>621.15</c:v>
                </c:pt>
                <c:pt idx="370">
                  <c:v>622.15</c:v>
                </c:pt>
                <c:pt idx="371">
                  <c:v>623.15</c:v>
                </c:pt>
                <c:pt idx="372">
                  <c:v>624.15</c:v>
                </c:pt>
                <c:pt idx="373">
                  <c:v>625.15</c:v>
                </c:pt>
                <c:pt idx="374">
                  <c:v>626.15</c:v>
                </c:pt>
                <c:pt idx="375">
                  <c:v>627.15</c:v>
                </c:pt>
                <c:pt idx="376">
                  <c:v>628.15</c:v>
                </c:pt>
                <c:pt idx="377">
                  <c:v>629.15</c:v>
                </c:pt>
                <c:pt idx="378">
                  <c:v>630.15</c:v>
                </c:pt>
                <c:pt idx="379">
                  <c:v>631.15</c:v>
                </c:pt>
                <c:pt idx="380">
                  <c:v>632.15</c:v>
                </c:pt>
                <c:pt idx="381">
                  <c:v>633.15</c:v>
                </c:pt>
                <c:pt idx="382">
                  <c:v>634.15</c:v>
                </c:pt>
                <c:pt idx="383">
                  <c:v>635.15</c:v>
                </c:pt>
                <c:pt idx="384">
                  <c:v>636.15</c:v>
                </c:pt>
                <c:pt idx="385">
                  <c:v>637.15</c:v>
                </c:pt>
                <c:pt idx="386">
                  <c:v>638.15</c:v>
                </c:pt>
                <c:pt idx="387">
                  <c:v>639.15</c:v>
                </c:pt>
                <c:pt idx="388">
                  <c:v>640.15</c:v>
                </c:pt>
                <c:pt idx="389">
                  <c:v>641.15</c:v>
                </c:pt>
                <c:pt idx="390">
                  <c:v>642.15</c:v>
                </c:pt>
                <c:pt idx="391">
                  <c:v>643.15</c:v>
                </c:pt>
                <c:pt idx="392">
                  <c:v>644.15</c:v>
                </c:pt>
                <c:pt idx="393">
                  <c:v>645.15</c:v>
                </c:pt>
                <c:pt idx="394">
                  <c:v>646.15</c:v>
                </c:pt>
                <c:pt idx="395">
                  <c:v>647.15</c:v>
                </c:pt>
                <c:pt idx="396">
                  <c:v>647.27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30944"/>
        <c:axId val="176532480"/>
      </c:scatterChart>
      <c:valAx>
        <c:axId val="176530944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6532480"/>
        <c:crosses val="autoZero"/>
        <c:crossBetween val="midCat"/>
      </c:valAx>
      <c:valAx>
        <c:axId val="17653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653094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0ca2b1-20aa-4837-a358-f14318be8c0e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Пр3!$D$1</c:f>
              <c:strCache>
                <c:ptCount val="1"/>
                <c:pt idx="0">
                  <c:v>Уд. объём кипящей воды v', м3/кг</c:v>
                </c:pt>
              </c:strCache>
            </c:strRef>
          </c:tx>
          <c:dLbls>
            <c:delete val="1"/>
          </c:dLbls>
          <c:xVal>
            <c:numRef>
              <c:f>Пр3!$A$2:$A$398</c:f>
              <c:numCache>
                <c:formatCode>0.0</c:formatCode>
                <c:ptCount val="397"/>
                <c:pt idx="0">
                  <c:v>0</c:v>
                </c:pt>
                <c:pt idx="1" c:formatCode="0.00">
                  <c:v>0.01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  <c:pt idx="25">
                  <c:v>19.5</c:v>
                </c:pt>
                <c:pt idx="26">
                  <c:v>20</c:v>
                </c:pt>
                <c:pt idx="27">
                  <c:v>20.5</c:v>
                </c:pt>
                <c:pt idx="28">
                  <c:v>21</c:v>
                </c:pt>
                <c:pt idx="29">
                  <c:v>21.5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  <c:pt idx="33">
                  <c:v>23.5</c:v>
                </c:pt>
                <c:pt idx="34">
                  <c:v>24</c:v>
                </c:pt>
                <c:pt idx="35">
                  <c:v>24.5</c:v>
                </c:pt>
                <c:pt idx="36">
                  <c:v>25</c:v>
                </c:pt>
                <c:pt idx="37">
                  <c:v>25.5</c:v>
                </c:pt>
                <c:pt idx="38">
                  <c:v>26</c:v>
                </c:pt>
                <c:pt idx="39">
                  <c:v>26.5</c:v>
                </c:pt>
                <c:pt idx="40">
                  <c:v>27</c:v>
                </c:pt>
                <c:pt idx="41">
                  <c:v>27.5</c:v>
                </c:pt>
                <c:pt idx="42">
                  <c:v>28</c:v>
                </c:pt>
                <c:pt idx="43">
                  <c:v>28.5</c:v>
                </c:pt>
                <c:pt idx="44">
                  <c:v>29</c:v>
                </c:pt>
                <c:pt idx="45">
                  <c:v>29.5</c:v>
                </c:pt>
                <c:pt idx="46">
                  <c:v>30</c:v>
                </c:pt>
                <c:pt idx="47">
                  <c:v>30.5</c:v>
                </c:pt>
                <c:pt idx="48">
                  <c:v>31</c:v>
                </c:pt>
                <c:pt idx="49">
                  <c:v>31.5</c:v>
                </c:pt>
                <c:pt idx="50">
                  <c:v>32</c:v>
                </c:pt>
                <c:pt idx="51">
                  <c:v>32.5</c:v>
                </c:pt>
                <c:pt idx="52">
                  <c:v>33</c:v>
                </c:pt>
                <c:pt idx="53">
                  <c:v>33.5</c:v>
                </c:pt>
                <c:pt idx="54">
                  <c:v>34</c:v>
                </c:pt>
                <c:pt idx="55">
                  <c:v>34.5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 c:formatCode="0">
                  <c:v>100</c:v>
                </c:pt>
                <c:pt idx="122" c:formatCode="0">
                  <c:v>101</c:v>
                </c:pt>
                <c:pt idx="123" c:formatCode="0">
                  <c:v>102</c:v>
                </c:pt>
                <c:pt idx="124" c:formatCode="0">
                  <c:v>103</c:v>
                </c:pt>
                <c:pt idx="125" c:formatCode="0">
                  <c:v>104</c:v>
                </c:pt>
                <c:pt idx="126" c:formatCode="0">
                  <c:v>105</c:v>
                </c:pt>
                <c:pt idx="127" c:formatCode="0">
                  <c:v>106</c:v>
                </c:pt>
                <c:pt idx="128" c:formatCode="0">
                  <c:v>107</c:v>
                </c:pt>
                <c:pt idx="129" c:formatCode="0">
                  <c:v>108</c:v>
                </c:pt>
                <c:pt idx="130" c:formatCode="0">
                  <c:v>109</c:v>
                </c:pt>
                <c:pt idx="131" c:formatCode="0">
                  <c:v>110</c:v>
                </c:pt>
                <c:pt idx="132" c:formatCode="0">
                  <c:v>111</c:v>
                </c:pt>
                <c:pt idx="133" c:formatCode="0">
                  <c:v>112</c:v>
                </c:pt>
                <c:pt idx="134" c:formatCode="0">
                  <c:v>113</c:v>
                </c:pt>
                <c:pt idx="135" c:formatCode="0">
                  <c:v>114</c:v>
                </c:pt>
                <c:pt idx="136" c:formatCode="0">
                  <c:v>115</c:v>
                </c:pt>
                <c:pt idx="137" c:formatCode="0">
                  <c:v>116</c:v>
                </c:pt>
                <c:pt idx="138" c:formatCode="0">
                  <c:v>117</c:v>
                </c:pt>
                <c:pt idx="139" c:formatCode="0">
                  <c:v>118</c:v>
                </c:pt>
                <c:pt idx="140" c:formatCode="0">
                  <c:v>119</c:v>
                </c:pt>
                <c:pt idx="141" c:formatCode="0">
                  <c:v>120</c:v>
                </c:pt>
                <c:pt idx="142" c:formatCode="0">
                  <c:v>121</c:v>
                </c:pt>
                <c:pt idx="143" c:formatCode="0">
                  <c:v>122</c:v>
                </c:pt>
                <c:pt idx="144" c:formatCode="0">
                  <c:v>123</c:v>
                </c:pt>
                <c:pt idx="145" c:formatCode="0">
                  <c:v>124</c:v>
                </c:pt>
                <c:pt idx="146" c:formatCode="0">
                  <c:v>125</c:v>
                </c:pt>
                <c:pt idx="147" c:formatCode="0">
                  <c:v>126</c:v>
                </c:pt>
                <c:pt idx="148" c:formatCode="0">
                  <c:v>127</c:v>
                </c:pt>
                <c:pt idx="149" c:formatCode="0">
                  <c:v>128</c:v>
                </c:pt>
                <c:pt idx="150" c:formatCode="0">
                  <c:v>129</c:v>
                </c:pt>
                <c:pt idx="151" c:formatCode="0">
                  <c:v>130</c:v>
                </c:pt>
                <c:pt idx="152" c:formatCode="0">
                  <c:v>131</c:v>
                </c:pt>
                <c:pt idx="153" c:formatCode="0">
                  <c:v>132</c:v>
                </c:pt>
                <c:pt idx="154" c:formatCode="0">
                  <c:v>133</c:v>
                </c:pt>
                <c:pt idx="155" c:formatCode="0">
                  <c:v>134</c:v>
                </c:pt>
                <c:pt idx="156" c:formatCode="0">
                  <c:v>135</c:v>
                </c:pt>
                <c:pt idx="157" c:formatCode="0">
                  <c:v>136</c:v>
                </c:pt>
                <c:pt idx="158" c:formatCode="0">
                  <c:v>137</c:v>
                </c:pt>
                <c:pt idx="159" c:formatCode="0">
                  <c:v>138</c:v>
                </c:pt>
                <c:pt idx="160" c:formatCode="0">
                  <c:v>139</c:v>
                </c:pt>
                <c:pt idx="161" c:formatCode="0">
                  <c:v>140</c:v>
                </c:pt>
                <c:pt idx="162" c:formatCode="0">
                  <c:v>141</c:v>
                </c:pt>
                <c:pt idx="163" c:formatCode="0">
                  <c:v>142</c:v>
                </c:pt>
                <c:pt idx="164" c:formatCode="0">
                  <c:v>143</c:v>
                </c:pt>
                <c:pt idx="165" c:formatCode="0">
                  <c:v>144</c:v>
                </c:pt>
                <c:pt idx="166" c:formatCode="0">
                  <c:v>145</c:v>
                </c:pt>
                <c:pt idx="167" c:formatCode="0">
                  <c:v>146</c:v>
                </c:pt>
                <c:pt idx="168" c:formatCode="0">
                  <c:v>147</c:v>
                </c:pt>
                <c:pt idx="169" c:formatCode="0">
                  <c:v>148</c:v>
                </c:pt>
                <c:pt idx="170" c:formatCode="0">
                  <c:v>149</c:v>
                </c:pt>
                <c:pt idx="171" c:formatCode="0">
                  <c:v>150</c:v>
                </c:pt>
                <c:pt idx="172" c:formatCode="0">
                  <c:v>151</c:v>
                </c:pt>
                <c:pt idx="173" c:formatCode="0">
                  <c:v>152</c:v>
                </c:pt>
                <c:pt idx="174" c:formatCode="0">
                  <c:v>153</c:v>
                </c:pt>
                <c:pt idx="175" c:formatCode="0">
                  <c:v>154</c:v>
                </c:pt>
                <c:pt idx="176" c:formatCode="0">
                  <c:v>155</c:v>
                </c:pt>
                <c:pt idx="177" c:formatCode="0">
                  <c:v>156</c:v>
                </c:pt>
                <c:pt idx="178" c:formatCode="0">
                  <c:v>157</c:v>
                </c:pt>
                <c:pt idx="179" c:formatCode="0">
                  <c:v>158</c:v>
                </c:pt>
                <c:pt idx="180" c:formatCode="0">
                  <c:v>159</c:v>
                </c:pt>
                <c:pt idx="181" c:formatCode="0">
                  <c:v>160</c:v>
                </c:pt>
                <c:pt idx="182" c:formatCode="0">
                  <c:v>161</c:v>
                </c:pt>
                <c:pt idx="183" c:formatCode="0">
                  <c:v>162</c:v>
                </c:pt>
                <c:pt idx="184" c:formatCode="0">
                  <c:v>163</c:v>
                </c:pt>
                <c:pt idx="185" c:formatCode="0">
                  <c:v>164</c:v>
                </c:pt>
                <c:pt idx="186" c:formatCode="0">
                  <c:v>165</c:v>
                </c:pt>
                <c:pt idx="187" c:formatCode="0">
                  <c:v>166</c:v>
                </c:pt>
                <c:pt idx="188" c:formatCode="0">
                  <c:v>167</c:v>
                </c:pt>
                <c:pt idx="189" c:formatCode="0">
                  <c:v>168</c:v>
                </c:pt>
                <c:pt idx="190" c:formatCode="0">
                  <c:v>169</c:v>
                </c:pt>
                <c:pt idx="191" c:formatCode="0">
                  <c:v>170</c:v>
                </c:pt>
                <c:pt idx="192" c:formatCode="0">
                  <c:v>171</c:v>
                </c:pt>
                <c:pt idx="193" c:formatCode="0">
                  <c:v>172</c:v>
                </c:pt>
                <c:pt idx="194" c:formatCode="0">
                  <c:v>173</c:v>
                </c:pt>
                <c:pt idx="195" c:formatCode="0">
                  <c:v>174</c:v>
                </c:pt>
                <c:pt idx="196" c:formatCode="0">
                  <c:v>175</c:v>
                </c:pt>
                <c:pt idx="197" c:formatCode="0">
                  <c:v>176</c:v>
                </c:pt>
                <c:pt idx="198" c:formatCode="0">
                  <c:v>177</c:v>
                </c:pt>
                <c:pt idx="199" c:formatCode="0">
                  <c:v>178</c:v>
                </c:pt>
                <c:pt idx="200" c:formatCode="0">
                  <c:v>179</c:v>
                </c:pt>
                <c:pt idx="201" c:formatCode="0">
                  <c:v>180</c:v>
                </c:pt>
                <c:pt idx="202" c:formatCode="0">
                  <c:v>181</c:v>
                </c:pt>
                <c:pt idx="203" c:formatCode="0">
                  <c:v>182</c:v>
                </c:pt>
                <c:pt idx="204" c:formatCode="0">
                  <c:v>183</c:v>
                </c:pt>
                <c:pt idx="205" c:formatCode="0">
                  <c:v>184</c:v>
                </c:pt>
                <c:pt idx="206" c:formatCode="0">
                  <c:v>185</c:v>
                </c:pt>
                <c:pt idx="207" c:formatCode="0">
                  <c:v>186</c:v>
                </c:pt>
                <c:pt idx="208" c:formatCode="0">
                  <c:v>187</c:v>
                </c:pt>
                <c:pt idx="209" c:formatCode="0">
                  <c:v>188</c:v>
                </c:pt>
                <c:pt idx="210" c:formatCode="0">
                  <c:v>189</c:v>
                </c:pt>
                <c:pt idx="211" c:formatCode="0">
                  <c:v>190</c:v>
                </c:pt>
                <c:pt idx="212" c:formatCode="0">
                  <c:v>191</c:v>
                </c:pt>
                <c:pt idx="213" c:formatCode="0">
                  <c:v>192</c:v>
                </c:pt>
                <c:pt idx="214" c:formatCode="0">
                  <c:v>193</c:v>
                </c:pt>
                <c:pt idx="215" c:formatCode="0">
                  <c:v>194</c:v>
                </c:pt>
                <c:pt idx="216" c:formatCode="0">
                  <c:v>195</c:v>
                </c:pt>
                <c:pt idx="217" c:formatCode="0">
                  <c:v>196</c:v>
                </c:pt>
                <c:pt idx="218" c:formatCode="0">
                  <c:v>197</c:v>
                </c:pt>
                <c:pt idx="219" c:formatCode="0">
                  <c:v>198</c:v>
                </c:pt>
                <c:pt idx="220" c:formatCode="0">
                  <c:v>199</c:v>
                </c:pt>
                <c:pt idx="221" c:formatCode="0">
                  <c:v>200</c:v>
                </c:pt>
                <c:pt idx="222" c:formatCode="0">
                  <c:v>201</c:v>
                </c:pt>
                <c:pt idx="223" c:formatCode="0">
                  <c:v>202</c:v>
                </c:pt>
                <c:pt idx="224" c:formatCode="0">
                  <c:v>203</c:v>
                </c:pt>
                <c:pt idx="225" c:formatCode="0">
                  <c:v>204</c:v>
                </c:pt>
                <c:pt idx="226" c:formatCode="0">
                  <c:v>205</c:v>
                </c:pt>
                <c:pt idx="227" c:formatCode="0">
                  <c:v>206</c:v>
                </c:pt>
                <c:pt idx="228" c:formatCode="0">
                  <c:v>207</c:v>
                </c:pt>
                <c:pt idx="229" c:formatCode="0">
                  <c:v>208</c:v>
                </c:pt>
                <c:pt idx="230" c:formatCode="0">
                  <c:v>209</c:v>
                </c:pt>
                <c:pt idx="231" c:formatCode="0">
                  <c:v>210</c:v>
                </c:pt>
                <c:pt idx="232" c:formatCode="0">
                  <c:v>211</c:v>
                </c:pt>
                <c:pt idx="233" c:formatCode="0">
                  <c:v>212</c:v>
                </c:pt>
                <c:pt idx="234" c:formatCode="0">
                  <c:v>213</c:v>
                </c:pt>
                <c:pt idx="235" c:formatCode="0">
                  <c:v>214</c:v>
                </c:pt>
                <c:pt idx="236" c:formatCode="0">
                  <c:v>215</c:v>
                </c:pt>
                <c:pt idx="237" c:formatCode="0">
                  <c:v>216</c:v>
                </c:pt>
                <c:pt idx="238" c:formatCode="0">
                  <c:v>217</c:v>
                </c:pt>
                <c:pt idx="239" c:formatCode="0">
                  <c:v>218</c:v>
                </c:pt>
                <c:pt idx="240" c:formatCode="0">
                  <c:v>219</c:v>
                </c:pt>
                <c:pt idx="241" c:formatCode="0">
                  <c:v>220</c:v>
                </c:pt>
                <c:pt idx="242" c:formatCode="0">
                  <c:v>221</c:v>
                </c:pt>
                <c:pt idx="243" c:formatCode="0">
                  <c:v>222</c:v>
                </c:pt>
                <c:pt idx="244" c:formatCode="0">
                  <c:v>223</c:v>
                </c:pt>
                <c:pt idx="245" c:formatCode="0">
                  <c:v>224</c:v>
                </c:pt>
                <c:pt idx="246" c:formatCode="0">
                  <c:v>225</c:v>
                </c:pt>
                <c:pt idx="247" c:formatCode="0">
                  <c:v>226</c:v>
                </c:pt>
                <c:pt idx="248" c:formatCode="0">
                  <c:v>227</c:v>
                </c:pt>
                <c:pt idx="249" c:formatCode="0">
                  <c:v>228</c:v>
                </c:pt>
                <c:pt idx="250" c:formatCode="0">
                  <c:v>229</c:v>
                </c:pt>
                <c:pt idx="251" c:formatCode="0">
                  <c:v>230</c:v>
                </c:pt>
                <c:pt idx="252" c:formatCode="0">
                  <c:v>231</c:v>
                </c:pt>
                <c:pt idx="253" c:formatCode="0">
                  <c:v>232</c:v>
                </c:pt>
                <c:pt idx="254" c:formatCode="0">
                  <c:v>233</c:v>
                </c:pt>
                <c:pt idx="255" c:formatCode="0">
                  <c:v>234</c:v>
                </c:pt>
                <c:pt idx="256" c:formatCode="0">
                  <c:v>235</c:v>
                </c:pt>
                <c:pt idx="257" c:formatCode="0">
                  <c:v>236</c:v>
                </c:pt>
                <c:pt idx="258" c:formatCode="0">
                  <c:v>237</c:v>
                </c:pt>
                <c:pt idx="259" c:formatCode="0">
                  <c:v>238</c:v>
                </c:pt>
                <c:pt idx="260" c:formatCode="0">
                  <c:v>239</c:v>
                </c:pt>
                <c:pt idx="261" c:formatCode="0">
                  <c:v>240</c:v>
                </c:pt>
                <c:pt idx="262" c:formatCode="0">
                  <c:v>241</c:v>
                </c:pt>
                <c:pt idx="263" c:formatCode="0">
                  <c:v>242</c:v>
                </c:pt>
                <c:pt idx="264" c:formatCode="0">
                  <c:v>243</c:v>
                </c:pt>
                <c:pt idx="265" c:formatCode="0">
                  <c:v>244</c:v>
                </c:pt>
                <c:pt idx="266" c:formatCode="0">
                  <c:v>245</c:v>
                </c:pt>
                <c:pt idx="267" c:formatCode="0">
                  <c:v>246</c:v>
                </c:pt>
                <c:pt idx="268" c:formatCode="0">
                  <c:v>247</c:v>
                </c:pt>
                <c:pt idx="269" c:formatCode="0">
                  <c:v>248</c:v>
                </c:pt>
                <c:pt idx="270" c:formatCode="0">
                  <c:v>249</c:v>
                </c:pt>
                <c:pt idx="271" c:formatCode="0">
                  <c:v>250</c:v>
                </c:pt>
                <c:pt idx="272" c:formatCode="0">
                  <c:v>251</c:v>
                </c:pt>
                <c:pt idx="273" c:formatCode="0">
                  <c:v>252</c:v>
                </c:pt>
                <c:pt idx="274" c:formatCode="0">
                  <c:v>253</c:v>
                </c:pt>
                <c:pt idx="275" c:formatCode="0">
                  <c:v>254</c:v>
                </c:pt>
                <c:pt idx="276" c:formatCode="0">
                  <c:v>255</c:v>
                </c:pt>
                <c:pt idx="277" c:formatCode="0">
                  <c:v>256</c:v>
                </c:pt>
                <c:pt idx="278" c:formatCode="0">
                  <c:v>257</c:v>
                </c:pt>
                <c:pt idx="279" c:formatCode="0">
                  <c:v>258</c:v>
                </c:pt>
                <c:pt idx="280" c:formatCode="0">
                  <c:v>259</c:v>
                </c:pt>
                <c:pt idx="281" c:formatCode="0">
                  <c:v>260</c:v>
                </c:pt>
                <c:pt idx="282" c:formatCode="0">
                  <c:v>261</c:v>
                </c:pt>
                <c:pt idx="283" c:formatCode="0">
                  <c:v>262</c:v>
                </c:pt>
                <c:pt idx="284" c:formatCode="0">
                  <c:v>263</c:v>
                </c:pt>
                <c:pt idx="285" c:formatCode="0">
                  <c:v>264</c:v>
                </c:pt>
                <c:pt idx="286" c:formatCode="0">
                  <c:v>265</c:v>
                </c:pt>
                <c:pt idx="287" c:formatCode="0">
                  <c:v>266</c:v>
                </c:pt>
                <c:pt idx="288" c:formatCode="0">
                  <c:v>267</c:v>
                </c:pt>
                <c:pt idx="289" c:formatCode="0">
                  <c:v>268</c:v>
                </c:pt>
                <c:pt idx="290" c:formatCode="0">
                  <c:v>269</c:v>
                </c:pt>
                <c:pt idx="291" c:formatCode="0">
                  <c:v>270</c:v>
                </c:pt>
                <c:pt idx="292" c:formatCode="0">
                  <c:v>271</c:v>
                </c:pt>
                <c:pt idx="293" c:formatCode="0">
                  <c:v>272</c:v>
                </c:pt>
                <c:pt idx="294" c:formatCode="0">
                  <c:v>273</c:v>
                </c:pt>
                <c:pt idx="295" c:formatCode="0">
                  <c:v>274</c:v>
                </c:pt>
                <c:pt idx="296" c:formatCode="0">
                  <c:v>275</c:v>
                </c:pt>
                <c:pt idx="297" c:formatCode="0">
                  <c:v>276</c:v>
                </c:pt>
                <c:pt idx="298" c:formatCode="0">
                  <c:v>277</c:v>
                </c:pt>
                <c:pt idx="299" c:formatCode="0">
                  <c:v>278</c:v>
                </c:pt>
                <c:pt idx="300" c:formatCode="0">
                  <c:v>279</c:v>
                </c:pt>
                <c:pt idx="301" c:formatCode="0">
                  <c:v>280</c:v>
                </c:pt>
                <c:pt idx="302" c:formatCode="0">
                  <c:v>281</c:v>
                </c:pt>
                <c:pt idx="303" c:formatCode="0">
                  <c:v>282</c:v>
                </c:pt>
                <c:pt idx="304" c:formatCode="0">
                  <c:v>283</c:v>
                </c:pt>
                <c:pt idx="305" c:formatCode="0">
                  <c:v>284</c:v>
                </c:pt>
                <c:pt idx="306" c:formatCode="0">
                  <c:v>285</c:v>
                </c:pt>
                <c:pt idx="307" c:formatCode="0">
                  <c:v>286</c:v>
                </c:pt>
                <c:pt idx="308" c:formatCode="0">
                  <c:v>287</c:v>
                </c:pt>
                <c:pt idx="309" c:formatCode="0">
                  <c:v>288</c:v>
                </c:pt>
                <c:pt idx="310" c:formatCode="0">
                  <c:v>289</c:v>
                </c:pt>
                <c:pt idx="311" c:formatCode="0">
                  <c:v>290</c:v>
                </c:pt>
                <c:pt idx="312" c:formatCode="0">
                  <c:v>291</c:v>
                </c:pt>
                <c:pt idx="313" c:formatCode="0">
                  <c:v>292</c:v>
                </c:pt>
                <c:pt idx="314" c:formatCode="0">
                  <c:v>293</c:v>
                </c:pt>
                <c:pt idx="315" c:formatCode="0">
                  <c:v>294</c:v>
                </c:pt>
                <c:pt idx="316" c:formatCode="0">
                  <c:v>295</c:v>
                </c:pt>
                <c:pt idx="317" c:formatCode="0">
                  <c:v>296</c:v>
                </c:pt>
                <c:pt idx="318" c:formatCode="0">
                  <c:v>297</c:v>
                </c:pt>
                <c:pt idx="319" c:formatCode="0">
                  <c:v>298</c:v>
                </c:pt>
                <c:pt idx="320" c:formatCode="0">
                  <c:v>299</c:v>
                </c:pt>
                <c:pt idx="321" c:formatCode="0">
                  <c:v>300</c:v>
                </c:pt>
                <c:pt idx="322" c:formatCode="0">
                  <c:v>301</c:v>
                </c:pt>
                <c:pt idx="323" c:formatCode="0">
                  <c:v>302</c:v>
                </c:pt>
                <c:pt idx="324" c:formatCode="0">
                  <c:v>303</c:v>
                </c:pt>
                <c:pt idx="325" c:formatCode="0">
                  <c:v>304</c:v>
                </c:pt>
                <c:pt idx="326" c:formatCode="0">
                  <c:v>305</c:v>
                </c:pt>
                <c:pt idx="327" c:formatCode="0">
                  <c:v>306</c:v>
                </c:pt>
                <c:pt idx="328" c:formatCode="0">
                  <c:v>307</c:v>
                </c:pt>
                <c:pt idx="329" c:formatCode="0">
                  <c:v>308</c:v>
                </c:pt>
                <c:pt idx="330" c:formatCode="0">
                  <c:v>309</c:v>
                </c:pt>
                <c:pt idx="331" c:formatCode="0">
                  <c:v>310</c:v>
                </c:pt>
                <c:pt idx="332" c:formatCode="0">
                  <c:v>311</c:v>
                </c:pt>
                <c:pt idx="333" c:formatCode="0">
                  <c:v>312</c:v>
                </c:pt>
                <c:pt idx="334" c:formatCode="0">
                  <c:v>313</c:v>
                </c:pt>
                <c:pt idx="335" c:formatCode="0">
                  <c:v>314</c:v>
                </c:pt>
                <c:pt idx="336" c:formatCode="0">
                  <c:v>315</c:v>
                </c:pt>
                <c:pt idx="337" c:formatCode="0">
                  <c:v>316</c:v>
                </c:pt>
                <c:pt idx="338" c:formatCode="0">
                  <c:v>317</c:v>
                </c:pt>
                <c:pt idx="339" c:formatCode="0">
                  <c:v>318</c:v>
                </c:pt>
                <c:pt idx="340" c:formatCode="0">
                  <c:v>319</c:v>
                </c:pt>
                <c:pt idx="341" c:formatCode="0">
                  <c:v>320</c:v>
                </c:pt>
                <c:pt idx="342" c:formatCode="0">
                  <c:v>321</c:v>
                </c:pt>
                <c:pt idx="343" c:formatCode="0">
                  <c:v>322</c:v>
                </c:pt>
                <c:pt idx="344" c:formatCode="0">
                  <c:v>323</c:v>
                </c:pt>
                <c:pt idx="345" c:formatCode="0">
                  <c:v>324</c:v>
                </c:pt>
                <c:pt idx="346" c:formatCode="0">
                  <c:v>325</c:v>
                </c:pt>
                <c:pt idx="347" c:formatCode="0">
                  <c:v>326</c:v>
                </c:pt>
                <c:pt idx="348" c:formatCode="0">
                  <c:v>327</c:v>
                </c:pt>
                <c:pt idx="349" c:formatCode="0">
                  <c:v>328</c:v>
                </c:pt>
                <c:pt idx="350" c:formatCode="0">
                  <c:v>329</c:v>
                </c:pt>
                <c:pt idx="351" c:formatCode="0">
                  <c:v>330</c:v>
                </c:pt>
                <c:pt idx="352" c:formatCode="0">
                  <c:v>331</c:v>
                </c:pt>
                <c:pt idx="353" c:formatCode="0">
                  <c:v>332</c:v>
                </c:pt>
                <c:pt idx="354" c:formatCode="0">
                  <c:v>333</c:v>
                </c:pt>
                <c:pt idx="355" c:formatCode="0">
                  <c:v>334</c:v>
                </c:pt>
                <c:pt idx="356" c:formatCode="0">
                  <c:v>335</c:v>
                </c:pt>
                <c:pt idx="357" c:formatCode="0">
                  <c:v>336</c:v>
                </c:pt>
                <c:pt idx="358" c:formatCode="0">
                  <c:v>337</c:v>
                </c:pt>
                <c:pt idx="359" c:formatCode="0">
                  <c:v>338</c:v>
                </c:pt>
                <c:pt idx="360" c:formatCode="0">
                  <c:v>339</c:v>
                </c:pt>
                <c:pt idx="361" c:formatCode="0">
                  <c:v>340</c:v>
                </c:pt>
                <c:pt idx="362" c:formatCode="0">
                  <c:v>341</c:v>
                </c:pt>
                <c:pt idx="363" c:formatCode="0">
                  <c:v>342</c:v>
                </c:pt>
                <c:pt idx="364" c:formatCode="0">
                  <c:v>343</c:v>
                </c:pt>
                <c:pt idx="365" c:formatCode="0">
                  <c:v>344</c:v>
                </c:pt>
                <c:pt idx="366" c:formatCode="0">
                  <c:v>345</c:v>
                </c:pt>
                <c:pt idx="367" c:formatCode="0">
                  <c:v>346</c:v>
                </c:pt>
                <c:pt idx="368" c:formatCode="0">
                  <c:v>347</c:v>
                </c:pt>
                <c:pt idx="369" c:formatCode="0">
                  <c:v>348</c:v>
                </c:pt>
                <c:pt idx="370" c:formatCode="0">
                  <c:v>349</c:v>
                </c:pt>
                <c:pt idx="371" c:formatCode="0">
                  <c:v>350</c:v>
                </c:pt>
                <c:pt idx="372" c:formatCode="0">
                  <c:v>351</c:v>
                </c:pt>
                <c:pt idx="373" c:formatCode="0">
                  <c:v>352</c:v>
                </c:pt>
                <c:pt idx="374" c:formatCode="0">
                  <c:v>353</c:v>
                </c:pt>
                <c:pt idx="375" c:formatCode="0">
                  <c:v>354</c:v>
                </c:pt>
                <c:pt idx="376" c:formatCode="0">
                  <c:v>355</c:v>
                </c:pt>
                <c:pt idx="377" c:formatCode="0">
                  <c:v>356</c:v>
                </c:pt>
                <c:pt idx="378" c:formatCode="0">
                  <c:v>357</c:v>
                </c:pt>
                <c:pt idx="379" c:formatCode="0">
                  <c:v>358</c:v>
                </c:pt>
                <c:pt idx="380" c:formatCode="0">
                  <c:v>359</c:v>
                </c:pt>
                <c:pt idx="381" c:formatCode="0">
                  <c:v>360</c:v>
                </c:pt>
                <c:pt idx="382" c:formatCode="0">
                  <c:v>361</c:v>
                </c:pt>
                <c:pt idx="383" c:formatCode="0">
                  <c:v>362</c:v>
                </c:pt>
                <c:pt idx="384" c:formatCode="0">
                  <c:v>363</c:v>
                </c:pt>
                <c:pt idx="385" c:formatCode="0">
                  <c:v>364</c:v>
                </c:pt>
                <c:pt idx="386" c:formatCode="0">
                  <c:v>365</c:v>
                </c:pt>
                <c:pt idx="387" c:formatCode="0">
                  <c:v>366</c:v>
                </c:pt>
                <c:pt idx="388" c:formatCode="0">
                  <c:v>367</c:v>
                </c:pt>
                <c:pt idx="389" c:formatCode="0">
                  <c:v>368</c:v>
                </c:pt>
                <c:pt idx="390" c:formatCode="0">
                  <c:v>369</c:v>
                </c:pt>
                <c:pt idx="391" c:formatCode="0">
                  <c:v>370</c:v>
                </c:pt>
                <c:pt idx="392" c:formatCode="0">
                  <c:v>371</c:v>
                </c:pt>
                <c:pt idx="393" c:formatCode="0">
                  <c:v>372</c:v>
                </c:pt>
                <c:pt idx="394" c:formatCode="0">
                  <c:v>373</c:v>
                </c:pt>
                <c:pt idx="395" c:formatCode="0">
                  <c:v>374</c:v>
                </c:pt>
                <c:pt idx="396" c:formatCode="0.00">
                  <c:v>374.12</c:v>
                </c:pt>
              </c:numCache>
            </c:numRef>
          </c:xVal>
          <c:yVal>
            <c:numRef>
              <c:f>Пр3!$D$2:$D$393</c:f>
              <c:numCache>
                <c:formatCode>0.0000</c:formatCode>
                <c:ptCount val="392"/>
                <c:pt idx="0">
                  <c:v>0.0010002</c:v>
                </c:pt>
                <c:pt idx="1">
                  <c:v>0.00100022</c:v>
                </c:pt>
                <c:pt idx="2">
                  <c:v>0.0010001</c:v>
                </c:pt>
                <c:pt idx="3">
                  <c:v>0.0010001</c:v>
                </c:pt>
                <c:pt idx="4">
                  <c:v>0.001</c:v>
                </c:pt>
                <c:pt idx="5">
                  <c:v>0.001</c:v>
                </c:pt>
                <c:pt idx="6">
                  <c:v>0.001</c:v>
                </c:pt>
                <c:pt idx="7">
                  <c:v>0.001</c:v>
                </c:pt>
                <c:pt idx="8">
                  <c:v>0.0010001</c:v>
                </c:pt>
                <c:pt idx="9">
                  <c:v>0.0010001</c:v>
                </c:pt>
                <c:pt idx="10">
                  <c:v>0.0010002</c:v>
                </c:pt>
                <c:pt idx="11">
                  <c:v>0.0010003</c:v>
                </c:pt>
                <c:pt idx="12">
                  <c:v>0.0010003</c:v>
                </c:pt>
                <c:pt idx="13">
                  <c:v>0.0010004</c:v>
                </c:pt>
                <c:pt idx="14">
                  <c:v>0.0010006</c:v>
                </c:pt>
                <c:pt idx="15">
                  <c:v>0.0010007</c:v>
                </c:pt>
                <c:pt idx="16">
                  <c:v>0.0010008</c:v>
                </c:pt>
                <c:pt idx="17">
                  <c:v>0.0010009</c:v>
                </c:pt>
                <c:pt idx="18">
                  <c:v>0.001001</c:v>
                </c:pt>
                <c:pt idx="19">
                  <c:v>0.0010011</c:v>
                </c:pt>
                <c:pt idx="20">
                  <c:v>0.0010012</c:v>
                </c:pt>
                <c:pt idx="21">
                  <c:v>0.0010012</c:v>
                </c:pt>
                <c:pt idx="22">
                  <c:v>0.0010013</c:v>
                </c:pt>
                <c:pt idx="23">
                  <c:v>0.0010014</c:v>
                </c:pt>
                <c:pt idx="24">
                  <c:v>0.0010015</c:v>
                </c:pt>
                <c:pt idx="25">
                  <c:v>0.0010016</c:v>
                </c:pt>
                <c:pt idx="26">
                  <c:v>0.0010017</c:v>
                </c:pt>
                <c:pt idx="27">
                  <c:v>0.0010018</c:v>
                </c:pt>
                <c:pt idx="28">
                  <c:v>0.0010019</c:v>
                </c:pt>
                <c:pt idx="29">
                  <c:v>0.001002</c:v>
                </c:pt>
                <c:pt idx="30">
                  <c:v>0.0010022</c:v>
                </c:pt>
                <c:pt idx="31">
                  <c:v>0.0010023</c:v>
                </c:pt>
                <c:pt idx="32">
                  <c:v>0.0010024</c:v>
                </c:pt>
                <c:pt idx="33">
                  <c:v>0.0010025</c:v>
                </c:pt>
                <c:pt idx="34">
                  <c:v>0.0010026</c:v>
                </c:pt>
                <c:pt idx="35">
                  <c:v>0.0010028</c:v>
                </c:pt>
                <c:pt idx="36">
                  <c:v>0.0010029</c:v>
                </c:pt>
                <c:pt idx="37">
                  <c:v>0.001003</c:v>
                </c:pt>
                <c:pt idx="38">
                  <c:v>0.0010032</c:v>
                </c:pt>
                <c:pt idx="39">
                  <c:v>0.0010033</c:v>
                </c:pt>
                <c:pt idx="40">
                  <c:v>0.0010034</c:v>
                </c:pt>
                <c:pt idx="41">
                  <c:v>0.0010036</c:v>
                </c:pt>
                <c:pt idx="42">
                  <c:v>0.0010037</c:v>
                </c:pt>
                <c:pt idx="43">
                  <c:v>0.0010039</c:v>
                </c:pt>
                <c:pt idx="44">
                  <c:v>0.001004</c:v>
                </c:pt>
                <c:pt idx="45">
                  <c:v>0.0010042</c:v>
                </c:pt>
                <c:pt idx="46">
                  <c:v>0.0010043</c:v>
                </c:pt>
                <c:pt idx="47">
                  <c:v>0.0010045</c:v>
                </c:pt>
                <c:pt idx="48">
                  <c:v>0.0010046</c:v>
                </c:pt>
                <c:pt idx="49">
                  <c:v>0.0010048</c:v>
                </c:pt>
                <c:pt idx="50">
                  <c:v>0.0010049</c:v>
                </c:pt>
                <c:pt idx="51">
                  <c:v>0.0010051</c:v>
                </c:pt>
                <c:pt idx="52">
                  <c:v>0.0010053</c:v>
                </c:pt>
                <c:pt idx="53">
                  <c:v>0.0010054</c:v>
                </c:pt>
                <c:pt idx="54">
                  <c:v>0.0010056</c:v>
                </c:pt>
                <c:pt idx="55">
                  <c:v>0.0010058</c:v>
                </c:pt>
                <c:pt idx="56">
                  <c:v>0.001006</c:v>
                </c:pt>
                <c:pt idx="57">
                  <c:v>0.0010063</c:v>
                </c:pt>
                <c:pt idx="58">
                  <c:v>0.0010067</c:v>
                </c:pt>
                <c:pt idx="59">
                  <c:v>0.001007</c:v>
                </c:pt>
                <c:pt idx="60">
                  <c:v>0.0010074</c:v>
                </c:pt>
                <c:pt idx="61">
                  <c:v>0.0010078</c:v>
                </c:pt>
                <c:pt idx="62">
                  <c:v>0.0010082</c:v>
                </c:pt>
                <c:pt idx="63">
                  <c:v>0.0010086</c:v>
                </c:pt>
                <c:pt idx="64">
                  <c:v>0.001009</c:v>
                </c:pt>
                <c:pt idx="65">
                  <c:v>0.0010094</c:v>
                </c:pt>
                <c:pt idx="66">
                  <c:v>0.0010099</c:v>
                </c:pt>
                <c:pt idx="67">
                  <c:v>0.0010103</c:v>
                </c:pt>
                <c:pt idx="68">
                  <c:v>0.0010107</c:v>
                </c:pt>
                <c:pt idx="69">
                  <c:v>0.0010112</c:v>
                </c:pt>
                <c:pt idx="70">
                  <c:v>0.0010116</c:v>
                </c:pt>
                <c:pt idx="71">
                  <c:v>0.0010121</c:v>
                </c:pt>
                <c:pt idx="72">
                  <c:v>0.0010126</c:v>
                </c:pt>
                <c:pt idx="73">
                  <c:v>0.0010131</c:v>
                </c:pt>
                <c:pt idx="74">
                  <c:v>0.0010136</c:v>
                </c:pt>
                <c:pt idx="75">
                  <c:v>0.001014</c:v>
                </c:pt>
                <c:pt idx="76">
                  <c:v>0.0010145</c:v>
                </c:pt>
                <c:pt idx="77">
                  <c:v>0.001015</c:v>
                </c:pt>
                <c:pt idx="78">
                  <c:v>0.0010156</c:v>
                </c:pt>
                <c:pt idx="79">
                  <c:v>0.0010161</c:v>
                </c:pt>
                <c:pt idx="80">
                  <c:v>0.0010166</c:v>
                </c:pt>
                <c:pt idx="81">
                  <c:v>0.0010171</c:v>
                </c:pt>
                <c:pt idx="82">
                  <c:v>0.0010177</c:v>
                </c:pt>
                <c:pt idx="83">
                  <c:v>0.0010182</c:v>
                </c:pt>
                <c:pt idx="84">
                  <c:v>0.0010188</c:v>
                </c:pt>
                <c:pt idx="85">
                  <c:v>0.0010193</c:v>
                </c:pt>
                <c:pt idx="86">
                  <c:v>0.0010199</c:v>
                </c:pt>
                <c:pt idx="87">
                  <c:v>0.0010205</c:v>
                </c:pt>
                <c:pt idx="88">
                  <c:v>0.0010211</c:v>
                </c:pt>
                <c:pt idx="89">
                  <c:v>0.0010217</c:v>
                </c:pt>
                <c:pt idx="90">
                  <c:v>0.0010222</c:v>
                </c:pt>
                <c:pt idx="91">
                  <c:v>0.0010228</c:v>
                </c:pt>
                <c:pt idx="92">
                  <c:v>0.0010235</c:v>
                </c:pt>
                <c:pt idx="93">
                  <c:v>0.0010241</c:v>
                </c:pt>
                <c:pt idx="94">
                  <c:v>0.0010247</c:v>
                </c:pt>
                <c:pt idx="95">
                  <c:v>0.0010253</c:v>
                </c:pt>
                <c:pt idx="96">
                  <c:v>0.0010259</c:v>
                </c:pt>
                <c:pt idx="97">
                  <c:v>0.0010266</c:v>
                </c:pt>
                <c:pt idx="98">
                  <c:v>0.0010272</c:v>
                </c:pt>
                <c:pt idx="99">
                  <c:v>0.0010279</c:v>
                </c:pt>
                <c:pt idx="100">
                  <c:v>0.0010285</c:v>
                </c:pt>
                <c:pt idx="101">
                  <c:v>0.0010292</c:v>
                </c:pt>
                <c:pt idx="102">
                  <c:v>0.0010299</c:v>
                </c:pt>
                <c:pt idx="103">
                  <c:v>0.0010305</c:v>
                </c:pt>
                <c:pt idx="104">
                  <c:v>0.0010312</c:v>
                </c:pt>
                <c:pt idx="105">
                  <c:v>0.0010319</c:v>
                </c:pt>
                <c:pt idx="106">
                  <c:v>0.0010326</c:v>
                </c:pt>
                <c:pt idx="107">
                  <c:v>0.0010333</c:v>
                </c:pt>
                <c:pt idx="108">
                  <c:v>0.001034</c:v>
                </c:pt>
                <c:pt idx="109">
                  <c:v>0.0010347</c:v>
                </c:pt>
                <c:pt idx="110">
                  <c:v>0.0010354</c:v>
                </c:pt>
                <c:pt idx="111">
                  <c:v>0.0010361</c:v>
                </c:pt>
                <c:pt idx="112">
                  <c:v>0.0010369</c:v>
                </c:pt>
                <c:pt idx="113">
                  <c:v>0.0010376</c:v>
                </c:pt>
                <c:pt idx="114">
                  <c:v>0.0010384</c:v>
                </c:pt>
                <c:pt idx="115">
                  <c:v>0.0010391</c:v>
                </c:pt>
                <c:pt idx="116">
                  <c:v>0.0010398</c:v>
                </c:pt>
                <c:pt idx="117">
                  <c:v>0.0010406</c:v>
                </c:pt>
                <c:pt idx="118">
                  <c:v>0.0010414</c:v>
                </c:pt>
                <c:pt idx="119">
                  <c:v>0.0010421</c:v>
                </c:pt>
                <c:pt idx="120">
                  <c:v>0.0010429</c:v>
                </c:pt>
                <c:pt idx="121">
                  <c:v>0.0010437</c:v>
                </c:pt>
                <c:pt idx="122">
                  <c:v>0.0010445</c:v>
                </c:pt>
                <c:pt idx="123">
                  <c:v>0.0010453</c:v>
                </c:pt>
                <c:pt idx="124">
                  <c:v>0.0010461</c:v>
                </c:pt>
                <c:pt idx="125">
                  <c:v>0.0010469</c:v>
                </c:pt>
                <c:pt idx="126">
                  <c:v>0.0010477</c:v>
                </c:pt>
                <c:pt idx="127">
                  <c:v>0.0010485</c:v>
                </c:pt>
                <c:pt idx="128">
                  <c:v>0.0010494</c:v>
                </c:pt>
                <c:pt idx="129">
                  <c:v>0.0010502</c:v>
                </c:pt>
                <c:pt idx="130">
                  <c:v>0.001051</c:v>
                </c:pt>
                <c:pt idx="131">
                  <c:v>0.0010519</c:v>
                </c:pt>
                <c:pt idx="132">
                  <c:v>0.0010527</c:v>
                </c:pt>
                <c:pt idx="133">
                  <c:v>0.0010536</c:v>
                </c:pt>
                <c:pt idx="134">
                  <c:v>0.0010544</c:v>
                </c:pt>
                <c:pt idx="135">
                  <c:v>0.0010553</c:v>
                </c:pt>
                <c:pt idx="136">
                  <c:v>0.0010562</c:v>
                </c:pt>
                <c:pt idx="137">
                  <c:v>0.001057</c:v>
                </c:pt>
                <c:pt idx="138">
                  <c:v>0.0010579</c:v>
                </c:pt>
                <c:pt idx="139">
                  <c:v>0.0010588</c:v>
                </c:pt>
                <c:pt idx="140">
                  <c:v>0.0010597</c:v>
                </c:pt>
                <c:pt idx="141">
                  <c:v>0.0010606</c:v>
                </c:pt>
                <c:pt idx="142">
                  <c:v>0.0010615</c:v>
                </c:pt>
                <c:pt idx="143">
                  <c:v>0.0010625</c:v>
                </c:pt>
                <c:pt idx="144">
                  <c:v>0.0010634</c:v>
                </c:pt>
                <c:pt idx="145">
                  <c:v>0.0010643</c:v>
                </c:pt>
                <c:pt idx="146">
                  <c:v>0.0010652</c:v>
                </c:pt>
                <c:pt idx="147">
                  <c:v>0.0010662</c:v>
                </c:pt>
                <c:pt idx="148">
                  <c:v>0.0010671</c:v>
                </c:pt>
                <c:pt idx="149">
                  <c:v>0.0010681</c:v>
                </c:pt>
                <c:pt idx="150">
                  <c:v>0.001069</c:v>
                </c:pt>
                <c:pt idx="151">
                  <c:v>0.00107</c:v>
                </c:pt>
                <c:pt idx="152">
                  <c:v>0.001071</c:v>
                </c:pt>
                <c:pt idx="153">
                  <c:v>0.001072</c:v>
                </c:pt>
                <c:pt idx="154">
                  <c:v>0.001073</c:v>
                </c:pt>
                <c:pt idx="155">
                  <c:v>0.001074</c:v>
                </c:pt>
                <c:pt idx="156">
                  <c:v>0.001075</c:v>
                </c:pt>
                <c:pt idx="157">
                  <c:v>0.001076</c:v>
                </c:pt>
                <c:pt idx="158">
                  <c:v>0.001077</c:v>
                </c:pt>
                <c:pt idx="159">
                  <c:v>0.001078</c:v>
                </c:pt>
                <c:pt idx="160">
                  <c:v>0.001079</c:v>
                </c:pt>
                <c:pt idx="161">
                  <c:v>0.0010801</c:v>
                </c:pt>
                <c:pt idx="162">
                  <c:v>0.0010811</c:v>
                </c:pt>
                <c:pt idx="163">
                  <c:v>0.0010822</c:v>
                </c:pt>
                <c:pt idx="164">
                  <c:v>0.0010832</c:v>
                </c:pt>
                <c:pt idx="165">
                  <c:v>0.0010843</c:v>
                </c:pt>
                <c:pt idx="166">
                  <c:v>0.0010853</c:v>
                </c:pt>
                <c:pt idx="167">
                  <c:v>0.0010864</c:v>
                </c:pt>
                <c:pt idx="168">
                  <c:v>0.0010875</c:v>
                </c:pt>
                <c:pt idx="169">
                  <c:v>0.0010886</c:v>
                </c:pt>
                <c:pt idx="170">
                  <c:v>0.0010897</c:v>
                </c:pt>
                <c:pt idx="171">
                  <c:v>0.0010908</c:v>
                </c:pt>
                <c:pt idx="172">
                  <c:v>0.0010919</c:v>
                </c:pt>
                <c:pt idx="173">
                  <c:v>0.001093</c:v>
                </c:pt>
                <c:pt idx="174">
                  <c:v>0.0010941</c:v>
                </c:pt>
                <c:pt idx="175">
                  <c:v>0.0010953</c:v>
                </c:pt>
                <c:pt idx="176">
                  <c:v>0.0010964</c:v>
                </c:pt>
                <c:pt idx="177">
                  <c:v>0.0010976</c:v>
                </c:pt>
                <c:pt idx="178">
                  <c:v>0.0010987</c:v>
                </c:pt>
                <c:pt idx="179">
                  <c:v>0.0010999</c:v>
                </c:pt>
                <c:pt idx="180">
                  <c:v>0.001101</c:v>
                </c:pt>
                <c:pt idx="181">
                  <c:v>0.0011022</c:v>
                </c:pt>
                <c:pt idx="182">
                  <c:v>0.0011034</c:v>
                </c:pt>
                <c:pt idx="183">
                  <c:v>0.0011046</c:v>
                </c:pt>
                <c:pt idx="184">
                  <c:v>0.0011058</c:v>
                </c:pt>
                <c:pt idx="185">
                  <c:v>0.001107</c:v>
                </c:pt>
                <c:pt idx="186">
                  <c:v>0.0011082</c:v>
                </c:pt>
                <c:pt idx="187">
                  <c:v>0.0011095</c:v>
                </c:pt>
                <c:pt idx="188">
                  <c:v>0.0011107</c:v>
                </c:pt>
                <c:pt idx="189">
                  <c:v>0.0011119</c:v>
                </c:pt>
                <c:pt idx="190">
                  <c:v>0.0011132</c:v>
                </c:pt>
                <c:pt idx="191">
                  <c:v>0.0011145</c:v>
                </c:pt>
                <c:pt idx="192">
                  <c:v>0.0011157</c:v>
                </c:pt>
                <c:pt idx="193">
                  <c:v>0.001117</c:v>
                </c:pt>
                <c:pt idx="194">
                  <c:v>0.0011183</c:v>
                </c:pt>
                <c:pt idx="195">
                  <c:v>0.0011196</c:v>
                </c:pt>
                <c:pt idx="196">
                  <c:v>0.0011209</c:v>
                </c:pt>
                <c:pt idx="197">
                  <c:v>0.0011222</c:v>
                </c:pt>
                <c:pt idx="198">
                  <c:v>0.0011235</c:v>
                </c:pt>
                <c:pt idx="199">
                  <c:v>0.0011248</c:v>
                </c:pt>
                <c:pt idx="200">
                  <c:v>0.0011262</c:v>
                </c:pt>
                <c:pt idx="201">
                  <c:v>0.0011275</c:v>
                </c:pt>
                <c:pt idx="202">
                  <c:v>0.0011289</c:v>
                </c:pt>
                <c:pt idx="203">
                  <c:v>0.0011302</c:v>
                </c:pt>
                <c:pt idx="204">
                  <c:v>0.0011316</c:v>
                </c:pt>
                <c:pt idx="205">
                  <c:v>0.001133</c:v>
                </c:pt>
                <c:pt idx="206">
                  <c:v>0.0011344</c:v>
                </c:pt>
                <c:pt idx="207">
                  <c:v>0.0011358</c:v>
                </c:pt>
                <c:pt idx="208">
                  <c:v>0.0011372</c:v>
                </c:pt>
                <c:pt idx="209">
                  <c:v>0.0011386</c:v>
                </c:pt>
                <c:pt idx="210">
                  <c:v>0.0011401</c:v>
                </c:pt>
                <c:pt idx="211">
                  <c:v>0.0011415</c:v>
                </c:pt>
                <c:pt idx="212">
                  <c:v>0.001143</c:v>
                </c:pt>
                <c:pt idx="213">
                  <c:v>0.0011444</c:v>
                </c:pt>
                <c:pt idx="214">
                  <c:v>0.0011459</c:v>
                </c:pt>
                <c:pt idx="215">
                  <c:v>0.0011474</c:v>
                </c:pt>
                <c:pt idx="216">
                  <c:v>0.0011489</c:v>
                </c:pt>
                <c:pt idx="217">
                  <c:v>0.0011504</c:v>
                </c:pt>
                <c:pt idx="218">
                  <c:v>0.0011519</c:v>
                </c:pt>
                <c:pt idx="219">
                  <c:v>0.0011534</c:v>
                </c:pt>
                <c:pt idx="220">
                  <c:v>0.0011549</c:v>
                </c:pt>
                <c:pt idx="221">
                  <c:v>0.0011565</c:v>
                </c:pt>
                <c:pt idx="222">
                  <c:v>0.001158</c:v>
                </c:pt>
                <c:pt idx="223">
                  <c:v>0.0011596</c:v>
                </c:pt>
                <c:pt idx="224">
                  <c:v>0.0011612</c:v>
                </c:pt>
                <c:pt idx="225">
                  <c:v>0.0011628</c:v>
                </c:pt>
                <c:pt idx="226">
                  <c:v>0.0011644</c:v>
                </c:pt>
                <c:pt idx="227">
                  <c:v>0.001166</c:v>
                </c:pt>
                <c:pt idx="228">
                  <c:v>0.0011676</c:v>
                </c:pt>
                <c:pt idx="229">
                  <c:v>0.0011693</c:v>
                </c:pt>
                <c:pt idx="230">
                  <c:v>0.0011709</c:v>
                </c:pt>
                <c:pt idx="231">
                  <c:v>0.0011726</c:v>
                </c:pt>
                <c:pt idx="232">
                  <c:v>0.0011743</c:v>
                </c:pt>
                <c:pt idx="233">
                  <c:v>0.001176</c:v>
                </c:pt>
                <c:pt idx="234">
                  <c:v>0.0011777</c:v>
                </c:pt>
                <c:pt idx="235">
                  <c:v>0.0011794</c:v>
                </c:pt>
                <c:pt idx="236">
                  <c:v>0.0011811</c:v>
                </c:pt>
                <c:pt idx="237">
                  <c:v>0.0011829</c:v>
                </c:pt>
                <c:pt idx="238">
                  <c:v>0.0011846</c:v>
                </c:pt>
                <c:pt idx="239">
                  <c:v>0.0011864</c:v>
                </c:pt>
                <c:pt idx="240">
                  <c:v>0.0011882</c:v>
                </c:pt>
                <c:pt idx="241">
                  <c:v>0.00119</c:v>
                </c:pt>
                <c:pt idx="242">
                  <c:v>0.0011918</c:v>
                </c:pt>
                <c:pt idx="243">
                  <c:v>0.0011936</c:v>
                </c:pt>
                <c:pt idx="244">
                  <c:v>0.0011954</c:v>
                </c:pt>
                <c:pt idx="245">
                  <c:v>0.0011973</c:v>
                </c:pt>
                <c:pt idx="246">
                  <c:v>0.0011992</c:v>
                </c:pt>
                <c:pt idx="247">
                  <c:v>0.001201</c:v>
                </c:pt>
                <c:pt idx="248">
                  <c:v>0.0012029</c:v>
                </c:pt>
                <c:pt idx="249">
                  <c:v>0.0012048</c:v>
                </c:pt>
                <c:pt idx="250">
                  <c:v>0.0012068</c:v>
                </c:pt>
                <c:pt idx="251">
                  <c:v>0.0012087</c:v>
                </c:pt>
                <c:pt idx="252">
                  <c:v>0.0012107</c:v>
                </c:pt>
                <c:pt idx="253">
                  <c:v>0.0012127</c:v>
                </c:pt>
                <c:pt idx="254">
                  <c:v>0.0012147</c:v>
                </c:pt>
                <c:pt idx="255">
                  <c:v>0.0012167</c:v>
                </c:pt>
                <c:pt idx="256">
                  <c:v>0.0012186</c:v>
                </c:pt>
                <c:pt idx="257">
                  <c:v>0.0012207</c:v>
                </c:pt>
                <c:pt idx="258">
                  <c:v>0.0012228</c:v>
                </c:pt>
                <c:pt idx="259">
                  <c:v>0.0012249</c:v>
                </c:pt>
                <c:pt idx="260">
                  <c:v>0.001227</c:v>
                </c:pt>
                <c:pt idx="261">
                  <c:v>0.0012291</c:v>
                </c:pt>
                <c:pt idx="262">
                  <c:v>0.0012312</c:v>
                </c:pt>
                <c:pt idx="263">
                  <c:v>0.0012334</c:v>
                </c:pt>
                <c:pt idx="264">
                  <c:v>0.0012355</c:v>
                </c:pt>
                <c:pt idx="265">
                  <c:v>0.0012377</c:v>
                </c:pt>
                <c:pt idx="266">
                  <c:v>0.0012399</c:v>
                </c:pt>
                <c:pt idx="267">
                  <c:v>0.0012422</c:v>
                </c:pt>
                <c:pt idx="268">
                  <c:v>0.0012444</c:v>
                </c:pt>
                <c:pt idx="269">
                  <c:v>0.0012467</c:v>
                </c:pt>
                <c:pt idx="270">
                  <c:v>0.001249</c:v>
                </c:pt>
                <c:pt idx="271">
                  <c:v>0.0012513</c:v>
                </c:pt>
                <c:pt idx="272">
                  <c:v>0.0012536</c:v>
                </c:pt>
                <c:pt idx="273">
                  <c:v>0.001256</c:v>
                </c:pt>
                <c:pt idx="274">
                  <c:v>0.0012584</c:v>
                </c:pt>
                <c:pt idx="275">
                  <c:v>0.0012608</c:v>
                </c:pt>
                <c:pt idx="276">
                  <c:v>0.0012632</c:v>
                </c:pt>
                <c:pt idx="277">
                  <c:v>0.0012656</c:v>
                </c:pt>
                <c:pt idx="278">
                  <c:v>0.0012681</c:v>
                </c:pt>
                <c:pt idx="279">
                  <c:v>0.0012706</c:v>
                </c:pt>
                <c:pt idx="280">
                  <c:v>0.0012731</c:v>
                </c:pt>
                <c:pt idx="281">
                  <c:v>0.0012756</c:v>
                </c:pt>
                <c:pt idx="282">
                  <c:v>0.0012782</c:v>
                </c:pt>
                <c:pt idx="283">
                  <c:v>0.0012808</c:v>
                </c:pt>
                <c:pt idx="284">
                  <c:v>0.0012834</c:v>
                </c:pt>
                <c:pt idx="285">
                  <c:v>0.0012861</c:v>
                </c:pt>
                <c:pt idx="286">
                  <c:v>0.0012887</c:v>
                </c:pt>
                <c:pt idx="287">
                  <c:v>0.0012914</c:v>
                </c:pt>
                <c:pt idx="288">
                  <c:v>0.0012942</c:v>
                </c:pt>
                <c:pt idx="289">
                  <c:v>0.0012969</c:v>
                </c:pt>
                <c:pt idx="290">
                  <c:v>0.0012997</c:v>
                </c:pt>
                <c:pt idx="291">
                  <c:v>0.0013025</c:v>
                </c:pt>
                <c:pt idx="292">
                  <c:v>0.0013053</c:v>
                </c:pt>
                <c:pt idx="293">
                  <c:v>0.0013082</c:v>
                </c:pt>
                <c:pt idx="294">
                  <c:v>0.0013111</c:v>
                </c:pt>
                <c:pt idx="295">
                  <c:v>0.0013141</c:v>
                </c:pt>
                <c:pt idx="296">
                  <c:v>0.001317</c:v>
                </c:pt>
                <c:pt idx="297">
                  <c:v>0.00132</c:v>
                </c:pt>
                <c:pt idx="298">
                  <c:v>0.0013231</c:v>
                </c:pt>
                <c:pt idx="299">
                  <c:v>0.0013261</c:v>
                </c:pt>
                <c:pt idx="300">
                  <c:v>0.0013292</c:v>
                </c:pt>
                <c:pt idx="301">
                  <c:v>0.0013324</c:v>
                </c:pt>
                <c:pt idx="302">
                  <c:v>0.0013356</c:v>
                </c:pt>
                <c:pt idx="303">
                  <c:v>0.0013388</c:v>
                </c:pt>
                <c:pt idx="304">
                  <c:v>0.001342</c:v>
                </c:pt>
                <c:pt idx="305">
                  <c:v>0.0013453</c:v>
                </c:pt>
                <c:pt idx="306">
                  <c:v>0.0013487</c:v>
                </c:pt>
                <c:pt idx="307">
                  <c:v>0.001352</c:v>
                </c:pt>
                <c:pt idx="308">
                  <c:v>0.0013554</c:v>
                </c:pt>
                <c:pt idx="309">
                  <c:v>0.0013589</c:v>
                </c:pt>
                <c:pt idx="310">
                  <c:v>0.0013624</c:v>
                </c:pt>
                <c:pt idx="311">
                  <c:v>0.0013659</c:v>
                </c:pt>
                <c:pt idx="312">
                  <c:v>0.0013695</c:v>
                </c:pt>
                <c:pt idx="313">
                  <c:v>0.0013732</c:v>
                </c:pt>
                <c:pt idx="314">
                  <c:v>0.0013769</c:v>
                </c:pt>
                <c:pt idx="315">
                  <c:v>0.0013806</c:v>
                </c:pt>
                <c:pt idx="316">
                  <c:v>0.0013844</c:v>
                </c:pt>
                <c:pt idx="317">
                  <c:v>0.0013882</c:v>
                </c:pt>
                <c:pt idx="318">
                  <c:v>0.0013921</c:v>
                </c:pt>
                <c:pt idx="319">
                  <c:v>0.001396</c:v>
                </c:pt>
                <c:pt idx="320">
                  <c:v>0.0014</c:v>
                </c:pt>
                <c:pt idx="321">
                  <c:v>0.0014041</c:v>
                </c:pt>
                <c:pt idx="322">
                  <c:v>0.0014082</c:v>
                </c:pt>
                <c:pt idx="323">
                  <c:v>0.0014123</c:v>
                </c:pt>
                <c:pt idx="324">
                  <c:v>0.0014166</c:v>
                </c:pt>
                <c:pt idx="325">
                  <c:v>0.0014208</c:v>
                </c:pt>
                <c:pt idx="326">
                  <c:v>0.0014252</c:v>
                </c:pt>
                <c:pt idx="327">
                  <c:v>0.0014296</c:v>
                </c:pt>
                <c:pt idx="328">
                  <c:v>0.0014341</c:v>
                </c:pt>
                <c:pt idx="329">
                  <c:v>0.0014386</c:v>
                </c:pt>
                <c:pt idx="330">
                  <c:v>0.0014433</c:v>
                </c:pt>
                <c:pt idx="331">
                  <c:v>0.001448</c:v>
                </c:pt>
                <c:pt idx="332">
                  <c:v>0.0014527</c:v>
                </c:pt>
                <c:pt idx="333">
                  <c:v>0.0014576</c:v>
                </c:pt>
                <c:pt idx="334">
                  <c:v>0.0014625</c:v>
                </c:pt>
                <c:pt idx="335">
                  <c:v>0.0014675</c:v>
                </c:pt>
                <c:pt idx="336">
                  <c:v>0.0014726</c:v>
                </c:pt>
                <c:pt idx="337">
                  <c:v>0.0014778</c:v>
                </c:pt>
                <c:pt idx="338">
                  <c:v>0.0014831</c:v>
                </c:pt>
                <c:pt idx="339">
                  <c:v>0.0014885</c:v>
                </c:pt>
                <c:pt idx="340">
                  <c:v>0.0014939</c:v>
                </c:pt>
                <c:pt idx="341">
                  <c:v>0.0014995</c:v>
                </c:pt>
                <c:pt idx="342">
                  <c:v>0.0015051</c:v>
                </c:pt>
                <c:pt idx="343">
                  <c:v>0.0015109</c:v>
                </c:pt>
                <c:pt idx="344">
                  <c:v>0.0015168</c:v>
                </c:pt>
                <c:pt idx="345">
                  <c:v>0.0015228</c:v>
                </c:pt>
                <c:pt idx="346">
                  <c:v>0.0015289</c:v>
                </c:pt>
                <c:pt idx="347">
                  <c:v>0.0015351</c:v>
                </c:pt>
                <c:pt idx="348">
                  <c:v>0.0015415</c:v>
                </c:pt>
                <c:pt idx="349">
                  <c:v>0.001548</c:v>
                </c:pt>
                <c:pt idx="350">
                  <c:v>0.0015546</c:v>
                </c:pt>
                <c:pt idx="351">
                  <c:v>0.0015614</c:v>
                </c:pt>
                <c:pt idx="352">
                  <c:v>0.0015683</c:v>
                </c:pt>
                <c:pt idx="353">
                  <c:v>0.0015754</c:v>
                </c:pt>
                <c:pt idx="354">
                  <c:v>0.0015827</c:v>
                </c:pt>
                <c:pt idx="355">
                  <c:v>0.0015901</c:v>
                </c:pt>
                <c:pt idx="356">
                  <c:v>0.0015977</c:v>
                </c:pt>
                <c:pt idx="357">
                  <c:v>0.0016055</c:v>
                </c:pt>
                <c:pt idx="358">
                  <c:v>0.0016134</c:v>
                </c:pt>
                <c:pt idx="359">
                  <c:v>0.0016216</c:v>
                </c:pt>
                <c:pt idx="360">
                  <c:v>0.00163</c:v>
                </c:pt>
                <c:pt idx="361">
                  <c:v>0.001639</c:v>
                </c:pt>
                <c:pt idx="362">
                  <c:v>0.0016479</c:v>
                </c:pt>
                <c:pt idx="363">
                  <c:v>0.001657</c:v>
                </c:pt>
                <c:pt idx="364">
                  <c:v>0.0016663</c:v>
                </c:pt>
                <c:pt idx="365">
                  <c:v>0.001676</c:v>
                </c:pt>
                <c:pt idx="366">
                  <c:v>0.0016859</c:v>
                </c:pt>
                <c:pt idx="367">
                  <c:v>0.0016961</c:v>
                </c:pt>
                <c:pt idx="368">
                  <c:v>0.0017067</c:v>
                </c:pt>
                <c:pt idx="369">
                  <c:v>0.0017176</c:v>
                </c:pt>
                <c:pt idx="370">
                  <c:v>0.001729</c:v>
                </c:pt>
                <c:pt idx="371">
                  <c:v>0.0017407</c:v>
                </c:pt>
                <c:pt idx="372">
                  <c:v>0.0017529</c:v>
                </c:pt>
                <c:pt idx="373">
                  <c:v>0.0017656</c:v>
                </c:pt>
                <c:pt idx="374">
                  <c:v>0.0017789</c:v>
                </c:pt>
                <c:pt idx="375">
                  <c:v>0.0017928</c:v>
                </c:pt>
                <c:pt idx="376">
                  <c:v>0.0018073</c:v>
                </c:pt>
                <c:pt idx="377">
                  <c:v>0.0018226</c:v>
                </c:pt>
                <c:pt idx="378">
                  <c:v>0.0018387</c:v>
                </c:pt>
                <c:pt idx="379">
                  <c:v>0.0018557</c:v>
                </c:pt>
                <c:pt idx="380">
                  <c:v>0.0018737</c:v>
                </c:pt>
                <c:pt idx="381">
                  <c:v>0.001893</c:v>
                </c:pt>
                <c:pt idx="382">
                  <c:v>0.0019136</c:v>
                </c:pt>
                <c:pt idx="383">
                  <c:v>0.0019357</c:v>
                </c:pt>
                <c:pt idx="384">
                  <c:v>0.0019598</c:v>
                </c:pt>
                <c:pt idx="385">
                  <c:v>0.0019861</c:v>
                </c:pt>
                <c:pt idx="386">
                  <c:v>0.002015</c:v>
                </c:pt>
                <c:pt idx="387">
                  <c:v>0.002047</c:v>
                </c:pt>
                <c:pt idx="388">
                  <c:v>0.002084</c:v>
                </c:pt>
                <c:pt idx="389">
                  <c:v>0.002125</c:v>
                </c:pt>
                <c:pt idx="390">
                  <c:v>0.002174</c:v>
                </c:pt>
                <c:pt idx="391">
                  <c:v>0.002231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48864"/>
        <c:axId val="177873664"/>
      </c:scatterChart>
      <c:valAx>
        <c:axId val="176548864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873664"/>
        <c:crosses val="autoZero"/>
        <c:crossBetween val="midCat"/>
      </c:valAx>
      <c:valAx>
        <c:axId val="177873664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654886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6aa01f-c561-42a8-8f16-4b857a0c24cb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Пр3!$E$1</c:f>
              <c:strCache>
                <c:ptCount val="1"/>
                <c:pt idx="0">
                  <c:v>Уд. объём насыщенного пара v", м3/кг</c:v>
                </c:pt>
              </c:strCache>
            </c:strRef>
          </c:tx>
          <c:dLbls>
            <c:delete val="1"/>
          </c:dLbls>
          <c:xVal>
            <c:numRef>
              <c:f>Пр3!$A$2:$A$398</c:f>
              <c:numCache>
                <c:formatCode>0.0</c:formatCode>
                <c:ptCount val="397"/>
                <c:pt idx="0">
                  <c:v>0</c:v>
                </c:pt>
                <c:pt idx="1" c:formatCode="0.00">
                  <c:v>0.01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  <c:pt idx="25">
                  <c:v>19.5</c:v>
                </c:pt>
                <c:pt idx="26">
                  <c:v>20</c:v>
                </c:pt>
                <c:pt idx="27">
                  <c:v>20.5</c:v>
                </c:pt>
                <c:pt idx="28">
                  <c:v>21</c:v>
                </c:pt>
                <c:pt idx="29">
                  <c:v>21.5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  <c:pt idx="33">
                  <c:v>23.5</c:v>
                </c:pt>
                <c:pt idx="34">
                  <c:v>24</c:v>
                </c:pt>
                <c:pt idx="35">
                  <c:v>24.5</c:v>
                </c:pt>
                <c:pt idx="36">
                  <c:v>25</c:v>
                </c:pt>
                <c:pt idx="37">
                  <c:v>25.5</c:v>
                </c:pt>
                <c:pt idx="38">
                  <c:v>26</c:v>
                </c:pt>
                <c:pt idx="39">
                  <c:v>26.5</c:v>
                </c:pt>
                <c:pt idx="40">
                  <c:v>27</c:v>
                </c:pt>
                <c:pt idx="41">
                  <c:v>27.5</c:v>
                </c:pt>
                <c:pt idx="42">
                  <c:v>28</c:v>
                </c:pt>
                <c:pt idx="43">
                  <c:v>28.5</c:v>
                </c:pt>
                <c:pt idx="44">
                  <c:v>29</c:v>
                </c:pt>
                <c:pt idx="45">
                  <c:v>29.5</c:v>
                </c:pt>
                <c:pt idx="46">
                  <c:v>30</c:v>
                </c:pt>
                <c:pt idx="47">
                  <c:v>30.5</c:v>
                </c:pt>
                <c:pt idx="48">
                  <c:v>31</c:v>
                </c:pt>
                <c:pt idx="49">
                  <c:v>31.5</c:v>
                </c:pt>
                <c:pt idx="50">
                  <c:v>32</c:v>
                </c:pt>
                <c:pt idx="51">
                  <c:v>32.5</c:v>
                </c:pt>
                <c:pt idx="52">
                  <c:v>33</c:v>
                </c:pt>
                <c:pt idx="53">
                  <c:v>33.5</c:v>
                </c:pt>
                <c:pt idx="54">
                  <c:v>34</c:v>
                </c:pt>
                <c:pt idx="55">
                  <c:v>34.5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 c:formatCode="0">
                  <c:v>100</c:v>
                </c:pt>
                <c:pt idx="122" c:formatCode="0">
                  <c:v>101</c:v>
                </c:pt>
                <c:pt idx="123" c:formatCode="0">
                  <c:v>102</c:v>
                </c:pt>
                <c:pt idx="124" c:formatCode="0">
                  <c:v>103</c:v>
                </c:pt>
                <c:pt idx="125" c:formatCode="0">
                  <c:v>104</c:v>
                </c:pt>
                <c:pt idx="126" c:formatCode="0">
                  <c:v>105</c:v>
                </c:pt>
                <c:pt idx="127" c:formatCode="0">
                  <c:v>106</c:v>
                </c:pt>
                <c:pt idx="128" c:formatCode="0">
                  <c:v>107</c:v>
                </c:pt>
                <c:pt idx="129" c:formatCode="0">
                  <c:v>108</c:v>
                </c:pt>
                <c:pt idx="130" c:formatCode="0">
                  <c:v>109</c:v>
                </c:pt>
                <c:pt idx="131" c:formatCode="0">
                  <c:v>110</c:v>
                </c:pt>
                <c:pt idx="132" c:formatCode="0">
                  <c:v>111</c:v>
                </c:pt>
                <c:pt idx="133" c:formatCode="0">
                  <c:v>112</c:v>
                </c:pt>
                <c:pt idx="134" c:formatCode="0">
                  <c:v>113</c:v>
                </c:pt>
                <c:pt idx="135" c:formatCode="0">
                  <c:v>114</c:v>
                </c:pt>
                <c:pt idx="136" c:formatCode="0">
                  <c:v>115</c:v>
                </c:pt>
                <c:pt idx="137" c:formatCode="0">
                  <c:v>116</c:v>
                </c:pt>
                <c:pt idx="138" c:formatCode="0">
                  <c:v>117</c:v>
                </c:pt>
                <c:pt idx="139" c:formatCode="0">
                  <c:v>118</c:v>
                </c:pt>
                <c:pt idx="140" c:formatCode="0">
                  <c:v>119</c:v>
                </c:pt>
                <c:pt idx="141" c:formatCode="0">
                  <c:v>120</c:v>
                </c:pt>
                <c:pt idx="142" c:formatCode="0">
                  <c:v>121</c:v>
                </c:pt>
                <c:pt idx="143" c:formatCode="0">
                  <c:v>122</c:v>
                </c:pt>
                <c:pt idx="144" c:formatCode="0">
                  <c:v>123</c:v>
                </c:pt>
                <c:pt idx="145" c:formatCode="0">
                  <c:v>124</c:v>
                </c:pt>
                <c:pt idx="146" c:formatCode="0">
                  <c:v>125</c:v>
                </c:pt>
                <c:pt idx="147" c:formatCode="0">
                  <c:v>126</c:v>
                </c:pt>
                <c:pt idx="148" c:formatCode="0">
                  <c:v>127</c:v>
                </c:pt>
                <c:pt idx="149" c:formatCode="0">
                  <c:v>128</c:v>
                </c:pt>
                <c:pt idx="150" c:formatCode="0">
                  <c:v>129</c:v>
                </c:pt>
                <c:pt idx="151" c:formatCode="0">
                  <c:v>130</c:v>
                </c:pt>
                <c:pt idx="152" c:formatCode="0">
                  <c:v>131</c:v>
                </c:pt>
                <c:pt idx="153" c:formatCode="0">
                  <c:v>132</c:v>
                </c:pt>
                <c:pt idx="154" c:formatCode="0">
                  <c:v>133</c:v>
                </c:pt>
                <c:pt idx="155" c:formatCode="0">
                  <c:v>134</c:v>
                </c:pt>
                <c:pt idx="156" c:formatCode="0">
                  <c:v>135</c:v>
                </c:pt>
                <c:pt idx="157" c:formatCode="0">
                  <c:v>136</c:v>
                </c:pt>
                <c:pt idx="158" c:formatCode="0">
                  <c:v>137</c:v>
                </c:pt>
                <c:pt idx="159" c:formatCode="0">
                  <c:v>138</c:v>
                </c:pt>
                <c:pt idx="160" c:formatCode="0">
                  <c:v>139</c:v>
                </c:pt>
                <c:pt idx="161" c:formatCode="0">
                  <c:v>140</c:v>
                </c:pt>
                <c:pt idx="162" c:formatCode="0">
                  <c:v>141</c:v>
                </c:pt>
                <c:pt idx="163" c:formatCode="0">
                  <c:v>142</c:v>
                </c:pt>
                <c:pt idx="164" c:formatCode="0">
                  <c:v>143</c:v>
                </c:pt>
                <c:pt idx="165" c:formatCode="0">
                  <c:v>144</c:v>
                </c:pt>
                <c:pt idx="166" c:formatCode="0">
                  <c:v>145</c:v>
                </c:pt>
                <c:pt idx="167" c:formatCode="0">
                  <c:v>146</c:v>
                </c:pt>
                <c:pt idx="168" c:formatCode="0">
                  <c:v>147</c:v>
                </c:pt>
                <c:pt idx="169" c:formatCode="0">
                  <c:v>148</c:v>
                </c:pt>
                <c:pt idx="170" c:formatCode="0">
                  <c:v>149</c:v>
                </c:pt>
                <c:pt idx="171" c:formatCode="0">
                  <c:v>150</c:v>
                </c:pt>
                <c:pt idx="172" c:formatCode="0">
                  <c:v>151</c:v>
                </c:pt>
                <c:pt idx="173" c:formatCode="0">
                  <c:v>152</c:v>
                </c:pt>
                <c:pt idx="174" c:formatCode="0">
                  <c:v>153</c:v>
                </c:pt>
                <c:pt idx="175" c:formatCode="0">
                  <c:v>154</c:v>
                </c:pt>
                <c:pt idx="176" c:formatCode="0">
                  <c:v>155</c:v>
                </c:pt>
                <c:pt idx="177" c:formatCode="0">
                  <c:v>156</c:v>
                </c:pt>
                <c:pt idx="178" c:formatCode="0">
                  <c:v>157</c:v>
                </c:pt>
                <c:pt idx="179" c:formatCode="0">
                  <c:v>158</c:v>
                </c:pt>
                <c:pt idx="180" c:formatCode="0">
                  <c:v>159</c:v>
                </c:pt>
                <c:pt idx="181" c:formatCode="0">
                  <c:v>160</c:v>
                </c:pt>
                <c:pt idx="182" c:formatCode="0">
                  <c:v>161</c:v>
                </c:pt>
                <c:pt idx="183" c:formatCode="0">
                  <c:v>162</c:v>
                </c:pt>
                <c:pt idx="184" c:formatCode="0">
                  <c:v>163</c:v>
                </c:pt>
                <c:pt idx="185" c:formatCode="0">
                  <c:v>164</c:v>
                </c:pt>
                <c:pt idx="186" c:formatCode="0">
                  <c:v>165</c:v>
                </c:pt>
                <c:pt idx="187" c:formatCode="0">
                  <c:v>166</c:v>
                </c:pt>
                <c:pt idx="188" c:formatCode="0">
                  <c:v>167</c:v>
                </c:pt>
                <c:pt idx="189" c:formatCode="0">
                  <c:v>168</c:v>
                </c:pt>
                <c:pt idx="190" c:formatCode="0">
                  <c:v>169</c:v>
                </c:pt>
                <c:pt idx="191" c:formatCode="0">
                  <c:v>170</c:v>
                </c:pt>
                <c:pt idx="192" c:formatCode="0">
                  <c:v>171</c:v>
                </c:pt>
                <c:pt idx="193" c:formatCode="0">
                  <c:v>172</c:v>
                </c:pt>
                <c:pt idx="194" c:formatCode="0">
                  <c:v>173</c:v>
                </c:pt>
                <c:pt idx="195" c:formatCode="0">
                  <c:v>174</c:v>
                </c:pt>
                <c:pt idx="196" c:formatCode="0">
                  <c:v>175</c:v>
                </c:pt>
                <c:pt idx="197" c:formatCode="0">
                  <c:v>176</c:v>
                </c:pt>
                <c:pt idx="198" c:formatCode="0">
                  <c:v>177</c:v>
                </c:pt>
                <c:pt idx="199" c:formatCode="0">
                  <c:v>178</c:v>
                </c:pt>
                <c:pt idx="200" c:formatCode="0">
                  <c:v>179</c:v>
                </c:pt>
                <c:pt idx="201" c:formatCode="0">
                  <c:v>180</c:v>
                </c:pt>
                <c:pt idx="202" c:formatCode="0">
                  <c:v>181</c:v>
                </c:pt>
                <c:pt idx="203" c:formatCode="0">
                  <c:v>182</c:v>
                </c:pt>
                <c:pt idx="204" c:formatCode="0">
                  <c:v>183</c:v>
                </c:pt>
                <c:pt idx="205" c:formatCode="0">
                  <c:v>184</c:v>
                </c:pt>
                <c:pt idx="206" c:formatCode="0">
                  <c:v>185</c:v>
                </c:pt>
                <c:pt idx="207" c:formatCode="0">
                  <c:v>186</c:v>
                </c:pt>
                <c:pt idx="208" c:formatCode="0">
                  <c:v>187</c:v>
                </c:pt>
                <c:pt idx="209" c:formatCode="0">
                  <c:v>188</c:v>
                </c:pt>
                <c:pt idx="210" c:formatCode="0">
                  <c:v>189</c:v>
                </c:pt>
                <c:pt idx="211" c:formatCode="0">
                  <c:v>190</c:v>
                </c:pt>
                <c:pt idx="212" c:formatCode="0">
                  <c:v>191</c:v>
                </c:pt>
                <c:pt idx="213" c:formatCode="0">
                  <c:v>192</c:v>
                </c:pt>
                <c:pt idx="214" c:formatCode="0">
                  <c:v>193</c:v>
                </c:pt>
                <c:pt idx="215" c:formatCode="0">
                  <c:v>194</c:v>
                </c:pt>
                <c:pt idx="216" c:formatCode="0">
                  <c:v>195</c:v>
                </c:pt>
                <c:pt idx="217" c:formatCode="0">
                  <c:v>196</c:v>
                </c:pt>
                <c:pt idx="218" c:formatCode="0">
                  <c:v>197</c:v>
                </c:pt>
                <c:pt idx="219" c:formatCode="0">
                  <c:v>198</c:v>
                </c:pt>
                <c:pt idx="220" c:formatCode="0">
                  <c:v>199</c:v>
                </c:pt>
                <c:pt idx="221" c:formatCode="0">
                  <c:v>200</c:v>
                </c:pt>
                <c:pt idx="222" c:formatCode="0">
                  <c:v>201</c:v>
                </c:pt>
                <c:pt idx="223" c:formatCode="0">
                  <c:v>202</c:v>
                </c:pt>
                <c:pt idx="224" c:formatCode="0">
                  <c:v>203</c:v>
                </c:pt>
                <c:pt idx="225" c:formatCode="0">
                  <c:v>204</c:v>
                </c:pt>
                <c:pt idx="226" c:formatCode="0">
                  <c:v>205</c:v>
                </c:pt>
                <c:pt idx="227" c:formatCode="0">
                  <c:v>206</c:v>
                </c:pt>
                <c:pt idx="228" c:formatCode="0">
                  <c:v>207</c:v>
                </c:pt>
                <c:pt idx="229" c:formatCode="0">
                  <c:v>208</c:v>
                </c:pt>
                <c:pt idx="230" c:formatCode="0">
                  <c:v>209</c:v>
                </c:pt>
                <c:pt idx="231" c:formatCode="0">
                  <c:v>210</c:v>
                </c:pt>
                <c:pt idx="232" c:formatCode="0">
                  <c:v>211</c:v>
                </c:pt>
                <c:pt idx="233" c:formatCode="0">
                  <c:v>212</c:v>
                </c:pt>
                <c:pt idx="234" c:formatCode="0">
                  <c:v>213</c:v>
                </c:pt>
                <c:pt idx="235" c:formatCode="0">
                  <c:v>214</c:v>
                </c:pt>
                <c:pt idx="236" c:formatCode="0">
                  <c:v>215</c:v>
                </c:pt>
                <c:pt idx="237" c:formatCode="0">
                  <c:v>216</c:v>
                </c:pt>
                <c:pt idx="238" c:formatCode="0">
                  <c:v>217</c:v>
                </c:pt>
                <c:pt idx="239" c:formatCode="0">
                  <c:v>218</c:v>
                </c:pt>
                <c:pt idx="240" c:formatCode="0">
                  <c:v>219</c:v>
                </c:pt>
                <c:pt idx="241" c:formatCode="0">
                  <c:v>220</c:v>
                </c:pt>
                <c:pt idx="242" c:formatCode="0">
                  <c:v>221</c:v>
                </c:pt>
                <c:pt idx="243" c:formatCode="0">
                  <c:v>222</c:v>
                </c:pt>
                <c:pt idx="244" c:formatCode="0">
                  <c:v>223</c:v>
                </c:pt>
                <c:pt idx="245" c:formatCode="0">
                  <c:v>224</c:v>
                </c:pt>
                <c:pt idx="246" c:formatCode="0">
                  <c:v>225</c:v>
                </c:pt>
                <c:pt idx="247" c:formatCode="0">
                  <c:v>226</c:v>
                </c:pt>
                <c:pt idx="248" c:formatCode="0">
                  <c:v>227</c:v>
                </c:pt>
                <c:pt idx="249" c:formatCode="0">
                  <c:v>228</c:v>
                </c:pt>
                <c:pt idx="250" c:formatCode="0">
                  <c:v>229</c:v>
                </c:pt>
                <c:pt idx="251" c:formatCode="0">
                  <c:v>230</c:v>
                </c:pt>
                <c:pt idx="252" c:formatCode="0">
                  <c:v>231</c:v>
                </c:pt>
                <c:pt idx="253" c:formatCode="0">
                  <c:v>232</c:v>
                </c:pt>
                <c:pt idx="254" c:formatCode="0">
                  <c:v>233</c:v>
                </c:pt>
                <c:pt idx="255" c:formatCode="0">
                  <c:v>234</c:v>
                </c:pt>
                <c:pt idx="256" c:formatCode="0">
                  <c:v>235</c:v>
                </c:pt>
                <c:pt idx="257" c:formatCode="0">
                  <c:v>236</c:v>
                </c:pt>
                <c:pt idx="258" c:formatCode="0">
                  <c:v>237</c:v>
                </c:pt>
                <c:pt idx="259" c:formatCode="0">
                  <c:v>238</c:v>
                </c:pt>
                <c:pt idx="260" c:formatCode="0">
                  <c:v>239</c:v>
                </c:pt>
                <c:pt idx="261" c:formatCode="0">
                  <c:v>240</c:v>
                </c:pt>
                <c:pt idx="262" c:formatCode="0">
                  <c:v>241</c:v>
                </c:pt>
                <c:pt idx="263" c:formatCode="0">
                  <c:v>242</c:v>
                </c:pt>
                <c:pt idx="264" c:formatCode="0">
                  <c:v>243</c:v>
                </c:pt>
                <c:pt idx="265" c:formatCode="0">
                  <c:v>244</c:v>
                </c:pt>
                <c:pt idx="266" c:formatCode="0">
                  <c:v>245</c:v>
                </c:pt>
                <c:pt idx="267" c:formatCode="0">
                  <c:v>246</c:v>
                </c:pt>
                <c:pt idx="268" c:formatCode="0">
                  <c:v>247</c:v>
                </c:pt>
                <c:pt idx="269" c:formatCode="0">
                  <c:v>248</c:v>
                </c:pt>
                <c:pt idx="270" c:formatCode="0">
                  <c:v>249</c:v>
                </c:pt>
                <c:pt idx="271" c:formatCode="0">
                  <c:v>250</c:v>
                </c:pt>
                <c:pt idx="272" c:formatCode="0">
                  <c:v>251</c:v>
                </c:pt>
                <c:pt idx="273" c:formatCode="0">
                  <c:v>252</c:v>
                </c:pt>
                <c:pt idx="274" c:formatCode="0">
                  <c:v>253</c:v>
                </c:pt>
                <c:pt idx="275" c:formatCode="0">
                  <c:v>254</c:v>
                </c:pt>
                <c:pt idx="276" c:formatCode="0">
                  <c:v>255</c:v>
                </c:pt>
                <c:pt idx="277" c:formatCode="0">
                  <c:v>256</c:v>
                </c:pt>
                <c:pt idx="278" c:formatCode="0">
                  <c:v>257</c:v>
                </c:pt>
                <c:pt idx="279" c:formatCode="0">
                  <c:v>258</c:v>
                </c:pt>
                <c:pt idx="280" c:formatCode="0">
                  <c:v>259</c:v>
                </c:pt>
                <c:pt idx="281" c:formatCode="0">
                  <c:v>260</c:v>
                </c:pt>
                <c:pt idx="282" c:formatCode="0">
                  <c:v>261</c:v>
                </c:pt>
                <c:pt idx="283" c:formatCode="0">
                  <c:v>262</c:v>
                </c:pt>
                <c:pt idx="284" c:formatCode="0">
                  <c:v>263</c:v>
                </c:pt>
                <c:pt idx="285" c:formatCode="0">
                  <c:v>264</c:v>
                </c:pt>
                <c:pt idx="286" c:formatCode="0">
                  <c:v>265</c:v>
                </c:pt>
                <c:pt idx="287" c:formatCode="0">
                  <c:v>266</c:v>
                </c:pt>
                <c:pt idx="288" c:formatCode="0">
                  <c:v>267</c:v>
                </c:pt>
                <c:pt idx="289" c:formatCode="0">
                  <c:v>268</c:v>
                </c:pt>
                <c:pt idx="290" c:formatCode="0">
                  <c:v>269</c:v>
                </c:pt>
                <c:pt idx="291" c:formatCode="0">
                  <c:v>270</c:v>
                </c:pt>
                <c:pt idx="292" c:formatCode="0">
                  <c:v>271</c:v>
                </c:pt>
                <c:pt idx="293" c:formatCode="0">
                  <c:v>272</c:v>
                </c:pt>
                <c:pt idx="294" c:formatCode="0">
                  <c:v>273</c:v>
                </c:pt>
                <c:pt idx="295" c:formatCode="0">
                  <c:v>274</c:v>
                </c:pt>
                <c:pt idx="296" c:formatCode="0">
                  <c:v>275</c:v>
                </c:pt>
                <c:pt idx="297" c:formatCode="0">
                  <c:v>276</c:v>
                </c:pt>
                <c:pt idx="298" c:formatCode="0">
                  <c:v>277</c:v>
                </c:pt>
                <c:pt idx="299" c:formatCode="0">
                  <c:v>278</c:v>
                </c:pt>
                <c:pt idx="300" c:formatCode="0">
                  <c:v>279</c:v>
                </c:pt>
                <c:pt idx="301" c:formatCode="0">
                  <c:v>280</c:v>
                </c:pt>
                <c:pt idx="302" c:formatCode="0">
                  <c:v>281</c:v>
                </c:pt>
                <c:pt idx="303" c:formatCode="0">
                  <c:v>282</c:v>
                </c:pt>
                <c:pt idx="304" c:formatCode="0">
                  <c:v>283</c:v>
                </c:pt>
                <c:pt idx="305" c:formatCode="0">
                  <c:v>284</c:v>
                </c:pt>
                <c:pt idx="306" c:formatCode="0">
                  <c:v>285</c:v>
                </c:pt>
                <c:pt idx="307" c:formatCode="0">
                  <c:v>286</c:v>
                </c:pt>
                <c:pt idx="308" c:formatCode="0">
                  <c:v>287</c:v>
                </c:pt>
                <c:pt idx="309" c:formatCode="0">
                  <c:v>288</c:v>
                </c:pt>
                <c:pt idx="310" c:formatCode="0">
                  <c:v>289</c:v>
                </c:pt>
                <c:pt idx="311" c:formatCode="0">
                  <c:v>290</c:v>
                </c:pt>
                <c:pt idx="312" c:formatCode="0">
                  <c:v>291</c:v>
                </c:pt>
                <c:pt idx="313" c:formatCode="0">
                  <c:v>292</c:v>
                </c:pt>
                <c:pt idx="314" c:formatCode="0">
                  <c:v>293</c:v>
                </c:pt>
                <c:pt idx="315" c:formatCode="0">
                  <c:v>294</c:v>
                </c:pt>
                <c:pt idx="316" c:formatCode="0">
                  <c:v>295</c:v>
                </c:pt>
                <c:pt idx="317" c:formatCode="0">
                  <c:v>296</c:v>
                </c:pt>
                <c:pt idx="318" c:formatCode="0">
                  <c:v>297</c:v>
                </c:pt>
                <c:pt idx="319" c:formatCode="0">
                  <c:v>298</c:v>
                </c:pt>
                <c:pt idx="320" c:formatCode="0">
                  <c:v>299</c:v>
                </c:pt>
                <c:pt idx="321" c:formatCode="0">
                  <c:v>300</c:v>
                </c:pt>
                <c:pt idx="322" c:formatCode="0">
                  <c:v>301</c:v>
                </c:pt>
                <c:pt idx="323" c:formatCode="0">
                  <c:v>302</c:v>
                </c:pt>
                <c:pt idx="324" c:formatCode="0">
                  <c:v>303</c:v>
                </c:pt>
                <c:pt idx="325" c:formatCode="0">
                  <c:v>304</c:v>
                </c:pt>
                <c:pt idx="326" c:formatCode="0">
                  <c:v>305</c:v>
                </c:pt>
                <c:pt idx="327" c:formatCode="0">
                  <c:v>306</c:v>
                </c:pt>
                <c:pt idx="328" c:formatCode="0">
                  <c:v>307</c:v>
                </c:pt>
                <c:pt idx="329" c:formatCode="0">
                  <c:v>308</c:v>
                </c:pt>
                <c:pt idx="330" c:formatCode="0">
                  <c:v>309</c:v>
                </c:pt>
                <c:pt idx="331" c:formatCode="0">
                  <c:v>310</c:v>
                </c:pt>
                <c:pt idx="332" c:formatCode="0">
                  <c:v>311</c:v>
                </c:pt>
                <c:pt idx="333" c:formatCode="0">
                  <c:v>312</c:v>
                </c:pt>
                <c:pt idx="334" c:formatCode="0">
                  <c:v>313</c:v>
                </c:pt>
                <c:pt idx="335" c:formatCode="0">
                  <c:v>314</c:v>
                </c:pt>
                <c:pt idx="336" c:formatCode="0">
                  <c:v>315</c:v>
                </c:pt>
                <c:pt idx="337" c:formatCode="0">
                  <c:v>316</c:v>
                </c:pt>
                <c:pt idx="338" c:formatCode="0">
                  <c:v>317</c:v>
                </c:pt>
                <c:pt idx="339" c:formatCode="0">
                  <c:v>318</c:v>
                </c:pt>
                <c:pt idx="340" c:formatCode="0">
                  <c:v>319</c:v>
                </c:pt>
                <c:pt idx="341" c:formatCode="0">
                  <c:v>320</c:v>
                </c:pt>
                <c:pt idx="342" c:formatCode="0">
                  <c:v>321</c:v>
                </c:pt>
                <c:pt idx="343" c:formatCode="0">
                  <c:v>322</c:v>
                </c:pt>
                <c:pt idx="344" c:formatCode="0">
                  <c:v>323</c:v>
                </c:pt>
                <c:pt idx="345" c:formatCode="0">
                  <c:v>324</c:v>
                </c:pt>
                <c:pt idx="346" c:formatCode="0">
                  <c:v>325</c:v>
                </c:pt>
                <c:pt idx="347" c:formatCode="0">
                  <c:v>326</c:v>
                </c:pt>
                <c:pt idx="348" c:formatCode="0">
                  <c:v>327</c:v>
                </c:pt>
                <c:pt idx="349" c:formatCode="0">
                  <c:v>328</c:v>
                </c:pt>
                <c:pt idx="350" c:formatCode="0">
                  <c:v>329</c:v>
                </c:pt>
                <c:pt idx="351" c:formatCode="0">
                  <c:v>330</c:v>
                </c:pt>
                <c:pt idx="352" c:formatCode="0">
                  <c:v>331</c:v>
                </c:pt>
                <c:pt idx="353" c:formatCode="0">
                  <c:v>332</c:v>
                </c:pt>
                <c:pt idx="354" c:formatCode="0">
                  <c:v>333</c:v>
                </c:pt>
                <c:pt idx="355" c:formatCode="0">
                  <c:v>334</c:v>
                </c:pt>
                <c:pt idx="356" c:formatCode="0">
                  <c:v>335</c:v>
                </c:pt>
                <c:pt idx="357" c:formatCode="0">
                  <c:v>336</c:v>
                </c:pt>
                <c:pt idx="358" c:formatCode="0">
                  <c:v>337</c:v>
                </c:pt>
                <c:pt idx="359" c:formatCode="0">
                  <c:v>338</c:v>
                </c:pt>
                <c:pt idx="360" c:formatCode="0">
                  <c:v>339</c:v>
                </c:pt>
                <c:pt idx="361" c:formatCode="0">
                  <c:v>340</c:v>
                </c:pt>
                <c:pt idx="362" c:formatCode="0">
                  <c:v>341</c:v>
                </c:pt>
                <c:pt idx="363" c:formatCode="0">
                  <c:v>342</c:v>
                </c:pt>
                <c:pt idx="364" c:formatCode="0">
                  <c:v>343</c:v>
                </c:pt>
                <c:pt idx="365" c:formatCode="0">
                  <c:v>344</c:v>
                </c:pt>
                <c:pt idx="366" c:formatCode="0">
                  <c:v>345</c:v>
                </c:pt>
                <c:pt idx="367" c:formatCode="0">
                  <c:v>346</c:v>
                </c:pt>
                <c:pt idx="368" c:formatCode="0">
                  <c:v>347</c:v>
                </c:pt>
                <c:pt idx="369" c:formatCode="0">
                  <c:v>348</c:v>
                </c:pt>
                <c:pt idx="370" c:formatCode="0">
                  <c:v>349</c:v>
                </c:pt>
                <c:pt idx="371" c:formatCode="0">
                  <c:v>350</c:v>
                </c:pt>
                <c:pt idx="372" c:formatCode="0">
                  <c:v>351</c:v>
                </c:pt>
                <c:pt idx="373" c:formatCode="0">
                  <c:v>352</c:v>
                </c:pt>
                <c:pt idx="374" c:formatCode="0">
                  <c:v>353</c:v>
                </c:pt>
                <c:pt idx="375" c:formatCode="0">
                  <c:v>354</c:v>
                </c:pt>
                <c:pt idx="376" c:formatCode="0">
                  <c:v>355</c:v>
                </c:pt>
                <c:pt idx="377" c:formatCode="0">
                  <c:v>356</c:v>
                </c:pt>
                <c:pt idx="378" c:formatCode="0">
                  <c:v>357</c:v>
                </c:pt>
                <c:pt idx="379" c:formatCode="0">
                  <c:v>358</c:v>
                </c:pt>
                <c:pt idx="380" c:formatCode="0">
                  <c:v>359</c:v>
                </c:pt>
                <c:pt idx="381" c:formatCode="0">
                  <c:v>360</c:v>
                </c:pt>
                <c:pt idx="382" c:formatCode="0">
                  <c:v>361</c:v>
                </c:pt>
                <c:pt idx="383" c:formatCode="0">
                  <c:v>362</c:v>
                </c:pt>
                <c:pt idx="384" c:formatCode="0">
                  <c:v>363</c:v>
                </c:pt>
                <c:pt idx="385" c:formatCode="0">
                  <c:v>364</c:v>
                </c:pt>
                <c:pt idx="386" c:formatCode="0">
                  <c:v>365</c:v>
                </c:pt>
                <c:pt idx="387" c:formatCode="0">
                  <c:v>366</c:v>
                </c:pt>
                <c:pt idx="388" c:formatCode="0">
                  <c:v>367</c:v>
                </c:pt>
                <c:pt idx="389" c:formatCode="0">
                  <c:v>368</c:v>
                </c:pt>
                <c:pt idx="390" c:formatCode="0">
                  <c:v>369</c:v>
                </c:pt>
                <c:pt idx="391" c:formatCode="0">
                  <c:v>370</c:v>
                </c:pt>
                <c:pt idx="392" c:formatCode="0">
                  <c:v>371</c:v>
                </c:pt>
                <c:pt idx="393" c:formatCode="0">
                  <c:v>372</c:v>
                </c:pt>
                <c:pt idx="394" c:formatCode="0">
                  <c:v>373</c:v>
                </c:pt>
                <c:pt idx="395" c:formatCode="0">
                  <c:v>374</c:v>
                </c:pt>
                <c:pt idx="396" c:formatCode="0.00">
                  <c:v>374.12</c:v>
                </c:pt>
              </c:numCache>
            </c:numRef>
          </c:xVal>
          <c:yVal>
            <c:numRef>
              <c:f>Пр3!$E$2:$E$398</c:f>
              <c:numCache>
                <c:formatCode>0.000</c:formatCode>
                <c:ptCount val="397"/>
                <c:pt idx="0">
                  <c:v>206.321</c:v>
                </c:pt>
                <c:pt idx="1">
                  <c:v>206.175</c:v>
                </c:pt>
                <c:pt idx="2">
                  <c:v>192.611</c:v>
                </c:pt>
                <c:pt idx="3">
                  <c:v>179.935</c:v>
                </c:pt>
                <c:pt idx="4">
                  <c:v>168.165</c:v>
                </c:pt>
                <c:pt idx="5">
                  <c:v>157.267</c:v>
                </c:pt>
                <c:pt idx="6">
                  <c:v>147.167</c:v>
                </c:pt>
                <c:pt idx="7">
                  <c:v>137.768</c:v>
                </c:pt>
                <c:pt idx="8">
                  <c:v>129.061</c:v>
                </c:pt>
                <c:pt idx="9">
                  <c:v>120.952</c:v>
                </c:pt>
                <c:pt idx="10">
                  <c:v>113.423</c:v>
                </c:pt>
                <c:pt idx="11">
                  <c:v>106.419</c:v>
                </c:pt>
                <c:pt idx="12">
                  <c:v>99.896</c:v>
                </c:pt>
                <c:pt idx="13">
                  <c:v>93.828</c:v>
                </c:pt>
                <c:pt idx="14">
                  <c:v>88.165</c:v>
                </c:pt>
                <c:pt idx="15">
                  <c:v>82.893</c:v>
                </c:pt>
                <c:pt idx="16">
                  <c:v>77.97</c:v>
                </c:pt>
                <c:pt idx="17">
                  <c:v>75.632</c:v>
                </c:pt>
                <c:pt idx="18">
                  <c:v>73.376</c:v>
                </c:pt>
                <c:pt idx="19">
                  <c:v>71.194</c:v>
                </c:pt>
                <c:pt idx="20">
                  <c:v>69.087</c:v>
                </c:pt>
                <c:pt idx="21">
                  <c:v>67.061</c:v>
                </c:pt>
                <c:pt idx="22">
                  <c:v>65.08</c:v>
                </c:pt>
                <c:pt idx="23">
                  <c:v>63.175</c:v>
                </c:pt>
                <c:pt idx="24">
                  <c:v>61.334</c:v>
                </c:pt>
                <c:pt idx="25">
                  <c:v>59.556</c:v>
                </c:pt>
                <c:pt idx="26">
                  <c:v>57.833</c:v>
                </c:pt>
                <c:pt idx="27">
                  <c:v>56.166</c:v>
                </c:pt>
                <c:pt idx="28">
                  <c:v>54.356</c:v>
                </c:pt>
                <c:pt idx="29">
                  <c:v>52.997</c:v>
                </c:pt>
                <c:pt idx="30">
                  <c:v>51.488</c:v>
                </c:pt>
                <c:pt idx="31">
                  <c:v>50.027</c:v>
                </c:pt>
                <c:pt idx="32">
                  <c:v>48.615</c:v>
                </c:pt>
                <c:pt idx="33">
                  <c:v>47.247</c:v>
                </c:pt>
                <c:pt idx="34">
                  <c:v>45.923</c:v>
                </c:pt>
                <c:pt idx="35">
                  <c:v>44.641</c:v>
                </c:pt>
                <c:pt idx="36">
                  <c:v>43.399</c:v>
                </c:pt>
                <c:pt idx="37">
                  <c:v>42.196</c:v>
                </c:pt>
                <c:pt idx="38">
                  <c:v>41.031</c:v>
                </c:pt>
                <c:pt idx="39">
                  <c:v>39.904</c:v>
                </c:pt>
                <c:pt idx="40">
                  <c:v>38.811</c:v>
                </c:pt>
                <c:pt idx="41">
                  <c:v>37.752</c:v>
                </c:pt>
                <c:pt idx="42">
                  <c:v>36.726</c:v>
                </c:pt>
                <c:pt idx="43">
                  <c:v>35.732</c:v>
                </c:pt>
                <c:pt idx="44">
                  <c:v>34.768</c:v>
                </c:pt>
                <c:pt idx="45">
                  <c:v>33.834</c:v>
                </c:pt>
                <c:pt idx="46">
                  <c:v>32.929</c:v>
                </c:pt>
                <c:pt idx="47">
                  <c:v>32.05</c:v>
                </c:pt>
                <c:pt idx="48">
                  <c:v>31.199</c:v>
                </c:pt>
                <c:pt idx="49">
                  <c:v>30.373</c:v>
                </c:pt>
                <c:pt idx="50">
                  <c:v>29.372</c:v>
                </c:pt>
                <c:pt idx="51">
                  <c:v>28.796</c:v>
                </c:pt>
                <c:pt idx="52">
                  <c:v>28.042</c:v>
                </c:pt>
                <c:pt idx="53">
                  <c:v>27.312</c:v>
                </c:pt>
                <c:pt idx="54">
                  <c:v>26.602</c:v>
                </c:pt>
                <c:pt idx="55">
                  <c:v>25.914</c:v>
                </c:pt>
                <c:pt idx="56">
                  <c:v>25.246</c:v>
                </c:pt>
                <c:pt idx="57">
                  <c:v>23.968</c:v>
                </c:pt>
                <c:pt idx="58">
                  <c:v>22.764</c:v>
                </c:pt>
                <c:pt idx="59">
                  <c:v>21.629</c:v>
                </c:pt>
                <c:pt idx="60">
                  <c:v>20.558</c:v>
                </c:pt>
                <c:pt idx="61">
                  <c:v>19.548</c:v>
                </c:pt>
                <c:pt idx="62">
                  <c:v>18.594</c:v>
                </c:pt>
                <c:pt idx="63">
                  <c:v>17.694</c:v>
                </c:pt>
                <c:pt idx="64">
                  <c:v>16.843</c:v>
                </c:pt>
                <c:pt idx="65">
                  <c:v>16.039</c:v>
                </c:pt>
                <c:pt idx="66">
                  <c:v>15.278</c:v>
                </c:pt>
                <c:pt idx="67">
                  <c:v>14.559</c:v>
                </c:pt>
                <c:pt idx="68">
                  <c:v>13.879</c:v>
                </c:pt>
                <c:pt idx="69">
                  <c:v>13.236</c:v>
                </c:pt>
                <c:pt idx="70">
                  <c:v>12.626</c:v>
                </c:pt>
                <c:pt idx="71">
                  <c:v>12.048</c:v>
                </c:pt>
                <c:pt idx="72">
                  <c:v>11.301</c:v>
                </c:pt>
                <c:pt idx="73">
                  <c:v>10.982</c:v>
                </c:pt>
                <c:pt idx="74">
                  <c:v>10.49</c:v>
                </c:pt>
                <c:pt idx="75">
                  <c:v>10.024</c:v>
                </c:pt>
                <c:pt idx="76">
                  <c:v>9.5812</c:v>
                </c:pt>
                <c:pt idx="77">
                  <c:v>9.1609</c:v>
                </c:pt>
                <c:pt idx="78">
                  <c:v>8.7618</c:v>
                </c:pt>
                <c:pt idx="79">
                  <c:v>8.3831</c:v>
                </c:pt>
                <c:pt idx="80">
                  <c:v>8.0229</c:v>
                </c:pt>
                <c:pt idx="81">
                  <c:v>7.6807</c:v>
                </c:pt>
                <c:pt idx="82">
                  <c:v>7.3554</c:v>
                </c:pt>
                <c:pt idx="83">
                  <c:v>7.0458</c:v>
                </c:pt>
                <c:pt idx="84">
                  <c:v>6.7512</c:v>
                </c:pt>
                <c:pt idx="85">
                  <c:v>6.4711</c:v>
                </c:pt>
                <c:pt idx="86">
                  <c:v>6.2042</c:v>
                </c:pt>
                <c:pt idx="87">
                  <c:v>5.9502</c:v>
                </c:pt>
                <c:pt idx="88">
                  <c:v>5.7082</c:v>
                </c:pt>
                <c:pt idx="89">
                  <c:v>5.4775</c:v>
                </c:pt>
                <c:pt idx="90">
                  <c:v>5.2576</c:v>
                </c:pt>
                <c:pt idx="91">
                  <c:v>5.0479</c:v>
                </c:pt>
                <c:pt idx="92">
                  <c:v>4.8481</c:v>
                </c:pt>
                <c:pt idx="93">
                  <c:v>4.6574</c:v>
                </c:pt>
                <c:pt idx="94">
                  <c:v>4.4753</c:v>
                </c:pt>
                <c:pt idx="95">
                  <c:v>4.3015</c:v>
                </c:pt>
                <c:pt idx="96">
                  <c:v>4.1356</c:v>
                </c:pt>
                <c:pt idx="97">
                  <c:v>3.9771</c:v>
                </c:pt>
                <c:pt idx="98">
                  <c:v>3.8257</c:v>
                </c:pt>
                <c:pt idx="99">
                  <c:v>3.6811</c:v>
                </c:pt>
                <c:pt idx="100">
                  <c:v>3.5427</c:v>
                </c:pt>
                <c:pt idx="101">
                  <c:v>3.4104</c:v>
                </c:pt>
                <c:pt idx="102">
                  <c:v>3.2839</c:v>
                </c:pt>
                <c:pt idx="103">
                  <c:v>3.1629</c:v>
                </c:pt>
                <c:pt idx="104">
                  <c:v>3.0471</c:v>
                </c:pt>
                <c:pt idx="105">
                  <c:v>2.9362</c:v>
                </c:pt>
                <c:pt idx="106">
                  <c:v>2.83</c:v>
                </c:pt>
                <c:pt idx="107">
                  <c:v>2.7284</c:v>
                </c:pt>
                <c:pt idx="108">
                  <c:v>2.6309</c:v>
                </c:pt>
                <c:pt idx="109">
                  <c:v>2.5376</c:v>
                </c:pt>
                <c:pt idx="110">
                  <c:v>2.4482</c:v>
                </c:pt>
                <c:pt idx="111">
                  <c:v>2.3624</c:v>
                </c:pt>
                <c:pt idx="112">
                  <c:v>2.2801</c:v>
                </c:pt>
                <c:pt idx="113">
                  <c:v>2.2012</c:v>
                </c:pt>
                <c:pt idx="114">
                  <c:v>2.1256</c:v>
                </c:pt>
                <c:pt idx="115">
                  <c:v>2.0529</c:v>
                </c:pt>
                <c:pt idx="116">
                  <c:v>1.9832</c:v>
                </c:pt>
                <c:pt idx="117">
                  <c:v>1.9163</c:v>
                </c:pt>
                <c:pt idx="118">
                  <c:v>1.852</c:v>
                </c:pt>
                <c:pt idx="119">
                  <c:v>1.7902</c:v>
                </c:pt>
                <c:pt idx="120">
                  <c:v>1.7309</c:v>
                </c:pt>
                <c:pt idx="121">
                  <c:v>1.6738</c:v>
                </c:pt>
                <c:pt idx="122">
                  <c:v>1.619</c:v>
                </c:pt>
                <c:pt idx="123">
                  <c:v>1.5664</c:v>
                </c:pt>
                <c:pt idx="124">
                  <c:v>1.5157</c:v>
                </c:pt>
                <c:pt idx="125">
                  <c:v>1.4669</c:v>
                </c:pt>
                <c:pt idx="126">
                  <c:v>1.42</c:v>
                </c:pt>
                <c:pt idx="127">
                  <c:v>1.3749</c:v>
                </c:pt>
                <c:pt idx="128">
                  <c:v>1.3315</c:v>
                </c:pt>
                <c:pt idx="129">
                  <c:v>1.2897</c:v>
                </c:pt>
                <c:pt idx="130">
                  <c:v>1.2494</c:v>
                </c:pt>
                <c:pt idx="131">
                  <c:v>1.2106</c:v>
                </c:pt>
                <c:pt idx="132">
                  <c:v>1.1733</c:v>
                </c:pt>
                <c:pt idx="133">
                  <c:v>1.1373</c:v>
                </c:pt>
                <c:pt idx="134">
                  <c:v>1.1025</c:v>
                </c:pt>
                <c:pt idx="135">
                  <c:v>1.0691</c:v>
                </c:pt>
                <c:pt idx="136">
                  <c:v>1.0369</c:v>
                </c:pt>
                <c:pt idx="137">
                  <c:v>1.0058</c:v>
                </c:pt>
                <c:pt idx="138">
                  <c:v>0.97583</c:v>
                </c:pt>
                <c:pt idx="139">
                  <c:v>0.94687</c:v>
                </c:pt>
                <c:pt idx="140">
                  <c:v>0.91896</c:v>
                </c:pt>
                <c:pt idx="141">
                  <c:v>0.89202</c:v>
                </c:pt>
                <c:pt idx="142">
                  <c:v>0.86603</c:v>
                </c:pt>
                <c:pt idx="143">
                  <c:v>0.84092</c:v>
                </c:pt>
                <c:pt idx="144">
                  <c:v>0.81671</c:v>
                </c:pt>
                <c:pt idx="145">
                  <c:v>0.7933</c:v>
                </c:pt>
                <c:pt idx="146">
                  <c:v>0.77067</c:v>
                </c:pt>
                <c:pt idx="147">
                  <c:v>0.74884</c:v>
                </c:pt>
                <c:pt idx="148">
                  <c:v>0.72771</c:v>
                </c:pt>
                <c:pt idx="149">
                  <c:v>0.70732</c:v>
                </c:pt>
                <c:pt idx="150">
                  <c:v>0.6876</c:v>
                </c:pt>
                <c:pt idx="151">
                  <c:v>0.66851</c:v>
                </c:pt>
                <c:pt idx="152">
                  <c:v>0.65007</c:v>
                </c:pt>
                <c:pt idx="153">
                  <c:v>0.63223</c:v>
                </c:pt>
                <c:pt idx="154">
                  <c:v>0.61498</c:v>
                </c:pt>
                <c:pt idx="155">
                  <c:v>0.59827</c:v>
                </c:pt>
                <c:pt idx="156">
                  <c:v>0.58212</c:v>
                </c:pt>
                <c:pt idx="157">
                  <c:v>0.56649</c:v>
                </c:pt>
                <c:pt idx="158">
                  <c:v>0.55134</c:v>
                </c:pt>
                <c:pt idx="159">
                  <c:v>0.5367</c:v>
                </c:pt>
                <c:pt idx="160">
                  <c:v>0.52249</c:v>
                </c:pt>
                <c:pt idx="161">
                  <c:v>0.50875</c:v>
                </c:pt>
                <c:pt idx="162">
                  <c:v>0.49544</c:v>
                </c:pt>
                <c:pt idx="163">
                  <c:v>0.48255</c:v>
                </c:pt>
                <c:pt idx="164">
                  <c:v>0.47004</c:v>
                </c:pt>
                <c:pt idx="165">
                  <c:v>0.45792</c:v>
                </c:pt>
                <c:pt idx="166">
                  <c:v>0.44618</c:v>
                </c:pt>
                <c:pt idx="167">
                  <c:v>0.4348</c:v>
                </c:pt>
                <c:pt idx="168">
                  <c:v>0.42376</c:v>
                </c:pt>
                <c:pt idx="169">
                  <c:v>0.41306</c:v>
                </c:pt>
                <c:pt idx="170">
                  <c:v>0.40269</c:v>
                </c:pt>
                <c:pt idx="171">
                  <c:v>0.39261</c:v>
                </c:pt>
                <c:pt idx="172">
                  <c:v>0.38284</c:v>
                </c:pt>
                <c:pt idx="173">
                  <c:v>0.37337</c:v>
                </c:pt>
                <c:pt idx="174">
                  <c:v>0.36416</c:v>
                </c:pt>
                <c:pt idx="175">
                  <c:v>0.35524</c:v>
                </c:pt>
                <c:pt idx="176">
                  <c:v>0.34656</c:v>
                </c:pt>
                <c:pt idx="177">
                  <c:v>0.33815</c:v>
                </c:pt>
                <c:pt idx="178">
                  <c:v>0.32998</c:v>
                </c:pt>
                <c:pt idx="179">
                  <c:v>0.32205</c:v>
                </c:pt>
                <c:pt idx="180">
                  <c:v>0.31434</c:v>
                </c:pt>
                <c:pt idx="181">
                  <c:v>0.30685</c:v>
                </c:pt>
                <c:pt idx="182">
                  <c:v>0.29957</c:v>
                </c:pt>
                <c:pt idx="183">
                  <c:v>0.2925</c:v>
                </c:pt>
                <c:pt idx="184">
                  <c:v>0.28563</c:v>
                </c:pt>
                <c:pt idx="185">
                  <c:v>0.27896</c:v>
                </c:pt>
                <c:pt idx="186">
                  <c:v>0.27246</c:v>
                </c:pt>
                <c:pt idx="187">
                  <c:v>0.26615</c:v>
                </c:pt>
                <c:pt idx="188">
                  <c:v>0.26001</c:v>
                </c:pt>
                <c:pt idx="189">
                  <c:v>0.25404</c:v>
                </c:pt>
                <c:pt idx="190">
                  <c:v>0.24824</c:v>
                </c:pt>
                <c:pt idx="191">
                  <c:v>0.24259</c:v>
                </c:pt>
                <c:pt idx="192">
                  <c:v>0.2371</c:v>
                </c:pt>
                <c:pt idx="193">
                  <c:v>0.23176</c:v>
                </c:pt>
                <c:pt idx="194">
                  <c:v>0.22655</c:v>
                </c:pt>
                <c:pt idx="195">
                  <c:v>0.22149</c:v>
                </c:pt>
                <c:pt idx="196">
                  <c:v>0.21656</c:v>
                </c:pt>
                <c:pt idx="197">
                  <c:v>0.21177</c:v>
                </c:pt>
                <c:pt idx="198">
                  <c:v>0.2071</c:v>
                </c:pt>
                <c:pt idx="199">
                  <c:v>0.20255</c:v>
                </c:pt>
                <c:pt idx="200">
                  <c:v>0.19812</c:v>
                </c:pt>
                <c:pt idx="201">
                  <c:v>0.19381</c:v>
                </c:pt>
                <c:pt idx="202">
                  <c:v>0.1896</c:v>
                </c:pt>
                <c:pt idx="203">
                  <c:v>0.18551</c:v>
                </c:pt>
                <c:pt idx="204">
                  <c:v>0.18153</c:v>
                </c:pt>
                <c:pt idx="205">
                  <c:v>0.17764</c:v>
                </c:pt>
                <c:pt idx="206">
                  <c:v>0.17385</c:v>
                </c:pt>
                <c:pt idx="207">
                  <c:v>0.17017</c:v>
                </c:pt>
                <c:pt idx="208">
                  <c:v>0.16656</c:v>
                </c:pt>
                <c:pt idx="209">
                  <c:v>0.16306</c:v>
                </c:pt>
                <c:pt idx="210">
                  <c:v>0.15964</c:v>
                </c:pt>
                <c:pt idx="211">
                  <c:v>0.15631</c:v>
                </c:pt>
                <c:pt idx="212">
                  <c:v>0.15305</c:v>
                </c:pt>
                <c:pt idx="213">
                  <c:v>0.14988</c:v>
                </c:pt>
                <c:pt idx="214">
                  <c:v>0.14678</c:v>
                </c:pt>
                <c:pt idx="215">
                  <c:v>0.14376</c:v>
                </c:pt>
                <c:pt idx="216">
                  <c:v>0.14082</c:v>
                </c:pt>
                <c:pt idx="217">
                  <c:v>0.13795</c:v>
                </c:pt>
                <c:pt idx="218">
                  <c:v>0.13515</c:v>
                </c:pt>
                <c:pt idx="219">
                  <c:v>0.13242</c:v>
                </c:pt>
                <c:pt idx="220">
                  <c:v>0.12974</c:v>
                </c:pt>
                <c:pt idx="221">
                  <c:v>0.12714</c:v>
                </c:pt>
                <c:pt idx="222">
                  <c:v>0.12459</c:v>
                </c:pt>
                <c:pt idx="223">
                  <c:v>0.12211</c:v>
                </c:pt>
                <c:pt idx="224">
                  <c:v>0.11968</c:v>
                </c:pt>
                <c:pt idx="225">
                  <c:v>0.11732</c:v>
                </c:pt>
                <c:pt idx="226">
                  <c:v>0.115</c:v>
                </c:pt>
                <c:pt idx="227">
                  <c:v>0.11274</c:v>
                </c:pt>
                <c:pt idx="228">
                  <c:v>0.11054</c:v>
                </c:pt>
                <c:pt idx="229">
                  <c:v>0.10838</c:v>
                </c:pt>
                <c:pt idx="230">
                  <c:v>0.10628</c:v>
                </c:pt>
                <c:pt idx="231">
                  <c:v>0.10422</c:v>
                </c:pt>
                <c:pt idx="232">
                  <c:v>0.10221</c:v>
                </c:pt>
                <c:pt idx="233">
                  <c:v>0.10024</c:v>
                </c:pt>
                <c:pt idx="234">
                  <c:v>0.09832</c:v>
                </c:pt>
                <c:pt idx="235">
                  <c:v>0.09644</c:v>
                </c:pt>
                <c:pt idx="236">
                  <c:v>0.0946</c:v>
                </c:pt>
                <c:pt idx="237">
                  <c:v>0.09281</c:v>
                </c:pt>
                <c:pt idx="238">
                  <c:v>0.09105</c:v>
                </c:pt>
                <c:pt idx="239">
                  <c:v>0.08934</c:v>
                </c:pt>
                <c:pt idx="240">
                  <c:v>0.08766</c:v>
                </c:pt>
                <c:pt idx="241">
                  <c:v>0.08602</c:v>
                </c:pt>
                <c:pt idx="242">
                  <c:v>0.08441</c:v>
                </c:pt>
                <c:pt idx="243">
                  <c:v>0.08284</c:v>
                </c:pt>
                <c:pt idx="244">
                  <c:v>0.0813</c:v>
                </c:pt>
                <c:pt idx="245">
                  <c:v>0.0798</c:v>
                </c:pt>
                <c:pt idx="246">
                  <c:v>0.07833</c:v>
                </c:pt>
                <c:pt idx="247">
                  <c:v>0.07689</c:v>
                </c:pt>
                <c:pt idx="248">
                  <c:v>0.07548</c:v>
                </c:pt>
                <c:pt idx="249">
                  <c:v>0.0741</c:v>
                </c:pt>
                <c:pt idx="250">
                  <c:v>0.07275</c:v>
                </c:pt>
                <c:pt idx="251">
                  <c:v>0.07143</c:v>
                </c:pt>
                <c:pt idx="252">
                  <c:v>0.07014</c:v>
                </c:pt>
                <c:pt idx="253">
                  <c:v>0.06887</c:v>
                </c:pt>
                <c:pt idx="254">
                  <c:v>0.06764</c:v>
                </c:pt>
                <c:pt idx="255">
                  <c:v>0.06642</c:v>
                </c:pt>
                <c:pt idx="256">
                  <c:v>0.06523</c:v>
                </c:pt>
                <c:pt idx="257">
                  <c:v>0.06407</c:v>
                </c:pt>
                <c:pt idx="258">
                  <c:v>0.06293</c:v>
                </c:pt>
                <c:pt idx="259">
                  <c:v>0.06181</c:v>
                </c:pt>
                <c:pt idx="260">
                  <c:v>0.06071</c:v>
                </c:pt>
                <c:pt idx="261">
                  <c:v>0.05964</c:v>
                </c:pt>
                <c:pt idx="262">
                  <c:v>0.05859</c:v>
                </c:pt>
                <c:pt idx="263">
                  <c:v>0.05756</c:v>
                </c:pt>
                <c:pt idx="264">
                  <c:v>0.05655</c:v>
                </c:pt>
                <c:pt idx="265">
                  <c:v>0.05556</c:v>
                </c:pt>
                <c:pt idx="266">
                  <c:v>0.05459</c:v>
                </c:pt>
                <c:pt idx="267">
                  <c:v>0.05364</c:v>
                </c:pt>
                <c:pt idx="268">
                  <c:v>0.05271</c:v>
                </c:pt>
                <c:pt idx="269">
                  <c:v>0.0518</c:v>
                </c:pt>
                <c:pt idx="270">
                  <c:v>0.0509</c:v>
                </c:pt>
                <c:pt idx="271">
                  <c:v>0.05002</c:v>
                </c:pt>
                <c:pt idx="272">
                  <c:v>0.04916</c:v>
                </c:pt>
                <c:pt idx="273">
                  <c:v>0.04832</c:v>
                </c:pt>
                <c:pt idx="274">
                  <c:v>0.04749</c:v>
                </c:pt>
                <c:pt idx="275">
                  <c:v>0.04668</c:v>
                </c:pt>
                <c:pt idx="276">
                  <c:v>0.04588</c:v>
                </c:pt>
                <c:pt idx="277">
                  <c:v>0.0451</c:v>
                </c:pt>
                <c:pt idx="278">
                  <c:v>0.04434</c:v>
                </c:pt>
                <c:pt idx="279">
                  <c:v>0.04358</c:v>
                </c:pt>
                <c:pt idx="280">
                  <c:v>0.04284</c:v>
                </c:pt>
                <c:pt idx="281">
                  <c:v>0.04212</c:v>
                </c:pt>
                <c:pt idx="282">
                  <c:v>0.04141</c:v>
                </c:pt>
                <c:pt idx="283">
                  <c:v>0.04071</c:v>
                </c:pt>
                <c:pt idx="284">
                  <c:v>0.04003</c:v>
                </c:pt>
                <c:pt idx="285">
                  <c:v>0.03936</c:v>
                </c:pt>
                <c:pt idx="286">
                  <c:v>0.0387</c:v>
                </c:pt>
                <c:pt idx="287">
                  <c:v>0.03805</c:v>
                </c:pt>
                <c:pt idx="288">
                  <c:v>0.03741</c:v>
                </c:pt>
                <c:pt idx="289">
                  <c:v>0.03679</c:v>
                </c:pt>
                <c:pt idx="290">
                  <c:v>0.03617</c:v>
                </c:pt>
                <c:pt idx="291">
                  <c:v>0.03557</c:v>
                </c:pt>
                <c:pt idx="292">
                  <c:v>0.03498</c:v>
                </c:pt>
                <c:pt idx="293">
                  <c:v>0.0344</c:v>
                </c:pt>
                <c:pt idx="294">
                  <c:v>0.03383</c:v>
                </c:pt>
                <c:pt idx="295">
                  <c:v>0.03327</c:v>
                </c:pt>
                <c:pt idx="296">
                  <c:v>0.03272</c:v>
                </c:pt>
                <c:pt idx="297">
                  <c:v>0.03218</c:v>
                </c:pt>
                <c:pt idx="298">
                  <c:v>0.03164</c:v>
                </c:pt>
                <c:pt idx="299">
                  <c:v>0.03112</c:v>
                </c:pt>
                <c:pt idx="300">
                  <c:v>0.03061</c:v>
                </c:pt>
                <c:pt idx="301">
                  <c:v>0.0301</c:v>
                </c:pt>
                <c:pt idx="302">
                  <c:v>0.02961</c:v>
                </c:pt>
                <c:pt idx="303">
                  <c:v>0.02912</c:v>
                </c:pt>
                <c:pt idx="304">
                  <c:v>0.02864</c:v>
                </c:pt>
                <c:pt idx="305">
                  <c:v>0.02817</c:v>
                </c:pt>
                <c:pt idx="306">
                  <c:v>0.02771</c:v>
                </c:pt>
                <c:pt idx="307">
                  <c:v>0.02725</c:v>
                </c:pt>
                <c:pt idx="308">
                  <c:v>0.02681</c:v>
                </c:pt>
                <c:pt idx="309">
                  <c:v>0.02637</c:v>
                </c:pt>
                <c:pt idx="310">
                  <c:v>0.02593</c:v>
                </c:pt>
                <c:pt idx="311">
                  <c:v>0.02551</c:v>
                </c:pt>
                <c:pt idx="312">
                  <c:v>0.02509</c:v>
                </c:pt>
                <c:pt idx="313">
                  <c:v>0.02467</c:v>
                </c:pt>
                <c:pt idx="314">
                  <c:v>0.02427</c:v>
                </c:pt>
                <c:pt idx="315">
                  <c:v>0.02387</c:v>
                </c:pt>
                <c:pt idx="316">
                  <c:v>0.02348</c:v>
                </c:pt>
                <c:pt idx="317">
                  <c:v>0.0231</c:v>
                </c:pt>
                <c:pt idx="318">
                  <c:v>0.02272</c:v>
                </c:pt>
                <c:pt idx="319">
                  <c:v>0.02234</c:v>
                </c:pt>
                <c:pt idx="320">
                  <c:v>0.02198</c:v>
                </c:pt>
                <c:pt idx="321">
                  <c:v>0.02162</c:v>
                </c:pt>
                <c:pt idx="322">
                  <c:v>0.02126</c:v>
                </c:pt>
                <c:pt idx="323">
                  <c:v>0.02091</c:v>
                </c:pt>
                <c:pt idx="324">
                  <c:v>0.02056</c:v>
                </c:pt>
                <c:pt idx="325">
                  <c:v>0.02022</c:v>
                </c:pt>
                <c:pt idx="326">
                  <c:v>0.01989</c:v>
                </c:pt>
                <c:pt idx="327">
                  <c:v>0.01956</c:v>
                </c:pt>
                <c:pt idx="328">
                  <c:v>0.01924</c:v>
                </c:pt>
                <c:pt idx="329">
                  <c:v>0.01892</c:v>
                </c:pt>
                <c:pt idx="330">
                  <c:v>0.0186</c:v>
                </c:pt>
                <c:pt idx="331">
                  <c:v>0.01829</c:v>
                </c:pt>
                <c:pt idx="332">
                  <c:v>0.01799</c:v>
                </c:pt>
                <c:pt idx="333">
                  <c:v>0.01769</c:v>
                </c:pt>
                <c:pt idx="334">
                  <c:v>0.01739</c:v>
                </c:pt>
                <c:pt idx="335">
                  <c:v>0.0171</c:v>
                </c:pt>
                <c:pt idx="336">
                  <c:v>0.01681</c:v>
                </c:pt>
                <c:pt idx="337">
                  <c:v>0.01653</c:v>
                </c:pt>
                <c:pt idx="338">
                  <c:v>0.01625</c:v>
                </c:pt>
                <c:pt idx="339">
                  <c:v>0.01598</c:v>
                </c:pt>
                <c:pt idx="340">
                  <c:v>0.01571</c:v>
                </c:pt>
                <c:pt idx="341">
                  <c:v>0.01544</c:v>
                </c:pt>
                <c:pt idx="342">
                  <c:v>0.01518</c:v>
                </c:pt>
                <c:pt idx="343">
                  <c:v>0.01492</c:v>
                </c:pt>
                <c:pt idx="344">
                  <c:v>0.01466</c:v>
                </c:pt>
                <c:pt idx="345">
                  <c:v>0.01441</c:v>
                </c:pt>
                <c:pt idx="346">
                  <c:v>0.01416</c:v>
                </c:pt>
                <c:pt idx="347">
                  <c:v>0.01391</c:v>
                </c:pt>
                <c:pt idx="348">
                  <c:v>0.01367</c:v>
                </c:pt>
                <c:pt idx="349">
                  <c:v>0.01343</c:v>
                </c:pt>
                <c:pt idx="350">
                  <c:v>0.0132</c:v>
                </c:pt>
                <c:pt idx="351">
                  <c:v>0.01296</c:v>
                </c:pt>
                <c:pt idx="352">
                  <c:v>0.01273</c:v>
                </c:pt>
                <c:pt idx="353">
                  <c:v>0.01251</c:v>
                </c:pt>
                <c:pt idx="354">
                  <c:v>0.01228</c:v>
                </c:pt>
                <c:pt idx="355">
                  <c:v>0.01206</c:v>
                </c:pt>
                <c:pt idx="356">
                  <c:v>0.01184</c:v>
                </c:pt>
                <c:pt idx="357">
                  <c:v>0.01163</c:v>
                </c:pt>
                <c:pt idx="358">
                  <c:v>0.01141</c:v>
                </c:pt>
                <c:pt idx="359">
                  <c:v>0.0112</c:v>
                </c:pt>
                <c:pt idx="360">
                  <c:v>0.01099</c:v>
                </c:pt>
                <c:pt idx="361">
                  <c:v>0.01078</c:v>
                </c:pt>
                <c:pt idx="362">
                  <c:v>0.01058</c:v>
                </c:pt>
                <c:pt idx="363">
                  <c:v>0.01038</c:v>
                </c:pt>
                <c:pt idx="364">
                  <c:v>0.01017</c:v>
                </c:pt>
                <c:pt idx="365">
                  <c:v>0.009975</c:v>
                </c:pt>
                <c:pt idx="366">
                  <c:v>0.009779</c:v>
                </c:pt>
                <c:pt idx="367">
                  <c:v>0.009584</c:v>
                </c:pt>
                <c:pt idx="368">
                  <c:v>0.009391</c:v>
                </c:pt>
                <c:pt idx="369">
                  <c:v>0.0092</c:v>
                </c:pt>
                <c:pt idx="370">
                  <c:v>0.00901</c:v>
                </c:pt>
                <c:pt idx="371">
                  <c:v>0.008822</c:v>
                </c:pt>
                <c:pt idx="372">
                  <c:v>0.008635</c:v>
                </c:pt>
                <c:pt idx="373">
                  <c:v>0.008449</c:v>
                </c:pt>
                <c:pt idx="374">
                  <c:v>0.008264</c:v>
                </c:pt>
                <c:pt idx="375">
                  <c:v>0.008079</c:v>
                </c:pt>
                <c:pt idx="376">
                  <c:v>0.007895</c:v>
                </c:pt>
                <c:pt idx="377">
                  <c:v>0.007711</c:v>
                </c:pt>
                <c:pt idx="378">
                  <c:v>0.007527</c:v>
                </c:pt>
                <c:pt idx="379">
                  <c:v>0.007342</c:v>
                </c:pt>
                <c:pt idx="380">
                  <c:v>0.007157</c:v>
                </c:pt>
                <c:pt idx="381">
                  <c:v>0.00697</c:v>
                </c:pt>
                <c:pt idx="382">
                  <c:v>0.006782</c:v>
                </c:pt>
                <c:pt idx="383">
                  <c:v>0.006593</c:v>
                </c:pt>
                <c:pt idx="384">
                  <c:v>0.006402</c:v>
                </c:pt>
                <c:pt idx="385">
                  <c:v>0.006209</c:v>
                </c:pt>
                <c:pt idx="386">
                  <c:v>0.006013</c:v>
                </c:pt>
                <c:pt idx="387">
                  <c:v>0.005815</c:v>
                </c:pt>
                <c:pt idx="388">
                  <c:v>0.005612</c:v>
                </c:pt>
                <c:pt idx="389">
                  <c:v>0.005404</c:v>
                </c:pt>
                <c:pt idx="390">
                  <c:v>0.005187</c:v>
                </c:pt>
                <c:pt idx="391">
                  <c:v>0.004958</c:v>
                </c:pt>
                <c:pt idx="392">
                  <c:v>0.00471</c:v>
                </c:pt>
                <c:pt idx="393">
                  <c:v>0.004432</c:v>
                </c:pt>
                <c:pt idx="394">
                  <c:v>0.00409</c:v>
                </c:pt>
                <c:pt idx="395">
                  <c:v>0.003482</c:v>
                </c:pt>
                <c:pt idx="396">
                  <c:v>0.003147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22816"/>
        <c:axId val="177924352"/>
      </c:scatterChart>
      <c:valAx>
        <c:axId val="17792281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924352"/>
        <c:crosses val="autoZero"/>
        <c:crossBetween val="midCat"/>
      </c:valAx>
      <c:valAx>
        <c:axId val="17792435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792281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643c9c-03f4-4b31-8603-3c4f5dbb802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Пр3!$F$1</c:f>
              <c:strCache>
                <c:ptCount val="1"/>
                <c:pt idx="0">
                  <c:v>Уд. энтальпия кипящей воды h', кДж/кг</c:v>
                </c:pt>
              </c:strCache>
            </c:strRef>
          </c:tx>
          <c:dLbls>
            <c:delete val="1"/>
          </c:dLbls>
          <c:xVal>
            <c:numRef>
              <c:f>Пр3!$A$2:$A$393</c:f>
              <c:numCache>
                <c:formatCode>0.0</c:formatCode>
                <c:ptCount val="392"/>
                <c:pt idx="0">
                  <c:v>0</c:v>
                </c:pt>
                <c:pt idx="1" c:formatCode="0.00">
                  <c:v>0.01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  <c:pt idx="25">
                  <c:v>19.5</c:v>
                </c:pt>
                <c:pt idx="26">
                  <c:v>20</c:v>
                </c:pt>
                <c:pt idx="27">
                  <c:v>20.5</c:v>
                </c:pt>
                <c:pt idx="28">
                  <c:v>21</c:v>
                </c:pt>
                <c:pt idx="29">
                  <c:v>21.5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  <c:pt idx="33">
                  <c:v>23.5</c:v>
                </c:pt>
                <c:pt idx="34">
                  <c:v>24</c:v>
                </c:pt>
                <c:pt idx="35">
                  <c:v>24.5</c:v>
                </c:pt>
                <c:pt idx="36">
                  <c:v>25</c:v>
                </c:pt>
                <c:pt idx="37">
                  <c:v>25.5</c:v>
                </c:pt>
                <c:pt idx="38">
                  <c:v>26</c:v>
                </c:pt>
                <c:pt idx="39">
                  <c:v>26.5</c:v>
                </c:pt>
                <c:pt idx="40">
                  <c:v>27</c:v>
                </c:pt>
                <c:pt idx="41">
                  <c:v>27.5</c:v>
                </c:pt>
                <c:pt idx="42">
                  <c:v>28</c:v>
                </c:pt>
                <c:pt idx="43">
                  <c:v>28.5</c:v>
                </c:pt>
                <c:pt idx="44">
                  <c:v>29</c:v>
                </c:pt>
                <c:pt idx="45">
                  <c:v>29.5</c:v>
                </c:pt>
                <c:pt idx="46">
                  <c:v>30</c:v>
                </c:pt>
                <c:pt idx="47">
                  <c:v>30.5</c:v>
                </c:pt>
                <c:pt idx="48">
                  <c:v>31</c:v>
                </c:pt>
                <c:pt idx="49">
                  <c:v>31.5</c:v>
                </c:pt>
                <c:pt idx="50">
                  <c:v>32</c:v>
                </c:pt>
                <c:pt idx="51">
                  <c:v>32.5</c:v>
                </c:pt>
                <c:pt idx="52">
                  <c:v>33</c:v>
                </c:pt>
                <c:pt idx="53">
                  <c:v>33.5</c:v>
                </c:pt>
                <c:pt idx="54">
                  <c:v>34</c:v>
                </c:pt>
                <c:pt idx="55">
                  <c:v>34.5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 c:formatCode="0">
                  <c:v>100</c:v>
                </c:pt>
                <c:pt idx="122" c:formatCode="0">
                  <c:v>101</c:v>
                </c:pt>
                <c:pt idx="123" c:formatCode="0">
                  <c:v>102</c:v>
                </c:pt>
                <c:pt idx="124" c:formatCode="0">
                  <c:v>103</c:v>
                </c:pt>
                <c:pt idx="125" c:formatCode="0">
                  <c:v>104</c:v>
                </c:pt>
                <c:pt idx="126" c:formatCode="0">
                  <c:v>105</c:v>
                </c:pt>
                <c:pt idx="127" c:formatCode="0">
                  <c:v>106</c:v>
                </c:pt>
                <c:pt idx="128" c:formatCode="0">
                  <c:v>107</c:v>
                </c:pt>
                <c:pt idx="129" c:formatCode="0">
                  <c:v>108</c:v>
                </c:pt>
                <c:pt idx="130" c:formatCode="0">
                  <c:v>109</c:v>
                </c:pt>
                <c:pt idx="131" c:formatCode="0">
                  <c:v>110</c:v>
                </c:pt>
                <c:pt idx="132" c:formatCode="0">
                  <c:v>111</c:v>
                </c:pt>
                <c:pt idx="133" c:formatCode="0">
                  <c:v>112</c:v>
                </c:pt>
                <c:pt idx="134" c:formatCode="0">
                  <c:v>113</c:v>
                </c:pt>
                <c:pt idx="135" c:formatCode="0">
                  <c:v>114</c:v>
                </c:pt>
                <c:pt idx="136" c:formatCode="0">
                  <c:v>115</c:v>
                </c:pt>
                <c:pt idx="137" c:formatCode="0">
                  <c:v>116</c:v>
                </c:pt>
                <c:pt idx="138" c:formatCode="0">
                  <c:v>117</c:v>
                </c:pt>
                <c:pt idx="139" c:formatCode="0">
                  <c:v>118</c:v>
                </c:pt>
                <c:pt idx="140" c:formatCode="0">
                  <c:v>119</c:v>
                </c:pt>
                <c:pt idx="141" c:formatCode="0">
                  <c:v>120</c:v>
                </c:pt>
                <c:pt idx="142" c:formatCode="0">
                  <c:v>121</c:v>
                </c:pt>
                <c:pt idx="143" c:formatCode="0">
                  <c:v>122</c:v>
                </c:pt>
                <c:pt idx="144" c:formatCode="0">
                  <c:v>123</c:v>
                </c:pt>
                <c:pt idx="145" c:formatCode="0">
                  <c:v>124</c:v>
                </c:pt>
                <c:pt idx="146" c:formatCode="0">
                  <c:v>125</c:v>
                </c:pt>
                <c:pt idx="147" c:formatCode="0">
                  <c:v>126</c:v>
                </c:pt>
                <c:pt idx="148" c:formatCode="0">
                  <c:v>127</c:v>
                </c:pt>
                <c:pt idx="149" c:formatCode="0">
                  <c:v>128</c:v>
                </c:pt>
                <c:pt idx="150" c:formatCode="0">
                  <c:v>129</c:v>
                </c:pt>
                <c:pt idx="151" c:formatCode="0">
                  <c:v>130</c:v>
                </c:pt>
                <c:pt idx="152" c:formatCode="0">
                  <c:v>131</c:v>
                </c:pt>
                <c:pt idx="153" c:formatCode="0">
                  <c:v>132</c:v>
                </c:pt>
                <c:pt idx="154" c:formatCode="0">
                  <c:v>133</c:v>
                </c:pt>
                <c:pt idx="155" c:formatCode="0">
                  <c:v>134</c:v>
                </c:pt>
                <c:pt idx="156" c:formatCode="0">
                  <c:v>135</c:v>
                </c:pt>
                <c:pt idx="157" c:formatCode="0">
                  <c:v>136</c:v>
                </c:pt>
                <c:pt idx="158" c:formatCode="0">
                  <c:v>137</c:v>
                </c:pt>
                <c:pt idx="159" c:formatCode="0">
                  <c:v>138</c:v>
                </c:pt>
                <c:pt idx="160" c:formatCode="0">
                  <c:v>139</c:v>
                </c:pt>
                <c:pt idx="161" c:formatCode="0">
                  <c:v>140</c:v>
                </c:pt>
                <c:pt idx="162" c:formatCode="0">
                  <c:v>141</c:v>
                </c:pt>
                <c:pt idx="163" c:formatCode="0">
                  <c:v>142</c:v>
                </c:pt>
                <c:pt idx="164" c:formatCode="0">
                  <c:v>143</c:v>
                </c:pt>
                <c:pt idx="165" c:formatCode="0">
                  <c:v>144</c:v>
                </c:pt>
                <c:pt idx="166" c:formatCode="0">
                  <c:v>145</c:v>
                </c:pt>
                <c:pt idx="167" c:formatCode="0">
                  <c:v>146</c:v>
                </c:pt>
                <c:pt idx="168" c:formatCode="0">
                  <c:v>147</c:v>
                </c:pt>
                <c:pt idx="169" c:formatCode="0">
                  <c:v>148</c:v>
                </c:pt>
                <c:pt idx="170" c:formatCode="0">
                  <c:v>149</c:v>
                </c:pt>
                <c:pt idx="171" c:formatCode="0">
                  <c:v>150</c:v>
                </c:pt>
                <c:pt idx="172" c:formatCode="0">
                  <c:v>151</c:v>
                </c:pt>
                <c:pt idx="173" c:formatCode="0">
                  <c:v>152</c:v>
                </c:pt>
                <c:pt idx="174" c:formatCode="0">
                  <c:v>153</c:v>
                </c:pt>
                <c:pt idx="175" c:formatCode="0">
                  <c:v>154</c:v>
                </c:pt>
                <c:pt idx="176" c:formatCode="0">
                  <c:v>155</c:v>
                </c:pt>
                <c:pt idx="177" c:formatCode="0">
                  <c:v>156</c:v>
                </c:pt>
                <c:pt idx="178" c:formatCode="0">
                  <c:v>157</c:v>
                </c:pt>
                <c:pt idx="179" c:formatCode="0">
                  <c:v>158</c:v>
                </c:pt>
                <c:pt idx="180" c:formatCode="0">
                  <c:v>159</c:v>
                </c:pt>
                <c:pt idx="181" c:formatCode="0">
                  <c:v>160</c:v>
                </c:pt>
                <c:pt idx="182" c:formatCode="0">
                  <c:v>161</c:v>
                </c:pt>
                <c:pt idx="183" c:formatCode="0">
                  <c:v>162</c:v>
                </c:pt>
                <c:pt idx="184" c:formatCode="0">
                  <c:v>163</c:v>
                </c:pt>
                <c:pt idx="185" c:formatCode="0">
                  <c:v>164</c:v>
                </c:pt>
                <c:pt idx="186" c:formatCode="0">
                  <c:v>165</c:v>
                </c:pt>
                <c:pt idx="187" c:formatCode="0">
                  <c:v>166</c:v>
                </c:pt>
                <c:pt idx="188" c:formatCode="0">
                  <c:v>167</c:v>
                </c:pt>
                <c:pt idx="189" c:formatCode="0">
                  <c:v>168</c:v>
                </c:pt>
                <c:pt idx="190" c:formatCode="0">
                  <c:v>169</c:v>
                </c:pt>
                <c:pt idx="191" c:formatCode="0">
                  <c:v>170</c:v>
                </c:pt>
                <c:pt idx="192" c:formatCode="0">
                  <c:v>171</c:v>
                </c:pt>
                <c:pt idx="193" c:formatCode="0">
                  <c:v>172</c:v>
                </c:pt>
                <c:pt idx="194" c:formatCode="0">
                  <c:v>173</c:v>
                </c:pt>
                <c:pt idx="195" c:formatCode="0">
                  <c:v>174</c:v>
                </c:pt>
                <c:pt idx="196" c:formatCode="0">
                  <c:v>175</c:v>
                </c:pt>
                <c:pt idx="197" c:formatCode="0">
                  <c:v>176</c:v>
                </c:pt>
                <c:pt idx="198" c:formatCode="0">
                  <c:v>177</c:v>
                </c:pt>
                <c:pt idx="199" c:formatCode="0">
                  <c:v>178</c:v>
                </c:pt>
                <c:pt idx="200" c:formatCode="0">
                  <c:v>179</c:v>
                </c:pt>
                <c:pt idx="201" c:formatCode="0">
                  <c:v>180</c:v>
                </c:pt>
                <c:pt idx="202" c:formatCode="0">
                  <c:v>181</c:v>
                </c:pt>
                <c:pt idx="203" c:formatCode="0">
                  <c:v>182</c:v>
                </c:pt>
                <c:pt idx="204" c:formatCode="0">
                  <c:v>183</c:v>
                </c:pt>
                <c:pt idx="205" c:formatCode="0">
                  <c:v>184</c:v>
                </c:pt>
                <c:pt idx="206" c:formatCode="0">
                  <c:v>185</c:v>
                </c:pt>
                <c:pt idx="207" c:formatCode="0">
                  <c:v>186</c:v>
                </c:pt>
                <c:pt idx="208" c:formatCode="0">
                  <c:v>187</c:v>
                </c:pt>
                <c:pt idx="209" c:formatCode="0">
                  <c:v>188</c:v>
                </c:pt>
                <c:pt idx="210" c:formatCode="0">
                  <c:v>189</c:v>
                </c:pt>
                <c:pt idx="211" c:formatCode="0">
                  <c:v>190</c:v>
                </c:pt>
                <c:pt idx="212" c:formatCode="0">
                  <c:v>191</c:v>
                </c:pt>
                <c:pt idx="213" c:formatCode="0">
                  <c:v>192</c:v>
                </c:pt>
                <c:pt idx="214" c:formatCode="0">
                  <c:v>193</c:v>
                </c:pt>
                <c:pt idx="215" c:formatCode="0">
                  <c:v>194</c:v>
                </c:pt>
                <c:pt idx="216" c:formatCode="0">
                  <c:v>195</c:v>
                </c:pt>
                <c:pt idx="217" c:formatCode="0">
                  <c:v>196</c:v>
                </c:pt>
                <c:pt idx="218" c:formatCode="0">
                  <c:v>197</c:v>
                </c:pt>
                <c:pt idx="219" c:formatCode="0">
                  <c:v>198</c:v>
                </c:pt>
                <c:pt idx="220" c:formatCode="0">
                  <c:v>199</c:v>
                </c:pt>
                <c:pt idx="221" c:formatCode="0">
                  <c:v>200</c:v>
                </c:pt>
                <c:pt idx="222" c:formatCode="0">
                  <c:v>201</c:v>
                </c:pt>
                <c:pt idx="223" c:formatCode="0">
                  <c:v>202</c:v>
                </c:pt>
                <c:pt idx="224" c:formatCode="0">
                  <c:v>203</c:v>
                </c:pt>
                <c:pt idx="225" c:formatCode="0">
                  <c:v>204</c:v>
                </c:pt>
                <c:pt idx="226" c:formatCode="0">
                  <c:v>205</c:v>
                </c:pt>
                <c:pt idx="227" c:formatCode="0">
                  <c:v>206</c:v>
                </c:pt>
                <c:pt idx="228" c:formatCode="0">
                  <c:v>207</c:v>
                </c:pt>
                <c:pt idx="229" c:formatCode="0">
                  <c:v>208</c:v>
                </c:pt>
                <c:pt idx="230" c:formatCode="0">
                  <c:v>209</c:v>
                </c:pt>
                <c:pt idx="231" c:formatCode="0">
                  <c:v>210</c:v>
                </c:pt>
                <c:pt idx="232" c:formatCode="0">
                  <c:v>211</c:v>
                </c:pt>
                <c:pt idx="233" c:formatCode="0">
                  <c:v>212</c:v>
                </c:pt>
                <c:pt idx="234" c:formatCode="0">
                  <c:v>213</c:v>
                </c:pt>
                <c:pt idx="235" c:formatCode="0">
                  <c:v>214</c:v>
                </c:pt>
                <c:pt idx="236" c:formatCode="0">
                  <c:v>215</c:v>
                </c:pt>
                <c:pt idx="237" c:formatCode="0">
                  <c:v>216</c:v>
                </c:pt>
                <c:pt idx="238" c:formatCode="0">
                  <c:v>217</c:v>
                </c:pt>
                <c:pt idx="239" c:formatCode="0">
                  <c:v>218</c:v>
                </c:pt>
                <c:pt idx="240" c:formatCode="0">
                  <c:v>219</c:v>
                </c:pt>
                <c:pt idx="241" c:formatCode="0">
                  <c:v>220</c:v>
                </c:pt>
                <c:pt idx="242" c:formatCode="0">
                  <c:v>221</c:v>
                </c:pt>
                <c:pt idx="243" c:formatCode="0">
                  <c:v>222</c:v>
                </c:pt>
                <c:pt idx="244" c:formatCode="0">
                  <c:v>223</c:v>
                </c:pt>
                <c:pt idx="245" c:formatCode="0">
                  <c:v>224</c:v>
                </c:pt>
                <c:pt idx="246" c:formatCode="0">
                  <c:v>225</c:v>
                </c:pt>
                <c:pt idx="247" c:formatCode="0">
                  <c:v>226</c:v>
                </c:pt>
                <c:pt idx="248" c:formatCode="0">
                  <c:v>227</c:v>
                </c:pt>
                <c:pt idx="249" c:formatCode="0">
                  <c:v>228</c:v>
                </c:pt>
                <c:pt idx="250" c:formatCode="0">
                  <c:v>229</c:v>
                </c:pt>
                <c:pt idx="251" c:formatCode="0">
                  <c:v>230</c:v>
                </c:pt>
                <c:pt idx="252" c:formatCode="0">
                  <c:v>231</c:v>
                </c:pt>
                <c:pt idx="253" c:formatCode="0">
                  <c:v>232</c:v>
                </c:pt>
                <c:pt idx="254" c:formatCode="0">
                  <c:v>233</c:v>
                </c:pt>
                <c:pt idx="255" c:formatCode="0">
                  <c:v>234</c:v>
                </c:pt>
                <c:pt idx="256" c:formatCode="0">
                  <c:v>235</c:v>
                </c:pt>
                <c:pt idx="257" c:formatCode="0">
                  <c:v>236</c:v>
                </c:pt>
                <c:pt idx="258" c:formatCode="0">
                  <c:v>237</c:v>
                </c:pt>
                <c:pt idx="259" c:formatCode="0">
                  <c:v>238</c:v>
                </c:pt>
                <c:pt idx="260" c:formatCode="0">
                  <c:v>239</c:v>
                </c:pt>
                <c:pt idx="261" c:formatCode="0">
                  <c:v>240</c:v>
                </c:pt>
                <c:pt idx="262" c:formatCode="0">
                  <c:v>241</c:v>
                </c:pt>
                <c:pt idx="263" c:formatCode="0">
                  <c:v>242</c:v>
                </c:pt>
                <c:pt idx="264" c:formatCode="0">
                  <c:v>243</c:v>
                </c:pt>
                <c:pt idx="265" c:formatCode="0">
                  <c:v>244</c:v>
                </c:pt>
                <c:pt idx="266" c:formatCode="0">
                  <c:v>245</c:v>
                </c:pt>
                <c:pt idx="267" c:formatCode="0">
                  <c:v>246</c:v>
                </c:pt>
                <c:pt idx="268" c:formatCode="0">
                  <c:v>247</c:v>
                </c:pt>
                <c:pt idx="269" c:formatCode="0">
                  <c:v>248</c:v>
                </c:pt>
                <c:pt idx="270" c:formatCode="0">
                  <c:v>249</c:v>
                </c:pt>
                <c:pt idx="271" c:formatCode="0">
                  <c:v>250</c:v>
                </c:pt>
                <c:pt idx="272" c:formatCode="0">
                  <c:v>251</c:v>
                </c:pt>
                <c:pt idx="273" c:formatCode="0">
                  <c:v>252</c:v>
                </c:pt>
                <c:pt idx="274" c:formatCode="0">
                  <c:v>253</c:v>
                </c:pt>
                <c:pt idx="275" c:formatCode="0">
                  <c:v>254</c:v>
                </c:pt>
                <c:pt idx="276" c:formatCode="0">
                  <c:v>255</c:v>
                </c:pt>
                <c:pt idx="277" c:formatCode="0">
                  <c:v>256</c:v>
                </c:pt>
                <c:pt idx="278" c:formatCode="0">
                  <c:v>257</c:v>
                </c:pt>
                <c:pt idx="279" c:formatCode="0">
                  <c:v>258</c:v>
                </c:pt>
                <c:pt idx="280" c:formatCode="0">
                  <c:v>259</c:v>
                </c:pt>
                <c:pt idx="281" c:formatCode="0">
                  <c:v>260</c:v>
                </c:pt>
                <c:pt idx="282" c:formatCode="0">
                  <c:v>261</c:v>
                </c:pt>
                <c:pt idx="283" c:formatCode="0">
                  <c:v>262</c:v>
                </c:pt>
                <c:pt idx="284" c:formatCode="0">
                  <c:v>263</c:v>
                </c:pt>
                <c:pt idx="285" c:formatCode="0">
                  <c:v>264</c:v>
                </c:pt>
                <c:pt idx="286" c:formatCode="0">
                  <c:v>265</c:v>
                </c:pt>
                <c:pt idx="287" c:formatCode="0">
                  <c:v>266</c:v>
                </c:pt>
                <c:pt idx="288" c:formatCode="0">
                  <c:v>267</c:v>
                </c:pt>
                <c:pt idx="289" c:formatCode="0">
                  <c:v>268</c:v>
                </c:pt>
                <c:pt idx="290" c:formatCode="0">
                  <c:v>269</c:v>
                </c:pt>
                <c:pt idx="291" c:formatCode="0">
                  <c:v>270</c:v>
                </c:pt>
                <c:pt idx="292" c:formatCode="0">
                  <c:v>271</c:v>
                </c:pt>
                <c:pt idx="293" c:formatCode="0">
                  <c:v>272</c:v>
                </c:pt>
                <c:pt idx="294" c:formatCode="0">
                  <c:v>273</c:v>
                </c:pt>
                <c:pt idx="295" c:formatCode="0">
                  <c:v>274</c:v>
                </c:pt>
                <c:pt idx="296" c:formatCode="0">
                  <c:v>275</c:v>
                </c:pt>
                <c:pt idx="297" c:formatCode="0">
                  <c:v>276</c:v>
                </c:pt>
                <c:pt idx="298" c:formatCode="0">
                  <c:v>277</c:v>
                </c:pt>
                <c:pt idx="299" c:formatCode="0">
                  <c:v>278</c:v>
                </c:pt>
                <c:pt idx="300" c:formatCode="0">
                  <c:v>279</c:v>
                </c:pt>
                <c:pt idx="301" c:formatCode="0">
                  <c:v>280</c:v>
                </c:pt>
                <c:pt idx="302" c:formatCode="0">
                  <c:v>281</c:v>
                </c:pt>
                <c:pt idx="303" c:formatCode="0">
                  <c:v>282</c:v>
                </c:pt>
                <c:pt idx="304" c:formatCode="0">
                  <c:v>283</c:v>
                </c:pt>
                <c:pt idx="305" c:formatCode="0">
                  <c:v>284</c:v>
                </c:pt>
                <c:pt idx="306" c:formatCode="0">
                  <c:v>285</c:v>
                </c:pt>
                <c:pt idx="307" c:formatCode="0">
                  <c:v>286</c:v>
                </c:pt>
                <c:pt idx="308" c:formatCode="0">
                  <c:v>287</c:v>
                </c:pt>
                <c:pt idx="309" c:formatCode="0">
                  <c:v>288</c:v>
                </c:pt>
                <c:pt idx="310" c:formatCode="0">
                  <c:v>289</c:v>
                </c:pt>
                <c:pt idx="311" c:formatCode="0">
                  <c:v>290</c:v>
                </c:pt>
                <c:pt idx="312" c:formatCode="0">
                  <c:v>291</c:v>
                </c:pt>
                <c:pt idx="313" c:formatCode="0">
                  <c:v>292</c:v>
                </c:pt>
                <c:pt idx="314" c:formatCode="0">
                  <c:v>293</c:v>
                </c:pt>
                <c:pt idx="315" c:formatCode="0">
                  <c:v>294</c:v>
                </c:pt>
                <c:pt idx="316" c:formatCode="0">
                  <c:v>295</c:v>
                </c:pt>
                <c:pt idx="317" c:formatCode="0">
                  <c:v>296</c:v>
                </c:pt>
                <c:pt idx="318" c:formatCode="0">
                  <c:v>297</c:v>
                </c:pt>
                <c:pt idx="319" c:formatCode="0">
                  <c:v>298</c:v>
                </c:pt>
                <c:pt idx="320" c:formatCode="0">
                  <c:v>299</c:v>
                </c:pt>
                <c:pt idx="321" c:formatCode="0">
                  <c:v>300</c:v>
                </c:pt>
                <c:pt idx="322" c:formatCode="0">
                  <c:v>301</c:v>
                </c:pt>
                <c:pt idx="323" c:formatCode="0">
                  <c:v>302</c:v>
                </c:pt>
                <c:pt idx="324" c:formatCode="0">
                  <c:v>303</c:v>
                </c:pt>
                <c:pt idx="325" c:formatCode="0">
                  <c:v>304</c:v>
                </c:pt>
                <c:pt idx="326" c:formatCode="0">
                  <c:v>305</c:v>
                </c:pt>
                <c:pt idx="327" c:formatCode="0">
                  <c:v>306</c:v>
                </c:pt>
                <c:pt idx="328" c:formatCode="0">
                  <c:v>307</c:v>
                </c:pt>
                <c:pt idx="329" c:formatCode="0">
                  <c:v>308</c:v>
                </c:pt>
                <c:pt idx="330" c:formatCode="0">
                  <c:v>309</c:v>
                </c:pt>
                <c:pt idx="331" c:formatCode="0">
                  <c:v>310</c:v>
                </c:pt>
                <c:pt idx="332" c:formatCode="0">
                  <c:v>311</c:v>
                </c:pt>
                <c:pt idx="333" c:formatCode="0">
                  <c:v>312</c:v>
                </c:pt>
                <c:pt idx="334" c:formatCode="0">
                  <c:v>313</c:v>
                </c:pt>
                <c:pt idx="335" c:formatCode="0">
                  <c:v>314</c:v>
                </c:pt>
                <c:pt idx="336" c:formatCode="0">
                  <c:v>315</c:v>
                </c:pt>
                <c:pt idx="337" c:formatCode="0">
                  <c:v>316</c:v>
                </c:pt>
                <c:pt idx="338" c:formatCode="0">
                  <c:v>317</c:v>
                </c:pt>
                <c:pt idx="339" c:formatCode="0">
                  <c:v>318</c:v>
                </c:pt>
                <c:pt idx="340" c:formatCode="0">
                  <c:v>319</c:v>
                </c:pt>
                <c:pt idx="341" c:formatCode="0">
                  <c:v>320</c:v>
                </c:pt>
                <c:pt idx="342" c:formatCode="0">
                  <c:v>321</c:v>
                </c:pt>
                <c:pt idx="343" c:formatCode="0">
                  <c:v>322</c:v>
                </c:pt>
                <c:pt idx="344" c:formatCode="0">
                  <c:v>323</c:v>
                </c:pt>
                <c:pt idx="345" c:formatCode="0">
                  <c:v>324</c:v>
                </c:pt>
                <c:pt idx="346" c:formatCode="0">
                  <c:v>325</c:v>
                </c:pt>
                <c:pt idx="347" c:formatCode="0">
                  <c:v>326</c:v>
                </c:pt>
                <c:pt idx="348" c:formatCode="0">
                  <c:v>327</c:v>
                </c:pt>
                <c:pt idx="349" c:formatCode="0">
                  <c:v>328</c:v>
                </c:pt>
                <c:pt idx="350" c:formatCode="0">
                  <c:v>329</c:v>
                </c:pt>
                <c:pt idx="351" c:formatCode="0">
                  <c:v>330</c:v>
                </c:pt>
                <c:pt idx="352" c:formatCode="0">
                  <c:v>331</c:v>
                </c:pt>
                <c:pt idx="353" c:formatCode="0">
                  <c:v>332</c:v>
                </c:pt>
                <c:pt idx="354" c:formatCode="0">
                  <c:v>333</c:v>
                </c:pt>
                <c:pt idx="355" c:formatCode="0">
                  <c:v>334</c:v>
                </c:pt>
                <c:pt idx="356" c:formatCode="0">
                  <c:v>335</c:v>
                </c:pt>
                <c:pt idx="357" c:formatCode="0">
                  <c:v>336</c:v>
                </c:pt>
                <c:pt idx="358" c:formatCode="0">
                  <c:v>337</c:v>
                </c:pt>
                <c:pt idx="359" c:formatCode="0">
                  <c:v>338</c:v>
                </c:pt>
                <c:pt idx="360" c:formatCode="0">
                  <c:v>339</c:v>
                </c:pt>
                <c:pt idx="361" c:formatCode="0">
                  <c:v>340</c:v>
                </c:pt>
                <c:pt idx="362" c:formatCode="0">
                  <c:v>341</c:v>
                </c:pt>
                <c:pt idx="363" c:formatCode="0">
                  <c:v>342</c:v>
                </c:pt>
                <c:pt idx="364" c:formatCode="0">
                  <c:v>343</c:v>
                </c:pt>
                <c:pt idx="365" c:formatCode="0">
                  <c:v>344</c:v>
                </c:pt>
                <c:pt idx="366" c:formatCode="0">
                  <c:v>345</c:v>
                </c:pt>
                <c:pt idx="367" c:formatCode="0">
                  <c:v>346</c:v>
                </c:pt>
                <c:pt idx="368" c:formatCode="0">
                  <c:v>347</c:v>
                </c:pt>
                <c:pt idx="369" c:formatCode="0">
                  <c:v>348</c:v>
                </c:pt>
                <c:pt idx="370" c:formatCode="0">
                  <c:v>349</c:v>
                </c:pt>
                <c:pt idx="371" c:formatCode="0">
                  <c:v>350</c:v>
                </c:pt>
                <c:pt idx="372" c:formatCode="0">
                  <c:v>351</c:v>
                </c:pt>
                <c:pt idx="373" c:formatCode="0">
                  <c:v>352</c:v>
                </c:pt>
                <c:pt idx="374" c:formatCode="0">
                  <c:v>353</c:v>
                </c:pt>
                <c:pt idx="375" c:formatCode="0">
                  <c:v>354</c:v>
                </c:pt>
                <c:pt idx="376" c:formatCode="0">
                  <c:v>355</c:v>
                </c:pt>
                <c:pt idx="377" c:formatCode="0">
                  <c:v>356</c:v>
                </c:pt>
                <c:pt idx="378" c:formatCode="0">
                  <c:v>357</c:v>
                </c:pt>
                <c:pt idx="379" c:formatCode="0">
                  <c:v>358</c:v>
                </c:pt>
                <c:pt idx="380" c:formatCode="0">
                  <c:v>359</c:v>
                </c:pt>
                <c:pt idx="381" c:formatCode="0">
                  <c:v>360</c:v>
                </c:pt>
                <c:pt idx="382" c:formatCode="0">
                  <c:v>361</c:v>
                </c:pt>
                <c:pt idx="383" c:formatCode="0">
                  <c:v>362</c:v>
                </c:pt>
                <c:pt idx="384" c:formatCode="0">
                  <c:v>363</c:v>
                </c:pt>
                <c:pt idx="385" c:formatCode="0">
                  <c:v>364</c:v>
                </c:pt>
                <c:pt idx="386" c:formatCode="0">
                  <c:v>365</c:v>
                </c:pt>
                <c:pt idx="387" c:formatCode="0">
                  <c:v>366</c:v>
                </c:pt>
                <c:pt idx="388" c:formatCode="0">
                  <c:v>367</c:v>
                </c:pt>
                <c:pt idx="389" c:formatCode="0">
                  <c:v>368</c:v>
                </c:pt>
                <c:pt idx="390" c:formatCode="0">
                  <c:v>369</c:v>
                </c:pt>
                <c:pt idx="391" c:formatCode="0">
                  <c:v>370</c:v>
                </c:pt>
              </c:numCache>
            </c:numRef>
          </c:xVal>
          <c:yVal>
            <c:numRef>
              <c:f>Пр3!$F$2:$F$393</c:f>
              <c:numCache>
                <c:formatCode>0.00</c:formatCode>
                <c:ptCount val="392"/>
                <c:pt idx="0">
                  <c:v>-0.04</c:v>
                </c:pt>
                <c:pt idx="1">
                  <c:v>0.000614</c:v>
                </c:pt>
                <c:pt idx="2">
                  <c:v>4.17</c:v>
                </c:pt>
                <c:pt idx="3">
                  <c:v>8.39</c:v>
                </c:pt>
                <c:pt idx="4">
                  <c:v>12.6</c:v>
                </c:pt>
                <c:pt idx="5">
                  <c:v>16.8</c:v>
                </c:pt>
                <c:pt idx="6">
                  <c:v>21.01</c:v>
                </c:pt>
                <c:pt idx="7">
                  <c:v>25.21</c:v>
                </c:pt>
                <c:pt idx="8">
                  <c:v>29.41</c:v>
                </c:pt>
                <c:pt idx="9">
                  <c:v>33.6</c:v>
                </c:pt>
                <c:pt idx="10">
                  <c:v>37.8</c:v>
                </c:pt>
                <c:pt idx="11">
                  <c:v>41.99</c:v>
                </c:pt>
                <c:pt idx="12">
                  <c:v>46.19</c:v>
                </c:pt>
                <c:pt idx="13">
                  <c:v>50.38</c:v>
                </c:pt>
                <c:pt idx="14">
                  <c:v>54.37</c:v>
                </c:pt>
                <c:pt idx="15">
                  <c:v>58.75</c:v>
                </c:pt>
                <c:pt idx="16">
                  <c:v>62.94</c:v>
                </c:pt>
                <c:pt idx="17">
                  <c:v>65.03</c:v>
                </c:pt>
                <c:pt idx="18">
                  <c:v>67.13</c:v>
                </c:pt>
                <c:pt idx="19">
                  <c:v>69.22</c:v>
                </c:pt>
                <c:pt idx="20">
                  <c:v>71.31</c:v>
                </c:pt>
                <c:pt idx="21">
                  <c:v>73.4</c:v>
                </c:pt>
                <c:pt idx="22">
                  <c:v>75.5</c:v>
                </c:pt>
                <c:pt idx="23">
                  <c:v>77.59</c:v>
                </c:pt>
                <c:pt idx="24">
                  <c:v>79.68</c:v>
                </c:pt>
                <c:pt idx="25">
                  <c:v>81.77</c:v>
                </c:pt>
                <c:pt idx="26">
                  <c:v>83.86</c:v>
                </c:pt>
                <c:pt idx="27">
                  <c:v>85.95</c:v>
                </c:pt>
                <c:pt idx="28">
                  <c:v>88.04</c:v>
                </c:pt>
                <c:pt idx="29">
                  <c:v>90.13</c:v>
                </c:pt>
                <c:pt idx="30">
                  <c:v>92.22</c:v>
                </c:pt>
                <c:pt idx="31">
                  <c:v>94.32</c:v>
                </c:pt>
                <c:pt idx="32">
                  <c:v>96.41</c:v>
                </c:pt>
                <c:pt idx="33">
                  <c:v>98.5</c:v>
                </c:pt>
                <c:pt idx="34">
                  <c:v>100.59</c:v>
                </c:pt>
                <c:pt idx="35">
                  <c:v>102.68</c:v>
                </c:pt>
                <c:pt idx="36">
                  <c:v>104.77</c:v>
                </c:pt>
                <c:pt idx="37">
                  <c:v>106.86</c:v>
                </c:pt>
                <c:pt idx="38">
                  <c:v>108.95</c:v>
                </c:pt>
                <c:pt idx="39">
                  <c:v>111.04</c:v>
                </c:pt>
                <c:pt idx="40">
                  <c:v>113.13</c:v>
                </c:pt>
                <c:pt idx="41">
                  <c:v>115.22</c:v>
                </c:pt>
                <c:pt idx="42">
                  <c:v>117.31</c:v>
                </c:pt>
                <c:pt idx="43">
                  <c:v>119.4</c:v>
                </c:pt>
                <c:pt idx="44">
                  <c:v>121.48</c:v>
                </c:pt>
                <c:pt idx="45">
                  <c:v>123.57</c:v>
                </c:pt>
                <c:pt idx="46">
                  <c:v>125.66</c:v>
                </c:pt>
                <c:pt idx="47">
                  <c:v>127.75</c:v>
                </c:pt>
                <c:pt idx="48">
                  <c:v>129.84</c:v>
                </c:pt>
                <c:pt idx="49">
                  <c:v>131.93</c:v>
                </c:pt>
                <c:pt idx="50">
                  <c:v>134.02</c:v>
                </c:pt>
                <c:pt idx="51">
                  <c:v>136.11</c:v>
                </c:pt>
                <c:pt idx="52">
                  <c:v>138.2</c:v>
                </c:pt>
                <c:pt idx="53">
                  <c:v>140.29</c:v>
                </c:pt>
                <c:pt idx="54">
                  <c:v>142.38</c:v>
                </c:pt>
                <c:pt idx="55">
                  <c:v>144.47</c:v>
                </c:pt>
                <c:pt idx="56">
                  <c:v>146.56</c:v>
                </c:pt>
                <c:pt idx="57">
                  <c:v>150.74</c:v>
                </c:pt>
                <c:pt idx="58">
                  <c:v>154.92</c:v>
                </c:pt>
                <c:pt idx="59">
                  <c:v>159.09</c:v>
                </c:pt>
                <c:pt idx="60">
                  <c:v>163.27</c:v>
                </c:pt>
                <c:pt idx="61">
                  <c:v>167.45</c:v>
                </c:pt>
                <c:pt idx="62">
                  <c:v>171.63</c:v>
                </c:pt>
                <c:pt idx="63">
                  <c:v>175.81</c:v>
                </c:pt>
                <c:pt idx="64">
                  <c:v>179.99</c:v>
                </c:pt>
                <c:pt idx="65">
                  <c:v>184.17</c:v>
                </c:pt>
                <c:pt idx="66">
                  <c:v>188.35</c:v>
                </c:pt>
                <c:pt idx="67">
                  <c:v>192.53</c:v>
                </c:pt>
                <c:pt idx="68">
                  <c:v>196.71</c:v>
                </c:pt>
                <c:pt idx="69">
                  <c:v>200.89</c:v>
                </c:pt>
                <c:pt idx="70">
                  <c:v>205.07</c:v>
                </c:pt>
                <c:pt idx="71">
                  <c:v>209.26</c:v>
                </c:pt>
                <c:pt idx="72">
                  <c:v>213.44</c:v>
                </c:pt>
                <c:pt idx="73">
                  <c:v>217.62</c:v>
                </c:pt>
                <c:pt idx="74">
                  <c:v>221.8</c:v>
                </c:pt>
                <c:pt idx="75">
                  <c:v>225.98</c:v>
                </c:pt>
                <c:pt idx="76">
                  <c:v>230.17</c:v>
                </c:pt>
                <c:pt idx="77">
                  <c:v>234.35</c:v>
                </c:pt>
                <c:pt idx="78">
                  <c:v>238.54</c:v>
                </c:pt>
                <c:pt idx="79">
                  <c:v>242.72</c:v>
                </c:pt>
                <c:pt idx="80">
                  <c:v>246.91</c:v>
                </c:pt>
                <c:pt idx="81">
                  <c:v>251.09</c:v>
                </c:pt>
                <c:pt idx="82">
                  <c:v>255.28</c:v>
                </c:pt>
                <c:pt idx="83">
                  <c:v>259.46</c:v>
                </c:pt>
                <c:pt idx="84">
                  <c:v>263.65</c:v>
                </c:pt>
                <c:pt idx="85">
                  <c:v>267.84</c:v>
                </c:pt>
                <c:pt idx="86">
                  <c:v>272.02</c:v>
                </c:pt>
                <c:pt idx="87">
                  <c:v>276.21</c:v>
                </c:pt>
                <c:pt idx="88">
                  <c:v>280.4</c:v>
                </c:pt>
                <c:pt idx="89">
                  <c:v>284.59</c:v>
                </c:pt>
                <c:pt idx="90">
                  <c:v>288.78</c:v>
                </c:pt>
                <c:pt idx="91">
                  <c:v>292.97</c:v>
                </c:pt>
                <c:pt idx="92">
                  <c:v>297.16</c:v>
                </c:pt>
                <c:pt idx="93">
                  <c:v>301.36</c:v>
                </c:pt>
                <c:pt idx="94">
                  <c:v>305.55</c:v>
                </c:pt>
                <c:pt idx="95">
                  <c:v>309.74</c:v>
                </c:pt>
                <c:pt idx="96">
                  <c:v>313.94</c:v>
                </c:pt>
                <c:pt idx="97">
                  <c:v>318.13</c:v>
                </c:pt>
                <c:pt idx="98">
                  <c:v>322.33</c:v>
                </c:pt>
                <c:pt idx="99">
                  <c:v>326.52</c:v>
                </c:pt>
                <c:pt idx="100">
                  <c:v>330.72</c:v>
                </c:pt>
                <c:pt idx="101">
                  <c:v>334.92</c:v>
                </c:pt>
                <c:pt idx="102">
                  <c:v>339.11</c:v>
                </c:pt>
                <c:pt idx="103">
                  <c:v>343.31</c:v>
                </c:pt>
                <c:pt idx="104">
                  <c:v>347.51</c:v>
                </c:pt>
                <c:pt idx="105">
                  <c:v>351.71</c:v>
                </c:pt>
                <c:pt idx="106">
                  <c:v>355.92</c:v>
                </c:pt>
                <c:pt idx="107">
                  <c:v>360.12</c:v>
                </c:pt>
                <c:pt idx="108">
                  <c:v>364.32</c:v>
                </c:pt>
                <c:pt idx="109">
                  <c:v>368.53</c:v>
                </c:pt>
                <c:pt idx="110">
                  <c:v>372.73</c:v>
                </c:pt>
                <c:pt idx="111">
                  <c:v>376.94</c:v>
                </c:pt>
                <c:pt idx="112">
                  <c:v>381.15</c:v>
                </c:pt>
                <c:pt idx="113">
                  <c:v>385.36</c:v>
                </c:pt>
                <c:pt idx="114">
                  <c:v>389.57</c:v>
                </c:pt>
                <c:pt idx="115">
                  <c:v>393.78</c:v>
                </c:pt>
                <c:pt idx="116">
                  <c:v>397.99</c:v>
                </c:pt>
                <c:pt idx="117">
                  <c:v>402.2</c:v>
                </c:pt>
                <c:pt idx="118">
                  <c:v>406.42</c:v>
                </c:pt>
                <c:pt idx="119">
                  <c:v>410.63</c:v>
                </c:pt>
                <c:pt idx="120">
                  <c:v>414.85</c:v>
                </c:pt>
                <c:pt idx="121">
                  <c:v>419.06</c:v>
                </c:pt>
                <c:pt idx="122">
                  <c:v>423.28</c:v>
                </c:pt>
                <c:pt idx="123">
                  <c:v>427.5</c:v>
                </c:pt>
                <c:pt idx="124">
                  <c:v>431.73</c:v>
                </c:pt>
                <c:pt idx="125">
                  <c:v>435.95</c:v>
                </c:pt>
                <c:pt idx="126">
                  <c:v>440.17</c:v>
                </c:pt>
                <c:pt idx="127">
                  <c:v>444.4</c:v>
                </c:pt>
                <c:pt idx="128">
                  <c:v>448.63</c:v>
                </c:pt>
                <c:pt idx="129">
                  <c:v>452.85</c:v>
                </c:pt>
                <c:pt idx="130">
                  <c:v>457.08</c:v>
                </c:pt>
                <c:pt idx="131">
                  <c:v>461.32</c:v>
                </c:pt>
                <c:pt idx="132">
                  <c:v>465.55</c:v>
                </c:pt>
                <c:pt idx="133">
                  <c:v>469.78</c:v>
                </c:pt>
                <c:pt idx="134">
                  <c:v>474.02</c:v>
                </c:pt>
                <c:pt idx="135">
                  <c:v>478.26</c:v>
                </c:pt>
                <c:pt idx="136">
                  <c:v>482.5</c:v>
                </c:pt>
                <c:pt idx="137">
                  <c:v>486.74</c:v>
                </c:pt>
                <c:pt idx="138">
                  <c:v>490.98</c:v>
                </c:pt>
                <c:pt idx="139">
                  <c:v>495.22</c:v>
                </c:pt>
                <c:pt idx="140">
                  <c:v>499.47</c:v>
                </c:pt>
                <c:pt idx="141">
                  <c:v>503.7</c:v>
                </c:pt>
                <c:pt idx="142">
                  <c:v>508</c:v>
                </c:pt>
                <c:pt idx="143">
                  <c:v>512.2</c:v>
                </c:pt>
                <c:pt idx="144">
                  <c:v>516.5</c:v>
                </c:pt>
                <c:pt idx="145">
                  <c:v>520.7</c:v>
                </c:pt>
                <c:pt idx="146">
                  <c:v>525</c:v>
                </c:pt>
                <c:pt idx="147">
                  <c:v>529.2</c:v>
                </c:pt>
                <c:pt idx="148">
                  <c:v>533.5</c:v>
                </c:pt>
                <c:pt idx="149">
                  <c:v>537.8</c:v>
                </c:pt>
                <c:pt idx="150">
                  <c:v>542</c:v>
                </c:pt>
                <c:pt idx="151">
                  <c:v>546.3</c:v>
                </c:pt>
                <c:pt idx="152">
                  <c:v>550.6</c:v>
                </c:pt>
                <c:pt idx="153">
                  <c:v>554.8</c:v>
                </c:pt>
                <c:pt idx="154">
                  <c:v>559.1</c:v>
                </c:pt>
                <c:pt idx="155">
                  <c:v>563.4</c:v>
                </c:pt>
                <c:pt idx="156">
                  <c:v>567.7</c:v>
                </c:pt>
                <c:pt idx="157">
                  <c:v>572</c:v>
                </c:pt>
                <c:pt idx="158">
                  <c:v>576.2</c:v>
                </c:pt>
                <c:pt idx="159">
                  <c:v>580.5</c:v>
                </c:pt>
                <c:pt idx="160">
                  <c:v>584.8</c:v>
                </c:pt>
                <c:pt idx="161">
                  <c:v>589.1</c:v>
                </c:pt>
                <c:pt idx="162">
                  <c:v>593.4</c:v>
                </c:pt>
                <c:pt idx="163">
                  <c:v>597.7</c:v>
                </c:pt>
                <c:pt idx="164">
                  <c:v>602</c:v>
                </c:pt>
                <c:pt idx="165">
                  <c:v>606.3</c:v>
                </c:pt>
                <c:pt idx="166">
                  <c:v>610.6</c:v>
                </c:pt>
                <c:pt idx="167">
                  <c:v>614.9</c:v>
                </c:pt>
                <c:pt idx="168">
                  <c:v>619.2</c:v>
                </c:pt>
                <c:pt idx="169">
                  <c:v>623.5</c:v>
                </c:pt>
                <c:pt idx="170">
                  <c:v>627.8</c:v>
                </c:pt>
                <c:pt idx="171">
                  <c:v>632.2</c:v>
                </c:pt>
                <c:pt idx="172">
                  <c:v>636.5</c:v>
                </c:pt>
                <c:pt idx="173">
                  <c:v>640.8</c:v>
                </c:pt>
                <c:pt idx="174">
                  <c:v>645.1</c:v>
                </c:pt>
                <c:pt idx="175">
                  <c:v>649.5</c:v>
                </c:pt>
                <c:pt idx="176">
                  <c:v>653.8</c:v>
                </c:pt>
                <c:pt idx="177">
                  <c:v>658.1</c:v>
                </c:pt>
                <c:pt idx="178">
                  <c:v>662.4</c:v>
                </c:pt>
                <c:pt idx="179">
                  <c:v>666.8</c:v>
                </c:pt>
                <c:pt idx="180">
                  <c:v>671.1</c:v>
                </c:pt>
                <c:pt idx="181">
                  <c:v>675.5</c:v>
                </c:pt>
                <c:pt idx="182">
                  <c:v>679.8</c:v>
                </c:pt>
                <c:pt idx="183">
                  <c:v>684.2</c:v>
                </c:pt>
                <c:pt idx="184">
                  <c:v>688.5</c:v>
                </c:pt>
                <c:pt idx="185">
                  <c:v>692.9</c:v>
                </c:pt>
                <c:pt idx="186">
                  <c:v>697.3</c:v>
                </c:pt>
                <c:pt idx="187">
                  <c:v>701.6</c:v>
                </c:pt>
                <c:pt idx="188">
                  <c:v>706</c:v>
                </c:pt>
                <c:pt idx="189">
                  <c:v>710.4</c:v>
                </c:pt>
                <c:pt idx="190">
                  <c:v>714.7</c:v>
                </c:pt>
                <c:pt idx="191">
                  <c:v>719.1</c:v>
                </c:pt>
                <c:pt idx="192">
                  <c:v>723.5</c:v>
                </c:pt>
                <c:pt idx="193">
                  <c:v>727.9</c:v>
                </c:pt>
                <c:pt idx="194">
                  <c:v>732.3</c:v>
                </c:pt>
                <c:pt idx="195">
                  <c:v>736.7</c:v>
                </c:pt>
                <c:pt idx="196">
                  <c:v>741.1</c:v>
                </c:pt>
                <c:pt idx="197">
                  <c:v>745.5</c:v>
                </c:pt>
                <c:pt idx="198">
                  <c:v>749.9</c:v>
                </c:pt>
                <c:pt idx="199">
                  <c:v>754.3</c:v>
                </c:pt>
                <c:pt idx="200">
                  <c:v>758.7</c:v>
                </c:pt>
                <c:pt idx="201">
                  <c:v>763.1</c:v>
                </c:pt>
                <c:pt idx="202">
                  <c:v>767.5</c:v>
                </c:pt>
                <c:pt idx="203">
                  <c:v>772</c:v>
                </c:pt>
                <c:pt idx="204">
                  <c:v>776.4</c:v>
                </c:pt>
                <c:pt idx="205">
                  <c:v>780.8</c:v>
                </c:pt>
                <c:pt idx="206">
                  <c:v>785.3</c:v>
                </c:pt>
                <c:pt idx="207">
                  <c:v>789.7</c:v>
                </c:pt>
                <c:pt idx="208">
                  <c:v>794.2</c:v>
                </c:pt>
                <c:pt idx="209">
                  <c:v>798.6</c:v>
                </c:pt>
                <c:pt idx="210">
                  <c:v>803.1</c:v>
                </c:pt>
                <c:pt idx="211">
                  <c:v>807.5</c:v>
                </c:pt>
                <c:pt idx="212">
                  <c:v>812</c:v>
                </c:pt>
                <c:pt idx="213">
                  <c:v>816.5</c:v>
                </c:pt>
                <c:pt idx="214">
                  <c:v>820.9</c:v>
                </c:pt>
                <c:pt idx="215">
                  <c:v>825.4</c:v>
                </c:pt>
                <c:pt idx="216">
                  <c:v>829.9</c:v>
                </c:pt>
                <c:pt idx="217">
                  <c:v>834.4</c:v>
                </c:pt>
                <c:pt idx="218">
                  <c:v>838.9</c:v>
                </c:pt>
                <c:pt idx="219">
                  <c:v>843.4</c:v>
                </c:pt>
                <c:pt idx="220">
                  <c:v>847.9</c:v>
                </c:pt>
                <c:pt idx="221">
                  <c:v>852.4</c:v>
                </c:pt>
                <c:pt idx="222">
                  <c:v>856.9</c:v>
                </c:pt>
                <c:pt idx="223">
                  <c:v>861.4</c:v>
                </c:pt>
                <c:pt idx="224">
                  <c:v>865.9</c:v>
                </c:pt>
                <c:pt idx="225">
                  <c:v>870.5</c:v>
                </c:pt>
                <c:pt idx="226">
                  <c:v>875</c:v>
                </c:pt>
                <c:pt idx="227">
                  <c:v>879.5</c:v>
                </c:pt>
                <c:pt idx="228">
                  <c:v>884.1</c:v>
                </c:pt>
                <c:pt idx="229">
                  <c:v>888.6</c:v>
                </c:pt>
                <c:pt idx="230">
                  <c:v>893.2</c:v>
                </c:pt>
                <c:pt idx="231">
                  <c:v>897.8</c:v>
                </c:pt>
                <c:pt idx="232">
                  <c:v>902.3</c:v>
                </c:pt>
                <c:pt idx="233">
                  <c:v>906.9</c:v>
                </c:pt>
                <c:pt idx="234">
                  <c:v>911.5</c:v>
                </c:pt>
                <c:pt idx="235">
                  <c:v>916</c:v>
                </c:pt>
                <c:pt idx="236">
                  <c:v>920.6</c:v>
                </c:pt>
                <c:pt idx="237">
                  <c:v>925.2</c:v>
                </c:pt>
                <c:pt idx="238">
                  <c:v>929.8</c:v>
                </c:pt>
                <c:pt idx="239">
                  <c:v>934.5</c:v>
                </c:pt>
                <c:pt idx="240">
                  <c:v>939.1</c:v>
                </c:pt>
                <c:pt idx="241">
                  <c:v>943.7</c:v>
                </c:pt>
                <c:pt idx="242">
                  <c:v>948.3</c:v>
                </c:pt>
                <c:pt idx="243">
                  <c:v>953</c:v>
                </c:pt>
                <c:pt idx="244">
                  <c:v>957.6</c:v>
                </c:pt>
                <c:pt idx="245">
                  <c:v>962.2</c:v>
                </c:pt>
                <c:pt idx="246">
                  <c:v>966.9</c:v>
                </c:pt>
                <c:pt idx="247">
                  <c:v>971.6</c:v>
                </c:pt>
                <c:pt idx="248">
                  <c:v>976.2</c:v>
                </c:pt>
                <c:pt idx="249">
                  <c:v>980.9</c:v>
                </c:pt>
                <c:pt idx="250">
                  <c:v>985.6</c:v>
                </c:pt>
                <c:pt idx="251">
                  <c:v>990.3</c:v>
                </c:pt>
                <c:pt idx="252">
                  <c:v>995</c:v>
                </c:pt>
                <c:pt idx="253">
                  <c:v>999.7</c:v>
                </c:pt>
                <c:pt idx="254">
                  <c:v>1004.4</c:v>
                </c:pt>
                <c:pt idx="255">
                  <c:v>1009.1</c:v>
                </c:pt>
                <c:pt idx="256">
                  <c:v>1013.9</c:v>
                </c:pt>
                <c:pt idx="257">
                  <c:v>1018.6</c:v>
                </c:pt>
                <c:pt idx="258">
                  <c:v>1023.4</c:v>
                </c:pt>
                <c:pt idx="259">
                  <c:v>1028.1</c:v>
                </c:pt>
                <c:pt idx="260">
                  <c:v>1032.9</c:v>
                </c:pt>
                <c:pt idx="261">
                  <c:v>1037.6</c:v>
                </c:pt>
                <c:pt idx="262">
                  <c:v>1042.4</c:v>
                </c:pt>
                <c:pt idx="263">
                  <c:v>1047.2</c:v>
                </c:pt>
                <c:pt idx="264">
                  <c:v>1052</c:v>
                </c:pt>
                <c:pt idx="265">
                  <c:v>1056.8</c:v>
                </c:pt>
                <c:pt idx="266">
                  <c:v>1061.6</c:v>
                </c:pt>
                <c:pt idx="267">
                  <c:v>1066.5</c:v>
                </c:pt>
                <c:pt idx="268">
                  <c:v>1071.3</c:v>
                </c:pt>
                <c:pt idx="269">
                  <c:v>1076.1</c:v>
                </c:pt>
                <c:pt idx="270">
                  <c:v>1081</c:v>
                </c:pt>
                <c:pt idx="271">
                  <c:v>1085.8</c:v>
                </c:pt>
                <c:pt idx="272">
                  <c:v>1090.7</c:v>
                </c:pt>
                <c:pt idx="273">
                  <c:v>1095.6</c:v>
                </c:pt>
                <c:pt idx="274">
                  <c:v>1100.5</c:v>
                </c:pt>
                <c:pt idx="275">
                  <c:v>1105.4</c:v>
                </c:pt>
                <c:pt idx="276">
                  <c:v>1110.3</c:v>
                </c:pt>
                <c:pt idx="277">
                  <c:v>1115.2</c:v>
                </c:pt>
                <c:pt idx="278">
                  <c:v>1120.2</c:v>
                </c:pt>
                <c:pt idx="279">
                  <c:v>1125.1</c:v>
                </c:pt>
                <c:pt idx="280">
                  <c:v>1130.1</c:v>
                </c:pt>
                <c:pt idx="281">
                  <c:v>1135</c:v>
                </c:pt>
                <c:pt idx="282">
                  <c:v>1140</c:v>
                </c:pt>
                <c:pt idx="283">
                  <c:v>1145</c:v>
                </c:pt>
                <c:pt idx="284">
                  <c:v>1150</c:v>
                </c:pt>
                <c:pt idx="285">
                  <c:v>1155</c:v>
                </c:pt>
                <c:pt idx="286">
                  <c:v>1160</c:v>
                </c:pt>
                <c:pt idx="287">
                  <c:v>1165.1</c:v>
                </c:pt>
                <c:pt idx="288">
                  <c:v>1170.1</c:v>
                </c:pt>
                <c:pt idx="289">
                  <c:v>1175.2</c:v>
                </c:pt>
                <c:pt idx="290">
                  <c:v>1180.3</c:v>
                </c:pt>
                <c:pt idx="291">
                  <c:v>1185.4</c:v>
                </c:pt>
                <c:pt idx="292">
                  <c:v>1190.5</c:v>
                </c:pt>
                <c:pt idx="293">
                  <c:v>1195.6</c:v>
                </c:pt>
                <c:pt idx="294">
                  <c:v>1200.7</c:v>
                </c:pt>
                <c:pt idx="295">
                  <c:v>1205.9</c:v>
                </c:pt>
                <c:pt idx="296">
                  <c:v>1211</c:v>
                </c:pt>
                <c:pt idx="297">
                  <c:v>1216.2</c:v>
                </c:pt>
                <c:pt idx="298">
                  <c:v>1221.4</c:v>
                </c:pt>
                <c:pt idx="299">
                  <c:v>1226.6</c:v>
                </c:pt>
                <c:pt idx="300">
                  <c:v>1231.8</c:v>
                </c:pt>
                <c:pt idx="301">
                  <c:v>1237</c:v>
                </c:pt>
                <c:pt idx="302">
                  <c:v>1242.3</c:v>
                </c:pt>
                <c:pt idx="303">
                  <c:v>1247.6</c:v>
                </c:pt>
                <c:pt idx="304">
                  <c:v>1252.8</c:v>
                </c:pt>
                <c:pt idx="305">
                  <c:v>1258.1</c:v>
                </c:pt>
                <c:pt idx="306">
                  <c:v>1263.4</c:v>
                </c:pt>
                <c:pt idx="307">
                  <c:v>1268.8</c:v>
                </c:pt>
                <c:pt idx="308">
                  <c:v>1274.1</c:v>
                </c:pt>
                <c:pt idx="309">
                  <c:v>1279.5</c:v>
                </c:pt>
                <c:pt idx="310">
                  <c:v>1284.9</c:v>
                </c:pt>
                <c:pt idx="311">
                  <c:v>1290.3</c:v>
                </c:pt>
                <c:pt idx="312">
                  <c:v>1295.7</c:v>
                </c:pt>
                <c:pt idx="313">
                  <c:v>1301.2</c:v>
                </c:pt>
                <c:pt idx="314">
                  <c:v>1306.6</c:v>
                </c:pt>
                <c:pt idx="315">
                  <c:v>1312.1</c:v>
                </c:pt>
                <c:pt idx="316">
                  <c:v>1317.6</c:v>
                </c:pt>
                <c:pt idx="317">
                  <c:v>1323.1</c:v>
                </c:pt>
                <c:pt idx="318">
                  <c:v>1328.7</c:v>
                </c:pt>
                <c:pt idx="319">
                  <c:v>1334.2</c:v>
                </c:pt>
                <c:pt idx="320">
                  <c:v>1339.8</c:v>
                </c:pt>
                <c:pt idx="321">
                  <c:v>1345.4</c:v>
                </c:pt>
                <c:pt idx="322">
                  <c:v>1351.1</c:v>
                </c:pt>
                <c:pt idx="323">
                  <c:v>1356.7</c:v>
                </c:pt>
                <c:pt idx="324">
                  <c:v>1362.4</c:v>
                </c:pt>
                <c:pt idx="325">
                  <c:v>1368.1</c:v>
                </c:pt>
                <c:pt idx="326">
                  <c:v>1373.9</c:v>
                </c:pt>
                <c:pt idx="327">
                  <c:v>1379.6</c:v>
                </c:pt>
                <c:pt idx="328">
                  <c:v>1385.4</c:v>
                </c:pt>
                <c:pt idx="329">
                  <c:v>1391.2</c:v>
                </c:pt>
                <c:pt idx="330">
                  <c:v>1397.1</c:v>
                </c:pt>
                <c:pt idx="331">
                  <c:v>1402.9</c:v>
                </c:pt>
                <c:pt idx="332">
                  <c:v>1408.8</c:v>
                </c:pt>
                <c:pt idx="333">
                  <c:v>1414.8</c:v>
                </c:pt>
                <c:pt idx="334">
                  <c:v>1420.7</c:v>
                </c:pt>
                <c:pt idx="335">
                  <c:v>1426.7</c:v>
                </c:pt>
                <c:pt idx="336">
                  <c:v>1432.7</c:v>
                </c:pt>
                <c:pt idx="337">
                  <c:v>1438.8</c:v>
                </c:pt>
                <c:pt idx="338">
                  <c:v>1444.9</c:v>
                </c:pt>
                <c:pt idx="339">
                  <c:v>1451</c:v>
                </c:pt>
                <c:pt idx="340">
                  <c:v>1457.2</c:v>
                </c:pt>
                <c:pt idx="341">
                  <c:v>1463.4</c:v>
                </c:pt>
                <c:pt idx="342">
                  <c:v>1469.6</c:v>
                </c:pt>
                <c:pt idx="343">
                  <c:v>1475.9</c:v>
                </c:pt>
                <c:pt idx="344">
                  <c:v>1482.2</c:v>
                </c:pt>
                <c:pt idx="345">
                  <c:v>1488.5</c:v>
                </c:pt>
                <c:pt idx="346">
                  <c:v>1494.9</c:v>
                </c:pt>
                <c:pt idx="347">
                  <c:v>1501.3</c:v>
                </c:pt>
                <c:pt idx="348">
                  <c:v>1507.8</c:v>
                </c:pt>
                <c:pt idx="349">
                  <c:v>1514.3</c:v>
                </c:pt>
                <c:pt idx="350">
                  <c:v>1520.9</c:v>
                </c:pt>
                <c:pt idx="351">
                  <c:v>1527.5</c:v>
                </c:pt>
                <c:pt idx="352">
                  <c:v>1534.2</c:v>
                </c:pt>
                <c:pt idx="353">
                  <c:v>1540.9</c:v>
                </c:pt>
                <c:pt idx="354">
                  <c:v>1547.7</c:v>
                </c:pt>
                <c:pt idx="355">
                  <c:v>1554.6</c:v>
                </c:pt>
                <c:pt idx="356">
                  <c:v>1561.4</c:v>
                </c:pt>
                <c:pt idx="357">
                  <c:v>1568.4</c:v>
                </c:pt>
                <c:pt idx="358">
                  <c:v>1575.4</c:v>
                </c:pt>
                <c:pt idx="359">
                  <c:v>1582.5</c:v>
                </c:pt>
                <c:pt idx="360">
                  <c:v>1589.6</c:v>
                </c:pt>
                <c:pt idx="361">
                  <c:v>1596.8</c:v>
                </c:pt>
                <c:pt idx="362">
                  <c:v>1604</c:v>
                </c:pt>
                <c:pt idx="363">
                  <c:v>1611.3</c:v>
                </c:pt>
                <c:pt idx="364">
                  <c:v>1618.7</c:v>
                </c:pt>
                <c:pt idx="365">
                  <c:v>1626.1</c:v>
                </c:pt>
                <c:pt idx="366">
                  <c:v>1633.7</c:v>
                </c:pt>
                <c:pt idx="367">
                  <c:v>1641.3</c:v>
                </c:pt>
                <c:pt idx="368">
                  <c:v>1649</c:v>
                </c:pt>
                <c:pt idx="369">
                  <c:v>1656.9</c:v>
                </c:pt>
                <c:pt idx="370">
                  <c:v>1664.8</c:v>
                </c:pt>
                <c:pt idx="371">
                  <c:v>1672.9</c:v>
                </c:pt>
                <c:pt idx="372">
                  <c:v>1681.1</c:v>
                </c:pt>
                <c:pt idx="373">
                  <c:v>1689.5</c:v>
                </c:pt>
                <c:pt idx="374">
                  <c:v>1698</c:v>
                </c:pt>
                <c:pt idx="375">
                  <c:v>1706.7</c:v>
                </c:pt>
                <c:pt idx="376">
                  <c:v>1715.5</c:v>
                </c:pt>
                <c:pt idx="377">
                  <c:v>1724.5</c:v>
                </c:pt>
                <c:pt idx="378">
                  <c:v>1733.8</c:v>
                </c:pt>
                <c:pt idx="379">
                  <c:v>1743.3</c:v>
                </c:pt>
                <c:pt idx="380">
                  <c:v>1753</c:v>
                </c:pt>
                <c:pt idx="381">
                  <c:v>1763.1</c:v>
                </c:pt>
                <c:pt idx="382">
                  <c:v>1773.5</c:v>
                </c:pt>
                <c:pt idx="383">
                  <c:v>1784.3</c:v>
                </c:pt>
                <c:pt idx="384">
                  <c:v>1795.5</c:v>
                </c:pt>
                <c:pt idx="385">
                  <c:v>1807.2</c:v>
                </c:pt>
                <c:pt idx="386">
                  <c:v>1819.5</c:v>
                </c:pt>
                <c:pt idx="387">
                  <c:v>1832.6</c:v>
                </c:pt>
                <c:pt idx="388">
                  <c:v>1846.6</c:v>
                </c:pt>
                <c:pt idx="389">
                  <c:v>1861.6</c:v>
                </c:pt>
                <c:pt idx="390">
                  <c:v>1878.1</c:v>
                </c:pt>
                <c:pt idx="391">
                  <c:v>1896.2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84800"/>
        <c:axId val="178290688"/>
      </c:scatterChart>
      <c:valAx>
        <c:axId val="178284800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290688"/>
        <c:crosses val="autoZero"/>
        <c:crossBetween val="midCat"/>
      </c:valAx>
      <c:valAx>
        <c:axId val="1782906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28480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f146a3-25e6-441b-ab26-217e7b768b2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Пр3!$G$1</c:f>
              <c:strCache>
                <c:ptCount val="1"/>
                <c:pt idx="0">
                  <c:v>Уд. энтальпия насыщенного пара h", кДж/кг</c:v>
                </c:pt>
              </c:strCache>
            </c:strRef>
          </c:tx>
          <c:dLbls>
            <c:delete val="1"/>
          </c:dLbls>
          <c:xVal>
            <c:numRef>
              <c:f>Пр3!$A$2:$A$393</c:f>
              <c:numCache>
                <c:formatCode>0.0</c:formatCode>
                <c:ptCount val="392"/>
                <c:pt idx="0">
                  <c:v>0</c:v>
                </c:pt>
                <c:pt idx="1" c:formatCode="0.00">
                  <c:v>0.01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  <c:pt idx="25">
                  <c:v>19.5</c:v>
                </c:pt>
                <c:pt idx="26">
                  <c:v>20</c:v>
                </c:pt>
                <c:pt idx="27">
                  <c:v>20.5</c:v>
                </c:pt>
                <c:pt idx="28">
                  <c:v>21</c:v>
                </c:pt>
                <c:pt idx="29">
                  <c:v>21.5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  <c:pt idx="33">
                  <c:v>23.5</c:v>
                </c:pt>
                <c:pt idx="34">
                  <c:v>24</c:v>
                </c:pt>
                <c:pt idx="35">
                  <c:v>24.5</c:v>
                </c:pt>
                <c:pt idx="36">
                  <c:v>25</c:v>
                </c:pt>
                <c:pt idx="37">
                  <c:v>25.5</c:v>
                </c:pt>
                <c:pt idx="38">
                  <c:v>26</c:v>
                </c:pt>
                <c:pt idx="39">
                  <c:v>26.5</c:v>
                </c:pt>
                <c:pt idx="40">
                  <c:v>27</c:v>
                </c:pt>
                <c:pt idx="41">
                  <c:v>27.5</c:v>
                </c:pt>
                <c:pt idx="42">
                  <c:v>28</c:v>
                </c:pt>
                <c:pt idx="43">
                  <c:v>28.5</c:v>
                </c:pt>
                <c:pt idx="44">
                  <c:v>29</c:v>
                </c:pt>
                <c:pt idx="45">
                  <c:v>29.5</c:v>
                </c:pt>
                <c:pt idx="46">
                  <c:v>30</c:v>
                </c:pt>
                <c:pt idx="47">
                  <c:v>30.5</c:v>
                </c:pt>
                <c:pt idx="48">
                  <c:v>31</c:v>
                </c:pt>
                <c:pt idx="49">
                  <c:v>31.5</c:v>
                </c:pt>
                <c:pt idx="50">
                  <c:v>32</c:v>
                </c:pt>
                <c:pt idx="51">
                  <c:v>32.5</c:v>
                </c:pt>
                <c:pt idx="52">
                  <c:v>33</c:v>
                </c:pt>
                <c:pt idx="53">
                  <c:v>33.5</c:v>
                </c:pt>
                <c:pt idx="54">
                  <c:v>34</c:v>
                </c:pt>
                <c:pt idx="55">
                  <c:v>34.5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 c:formatCode="0">
                  <c:v>100</c:v>
                </c:pt>
                <c:pt idx="122" c:formatCode="0">
                  <c:v>101</c:v>
                </c:pt>
                <c:pt idx="123" c:formatCode="0">
                  <c:v>102</c:v>
                </c:pt>
                <c:pt idx="124" c:formatCode="0">
                  <c:v>103</c:v>
                </c:pt>
                <c:pt idx="125" c:formatCode="0">
                  <c:v>104</c:v>
                </c:pt>
                <c:pt idx="126" c:formatCode="0">
                  <c:v>105</c:v>
                </c:pt>
                <c:pt idx="127" c:formatCode="0">
                  <c:v>106</c:v>
                </c:pt>
                <c:pt idx="128" c:formatCode="0">
                  <c:v>107</c:v>
                </c:pt>
                <c:pt idx="129" c:formatCode="0">
                  <c:v>108</c:v>
                </c:pt>
                <c:pt idx="130" c:formatCode="0">
                  <c:v>109</c:v>
                </c:pt>
                <c:pt idx="131" c:formatCode="0">
                  <c:v>110</c:v>
                </c:pt>
                <c:pt idx="132" c:formatCode="0">
                  <c:v>111</c:v>
                </c:pt>
                <c:pt idx="133" c:formatCode="0">
                  <c:v>112</c:v>
                </c:pt>
                <c:pt idx="134" c:formatCode="0">
                  <c:v>113</c:v>
                </c:pt>
                <c:pt idx="135" c:formatCode="0">
                  <c:v>114</c:v>
                </c:pt>
                <c:pt idx="136" c:formatCode="0">
                  <c:v>115</c:v>
                </c:pt>
                <c:pt idx="137" c:formatCode="0">
                  <c:v>116</c:v>
                </c:pt>
                <c:pt idx="138" c:formatCode="0">
                  <c:v>117</c:v>
                </c:pt>
                <c:pt idx="139" c:formatCode="0">
                  <c:v>118</c:v>
                </c:pt>
                <c:pt idx="140" c:formatCode="0">
                  <c:v>119</c:v>
                </c:pt>
                <c:pt idx="141" c:formatCode="0">
                  <c:v>120</c:v>
                </c:pt>
                <c:pt idx="142" c:formatCode="0">
                  <c:v>121</c:v>
                </c:pt>
                <c:pt idx="143" c:formatCode="0">
                  <c:v>122</c:v>
                </c:pt>
                <c:pt idx="144" c:formatCode="0">
                  <c:v>123</c:v>
                </c:pt>
                <c:pt idx="145" c:formatCode="0">
                  <c:v>124</c:v>
                </c:pt>
                <c:pt idx="146" c:formatCode="0">
                  <c:v>125</c:v>
                </c:pt>
                <c:pt idx="147" c:formatCode="0">
                  <c:v>126</c:v>
                </c:pt>
                <c:pt idx="148" c:formatCode="0">
                  <c:v>127</c:v>
                </c:pt>
                <c:pt idx="149" c:formatCode="0">
                  <c:v>128</c:v>
                </c:pt>
                <c:pt idx="150" c:formatCode="0">
                  <c:v>129</c:v>
                </c:pt>
                <c:pt idx="151" c:formatCode="0">
                  <c:v>130</c:v>
                </c:pt>
                <c:pt idx="152" c:formatCode="0">
                  <c:v>131</c:v>
                </c:pt>
                <c:pt idx="153" c:formatCode="0">
                  <c:v>132</c:v>
                </c:pt>
                <c:pt idx="154" c:formatCode="0">
                  <c:v>133</c:v>
                </c:pt>
                <c:pt idx="155" c:formatCode="0">
                  <c:v>134</c:v>
                </c:pt>
                <c:pt idx="156" c:formatCode="0">
                  <c:v>135</c:v>
                </c:pt>
                <c:pt idx="157" c:formatCode="0">
                  <c:v>136</c:v>
                </c:pt>
                <c:pt idx="158" c:formatCode="0">
                  <c:v>137</c:v>
                </c:pt>
                <c:pt idx="159" c:formatCode="0">
                  <c:v>138</c:v>
                </c:pt>
                <c:pt idx="160" c:formatCode="0">
                  <c:v>139</c:v>
                </c:pt>
                <c:pt idx="161" c:formatCode="0">
                  <c:v>140</c:v>
                </c:pt>
                <c:pt idx="162" c:formatCode="0">
                  <c:v>141</c:v>
                </c:pt>
                <c:pt idx="163" c:formatCode="0">
                  <c:v>142</c:v>
                </c:pt>
                <c:pt idx="164" c:formatCode="0">
                  <c:v>143</c:v>
                </c:pt>
                <c:pt idx="165" c:formatCode="0">
                  <c:v>144</c:v>
                </c:pt>
                <c:pt idx="166" c:formatCode="0">
                  <c:v>145</c:v>
                </c:pt>
                <c:pt idx="167" c:formatCode="0">
                  <c:v>146</c:v>
                </c:pt>
                <c:pt idx="168" c:formatCode="0">
                  <c:v>147</c:v>
                </c:pt>
                <c:pt idx="169" c:formatCode="0">
                  <c:v>148</c:v>
                </c:pt>
                <c:pt idx="170" c:formatCode="0">
                  <c:v>149</c:v>
                </c:pt>
                <c:pt idx="171" c:formatCode="0">
                  <c:v>150</c:v>
                </c:pt>
                <c:pt idx="172" c:formatCode="0">
                  <c:v>151</c:v>
                </c:pt>
                <c:pt idx="173" c:formatCode="0">
                  <c:v>152</c:v>
                </c:pt>
                <c:pt idx="174" c:formatCode="0">
                  <c:v>153</c:v>
                </c:pt>
                <c:pt idx="175" c:formatCode="0">
                  <c:v>154</c:v>
                </c:pt>
                <c:pt idx="176" c:formatCode="0">
                  <c:v>155</c:v>
                </c:pt>
                <c:pt idx="177" c:formatCode="0">
                  <c:v>156</c:v>
                </c:pt>
                <c:pt idx="178" c:formatCode="0">
                  <c:v>157</c:v>
                </c:pt>
                <c:pt idx="179" c:formatCode="0">
                  <c:v>158</c:v>
                </c:pt>
                <c:pt idx="180" c:formatCode="0">
                  <c:v>159</c:v>
                </c:pt>
                <c:pt idx="181" c:formatCode="0">
                  <c:v>160</c:v>
                </c:pt>
                <c:pt idx="182" c:formatCode="0">
                  <c:v>161</c:v>
                </c:pt>
                <c:pt idx="183" c:formatCode="0">
                  <c:v>162</c:v>
                </c:pt>
                <c:pt idx="184" c:formatCode="0">
                  <c:v>163</c:v>
                </c:pt>
                <c:pt idx="185" c:formatCode="0">
                  <c:v>164</c:v>
                </c:pt>
                <c:pt idx="186" c:formatCode="0">
                  <c:v>165</c:v>
                </c:pt>
                <c:pt idx="187" c:formatCode="0">
                  <c:v>166</c:v>
                </c:pt>
                <c:pt idx="188" c:formatCode="0">
                  <c:v>167</c:v>
                </c:pt>
                <c:pt idx="189" c:formatCode="0">
                  <c:v>168</c:v>
                </c:pt>
                <c:pt idx="190" c:formatCode="0">
                  <c:v>169</c:v>
                </c:pt>
                <c:pt idx="191" c:formatCode="0">
                  <c:v>170</c:v>
                </c:pt>
                <c:pt idx="192" c:formatCode="0">
                  <c:v>171</c:v>
                </c:pt>
                <c:pt idx="193" c:formatCode="0">
                  <c:v>172</c:v>
                </c:pt>
                <c:pt idx="194" c:formatCode="0">
                  <c:v>173</c:v>
                </c:pt>
                <c:pt idx="195" c:formatCode="0">
                  <c:v>174</c:v>
                </c:pt>
                <c:pt idx="196" c:formatCode="0">
                  <c:v>175</c:v>
                </c:pt>
                <c:pt idx="197" c:formatCode="0">
                  <c:v>176</c:v>
                </c:pt>
                <c:pt idx="198" c:formatCode="0">
                  <c:v>177</c:v>
                </c:pt>
                <c:pt idx="199" c:formatCode="0">
                  <c:v>178</c:v>
                </c:pt>
                <c:pt idx="200" c:formatCode="0">
                  <c:v>179</c:v>
                </c:pt>
                <c:pt idx="201" c:formatCode="0">
                  <c:v>180</c:v>
                </c:pt>
                <c:pt idx="202" c:formatCode="0">
                  <c:v>181</c:v>
                </c:pt>
                <c:pt idx="203" c:formatCode="0">
                  <c:v>182</c:v>
                </c:pt>
                <c:pt idx="204" c:formatCode="0">
                  <c:v>183</c:v>
                </c:pt>
                <c:pt idx="205" c:formatCode="0">
                  <c:v>184</c:v>
                </c:pt>
                <c:pt idx="206" c:formatCode="0">
                  <c:v>185</c:v>
                </c:pt>
                <c:pt idx="207" c:formatCode="0">
                  <c:v>186</c:v>
                </c:pt>
                <c:pt idx="208" c:formatCode="0">
                  <c:v>187</c:v>
                </c:pt>
                <c:pt idx="209" c:formatCode="0">
                  <c:v>188</c:v>
                </c:pt>
                <c:pt idx="210" c:formatCode="0">
                  <c:v>189</c:v>
                </c:pt>
                <c:pt idx="211" c:formatCode="0">
                  <c:v>190</c:v>
                </c:pt>
                <c:pt idx="212" c:formatCode="0">
                  <c:v>191</c:v>
                </c:pt>
                <c:pt idx="213" c:formatCode="0">
                  <c:v>192</c:v>
                </c:pt>
                <c:pt idx="214" c:formatCode="0">
                  <c:v>193</c:v>
                </c:pt>
                <c:pt idx="215" c:formatCode="0">
                  <c:v>194</c:v>
                </c:pt>
                <c:pt idx="216" c:formatCode="0">
                  <c:v>195</c:v>
                </c:pt>
                <c:pt idx="217" c:formatCode="0">
                  <c:v>196</c:v>
                </c:pt>
                <c:pt idx="218" c:formatCode="0">
                  <c:v>197</c:v>
                </c:pt>
                <c:pt idx="219" c:formatCode="0">
                  <c:v>198</c:v>
                </c:pt>
                <c:pt idx="220" c:formatCode="0">
                  <c:v>199</c:v>
                </c:pt>
                <c:pt idx="221" c:formatCode="0">
                  <c:v>200</c:v>
                </c:pt>
                <c:pt idx="222" c:formatCode="0">
                  <c:v>201</c:v>
                </c:pt>
                <c:pt idx="223" c:formatCode="0">
                  <c:v>202</c:v>
                </c:pt>
                <c:pt idx="224" c:formatCode="0">
                  <c:v>203</c:v>
                </c:pt>
                <c:pt idx="225" c:formatCode="0">
                  <c:v>204</c:v>
                </c:pt>
                <c:pt idx="226" c:formatCode="0">
                  <c:v>205</c:v>
                </c:pt>
                <c:pt idx="227" c:formatCode="0">
                  <c:v>206</c:v>
                </c:pt>
                <c:pt idx="228" c:formatCode="0">
                  <c:v>207</c:v>
                </c:pt>
                <c:pt idx="229" c:formatCode="0">
                  <c:v>208</c:v>
                </c:pt>
                <c:pt idx="230" c:formatCode="0">
                  <c:v>209</c:v>
                </c:pt>
                <c:pt idx="231" c:formatCode="0">
                  <c:v>210</c:v>
                </c:pt>
                <c:pt idx="232" c:formatCode="0">
                  <c:v>211</c:v>
                </c:pt>
                <c:pt idx="233" c:formatCode="0">
                  <c:v>212</c:v>
                </c:pt>
                <c:pt idx="234" c:formatCode="0">
                  <c:v>213</c:v>
                </c:pt>
                <c:pt idx="235" c:formatCode="0">
                  <c:v>214</c:v>
                </c:pt>
                <c:pt idx="236" c:formatCode="0">
                  <c:v>215</c:v>
                </c:pt>
                <c:pt idx="237" c:formatCode="0">
                  <c:v>216</c:v>
                </c:pt>
                <c:pt idx="238" c:formatCode="0">
                  <c:v>217</c:v>
                </c:pt>
                <c:pt idx="239" c:formatCode="0">
                  <c:v>218</c:v>
                </c:pt>
                <c:pt idx="240" c:formatCode="0">
                  <c:v>219</c:v>
                </c:pt>
                <c:pt idx="241" c:formatCode="0">
                  <c:v>220</c:v>
                </c:pt>
                <c:pt idx="242" c:formatCode="0">
                  <c:v>221</c:v>
                </c:pt>
                <c:pt idx="243" c:formatCode="0">
                  <c:v>222</c:v>
                </c:pt>
                <c:pt idx="244" c:formatCode="0">
                  <c:v>223</c:v>
                </c:pt>
                <c:pt idx="245" c:formatCode="0">
                  <c:v>224</c:v>
                </c:pt>
                <c:pt idx="246" c:formatCode="0">
                  <c:v>225</c:v>
                </c:pt>
                <c:pt idx="247" c:formatCode="0">
                  <c:v>226</c:v>
                </c:pt>
                <c:pt idx="248" c:formatCode="0">
                  <c:v>227</c:v>
                </c:pt>
                <c:pt idx="249" c:formatCode="0">
                  <c:v>228</c:v>
                </c:pt>
                <c:pt idx="250" c:formatCode="0">
                  <c:v>229</c:v>
                </c:pt>
                <c:pt idx="251" c:formatCode="0">
                  <c:v>230</c:v>
                </c:pt>
                <c:pt idx="252" c:formatCode="0">
                  <c:v>231</c:v>
                </c:pt>
                <c:pt idx="253" c:formatCode="0">
                  <c:v>232</c:v>
                </c:pt>
                <c:pt idx="254" c:formatCode="0">
                  <c:v>233</c:v>
                </c:pt>
                <c:pt idx="255" c:formatCode="0">
                  <c:v>234</c:v>
                </c:pt>
                <c:pt idx="256" c:formatCode="0">
                  <c:v>235</c:v>
                </c:pt>
                <c:pt idx="257" c:formatCode="0">
                  <c:v>236</c:v>
                </c:pt>
                <c:pt idx="258" c:formatCode="0">
                  <c:v>237</c:v>
                </c:pt>
                <c:pt idx="259" c:formatCode="0">
                  <c:v>238</c:v>
                </c:pt>
                <c:pt idx="260" c:formatCode="0">
                  <c:v>239</c:v>
                </c:pt>
                <c:pt idx="261" c:formatCode="0">
                  <c:v>240</c:v>
                </c:pt>
                <c:pt idx="262" c:formatCode="0">
                  <c:v>241</c:v>
                </c:pt>
                <c:pt idx="263" c:formatCode="0">
                  <c:v>242</c:v>
                </c:pt>
                <c:pt idx="264" c:formatCode="0">
                  <c:v>243</c:v>
                </c:pt>
                <c:pt idx="265" c:formatCode="0">
                  <c:v>244</c:v>
                </c:pt>
                <c:pt idx="266" c:formatCode="0">
                  <c:v>245</c:v>
                </c:pt>
                <c:pt idx="267" c:formatCode="0">
                  <c:v>246</c:v>
                </c:pt>
                <c:pt idx="268" c:formatCode="0">
                  <c:v>247</c:v>
                </c:pt>
                <c:pt idx="269" c:formatCode="0">
                  <c:v>248</c:v>
                </c:pt>
                <c:pt idx="270" c:formatCode="0">
                  <c:v>249</c:v>
                </c:pt>
                <c:pt idx="271" c:formatCode="0">
                  <c:v>250</c:v>
                </c:pt>
                <c:pt idx="272" c:formatCode="0">
                  <c:v>251</c:v>
                </c:pt>
                <c:pt idx="273" c:formatCode="0">
                  <c:v>252</c:v>
                </c:pt>
                <c:pt idx="274" c:formatCode="0">
                  <c:v>253</c:v>
                </c:pt>
                <c:pt idx="275" c:formatCode="0">
                  <c:v>254</c:v>
                </c:pt>
                <c:pt idx="276" c:formatCode="0">
                  <c:v>255</c:v>
                </c:pt>
                <c:pt idx="277" c:formatCode="0">
                  <c:v>256</c:v>
                </c:pt>
                <c:pt idx="278" c:formatCode="0">
                  <c:v>257</c:v>
                </c:pt>
                <c:pt idx="279" c:formatCode="0">
                  <c:v>258</c:v>
                </c:pt>
                <c:pt idx="280" c:formatCode="0">
                  <c:v>259</c:v>
                </c:pt>
                <c:pt idx="281" c:formatCode="0">
                  <c:v>260</c:v>
                </c:pt>
                <c:pt idx="282" c:formatCode="0">
                  <c:v>261</c:v>
                </c:pt>
                <c:pt idx="283" c:formatCode="0">
                  <c:v>262</c:v>
                </c:pt>
                <c:pt idx="284" c:formatCode="0">
                  <c:v>263</c:v>
                </c:pt>
                <c:pt idx="285" c:formatCode="0">
                  <c:v>264</c:v>
                </c:pt>
                <c:pt idx="286" c:formatCode="0">
                  <c:v>265</c:v>
                </c:pt>
                <c:pt idx="287" c:formatCode="0">
                  <c:v>266</c:v>
                </c:pt>
                <c:pt idx="288" c:formatCode="0">
                  <c:v>267</c:v>
                </c:pt>
                <c:pt idx="289" c:formatCode="0">
                  <c:v>268</c:v>
                </c:pt>
                <c:pt idx="290" c:formatCode="0">
                  <c:v>269</c:v>
                </c:pt>
                <c:pt idx="291" c:formatCode="0">
                  <c:v>270</c:v>
                </c:pt>
                <c:pt idx="292" c:formatCode="0">
                  <c:v>271</c:v>
                </c:pt>
                <c:pt idx="293" c:formatCode="0">
                  <c:v>272</c:v>
                </c:pt>
                <c:pt idx="294" c:formatCode="0">
                  <c:v>273</c:v>
                </c:pt>
                <c:pt idx="295" c:formatCode="0">
                  <c:v>274</c:v>
                </c:pt>
                <c:pt idx="296" c:formatCode="0">
                  <c:v>275</c:v>
                </c:pt>
                <c:pt idx="297" c:formatCode="0">
                  <c:v>276</c:v>
                </c:pt>
                <c:pt idx="298" c:formatCode="0">
                  <c:v>277</c:v>
                </c:pt>
                <c:pt idx="299" c:formatCode="0">
                  <c:v>278</c:v>
                </c:pt>
                <c:pt idx="300" c:formatCode="0">
                  <c:v>279</c:v>
                </c:pt>
                <c:pt idx="301" c:formatCode="0">
                  <c:v>280</c:v>
                </c:pt>
                <c:pt idx="302" c:formatCode="0">
                  <c:v>281</c:v>
                </c:pt>
                <c:pt idx="303" c:formatCode="0">
                  <c:v>282</c:v>
                </c:pt>
                <c:pt idx="304" c:formatCode="0">
                  <c:v>283</c:v>
                </c:pt>
                <c:pt idx="305" c:formatCode="0">
                  <c:v>284</c:v>
                </c:pt>
                <c:pt idx="306" c:formatCode="0">
                  <c:v>285</c:v>
                </c:pt>
                <c:pt idx="307" c:formatCode="0">
                  <c:v>286</c:v>
                </c:pt>
                <c:pt idx="308" c:formatCode="0">
                  <c:v>287</c:v>
                </c:pt>
                <c:pt idx="309" c:formatCode="0">
                  <c:v>288</c:v>
                </c:pt>
                <c:pt idx="310" c:formatCode="0">
                  <c:v>289</c:v>
                </c:pt>
                <c:pt idx="311" c:formatCode="0">
                  <c:v>290</c:v>
                </c:pt>
                <c:pt idx="312" c:formatCode="0">
                  <c:v>291</c:v>
                </c:pt>
                <c:pt idx="313" c:formatCode="0">
                  <c:v>292</c:v>
                </c:pt>
                <c:pt idx="314" c:formatCode="0">
                  <c:v>293</c:v>
                </c:pt>
                <c:pt idx="315" c:formatCode="0">
                  <c:v>294</c:v>
                </c:pt>
                <c:pt idx="316" c:formatCode="0">
                  <c:v>295</c:v>
                </c:pt>
                <c:pt idx="317" c:formatCode="0">
                  <c:v>296</c:v>
                </c:pt>
                <c:pt idx="318" c:formatCode="0">
                  <c:v>297</c:v>
                </c:pt>
                <c:pt idx="319" c:formatCode="0">
                  <c:v>298</c:v>
                </c:pt>
                <c:pt idx="320" c:formatCode="0">
                  <c:v>299</c:v>
                </c:pt>
                <c:pt idx="321" c:formatCode="0">
                  <c:v>300</c:v>
                </c:pt>
                <c:pt idx="322" c:formatCode="0">
                  <c:v>301</c:v>
                </c:pt>
                <c:pt idx="323" c:formatCode="0">
                  <c:v>302</c:v>
                </c:pt>
                <c:pt idx="324" c:formatCode="0">
                  <c:v>303</c:v>
                </c:pt>
                <c:pt idx="325" c:formatCode="0">
                  <c:v>304</c:v>
                </c:pt>
                <c:pt idx="326" c:formatCode="0">
                  <c:v>305</c:v>
                </c:pt>
                <c:pt idx="327" c:formatCode="0">
                  <c:v>306</c:v>
                </c:pt>
                <c:pt idx="328" c:formatCode="0">
                  <c:v>307</c:v>
                </c:pt>
                <c:pt idx="329" c:formatCode="0">
                  <c:v>308</c:v>
                </c:pt>
                <c:pt idx="330" c:formatCode="0">
                  <c:v>309</c:v>
                </c:pt>
                <c:pt idx="331" c:formatCode="0">
                  <c:v>310</c:v>
                </c:pt>
                <c:pt idx="332" c:formatCode="0">
                  <c:v>311</c:v>
                </c:pt>
                <c:pt idx="333" c:formatCode="0">
                  <c:v>312</c:v>
                </c:pt>
                <c:pt idx="334" c:formatCode="0">
                  <c:v>313</c:v>
                </c:pt>
                <c:pt idx="335" c:formatCode="0">
                  <c:v>314</c:v>
                </c:pt>
                <c:pt idx="336" c:formatCode="0">
                  <c:v>315</c:v>
                </c:pt>
                <c:pt idx="337" c:formatCode="0">
                  <c:v>316</c:v>
                </c:pt>
                <c:pt idx="338" c:formatCode="0">
                  <c:v>317</c:v>
                </c:pt>
                <c:pt idx="339" c:formatCode="0">
                  <c:v>318</c:v>
                </c:pt>
                <c:pt idx="340" c:formatCode="0">
                  <c:v>319</c:v>
                </c:pt>
                <c:pt idx="341" c:formatCode="0">
                  <c:v>320</c:v>
                </c:pt>
                <c:pt idx="342" c:formatCode="0">
                  <c:v>321</c:v>
                </c:pt>
                <c:pt idx="343" c:formatCode="0">
                  <c:v>322</c:v>
                </c:pt>
                <c:pt idx="344" c:formatCode="0">
                  <c:v>323</c:v>
                </c:pt>
                <c:pt idx="345" c:formatCode="0">
                  <c:v>324</c:v>
                </c:pt>
                <c:pt idx="346" c:formatCode="0">
                  <c:v>325</c:v>
                </c:pt>
                <c:pt idx="347" c:formatCode="0">
                  <c:v>326</c:v>
                </c:pt>
                <c:pt idx="348" c:formatCode="0">
                  <c:v>327</c:v>
                </c:pt>
                <c:pt idx="349" c:formatCode="0">
                  <c:v>328</c:v>
                </c:pt>
                <c:pt idx="350" c:formatCode="0">
                  <c:v>329</c:v>
                </c:pt>
                <c:pt idx="351" c:formatCode="0">
                  <c:v>330</c:v>
                </c:pt>
                <c:pt idx="352" c:formatCode="0">
                  <c:v>331</c:v>
                </c:pt>
                <c:pt idx="353" c:formatCode="0">
                  <c:v>332</c:v>
                </c:pt>
                <c:pt idx="354" c:formatCode="0">
                  <c:v>333</c:v>
                </c:pt>
                <c:pt idx="355" c:formatCode="0">
                  <c:v>334</c:v>
                </c:pt>
                <c:pt idx="356" c:formatCode="0">
                  <c:v>335</c:v>
                </c:pt>
                <c:pt idx="357" c:formatCode="0">
                  <c:v>336</c:v>
                </c:pt>
                <c:pt idx="358" c:formatCode="0">
                  <c:v>337</c:v>
                </c:pt>
                <c:pt idx="359" c:formatCode="0">
                  <c:v>338</c:v>
                </c:pt>
                <c:pt idx="360" c:formatCode="0">
                  <c:v>339</c:v>
                </c:pt>
                <c:pt idx="361" c:formatCode="0">
                  <c:v>340</c:v>
                </c:pt>
                <c:pt idx="362" c:formatCode="0">
                  <c:v>341</c:v>
                </c:pt>
                <c:pt idx="363" c:formatCode="0">
                  <c:v>342</c:v>
                </c:pt>
                <c:pt idx="364" c:formatCode="0">
                  <c:v>343</c:v>
                </c:pt>
                <c:pt idx="365" c:formatCode="0">
                  <c:v>344</c:v>
                </c:pt>
                <c:pt idx="366" c:formatCode="0">
                  <c:v>345</c:v>
                </c:pt>
                <c:pt idx="367" c:formatCode="0">
                  <c:v>346</c:v>
                </c:pt>
                <c:pt idx="368" c:formatCode="0">
                  <c:v>347</c:v>
                </c:pt>
                <c:pt idx="369" c:formatCode="0">
                  <c:v>348</c:v>
                </c:pt>
                <c:pt idx="370" c:formatCode="0">
                  <c:v>349</c:v>
                </c:pt>
                <c:pt idx="371" c:formatCode="0">
                  <c:v>350</c:v>
                </c:pt>
                <c:pt idx="372" c:formatCode="0">
                  <c:v>351</c:v>
                </c:pt>
                <c:pt idx="373" c:formatCode="0">
                  <c:v>352</c:v>
                </c:pt>
                <c:pt idx="374" c:formatCode="0">
                  <c:v>353</c:v>
                </c:pt>
                <c:pt idx="375" c:formatCode="0">
                  <c:v>354</c:v>
                </c:pt>
                <c:pt idx="376" c:formatCode="0">
                  <c:v>355</c:v>
                </c:pt>
                <c:pt idx="377" c:formatCode="0">
                  <c:v>356</c:v>
                </c:pt>
                <c:pt idx="378" c:formatCode="0">
                  <c:v>357</c:v>
                </c:pt>
                <c:pt idx="379" c:formatCode="0">
                  <c:v>358</c:v>
                </c:pt>
                <c:pt idx="380" c:formatCode="0">
                  <c:v>359</c:v>
                </c:pt>
                <c:pt idx="381" c:formatCode="0">
                  <c:v>360</c:v>
                </c:pt>
                <c:pt idx="382" c:formatCode="0">
                  <c:v>361</c:v>
                </c:pt>
                <c:pt idx="383" c:formatCode="0">
                  <c:v>362</c:v>
                </c:pt>
                <c:pt idx="384" c:formatCode="0">
                  <c:v>363</c:v>
                </c:pt>
                <c:pt idx="385" c:formatCode="0">
                  <c:v>364</c:v>
                </c:pt>
                <c:pt idx="386" c:formatCode="0">
                  <c:v>365</c:v>
                </c:pt>
                <c:pt idx="387" c:formatCode="0">
                  <c:v>366</c:v>
                </c:pt>
                <c:pt idx="388" c:formatCode="0">
                  <c:v>367</c:v>
                </c:pt>
                <c:pt idx="389" c:formatCode="0">
                  <c:v>368</c:v>
                </c:pt>
                <c:pt idx="390" c:formatCode="0">
                  <c:v>369</c:v>
                </c:pt>
                <c:pt idx="391" c:formatCode="0">
                  <c:v>370</c:v>
                </c:pt>
              </c:numCache>
            </c:numRef>
          </c:xVal>
          <c:yVal>
            <c:numRef>
              <c:f>Пр3!$G$2:$G$393</c:f>
              <c:numCache>
                <c:formatCode>0.0</c:formatCode>
                <c:ptCount val="392"/>
                <c:pt idx="0">
                  <c:v>2501</c:v>
                </c:pt>
                <c:pt idx="1">
                  <c:v>2501</c:v>
                </c:pt>
                <c:pt idx="2">
                  <c:v>2502.8</c:v>
                </c:pt>
                <c:pt idx="3">
                  <c:v>2504.7</c:v>
                </c:pt>
                <c:pt idx="4">
                  <c:v>2506.5</c:v>
                </c:pt>
                <c:pt idx="5">
                  <c:v>2508.3</c:v>
                </c:pt>
                <c:pt idx="6">
                  <c:v>2510.2</c:v>
                </c:pt>
                <c:pt idx="7">
                  <c:v>2512</c:v>
                </c:pt>
                <c:pt idx="8">
                  <c:v>2513.9</c:v>
                </c:pt>
                <c:pt idx="9">
                  <c:v>2515.7</c:v>
                </c:pt>
                <c:pt idx="10">
                  <c:v>2517.3</c:v>
                </c:pt>
                <c:pt idx="11">
                  <c:v>2519.4</c:v>
                </c:pt>
                <c:pt idx="12">
                  <c:v>2521.2</c:v>
                </c:pt>
                <c:pt idx="13">
                  <c:v>2523</c:v>
                </c:pt>
                <c:pt idx="14">
                  <c:v>2524.9</c:v>
                </c:pt>
                <c:pt idx="15">
                  <c:v>2526.7</c:v>
                </c:pt>
                <c:pt idx="16">
                  <c:v>2528.6</c:v>
                </c:pt>
                <c:pt idx="17">
                  <c:v>2529.3</c:v>
                </c:pt>
                <c:pt idx="18">
                  <c:v>2530.4</c:v>
                </c:pt>
                <c:pt idx="19">
                  <c:v>2531.3</c:v>
                </c:pt>
                <c:pt idx="20">
                  <c:v>2532.2</c:v>
                </c:pt>
                <c:pt idx="21">
                  <c:v>2533.1</c:v>
                </c:pt>
                <c:pt idx="22">
                  <c:v>2534</c:v>
                </c:pt>
                <c:pt idx="23">
                  <c:v>2535</c:v>
                </c:pt>
                <c:pt idx="24">
                  <c:v>2535.9</c:v>
                </c:pt>
                <c:pt idx="25">
                  <c:v>2536.8</c:v>
                </c:pt>
                <c:pt idx="26">
                  <c:v>2537.7</c:v>
                </c:pt>
                <c:pt idx="27">
                  <c:v>2538.6</c:v>
                </c:pt>
                <c:pt idx="28">
                  <c:v>2539.5</c:v>
                </c:pt>
                <c:pt idx="29">
                  <c:v>2540.4</c:v>
                </c:pt>
                <c:pt idx="30">
                  <c:v>2541.4</c:v>
                </c:pt>
                <c:pt idx="31">
                  <c:v>2542.3</c:v>
                </c:pt>
                <c:pt idx="32">
                  <c:v>2543.2</c:v>
                </c:pt>
                <c:pt idx="33">
                  <c:v>2544.1</c:v>
                </c:pt>
                <c:pt idx="34">
                  <c:v>2545</c:v>
                </c:pt>
                <c:pt idx="35">
                  <c:v>2545.9</c:v>
                </c:pt>
                <c:pt idx="36">
                  <c:v>2546.8</c:v>
                </c:pt>
                <c:pt idx="37">
                  <c:v>2547.7</c:v>
                </c:pt>
                <c:pt idx="38">
                  <c:v>2548.6</c:v>
                </c:pt>
                <c:pt idx="39">
                  <c:v>2549.3</c:v>
                </c:pt>
                <c:pt idx="40">
                  <c:v>2550.4</c:v>
                </c:pt>
                <c:pt idx="41">
                  <c:v>2551.4</c:v>
                </c:pt>
                <c:pt idx="42">
                  <c:v>2552.3</c:v>
                </c:pt>
                <c:pt idx="43">
                  <c:v>2553.2</c:v>
                </c:pt>
                <c:pt idx="44">
                  <c:v>2554.1</c:v>
                </c:pt>
                <c:pt idx="45">
                  <c:v>2555</c:v>
                </c:pt>
                <c:pt idx="46">
                  <c:v>2555.9</c:v>
                </c:pt>
                <c:pt idx="47">
                  <c:v>2556.8</c:v>
                </c:pt>
                <c:pt idx="48">
                  <c:v>2557.7</c:v>
                </c:pt>
                <c:pt idx="49">
                  <c:v>2558.6</c:v>
                </c:pt>
                <c:pt idx="50">
                  <c:v>2559.5</c:v>
                </c:pt>
                <c:pt idx="51">
                  <c:v>2560.4</c:v>
                </c:pt>
                <c:pt idx="52">
                  <c:v>2561.4</c:v>
                </c:pt>
                <c:pt idx="53">
                  <c:v>2562.3</c:v>
                </c:pt>
                <c:pt idx="54">
                  <c:v>2563.2</c:v>
                </c:pt>
                <c:pt idx="55">
                  <c:v>2564.1</c:v>
                </c:pt>
                <c:pt idx="56">
                  <c:v>2565</c:v>
                </c:pt>
                <c:pt idx="57">
                  <c:v>2566.8</c:v>
                </c:pt>
                <c:pt idx="58">
                  <c:v>2568.6</c:v>
                </c:pt>
                <c:pt idx="59">
                  <c:v>2570.4</c:v>
                </c:pt>
                <c:pt idx="60">
                  <c:v>2572.2</c:v>
                </c:pt>
                <c:pt idx="61">
                  <c:v>2574</c:v>
                </c:pt>
                <c:pt idx="62">
                  <c:v>2575.8</c:v>
                </c:pt>
                <c:pt idx="63">
                  <c:v>2577.6</c:v>
                </c:pt>
                <c:pt idx="64">
                  <c:v>2579.4</c:v>
                </c:pt>
                <c:pt idx="65">
                  <c:v>2581.1</c:v>
                </c:pt>
                <c:pt idx="66">
                  <c:v>2582.9</c:v>
                </c:pt>
                <c:pt idx="67">
                  <c:v>2584.7</c:v>
                </c:pt>
                <c:pt idx="68">
                  <c:v>2586.5</c:v>
                </c:pt>
                <c:pt idx="69">
                  <c:v>2588.3</c:v>
                </c:pt>
                <c:pt idx="70">
                  <c:v>2590.1</c:v>
                </c:pt>
                <c:pt idx="71">
                  <c:v>2591.8</c:v>
                </c:pt>
                <c:pt idx="72">
                  <c:v>2593.6</c:v>
                </c:pt>
                <c:pt idx="73">
                  <c:v>2595.4</c:v>
                </c:pt>
                <c:pt idx="74">
                  <c:v>2597.2</c:v>
                </c:pt>
                <c:pt idx="75">
                  <c:v>2598.9</c:v>
                </c:pt>
                <c:pt idx="76">
                  <c:v>2600.7</c:v>
                </c:pt>
                <c:pt idx="77">
                  <c:v>2602.4</c:v>
                </c:pt>
                <c:pt idx="78">
                  <c:v>2604.2</c:v>
                </c:pt>
                <c:pt idx="79">
                  <c:v>2606</c:v>
                </c:pt>
                <c:pt idx="80">
                  <c:v>2607.7</c:v>
                </c:pt>
                <c:pt idx="81">
                  <c:v>2609.5</c:v>
                </c:pt>
                <c:pt idx="82">
                  <c:v>2611.2</c:v>
                </c:pt>
                <c:pt idx="83">
                  <c:v>2613</c:v>
                </c:pt>
                <c:pt idx="84">
                  <c:v>2614.7</c:v>
                </c:pt>
                <c:pt idx="85">
                  <c:v>2616.4</c:v>
                </c:pt>
                <c:pt idx="86">
                  <c:v>2618.2</c:v>
                </c:pt>
                <c:pt idx="87">
                  <c:v>2619.9</c:v>
                </c:pt>
                <c:pt idx="88">
                  <c:v>2621.6</c:v>
                </c:pt>
                <c:pt idx="89">
                  <c:v>2623.3</c:v>
                </c:pt>
                <c:pt idx="90">
                  <c:v>2625.1</c:v>
                </c:pt>
                <c:pt idx="91">
                  <c:v>2626.8</c:v>
                </c:pt>
                <c:pt idx="92">
                  <c:v>2628.5</c:v>
                </c:pt>
                <c:pt idx="93">
                  <c:v>2630.2</c:v>
                </c:pt>
                <c:pt idx="94">
                  <c:v>2631.9</c:v>
                </c:pt>
                <c:pt idx="95">
                  <c:v>2633.6</c:v>
                </c:pt>
                <c:pt idx="96">
                  <c:v>2635.3</c:v>
                </c:pt>
                <c:pt idx="97">
                  <c:v>2637</c:v>
                </c:pt>
                <c:pt idx="98">
                  <c:v>2638.7</c:v>
                </c:pt>
                <c:pt idx="99">
                  <c:v>2640.4</c:v>
                </c:pt>
                <c:pt idx="100">
                  <c:v>2642.1</c:v>
                </c:pt>
                <c:pt idx="101">
                  <c:v>2643.8</c:v>
                </c:pt>
                <c:pt idx="102">
                  <c:v>2645.4</c:v>
                </c:pt>
                <c:pt idx="103">
                  <c:v>2647.1</c:v>
                </c:pt>
                <c:pt idx="104">
                  <c:v>2648.8</c:v>
                </c:pt>
                <c:pt idx="105">
                  <c:v>2650.4</c:v>
                </c:pt>
                <c:pt idx="106">
                  <c:v>2652.1</c:v>
                </c:pt>
                <c:pt idx="107">
                  <c:v>2653.7</c:v>
                </c:pt>
                <c:pt idx="108">
                  <c:v>2655.4</c:v>
                </c:pt>
                <c:pt idx="109">
                  <c:v>2657</c:v>
                </c:pt>
                <c:pt idx="110">
                  <c:v>2658.7</c:v>
                </c:pt>
                <c:pt idx="111">
                  <c:v>2660.3</c:v>
                </c:pt>
                <c:pt idx="112">
                  <c:v>2661.9</c:v>
                </c:pt>
                <c:pt idx="113">
                  <c:v>2663.5</c:v>
                </c:pt>
                <c:pt idx="114">
                  <c:v>2665.2</c:v>
                </c:pt>
                <c:pt idx="115">
                  <c:v>2666.8</c:v>
                </c:pt>
                <c:pt idx="116">
                  <c:v>2668.4</c:v>
                </c:pt>
                <c:pt idx="117">
                  <c:v>2670</c:v>
                </c:pt>
                <c:pt idx="118">
                  <c:v>2671.6</c:v>
                </c:pt>
                <c:pt idx="119">
                  <c:v>2673.2</c:v>
                </c:pt>
                <c:pt idx="120">
                  <c:v>2674.8</c:v>
                </c:pt>
                <c:pt idx="121">
                  <c:v>2676.3</c:v>
                </c:pt>
                <c:pt idx="122">
                  <c:v>2677.9</c:v>
                </c:pt>
                <c:pt idx="123">
                  <c:v>2679.5</c:v>
                </c:pt>
                <c:pt idx="124">
                  <c:v>2681</c:v>
                </c:pt>
                <c:pt idx="125">
                  <c:v>2682.6</c:v>
                </c:pt>
                <c:pt idx="126">
                  <c:v>2684.1</c:v>
                </c:pt>
                <c:pt idx="127">
                  <c:v>2685.7</c:v>
                </c:pt>
                <c:pt idx="128">
                  <c:v>2687.2</c:v>
                </c:pt>
                <c:pt idx="129">
                  <c:v>2688.8</c:v>
                </c:pt>
                <c:pt idx="130">
                  <c:v>2690.3</c:v>
                </c:pt>
                <c:pt idx="131">
                  <c:v>2691.8</c:v>
                </c:pt>
                <c:pt idx="132">
                  <c:v>2693.3</c:v>
                </c:pt>
                <c:pt idx="133">
                  <c:v>2694.8</c:v>
                </c:pt>
                <c:pt idx="134">
                  <c:v>2696.3</c:v>
                </c:pt>
                <c:pt idx="135">
                  <c:v>2697.8</c:v>
                </c:pt>
                <c:pt idx="136">
                  <c:v>2699.3</c:v>
                </c:pt>
                <c:pt idx="137">
                  <c:v>2700.8</c:v>
                </c:pt>
                <c:pt idx="138">
                  <c:v>2702.2</c:v>
                </c:pt>
                <c:pt idx="139">
                  <c:v>2703.7</c:v>
                </c:pt>
                <c:pt idx="140">
                  <c:v>2705.2</c:v>
                </c:pt>
                <c:pt idx="141">
                  <c:v>2706.6</c:v>
                </c:pt>
                <c:pt idx="142">
                  <c:v>2708.1</c:v>
                </c:pt>
                <c:pt idx="143">
                  <c:v>2709.5</c:v>
                </c:pt>
                <c:pt idx="144">
                  <c:v>2710.9</c:v>
                </c:pt>
                <c:pt idx="145">
                  <c:v>2712.3</c:v>
                </c:pt>
                <c:pt idx="146">
                  <c:v>2713.8</c:v>
                </c:pt>
                <c:pt idx="147">
                  <c:v>2715.2</c:v>
                </c:pt>
                <c:pt idx="148">
                  <c:v>2716.6</c:v>
                </c:pt>
                <c:pt idx="149">
                  <c:v>2717.9</c:v>
                </c:pt>
                <c:pt idx="150">
                  <c:v>2719.3</c:v>
                </c:pt>
                <c:pt idx="151">
                  <c:v>2720.7</c:v>
                </c:pt>
                <c:pt idx="152">
                  <c:v>2722.1</c:v>
                </c:pt>
                <c:pt idx="153">
                  <c:v>2723.4</c:v>
                </c:pt>
                <c:pt idx="154">
                  <c:v>2724.8</c:v>
                </c:pt>
                <c:pt idx="155">
                  <c:v>2726.1</c:v>
                </c:pt>
                <c:pt idx="156">
                  <c:v>2727.4</c:v>
                </c:pt>
                <c:pt idx="157">
                  <c:v>2728.8</c:v>
                </c:pt>
                <c:pt idx="158">
                  <c:v>2730.1</c:v>
                </c:pt>
                <c:pt idx="159">
                  <c:v>2731.4</c:v>
                </c:pt>
                <c:pt idx="160">
                  <c:v>2732.7</c:v>
                </c:pt>
                <c:pt idx="161">
                  <c:v>2734</c:v>
                </c:pt>
                <c:pt idx="162">
                  <c:v>2735.2</c:v>
                </c:pt>
                <c:pt idx="163">
                  <c:v>2736.5</c:v>
                </c:pt>
                <c:pt idx="164">
                  <c:v>2737.8</c:v>
                </c:pt>
                <c:pt idx="165">
                  <c:v>2739</c:v>
                </c:pt>
                <c:pt idx="166">
                  <c:v>2740.3</c:v>
                </c:pt>
                <c:pt idx="167">
                  <c:v>2741.5</c:v>
                </c:pt>
                <c:pt idx="168">
                  <c:v>2742.7</c:v>
                </c:pt>
                <c:pt idx="169">
                  <c:v>2743.9</c:v>
                </c:pt>
                <c:pt idx="170">
                  <c:v>2745.1</c:v>
                </c:pt>
                <c:pt idx="171">
                  <c:v>2746.3</c:v>
                </c:pt>
                <c:pt idx="172">
                  <c:v>2747.5</c:v>
                </c:pt>
                <c:pt idx="173">
                  <c:v>2748.7</c:v>
                </c:pt>
                <c:pt idx="174">
                  <c:v>2749.8</c:v>
                </c:pt>
                <c:pt idx="175">
                  <c:v>2751</c:v>
                </c:pt>
                <c:pt idx="176">
                  <c:v>2752.1</c:v>
                </c:pt>
                <c:pt idx="177">
                  <c:v>2753.3</c:v>
                </c:pt>
                <c:pt idx="178">
                  <c:v>2754.4</c:v>
                </c:pt>
                <c:pt idx="179">
                  <c:v>2755.5</c:v>
                </c:pt>
                <c:pt idx="180">
                  <c:v>2756.6</c:v>
                </c:pt>
                <c:pt idx="181">
                  <c:v>2757.7</c:v>
                </c:pt>
                <c:pt idx="182">
                  <c:v>2758.8</c:v>
                </c:pt>
                <c:pt idx="183">
                  <c:v>2759.8</c:v>
                </c:pt>
                <c:pt idx="184">
                  <c:v>2760.9</c:v>
                </c:pt>
                <c:pt idx="185">
                  <c:v>2761.9</c:v>
                </c:pt>
                <c:pt idx="186">
                  <c:v>2763</c:v>
                </c:pt>
                <c:pt idx="187">
                  <c:v>2764</c:v>
                </c:pt>
                <c:pt idx="188">
                  <c:v>2765</c:v>
                </c:pt>
                <c:pt idx="189">
                  <c:v>2766</c:v>
                </c:pt>
                <c:pt idx="190">
                  <c:v>2767</c:v>
                </c:pt>
                <c:pt idx="191">
                  <c:v>2768</c:v>
                </c:pt>
                <c:pt idx="192">
                  <c:v>2768.9</c:v>
                </c:pt>
                <c:pt idx="193">
                  <c:v>2769.9</c:v>
                </c:pt>
                <c:pt idx="194">
                  <c:v>2770.8</c:v>
                </c:pt>
                <c:pt idx="195">
                  <c:v>2771.8</c:v>
                </c:pt>
                <c:pt idx="196">
                  <c:v>2772.7</c:v>
                </c:pt>
                <c:pt idx="197">
                  <c:v>2773.6</c:v>
                </c:pt>
                <c:pt idx="198">
                  <c:v>2774.5</c:v>
                </c:pt>
                <c:pt idx="199">
                  <c:v>2775.3</c:v>
                </c:pt>
                <c:pt idx="200">
                  <c:v>2776.2</c:v>
                </c:pt>
                <c:pt idx="201">
                  <c:v>2777.1</c:v>
                </c:pt>
                <c:pt idx="202">
                  <c:v>2777.9</c:v>
                </c:pt>
                <c:pt idx="203">
                  <c:v>2778.7</c:v>
                </c:pt>
                <c:pt idx="204">
                  <c:v>2779.6</c:v>
                </c:pt>
                <c:pt idx="205">
                  <c:v>2780.4</c:v>
                </c:pt>
                <c:pt idx="206">
                  <c:v>2781.2</c:v>
                </c:pt>
                <c:pt idx="207">
                  <c:v>2781.9</c:v>
                </c:pt>
                <c:pt idx="208">
                  <c:v>2782.7</c:v>
                </c:pt>
                <c:pt idx="209">
                  <c:v>2783.5</c:v>
                </c:pt>
                <c:pt idx="210">
                  <c:v>2784.2</c:v>
                </c:pt>
                <c:pt idx="211">
                  <c:v>2784.9</c:v>
                </c:pt>
                <c:pt idx="212">
                  <c:v>2785.6</c:v>
                </c:pt>
                <c:pt idx="213">
                  <c:v>2786.3</c:v>
                </c:pt>
                <c:pt idx="214">
                  <c:v>2787</c:v>
                </c:pt>
                <c:pt idx="215">
                  <c:v>2787.7</c:v>
                </c:pt>
                <c:pt idx="216">
                  <c:v>2788.3</c:v>
                </c:pt>
                <c:pt idx="217">
                  <c:v>2789</c:v>
                </c:pt>
                <c:pt idx="218">
                  <c:v>2789.6</c:v>
                </c:pt>
                <c:pt idx="219">
                  <c:v>2790.2</c:v>
                </c:pt>
                <c:pt idx="220">
                  <c:v>2790.8</c:v>
                </c:pt>
                <c:pt idx="221">
                  <c:v>2791.4</c:v>
                </c:pt>
                <c:pt idx="222">
                  <c:v>2792</c:v>
                </c:pt>
                <c:pt idx="223">
                  <c:v>2792.5</c:v>
                </c:pt>
                <c:pt idx="224">
                  <c:v>2793.1</c:v>
                </c:pt>
                <c:pt idx="225">
                  <c:v>2793.6</c:v>
                </c:pt>
                <c:pt idx="226">
                  <c:v>2794.1</c:v>
                </c:pt>
                <c:pt idx="227">
                  <c:v>2794.6</c:v>
                </c:pt>
                <c:pt idx="228">
                  <c:v>2795.1</c:v>
                </c:pt>
                <c:pt idx="229">
                  <c:v>2795.6</c:v>
                </c:pt>
                <c:pt idx="230">
                  <c:v>2796</c:v>
                </c:pt>
                <c:pt idx="231">
                  <c:v>2796.4</c:v>
                </c:pt>
                <c:pt idx="232">
                  <c:v>2796.9</c:v>
                </c:pt>
                <c:pt idx="233">
                  <c:v>2797.3</c:v>
                </c:pt>
                <c:pt idx="234">
                  <c:v>2797.7</c:v>
                </c:pt>
                <c:pt idx="235">
                  <c:v>2798</c:v>
                </c:pt>
                <c:pt idx="236">
                  <c:v>2798.4</c:v>
                </c:pt>
                <c:pt idx="237">
                  <c:v>2798.7</c:v>
                </c:pt>
                <c:pt idx="238">
                  <c:v>2799</c:v>
                </c:pt>
                <c:pt idx="239">
                  <c:v>2799.3</c:v>
                </c:pt>
                <c:pt idx="240">
                  <c:v>2799.6</c:v>
                </c:pt>
                <c:pt idx="241">
                  <c:v>2799.9</c:v>
                </c:pt>
                <c:pt idx="242">
                  <c:v>2800.2</c:v>
                </c:pt>
                <c:pt idx="243">
                  <c:v>2800.4</c:v>
                </c:pt>
                <c:pt idx="244">
                  <c:v>2800.6</c:v>
                </c:pt>
                <c:pt idx="245">
                  <c:v>2800.8</c:v>
                </c:pt>
                <c:pt idx="246">
                  <c:v>2801</c:v>
                </c:pt>
                <c:pt idx="247">
                  <c:v>2801.2</c:v>
                </c:pt>
                <c:pt idx="248">
                  <c:v>2801.3</c:v>
                </c:pt>
                <c:pt idx="249">
                  <c:v>2801.5</c:v>
                </c:pt>
                <c:pt idx="250">
                  <c:v>2801.6</c:v>
                </c:pt>
                <c:pt idx="251">
                  <c:v>2801.7</c:v>
                </c:pt>
                <c:pt idx="252">
                  <c:v>2801.8</c:v>
                </c:pt>
                <c:pt idx="253">
                  <c:v>2801.8</c:v>
                </c:pt>
                <c:pt idx="254">
                  <c:v>2801.9</c:v>
                </c:pt>
                <c:pt idx="255">
                  <c:v>2801.9</c:v>
                </c:pt>
                <c:pt idx="256">
                  <c:v>2801.9</c:v>
                </c:pt>
                <c:pt idx="257">
                  <c:v>2801.9</c:v>
                </c:pt>
                <c:pt idx="258">
                  <c:v>2801.9</c:v>
                </c:pt>
                <c:pt idx="259">
                  <c:v>2801.8</c:v>
                </c:pt>
                <c:pt idx="260">
                  <c:v>2801.7</c:v>
                </c:pt>
                <c:pt idx="261">
                  <c:v>2801.6</c:v>
                </c:pt>
                <c:pt idx="262">
                  <c:v>2801.5</c:v>
                </c:pt>
                <c:pt idx="263">
                  <c:v>2801.4</c:v>
                </c:pt>
                <c:pt idx="264">
                  <c:v>2801.2</c:v>
                </c:pt>
                <c:pt idx="265">
                  <c:v>2801</c:v>
                </c:pt>
                <c:pt idx="266">
                  <c:v>2800.8</c:v>
                </c:pt>
                <c:pt idx="267">
                  <c:v>2800.6</c:v>
                </c:pt>
                <c:pt idx="268">
                  <c:v>2800.4</c:v>
                </c:pt>
                <c:pt idx="269">
                  <c:v>2800.1</c:v>
                </c:pt>
                <c:pt idx="270">
                  <c:v>2799.8</c:v>
                </c:pt>
                <c:pt idx="271">
                  <c:v>2799.5</c:v>
                </c:pt>
                <c:pt idx="272">
                  <c:v>2799.2</c:v>
                </c:pt>
                <c:pt idx="273">
                  <c:v>2798.9</c:v>
                </c:pt>
                <c:pt idx="274">
                  <c:v>2798.5</c:v>
                </c:pt>
                <c:pt idx="275">
                  <c:v>2798.1</c:v>
                </c:pt>
                <c:pt idx="276">
                  <c:v>2797.7</c:v>
                </c:pt>
                <c:pt idx="277">
                  <c:v>2797.2</c:v>
                </c:pt>
                <c:pt idx="278">
                  <c:v>2796.8</c:v>
                </c:pt>
                <c:pt idx="279">
                  <c:v>2796.3</c:v>
                </c:pt>
                <c:pt idx="280">
                  <c:v>2795.7</c:v>
                </c:pt>
                <c:pt idx="281">
                  <c:v>2795.2</c:v>
                </c:pt>
                <c:pt idx="282">
                  <c:v>2794.6</c:v>
                </c:pt>
                <c:pt idx="283">
                  <c:v>2794</c:v>
                </c:pt>
                <c:pt idx="284">
                  <c:v>2793.4</c:v>
                </c:pt>
                <c:pt idx="285">
                  <c:v>2792.8</c:v>
                </c:pt>
                <c:pt idx="286">
                  <c:v>2792.1</c:v>
                </c:pt>
                <c:pt idx="287">
                  <c:v>2791.4</c:v>
                </c:pt>
                <c:pt idx="288">
                  <c:v>2790.7</c:v>
                </c:pt>
                <c:pt idx="289">
                  <c:v>2789.9</c:v>
                </c:pt>
                <c:pt idx="290">
                  <c:v>2789.1</c:v>
                </c:pt>
                <c:pt idx="291">
                  <c:v>2788.3</c:v>
                </c:pt>
                <c:pt idx="292">
                  <c:v>2787.5</c:v>
                </c:pt>
                <c:pt idx="293">
                  <c:v>2786.6</c:v>
                </c:pt>
                <c:pt idx="294">
                  <c:v>2785.7</c:v>
                </c:pt>
                <c:pt idx="295">
                  <c:v>2784.8</c:v>
                </c:pt>
                <c:pt idx="296">
                  <c:v>2783.8</c:v>
                </c:pt>
                <c:pt idx="297">
                  <c:v>2782.8</c:v>
                </c:pt>
                <c:pt idx="298">
                  <c:v>2781.8</c:v>
                </c:pt>
                <c:pt idx="299">
                  <c:v>2780.8</c:v>
                </c:pt>
                <c:pt idx="300">
                  <c:v>2779.7</c:v>
                </c:pt>
                <c:pt idx="301">
                  <c:v>2778.6</c:v>
                </c:pt>
                <c:pt idx="302">
                  <c:v>2777.4</c:v>
                </c:pt>
                <c:pt idx="303">
                  <c:v>2776.2</c:v>
                </c:pt>
                <c:pt idx="304">
                  <c:v>2775</c:v>
                </c:pt>
                <c:pt idx="305">
                  <c:v>2773.7</c:v>
                </c:pt>
                <c:pt idx="306">
                  <c:v>2772.4</c:v>
                </c:pt>
                <c:pt idx="307">
                  <c:v>2771.1</c:v>
                </c:pt>
                <c:pt idx="308">
                  <c:v>2769.8</c:v>
                </c:pt>
                <c:pt idx="309">
                  <c:v>2768.4</c:v>
                </c:pt>
                <c:pt idx="310">
                  <c:v>2766.9</c:v>
                </c:pt>
                <c:pt idx="311">
                  <c:v>2765.4</c:v>
                </c:pt>
                <c:pt idx="312">
                  <c:v>2763.9</c:v>
                </c:pt>
                <c:pt idx="313">
                  <c:v>2762.3</c:v>
                </c:pt>
                <c:pt idx="314">
                  <c:v>2760.8</c:v>
                </c:pt>
                <c:pt idx="315">
                  <c:v>2759.1</c:v>
                </c:pt>
                <c:pt idx="316">
                  <c:v>2757.5</c:v>
                </c:pt>
                <c:pt idx="317">
                  <c:v>2755.7</c:v>
                </c:pt>
                <c:pt idx="318">
                  <c:v>2754</c:v>
                </c:pt>
                <c:pt idx="319">
                  <c:v>2752.2</c:v>
                </c:pt>
                <c:pt idx="320">
                  <c:v>2750.3</c:v>
                </c:pt>
                <c:pt idx="321">
                  <c:v>2748.4</c:v>
                </c:pt>
                <c:pt idx="322">
                  <c:v>2746.5</c:v>
                </c:pt>
                <c:pt idx="323">
                  <c:v>2744.5</c:v>
                </c:pt>
                <c:pt idx="324">
                  <c:v>2742.5</c:v>
                </c:pt>
                <c:pt idx="325">
                  <c:v>2740.4</c:v>
                </c:pt>
                <c:pt idx="326">
                  <c:v>2738.3</c:v>
                </c:pt>
                <c:pt idx="327">
                  <c:v>2736.1</c:v>
                </c:pt>
                <c:pt idx="328">
                  <c:v>2733.8</c:v>
                </c:pt>
                <c:pt idx="329">
                  <c:v>2731.5</c:v>
                </c:pt>
                <c:pt idx="330">
                  <c:v>2729.2</c:v>
                </c:pt>
                <c:pt idx="331">
                  <c:v>2726.8</c:v>
                </c:pt>
                <c:pt idx="332">
                  <c:v>2724.4</c:v>
                </c:pt>
                <c:pt idx="333">
                  <c:v>2721.8</c:v>
                </c:pt>
                <c:pt idx="334">
                  <c:v>2719.3</c:v>
                </c:pt>
                <c:pt idx="335">
                  <c:v>2716.7</c:v>
                </c:pt>
                <c:pt idx="336">
                  <c:v>2714</c:v>
                </c:pt>
                <c:pt idx="337">
                  <c:v>2711.2</c:v>
                </c:pt>
                <c:pt idx="338">
                  <c:v>2708.4</c:v>
                </c:pt>
                <c:pt idx="339">
                  <c:v>2705.6</c:v>
                </c:pt>
                <c:pt idx="340">
                  <c:v>2702.6</c:v>
                </c:pt>
                <c:pt idx="341">
                  <c:v>2699.6</c:v>
                </c:pt>
                <c:pt idx="342">
                  <c:v>2696.6</c:v>
                </c:pt>
                <c:pt idx="343">
                  <c:v>2693.4</c:v>
                </c:pt>
                <c:pt idx="344">
                  <c:v>2690.2</c:v>
                </c:pt>
                <c:pt idx="345">
                  <c:v>2686.9</c:v>
                </c:pt>
                <c:pt idx="346">
                  <c:v>2683.6</c:v>
                </c:pt>
                <c:pt idx="347">
                  <c:v>2680.1</c:v>
                </c:pt>
                <c:pt idx="348">
                  <c:v>2676.6</c:v>
                </c:pt>
                <c:pt idx="349">
                  <c:v>2673</c:v>
                </c:pt>
                <c:pt idx="350">
                  <c:v>2669.3</c:v>
                </c:pt>
                <c:pt idx="351">
                  <c:v>2665.5</c:v>
                </c:pt>
                <c:pt idx="352">
                  <c:v>2661.7</c:v>
                </c:pt>
                <c:pt idx="353">
                  <c:v>2657.8</c:v>
                </c:pt>
                <c:pt idx="354">
                  <c:v>2653.8</c:v>
                </c:pt>
                <c:pt idx="355">
                  <c:v>2649.6</c:v>
                </c:pt>
                <c:pt idx="356">
                  <c:v>2645.4</c:v>
                </c:pt>
                <c:pt idx="357">
                  <c:v>2641.1</c:v>
                </c:pt>
                <c:pt idx="358">
                  <c:v>2636.6</c:v>
                </c:pt>
                <c:pt idx="359">
                  <c:v>2632.1</c:v>
                </c:pt>
                <c:pt idx="360">
                  <c:v>2627.4</c:v>
                </c:pt>
                <c:pt idx="361">
                  <c:v>2622.3</c:v>
                </c:pt>
                <c:pt idx="362">
                  <c:v>2617.3</c:v>
                </c:pt>
                <c:pt idx="363">
                  <c:v>2612.2</c:v>
                </c:pt>
                <c:pt idx="364">
                  <c:v>2607</c:v>
                </c:pt>
                <c:pt idx="365">
                  <c:v>2601.7</c:v>
                </c:pt>
                <c:pt idx="366">
                  <c:v>2596.2</c:v>
                </c:pt>
                <c:pt idx="367">
                  <c:v>2590.5</c:v>
                </c:pt>
                <c:pt idx="368">
                  <c:v>2584.6</c:v>
                </c:pt>
                <c:pt idx="369">
                  <c:v>2578.6</c:v>
                </c:pt>
                <c:pt idx="370">
                  <c:v>2572.5</c:v>
                </c:pt>
                <c:pt idx="371">
                  <c:v>2566.1</c:v>
                </c:pt>
                <c:pt idx="372">
                  <c:v>2559.1</c:v>
                </c:pt>
                <c:pt idx="373">
                  <c:v>2552.6</c:v>
                </c:pt>
                <c:pt idx="374">
                  <c:v>2545.5</c:v>
                </c:pt>
                <c:pt idx="375">
                  <c:v>2538.2</c:v>
                </c:pt>
                <c:pt idx="376">
                  <c:v>2530.5</c:v>
                </c:pt>
                <c:pt idx="377">
                  <c:v>2522.5</c:v>
                </c:pt>
                <c:pt idx="378">
                  <c:v>2514</c:v>
                </c:pt>
                <c:pt idx="379">
                  <c:v>2505.2</c:v>
                </c:pt>
                <c:pt idx="380">
                  <c:v>2495.7</c:v>
                </c:pt>
                <c:pt idx="381">
                  <c:v>2485.7</c:v>
                </c:pt>
                <c:pt idx="382">
                  <c:v>2475</c:v>
                </c:pt>
                <c:pt idx="383">
                  <c:v>2463.5</c:v>
                </c:pt>
                <c:pt idx="384">
                  <c:v>2451.2</c:v>
                </c:pt>
                <c:pt idx="385">
                  <c:v>2438.1</c:v>
                </c:pt>
                <c:pt idx="386">
                  <c:v>2424.2</c:v>
                </c:pt>
                <c:pt idx="387">
                  <c:v>2409.3</c:v>
                </c:pt>
                <c:pt idx="388">
                  <c:v>2393.4</c:v>
                </c:pt>
                <c:pt idx="389">
                  <c:v>2376.1</c:v>
                </c:pt>
                <c:pt idx="390">
                  <c:v>2357.1</c:v>
                </c:pt>
                <c:pt idx="391">
                  <c:v>2335.7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15264"/>
        <c:axId val="178316800"/>
      </c:scatterChart>
      <c:valAx>
        <c:axId val="178315264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316800"/>
        <c:crosses val="autoZero"/>
        <c:crossBetween val="midCat"/>
      </c:valAx>
      <c:valAx>
        <c:axId val="17831680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31526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0495d4-17dd-492e-863a-c4a25530f770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Пр3!$G$1</c:f>
              <c:strCache>
                <c:ptCount val="1"/>
                <c:pt idx="0">
                  <c:v>Уд. энтальпия насыщенного пара h", кДж/кг</c:v>
                </c:pt>
              </c:strCache>
            </c:strRef>
          </c:tx>
          <c:dLbls>
            <c:delete val="1"/>
          </c:dLbls>
          <c:xVal>
            <c:numRef>
              <c:f>Пр3!$A$2:$A$393</c:f>
              <c:numCache>
                <c:formatCode>0.0</c:formatCode>
                <c:ptCount val="392"/>
                <c:pt idx="0">
                  <c:v>0</c:v>
                </c:pt>
                <c:pt idx="1" c:formatCode="0.00">
                  <c:v>0.01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  <c:pt idx="25">
                  <c:v>19.5</c:v>
                </c:pt>
                <c:pt idx="26">
                  <c:v>20</c:v>
                </c:pt>
                <c:pt idx="27">
                  <c:v>20.5</c:v>
                </c:pt>
                <c:pt idx="28">
                  <c:v>21</c:v>
                </c:pt>
                <c:pt idx="29">
                  <c:v>21.5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  <c:pt idx="33">
                  <c:v>23.5</c:v>
                </c:pt>
                <c:pt idx="34">
                  <c:v>24</c:v>
                </c:pt>
                <c:pt idx="35">
                  <c:v>24.5</c:v>
                </c:pt>
                <c:pt idx="36">
                  <c:v>25</c:v>
                </c:pt>
                <c:pt idx="37">
                  <c:v>25.5</c:v>
                </c:pt>
                <c:pt idx="38">
                  <c:v>26</c:v>
                </c:pt>
                <c:pt idx="39">
                  <c:v>26.5</c:v>
                </c:pt>
                <c:pt idx="40">
                  <c:v>27</c:v>
                </c:pt>
                <c:pt idx="41">
                  <c:v>27.5</c:v>
                </c:pt>
                <c:pt idx="42">
                  <c:v>28</c:v>
                </c:pt>
                <c:pt idx="43">
                  <c:v>28.5</c:v>
                </c:pt>
                <c:pt idx="44">
                  <c:v>29</c:v>
                </c:pt>
                <c:pt idx="45">
                  <c:v>29.5</c:v>
                </c:pt>
                <c:pt idx="46">
                  <c:v>30</c:v>
                </c:pt>
                <c:pt idx="47">
                  <c:v>30.5</c:v>
                </c:pt>
                <c:pt idx="48">
                  <c:v>31</c:v>
                </c:pt>
                <c:pt idx="49">
                  <c:v>31.5</c:v>
                </c:pt>
                <c:pt idx="50">
                  <c:v>32</c:v>
                </c:pt>
                <c:pt idx="51">
                  <c:v>32.5</c:v>
                </c:pt>
                <c:pt idx="52">
                  <c:v>33</c:v>
                </c:pt>
                <c:pt idx="53">
                  <c:v>33.5</c:v>
                </c:pt>
                <c:pt idx="54">
                  <c:v>34</c:v>
                </c:pt>
                <c:pt idx="55">
                  <c:v>34.5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 c:formatCode="0">
                  <c:v>100</c:v>
                </c:pt>
                <c:pt idx="122" c:formatCode="0">
                  <c:v>101</c:v>
                </c:pt>
                <c:pt idx="123" c:formatCode="0">
                  <c:v>102</c:v>
                </c:pt>
                <c:pt idx="124" c:formatCode="0">
                  <c:v>103</c:v>
                </c:pt>
                <c:pt idx="125" c:formatCode="0">
                  <c:v>104</c:v>
                </c:pt>
                <c:pt idx="126" c:formatCode="0">
                  <c:v>105</c:v>
                </c:pt>
                <c:pt idx="127" c:formatCode="0">
                  <c:v>106</c:v>
                </c:pt>
                <c:pt idx="128" c:formatCode="0">
                  <c:v>107</c:v>
                </c:pt>
                <c:pt idx="129" c:formatCode="0">
                  <c:v>108</c:v>
                </c:pt>
                <c:pt idx="130" c:formatCode="0">
                  <c:v>109</c:v>
                </c:pt>
                <c:pt idx="131" c:formatCode="0">
                  <c:v>110</c:v>
                </c:pt>
                <c:pt idx="132" c:formatCode="0">
                  <c:v>111</c:v>
                </c:pt>
                <c:pt idx="133" c:formatCode="0">
                  <c:v>112</c:v>
                </c:pt>
                <c:pt idx="134" c:formatCode="0">
                  <c:v>113</c:v>
                </c:pt>
                <c:pt idx="135" c:formatCode="0">
                  <c:v>114</c:v>
                </c:pt>
                <c:pt idx="136" c:formatCode="0">
                  <c:v>115</c:v>
                </c:pt>
                <c:pt idx="137" c:formatCode="0">
                  <c:v>116</c:v>
                </c:pt>
                <c:pt idx="138" c:formatCode="0">
                  <c:v>117</c:v>
                </c:pt>
                <c:pt idx="139" c:formatCode="0">
                  <c:v>118</c:v>
                </c:pt>
                <c:pt idx="140" c:formatCode="0">
                  <c:v>119</c:v>
                </c:pt>
                <c:pt idx="141" c:formatCode="0">
                  <c:v>120</c:v>
                </c:pt>
                <c:pt idx="142" c:formatCode="0">
                  <c:v>121</c:v>
                </c:pt>
                <c:pt idx="143" c:formatCode="0">
                  <c:v>122</c:v>
                </c:pt>
                <c:pt idx="144" c:formatCode="0">
                  <c:v>123</c:v>
                </c:pt>
                <c:pt idx="145" c:formatCode="0">
                  <c:v>124</c:v>
                </c:pt>
                <c:pt idx="146" c:formatCode="0">
                  <c:v>125</c:v>
                </c:pt>
                <c:pt idx="147" c:formatCode="0">
                  <c:v>126</c:v>
                </c:pt>
                <c:pt idx="148" c:formatCode="0">
                  <c:v>127</c:v>
                </c:pt>
                <c:pt idx="149" c:formatCode="0">
                  <c:v>128</c:v>
                </c:pt>
                <c:pt idx="150" c:formatCode="0">
                  <c:v>129</c:v>
                </c:pt>
                <c:pt idx="151" c:formatCode="0">
                  <c:v>130</c:v>
                </c:pt>
                <c:pt idx="152" c:formatCode="0">
                  <c:v>131</c:v>
                </c:pt>
                <c:pt idx="153" c:formatCode="0">
                  <c:v>132</c:v>
                </c:pt>
                <c:pt idx="154" c:formatCode="0">
                  <c:v>133</c:v>
                </c:pt>
                <c:pt idx="155" c:formatCode="0">
                  <c:v>134</c:v>
                </c:pt>
                <c:pt idx="156" c:formatCode="0">
                  <c:v>135</c:v>
                </c:pt>
                <c:pt idx="157" c:formatCode="0">
                  <c:v>136</c:v>
                </c:pt>
                <c:pt idx="158" c:formatCode="0">
                  <c:v>137</c:v>
                </c:pt>
                <c:pt idx="159" c:formatCode="0">
                  <c:v>138</c:v>
                </c:pt>
                <c:pt idx="160" c:formatCode="0">
                  <c:v>139</c:v>
                </c:pt>
                <c:pt idx="161" c:formatCode="0">
                  <c:v>140</c:v>
                </c:pt>
                <c:pt idx="162" c:formatCode="0">
                  <c:v>141</c:v>
                </c:pt>
                <c:pt idx="163" c:formatCode="0">
                  <c:v>142</c:v>
                </c:pt>
                <c:pt idx="164" c:formatCode="0">
                  <c:v>143</c:v>
                </c:pt>
                <c:pt idx="165" c:formatCode="0">
                  <c:v>144</c:v>
                </c:pt>
                <c:pt idx="166" c:formatCode="0">
                  <c:v>145</c:v>
                </c:pt>
                <c:pt idx="167" c:formatCode="0">
                  <c:v>146</c:v>
                </c:pt>
                <c:pt idx="168" c:formatCode="0">
                  <c:v>147</c:v>
                </c:pt>
                <c:pt idx="169" c:formatCode="0">
                  <c:v>148</c:v>
                </c:pt>
                <c:pt idx="170" c:formatCode="0">
                  <c:v>149</c:v>
                </c:pt>
                <c:pt idx="171" c:formatCode="0">
                  <c:v>150</c:v>
                </c:pt>
                <c:pt idx="172" c:formatCode="0">
                  <c:v>151</c:v>
                </c:pt>
                <c:pt idx="173" c:formatCode="0">
                  <c:v>152</c:v>
                </c:pt>
                <c:pt idx="174" c:formatCode="0">
                  <c:v>153</c:v>
                </c:pt>
                <c:pt idx="175" c:formatCode="0">
                  <c:v>154</c:v>
                </c:pt>
                <c:pt idx="176" c:formatCode="0">
                  <c:v>155</c:v>
                </c:pt>
                <c:pt idx="177" c:formatCode="0">
                  <c:v>156</c:v>
                </c:pt>
                <c:pt idx="178" c:formatCode="0">
                  <c:v>157</c:v>
                </c:pt>
                <c:pt idx="179" c:formatCode="0">
                  <c:v>158</c:v>
                </c:pt>
                <c:pt idx="180" c:formatCode="0">
                  <c:v>159</c:v>
                </c:pt>
                <c:pt idx="181" c:formatCode="0">
                  <c:v>160</c:v>
                </c:pt>
                <c:pt idx="182" c:formatCode="0">
                  <c:v>161</c:v>
                </c:pt>
                <c:pt idx="183" c:formatCode="0">
                  <c:v>162</c:v>
                </c:pt>
                <c:pt idx="184" c:formatCode="0">
                  <c:v>163</c:v>
                </c:pt>
                <c:pt idx="185" c:formatCode="0">
                  <c:v>164</c:v>
                </c:pt>
                <c:pt idx="186" c:formatCode="0">
                  <c:v>165</c:v>
                </c:pt>
                <c:pt idx="187" c:formatCode="0">
                  <c:v>166</c:v>
                </c:pt>
                <c:pt idx="188" c:formatCode="0">
                  <c:v>167</c:v>
                </c:pt>
                <c:pt idx="189" c:formatCode="0">
                  <c:v>168</c:v>
                </c:pt>
                <c:pt idx="190" c:formatCode="0">
                  <c:v>169</c:v>
                </c:pt>
                <c:pt idx="191" c:formatCode="0">
                  <c:v>170</c:v>
                </c:pt>
                <c:pt idx="192" c:formatCode="0">
                  <c:v>171</c:v>
                </c:pt>
                <c:pt idx="193" c:formatCode="0">
                  <c:v>172</c:v>
                </c:pt>
                <c:pt idx="194" c:formatCode="0">
                  <c:v>173</c:v>
                </c:pt>
                <c:pt idx="195" c:formatCode="0">
                  <c:v>174</c:v>
                </c:pt>
                <c:pt idx="196" c:formatCode="0">
                  <c:v>175</c:v>
                </c:pt>
                <c:pt idx="197" c:formatCode="0">
                  <c:v>176</c:v>
                </c:pt>
                <c:pt idx="198" c:formatCode="0">
                  <c:v>177</c:v>
                </c:pt>
                <c:pt idx="199" c:formatCode="0">
                  <c:v>178</c:v>
                </c:pt>
                <c:pt idx="200" c:formatCode="0">
                  <c:v>179</c:v>
                </c:pt>
                <c:pt idx="201" c:formatCode="0">
                  <c:v>180</c:v>
                </c:pt>
                <c:pt idx="202" c:formatCode="0">
                  <c:v>181</c:v>
                </c:pt>
                <c:pt idx="203" c:formatCode="0">
                  <c:v>182</c:v>
                </c:pt>
                <c:pt idx="204" c:formatCode="0">
                  <c:v>183</c:v>
                </c:pt>
                <c:pt idx="205" c:formatCode="0">
                  <c:v>184</c:v>
                </c:pt>
                <c:pt idx="206" c:formatCode="0">
                  <c:v>185</c:v>
                </c:pt>
                <c:pt idx="207" c:formatCode="0">
                  <c:v>186</c:v>
                </c:pt>
                <c:pt idx="208" c:formatCode="0">
                  <c:v>187</c:v>
                </c:pt>
                <c:pt idx="209" c:formatCode="0">
                  <c:v>188</c:v>
                </c:pt>
                <c:pt idx="210" c:formatCode="0">
                  <c:v>189</c:v>
                </c:pt>
                <c:pt idx="211" c:formatCode="0">
                  <c:v>190</c:v>
                </c:pt>
                <c:pt idx="212" c:formatCode="0">
                  <c:v>191</c:v>
                </c:pt>
                <c:pt idx="213" c:formatCode="0">
                  <c:v>192</c:v>
                </c:pt>
                <c:pt idx="214" c:formatCode="0">
                  <c:v>193</c:v>
                </c:pt>
                <c:pt idx="215" c:formatCode="0">
                  <c:v>194</c:v>
                </c:pt>
                <c:pt idx="216" c:formatCode="0">
                  <c:v>195</c:v>
                </c:pt>
                <c:pt idx="217" c:formatCode="0">
                  <c:v>196</c:v>
                </c:pt>
                <c:pt idx="218" c:formatCode="0">
                  <c:v>197</c:v>
                </c:pt>
                <c:pt idx="219" c:formatCode="0">
                  <c:v>198</c:v>
                </c:pt>
                <c:pt idx="220" c:formatCode="0">
                  <c:v>199</c:v>
                </c:pt>
                <c:pt idx="221" c:formatCode="0">
                  <c:v>200</c:v>
                </c:pt>
                <c:pt idx="222" c:formatCode="0">
                  <c:v>201</c:v>
                </c:pt>
                <c:pt idx="223" c:formatCode="0">
                  <c:v>202</c:v>
                </c:pt>
                <c:pt idx="224" c:formatCode="0">
                  <c:v>203</c:v>
                </c:pt>
                <c:pt idx="225" c:formatCode="0">
                  <c:v>204</c:v>
                </c:pt>
                <c:pt idx="226" c:formatCode="0">
                  <c:v>205</c:v>
                </c:pt>
                <c:pt idx="227" c:formatCode="0">
                  <c:v>206</c:v>
                </c:pt>
                <c:pt idx="228" c:formatCode="0">
                  <c:v>207</c:v>
                </c:pt>
                <c:pt idx="229" c:formatCode="0">
                  <c:v>208</c:v>
                </c:pt>
                <c:pt idx="230" c:formatCode="0">
                  <c:v>209</c:v>
                </c:pt>
                <c:pt idx="231" c:formatCode="0">
                  <c:v>210</c:v>
                </c:pt>
                <c:pt idx="232" c:formatCode="0">
                  <c:v>211</c:v>
                </c:pt>
                <c:pt idx="233" c:formatCode="0">
                  <c:v>212</c:v>
                </c:pt>
                <c:pt idx="234" c:formatCode="0">
                  <c:v>213</c:v>
                </c:pt>
                <c:pt idx="235" c:formatCode="0">
                  <c:v>214</c:v>
                </c:pt>
                <c:pt idx="236" c:formatCode="0">
                  <c:v>215</c:v>
                </c:pt>
                <c:pt idx="237" c:formatCode="0">
                  <c:v>216</c:v>
                </c:pt>
                <c:pt idx="238" c:formatCode="0">
                  <c:v>217</c:v>
                </c:pt>
                <c:pt idx="239" c:formatCode="0">
                  <c:v>218</c:v>
                </c:pt>
                <c:pt idx="240" c:formatCode="0">
                  <c:v>219</c:v>
                </c:pt>
                <c:pt idx="241" c:formatCode="0">
                  <c:v>220</c:v>
                </c:pt>
                <c:pt idx="242" c:formatCode="0">
                  <c:v>221</c:v>
                </c:pt>
                <c:pt idx="243" c:formatCode="0">
                  <c:v>222</c:v>
                </c:pt>
                <c:pt idx="244" c:formatCode="0">
                  <c:v>223</c:v>
                </c:pt>
                <c:pt idx="245" c:formatCode="0">
                  <c:v>224</c:v>
                </c:pt>
                <c:pt idx="246" c:formatCode="0">
                  <c:v>225</c:v>
                </c:pt>
                <c:pt idx="247" c:formatCode="0">
                  <c:v>226</c:v>
                </c:pt>
                <c:pt idx="248" c:formatCode="0">
                  <c:v>227</c:v>
                </c:pt>
                <c:pt idx="249" c:formatCode="0">
                  <c:v>228</c:v>
                </c:pt>
                <c:pt idx="250" c:formatCode="0">
                  <c:v>229</c:v>
                </c:pt>
                <c:pt idx="251" c:formatCode="0">
                  <c:v>230</c:v>
                </c:pt>
                <c:pt idx="252" c:formatCode="0">
                  <c:v>231</c:v>
                </c:pt>
                <c:pt idx="253" c:formatCode="0">
                  <c:v>232</c:v>
                </c:pt>
                <c:pt idx="254" c:formatCode="0">
                  <c:v>233</c:v>
                </c:pt>
                <c:pt idx="255" c:formatCode="0">
                  <c:v>234</c:v>
                </c:pt>
                <c:pt idx="256" c:formatCode="0">
                  <c:v>235</c:v>
                </c:pt>
                <c:pt idx="257" c:formatCode="0">
                  <c:v>236</c:v>
                </c:pt>
                <c:pt idx="258" c:formatCode="0">
                  <c:v>237</c:v>
                </c:pt>
                <c:pt idx="259" c:formatCode="0">
                  <c:v>238</c:v>
                </c:pt>
                <c:pt idx="260" c:formatCode="0">
                  <c:v>239</c:v>
                </c:pt>
                <c:pt idx="261" c:formatCode="0">
                  <c:v>240</c:v>
                </c:pt>
                <c:pt idx="262" c:formatCode="0">
                  <c:v>241</c:v>
                </c:pt>
                <c:pt idx="263" c:formatCode="0">
                  <c:v>242</c:v>
                </c:pt>
                <c:pt idx="264" c:formatCode="0">
                  <c:v>243</c:v>
                </c:pt>
                <c:pt idx="265" c:formatCode="0">
                  <c:v>244</c:v>
                </c:pt>
                <c:pt idx="266" c:formatCode="0">
                  <c:v>245</c:v>
                </c:pt>
                <c:pt idx="267" c:formatCode="0">
                  <c:v>246</c:v>
                </c:pt>
                <c:pt idx="268" c:formatCode="0">
                  <c:v>247</c:v>
                </c:pt>
                <c:pt idx="269" c:formatCode="0">
                  <c:v>248</c:v>
                </c:pt>
                <c:pt idx="270" c:formatCode="0">
                  <c:v>249</c:v>
                </c:pt>
                <c:pt idx="271" c:formatCode="0">
                  <c:v>250</c:v>
                </c:pt>
                <c:pt idx="272" c:formatCode="0">
                  <c:v>251</c:v>
                </c:pt>
                <c:pt idx="273" c:formatCode="0">
                  <c:v>252</c:v>
                </c:pt>
                <c:pt idx="274" c:formatCode="0">
                  <c:v>253</c:v>
                </c:pt>
                <c:pt idx="275" c:formatCode="0">
                  <c:v>254</c:v>
                </c:pt>
                <c:pt idx="276" c:formatCode="0">
                  <c:v>255</c:v>
                </c:pt>
                <c:pt idx="277" c:formatCode="0">
                  <c:v>256</c:v>
                </c:pt>
                <c:pt idx="278" c:formatCode="0">
                  <c:v>257</c:v>
                </c:pt>
                <c:pt idx="279" c:formatCode="0">
                  <c:v>258</c:v>
                </c:pt>
                <c:pt idx="280" c:formatCode="0">
                  <c:v>259</c:v>
                </c:pt>
                <c:pt idx="281" c:formatCode="0">
                  <c:v>260</c:v>
                </c:pt>
                <c:pt idx="282" c:formatCode="0">
                  <c:v>261</c:v>
                </c:pt>
                <c:pt idx="283" c:formatCode="0">
                  <c:v>262</c:v>
                </c:pt>
                <c:pt idx="284" c:formatCode="0">
                  <c:v>263</c:v>
                </c:pt>
                <c:pt idx="285" c:formatCode="0">
                  <c:v>264</c:v>
                </c:pt>
                <c:pt idx="286" c:formatCode="0">
                  <c:v>265</c:v>
                </c:pt>
                <c:pt idx="287" c:formatCode="0">
                  <c:v>266</c:v>
                </c:pt>
                <c:pt idx="288" c:formatCode="0">
                  <c:v>267</c:v>
                </c:pt>
                <c:pt idx="289" c:formatCode="0">
                  <c:v>268</c:v>
                </c:pt>
                <c:pt idx="290" c:formatCode="0">
                  <c:v>269</c:v>
                </c:pt>
                <c:pt idx="291" c:formatCode="0">
                  <c:v>270</c:v>
                </c:pt>
                <c:pt idx="292" c:formatCode="0">
                  <c:v>271</c:v>
                </c:pt>
                <c:pt idx="293" c:formatCode="0">
                  <c:v>272</c:v>
                </c:pt>
                <c:pt idx="294" c:formatCode="0">
                  <c:v>273</c:v>
                </c:pt>
                <c:pt idx="295" c:formatCode="0">
                  <c:v>274</c:v>
                </c:pt>
                <c:pt idx="296" c:formatCode="0">
                  <c:v>275</c:v>
                </c:pt>
                <c:pt idx="297" c:formatCode="0">
                  <c:v>276</c:v>
                </c:pt>
                <c:pt idx="298" c:formatCode="0">
                  <c:v>277</c:v>
                </c:pt>
                <c:pt idx="299" c:formatCode="0">
                  <c:v>278</c:v>
                </c:pt>
                <c:pt idx="300" c:formatCode="0">
                  <c:v>279</c:v>
                </c:pt>
                <c:pt idx="301" c:formatCode="0">
                  <c:v>280</c:v>
                </c:pt>
                <c:pt idx="302" c:formatCode="0">
                  <c:v>281</c:v>
                </c:pt>
                <c:pt idx="303" c:formatCode="0">
                  <c:v>282</c:v>
                </c:pt>
                <c:pt idx="304" c:formatCode="0">
                  <c:v>283</c:v>
                </c:pt>
                <c:pt idx="305" c:formatCode="0">
                  <c:v>284</c:v>
                </c:pt>
                <c:pt idx="306" c:formatCode="0">
                  <c:v>285</c:v>
                </c:pt>
                <c:pt idx="307" c:formatCode="0">
                  <c:v>286</c:v>
                </c:pt>
                <c:pt idx="308" c:formatCode="0">
                  <c:v>287</c:v>
                </c:pt>
                <c:pt idx="309" c:formatCode="0">
                  <c:v>288</c:v>
                </c:pt>
                <c:pt idx="310" c:formatCode="0">
                  <c:v>289</c:v>
                </c:pt>
                <c:pt idx="311" c:formatCode="0">
                  <c:v>290</c:v>
                </c:pt>
                <c:pt idx="312" c:formatCode="0">
                  <c:v>291</c:v>
                </c:pt>
                <c:pt idx="313" c:formatCode="0">
                  <c:v>292</c:v>
                </c:pt>
                <c:pt idx="314" c:formatCode="0">
                  <c:v>293</c:v>
                </c:pt>
                <c:pt idx="315" c:formatCode="0">
                  <c:v>294</c:v>
                </c:pt>
                <c:pt idx="316" c:formatCode="0">
                  <c:v>295</c:v>
                </c:pt>
                <c:pt idx="317" c:formatCode="0">
                  <c:v>296</c:v>
                </c:pt>
                <c:pt idx="318" c:formatCode="0">
                  <c:v>297</c:v>
                </c:pt>
                <c:pt idx="319" c:formatCode="0">
                  <c:v>298</c:v>
                </c:pt>
                <c:pt idx="320" c:formatCode="0">
                  <c:v>299</c:v>
                </c:pt>
                <c:pt idx="321" c:formatCode="0">
                  <c:v>300</c:v>
                </c:pt>
                <c:pt idx="322" c:formatCode="0">
                  <c:v>301</c:v>
                </c:pt>
                <c:pt idx="323" c:formatCode="0">
                  <c:v>302</c:v>
                </c:pt>
                <c:pt idx="324" c:formatCode="0">
                  <c:v>303</c:v>
                </c:pt>
                <c:pt idx="325" c:formatCode="0">
                  <c:v>304</c:v>
                </c:pt>
                <c:pt idx="326" c:formatCode="0">
                  <c:v>305</c:v>
                </c:pt>
                <c:pt idx="327" c:formatCode="0">
                  <c:v>306</c:v>
                </c:pt>
                <c:pt idx="328" c:formatCode="0">
                  <c:v>307</c:v>
                </c:pt>
                <c:pt idx="329" c:formatCode="0">
                  <c:v>308</c:v>
                </c:pt>
                <c:pt idx="330" c:formatCode="0">
                  <c:v>309</c:v>
                </c:pt>
                <c:pt idx="331" c:formatCode="0">
                  <c:v>310</c:v>
                </c:pt>
                <c:pt idx="332" c:formatCode="0">
                  <c:v>311</c:v>
                </c:pt>
                <c:pt idx="333" c:formatCode="0">
                  <c:v>312</c:v>
                </c:pt>
                <c:pt idx="334" c:formatCode="0">
                  <c:v>313</c:v>
                </c:pt>
                <c:pt idx="335" c:formatCode="0">
                  <c:v>314</c:v>
                </c:pt>
                <c:pt idx="336" c:formatCode="0">
                  <c:v>315</c:v>
                </c:pt>
                <c:pt idx="337" c:formatCode="0">
                  <c:v>316</c:v>
                </c:pt>
                <c:pt idx="338" c:formatCode="0">
                  <c:v>317</c:v>
                </c:pt>
                <c:pt idx="339" c:formatCode="0">
                  <c:v>318</c:v>
                </c:pt>
                <c:pt idx="340" c:formatCode="0">
                  <c:v>319</c:v>
                </c:pt>
                <c:pt idx="341" c:formatCode="0">
                  <c:v>320</c:v>
                </c:pt>
                <c:pt idx="342" c:formatCode="0">
                  <c:v>321</c:v>
                </c:pt>
                <c:pt idx="343" c:formatCode="0">
                  <c:v>322</c:v>
                </c:pt>
                <c:pt idx="344" c:formatCode="0">
                  <c:v>323</c:v>
                </c:pt>
                <c:pt idx="345" c:formatCode="0">
                  <c:v>324</c:v>
                </c:pt>
                <c:pt idx="346" c:formatCode="0">
                  <c:v>325</c:v>
                </c:pt>
                <c:pt idx="347" c:formatCode="0">
                  <c:v>326</c:v>
                </c:pt>
                <c:pt idx="348" c:formatCode="0">
                  <c:v>327</c:v>
                </c:pt>
                <c:pt idx="349" c:formatCode="0">
                  <c:v>328</c:v>
                </c:pt>
                <c:pt idx="350" c:formatCode="0">
                  <c:v>329</c:v>
                </c:pt>
                <c:pt idx="351" c:formatCode="0">
                  <c:v>330</c:v>
                </c:pt>
                <c:pt idx="352" c:formatCode="0">
                  <c:v>331</c:v>
                </c:pt>
                <c:pt idx="353" c:formatCode="0">
                  <c:v>332</c:v>
                </c:pt>
                <c:pt idx="354" c:formatCode="0">
                  <c:v>333</c:v>
                </c:pt>
                <c:pt idx="355" c:formatCode="0">
                  <c:v>334</c:v>
                </c:pt>
                <c:pt idx="356" c:formatCode="0">
                  <c:v>335</c:v>
                </c:pt>
                <c:pt idx="357" c:formatCode="0">
                  <c:v>336</c:v>
                </c:pt>
                <c:pt idx="358" c:formatCode="0">
                  <c:v>337</c:v>
                </c:pt>
                <c:pt idx="359" c:formatCode="0">
                  <c:v>338</c:v>
                </c:pt>
                <c:pt idx="360" c:formatCode="0">
                  <c:v>339</c:v>
                </c:pt>
                <c:pt idx="361" c:formatCode="0">
                  <c:v>340</c:v>
                </c:pt>
                <c:pt idx="362" c:formatCode="0">
                  <c:v>341</c:v>
                </c:pt>
                <c:pt idx="363" c:formatCode="0">
                  <c:v>342</c:v>
                </c:pt>
                <c:pt idx="364" c:formatCode="0">
                  <c:v>343</c:v>
                </c:pt>
                <c:pt idx="365" c:formatCode="0">
                  <c:v>344</c:v>
                </c:pt>
                <c:pt idx="366" c:formatCode="0">
                  <c:v>345</c:v>
                </c:pt>
                <c:pt idx="367" c:formatCode="0">
                  <c:v>346</c:v>
                </c:pt>
                <c:pt idx="368" c:formatCode="0">
                  <c:v>347</c:v>
                </c:pt>
                <c:pt idx="369" c:formatCode="0">
                  <c:v>348</c:v>
                </c:pt>
                <c:pt idx="370" c:formatCode="0">
                  <c:v>349</c:v>
                </c:pt>
                <c:pt idx="371" c:formatCode="0">
                  <c:v>350</c:v>
                </c:pt>
                <c:pt idx="372" c:formatCode="0">
                  <c:v>351</c:v>
                </c:pt>
                <c:pt idx="373" c:formatCode="0">
                  <c:v>352</c:v>
                </c:pt>
                <c:pt idx="374" c:formatCode="0">
                  <c:v>353</c:v>
                </c:pt>
                <c:pt idx="375" c:formatCode="0">
                  <c:v>354</c:v>
                </c:pt>
                <c:pt idx="376" c:formatCode="0">
                  <c:v>355</c:v>
                </c:pt>
                <c:pt idx="377" c:formatCode="0">
                  <c:v>356</c:v>
                </c:pt>
                <c:pt idx="378" c:formatCode="0">
                  <c:v>357</c:v>
                </c:pt>
                <c:pt idx="379" c:formatCode="0">
                  <c:v>358</c:v>
                </c:pt>
                <c:pt idx="380" c:formatCode="0">
                  <c:v>359</c:v>
                </c:pt>
                <c:pt idx="381" c:formatCode="0">
                  <c:v>360</c:v>
                </c:pt>
                <c:pt idx="382" c:formatCode="0">
                  <c:v>361</c:v>
                </c:pt>
                <c:pt idx="383" c:formatCode="0">
                  <c:v>362</c:v>
                </c:pt>
                <c:pt idx="384" c:formatCode="0">
                  <c:v>363</c:v>
                </c:pt>
                <c:pt idx="385" c:formatCode="0">
                  <c:v>364</c:v>
                </c:pt>
                <c:pt idx="386" c:formatCode="0">
                  <c:v>365</c:v>
                </c:pt>
                <c:pt idx="387" c:formatCode="0">
                  <c:v>366</c:v>
                </c:pt>
                <c:pt idx="388" c:formatCode="0">
                  <c:v>367</c:v>
                </c:pt>
                <c:pt idx="389" c:formatCode="0">
                  <c:v>368</c:v>
                </c:pt>
                <c:pt idx="390" c:formatCode="0">
                  <c:v>369</c:v>
                </c:pt>
                <c:pt idx="391" c:formatCode="0">
                  <c:v>370</c:v>
                </c:pt>
              </c:numCache>
            </c:numRef>
          </c:xVal>
          <c:yVal>
            <c:numRef>
              <c:f>Пр3!$G$2:$G$393</c:f>
              <c:numCache>
                <c:formatCode>0.0</c:formatCode>
                <c:ptCount val="392"/>
                <c:pt idx="0">
                  <c:v>2501</c:v>
                </c:pt>
                <c:pt idx="1">
                  <c:v>2501</c:v>
                </c:pt>
                <c:pt idx="2">
                  <c:v>2502.8</c:v>
                </c:pt>
                <c:pt idx="3">
                  <c:v>2504.7</c:v>
                </c:pt>
                <c:pt idx="4">
                  <c:v>2506.5</c:v>
                </c:pt>
                <c:pt idx="5">
                  <c:v>2508.3</c:v>
                </c:pt>
                <c:pt idx="6">
                  <c:v>2510.2</c:v>
                </c:pt>
                <c:pt idx="7">
                  <c:v>2512</c:v>
                </c:pt>
                <c:pt idx="8">
                  <c:v>2513.9</c:v>
                </c:pt>
                <c:pt idx="9">
                  <c:v>2515.7</c:v>
                </c:pt>
                <c:pt idx="10">
                  <c:v>2517.3</c:v>
                </c:pt>
                <c:pt idx="11">
                  <c:v>2519.4</c:v>
                </c:pt>
                <c:pt idx="12">
                  <c:v>2521.2</c:v>
                </c:pt>
                <c:pt idx="13">
                  <c:v>2523</c:v>
                </c:pt>
                <c:pt idx="14">
                  <c:v>2524.9</c:v>
                </c:pt>
                <c:pt idx="15">
                  <c:v>2526.7</c:v>
                </c:pt>
                <c:pt idx="16">
                  <c:v>2528.6</c:v>
                </c:pt>
                <c:pt idx="17">
                  <c:v>2529.3</c:v>
                </c:pt>
                <c:pt idx="18">
                  <c:v>2530.4</c:v>
                </c:pt>
                <c:pt idx="19">
                  <c:v>2531.3</c:v>
                </c:pt>
                <c:pt idx="20">
                  <c:v>2532.2</c:v>
                </c:pt>
                <c:pt idx="21">
                  <c:v>2533.1</c:v>
                </c:pt>
                <c:pt idx="22">
                  <c:v>2534</c:v>
                </c:pt>
                <c:pt idx="23">
                  <c:v>2535</c:v>
                </c:pt>
                <c:pt idx="24">
                  <c:v>2535.9</c:v>
                </c:pt>
                <c:pt idx="25">
                  <c:v>2536.8</c:v>
                </c:pt>
                <c:pt idx="26">
                  <c:v>2537.7</c:v>
                </c:pt>
                <c:pt idx="27">
                  <c:v>2538.6</c:v>
                </c:pt>
                <c:pt idx="28">
                  <c:v>2539.5</c:v>
                </c:pt>
                <c:pt idx="29">
                  <c:v>2540.4</c:v>
                </c:pt>
                <c:pt idx="30">
                  <c:v>2541.4</c:v>
                </c:pt>
                <c:pt idx="31">
                  <c:v>2542.3</c:v>
                </c:pt>
                <c:pt idx="32">
                  <c:v>2543.2</c:v>
                </c:pt>
                <c:pt idx="33">
                  <c:v>2544.1</c:v>
                </c:pt>
                <c:pt idx="34">
                  <c:v>2545</c:v>
                </c:pt>
                <c:pt idx="35">
                  <c:v>2545.9</c:v>
                </c:pt>
                <c:pt idx="36">
                  <c:v>2546.8</c:v>
                </c:pt>
                <c:pt idx="37">
                  <c:v>2547.7</c:v>
                </c:pt>
                <c:pt idx="38">
                  <c:v>2548.6</c:v>
                </c:pt>
                <c:pt idx="39">
                  <c:v>2549.3</c:v>
                </c:pt>
                <c:pt idx="40">
                  <c:v>2550.4</c:v>
                </c:pt>
                <c:pt idx="41">
                  <c:v>2551.4</c:v>
                </c:pt>
                <c:pt idx="42">
                  <c:v>2552.3</c:v>
                </c:pt>
                <c:pt idx="43">
                  <c:v>2553.2</c:v>
                </c:pt>
                <c:pt idx="44">
                  <c:v>2554.1</c:v>
                </c:pt>
                <c:pt idx="45">
                  <c:v>2555</c:v>
                </c:pt>
                <c:pt idx="46">
                  <c:v>2555.9</c:v>
                </c:pt>
                <c:pt idx="47">
                  <c:v>2556.8</c:v>
                </c:pt>
                <c:pt idx="48">
                  <c:v>2557.7</c:v>
                </c:pt>
                <c:pt idx="49">
                  <c:v>2558.6</c:v>
                </c:pt>
                <c:pt idx="50">
                  <c:v>2559.5</c:v>
                </c:pt>
                <c:pt idx="51">
                  <c:v>2560.4</c:v>
                </c:pt>
                <c:pt idx="52">
                  <c:v>2561.4</c:v>
                </c:pt>
                <c:pt idx="53">
                  <c:v>2562.3</c:v>
                </c:pt>
                <c:pt idx="54">
                  <c:v>2563.2</c:v>
                </c:pt>
                <c:pt idx="55">
                  <c:v>2564.1</c:v>
                </c:pt>
                <c:pt idx="56">
                  <c:v>2565</c:v>
                </c:pt>
                <c:pt idx="57">
                  <c:v>2566.8</c:v>
                </c:pt>
                <c:pt idx="58">
                  <c:v>2568.6</c:v>
                </c:pt>
                <c:pt idx="59">
                  <c:v>2570.4</c:v>
                </c:pt>
                <c:pt idx="60">
                  <c:v>2572.2</c:v>
                </c:pt>
                <c:pt idx="61">
                  <c:v>2574</c:v>
                </c:pt>
                <c:pt idx="62">
                  <c:v>2575.8</c:v>
                </c:pt>
                <c:pt idx="63">
                  <c:v>2577.6</c:v>
                </c:pt>
                <c:pt idx="64">
                  <c:v>2579.4</c:v>
                </c:pt>
                <c:pt idx="65">
                  <c:v>2581.1</c:v>
                </c:pt>
                <c:pt idx="66">
                  <c:v>2582.9</c:v>
                </c:pt>
                <c:pt idx="67">
                  <c:v>2584.7</c:v>
                </c:pt>
                <c:pt idx="68">
                  <c:v>2586.5</c:v>
                </c:pt>
                <c:pt idx="69">
                  <c:v>2588.3</c:v>
                </c:pt>
                <c:pt idx="70">
                  <c:v>2590.1</c:v>
                </c:pt>
                <c:pt idx="71">
                  <c:v>2591.8</c:v>
                </c:pt>
                <c:pt idx="72">
                  <c:v>2593.6</c:v>
                </c:pt>
                <c:pt idx="73">
                  <c:v>2595.4</c:v>
                </c:pt>
                <c:pt idx="74">
                  <c:v>2597.2</c:v>
                </c:pt>
                <c:pt idx="75">
                  <c:v>2598.9</c:v>
                </c:pt>
                <c:pt idx="76">
                  <c:v>2600.7</c:v>
                </c:pt>
                <c:pt idx="77">
                  <c:v>2602.4</c:v>
                </c:pt>
                <c:pt idx="78">
                  <c:v>2604.2</c:v>
                </c:pt>
                <c:pt idx="79">
                  <c:v>2606</c:v>
                </c:pt>
                <c:pt idx="80">
                  <c:v>2607.7</c:v>
                </c:pt>
                <c:pt idx="81">
                  <c:v>2609.5</c:v>
                </c:pt>
                <c:pt idx="82">
                  <c:v>2611.2</c:v>
                </c:pt>
                <c:pt idx="83">
                  <c:v>2613</c:v>
                </c:pt>
                <c:pt idx="84">
                  <c:v>2614.7</c:v>
                </c:pt>
                <c:pt idx="85">
                  <c:v>2616.4</c:v>
                </c:pt>
                <c:pt idx="86">
                  <c:v>2618.2</c:v>
                </c:pt>
                <c:pt idx="87">
                  <c:v>2619.9</c:v>
                </c:pt>
                <c:pt idx="88">
                  <c:v>2621.6</c:v>
                </c:pt>
                <c:pt idx="89">
                  <c:v>2623.3</c:v>
                </c:pt>
                <c:pt idx="90">
                  <c:v>2625.1</c:v>
                </c:pt>
                <c:pt idx="91">
                  <c:v>2626.8</c:v>
                </c:pt>
                <c:pt idx="92">
                  <c:v>2628.5</c:v>
                </c:pt>
                <c:pt idx="93">
                  <c:v>2630.2</c:v>
                </c:pt>
                <c:pt idx="94">
                  <c:v>2631.9</c:v>
                </c:pt>
                <c:pt idx="95">
                  <c:v>2633.6</c:v>
                </c:pt>
                <c:pt idx="96">
                  <c:v>2635.3</c:v>
                </c:pt>
                <c:pt idx="97">
                  <c:v>2637</c:v>
                </c:pt>
                <c:pt idx="98">
                  <c:v>2638.7</c:v>
                </c:pt>
                <c:pt idx="99">
                  <c:v>2640.4</c:v>
                </c:pt>
                <c:pt idx="100">
                  <c:v>2642.1</c:v>
                </c:pt>
                <c:pt idx="101">
                  <c:v>2643.8</c:v>
                </c:pt>
                <c:pt idx="102">
                  <c:v>2645.4</c:v>
                </c:pt>
                <c:pt idx="103">
                  <c:v>2647.1</c:v>
                </c:pt>
                <c:pt idx="104">
                  <c:v>2648.8</c:v>
                </c:pt>
                <c:pt idx="105">
                  <c:v>2650.4</c:v>
                </c:pt>
                <c:pt idx="106">
                  <c:v>2652.1</c:v>
                </c:pt>
                <c:pt idx="107">
                  <c:v>2653.7</c:v>
                </c:pt>
                <c:pt idx="108">
                  <c:v>2655.4</c:v>
                </c:pt>
                <c:pt idx="109">
                  <c:v>2657</c:v>
                </c:pt>
                <c:pt idx="110">
                  <c:v>2658.7</c:v>
                </c:pt>
                <c:pt idx="111">
                  <c:v>2660.3</c:v>
                </c:pt>
                <c:pt idx="112">
                  <c:v>2661.9</c:v>
                </c:pt>
                <c:pt idx="113">
                  <c:v>2663.5</c:v>
                </c:pt>
                <c:pt idx="114">
                  <c:v>2665.2</c:v>
                </c:pt>
                <c:pt idx="115">
                  <c:v>2666.8</c:v>
                </c:pt>
                <c:pt idx="116">
                  <c:v>2668.4</c:v>
                </c:pt>
                <c:pt idx="117">
                  <c:v>2670</c:v>
                </c:pt>
                <c:pt idx="118">
                  <c:v>2671.6</c:v>
                </c:pt>
                <c:pt idx="119">
                  <c:v>2673.2</c:v>
                </c:pt>
                <c:pt idx="120">
                  <c:v>2674.8</c:v>
                </c:pt>
                <c:pt idx="121">
                  <c:v>2676.3</c:v>
                </c:pt>
                <c:pt idx="122">
                  <c:v>2677.9</c:v>
                </c:pt>
                <c:pt idx="123">
                  <c:v>2679.5</c:v>
                </c:pt>
                <c:pt idx="124">
                  <c:v>2681</c:v>
                </c:pt>
                <c:pt idx="125">
                  <c:v>2682.6</c:v>
                </c:pt>
                <c:pt idx="126">
                  <c:v>2684.1</c:v>
                </c:pt>
                <c:pt idx="127">
                  <c:v>2685.7</c:v>
                </c:pt>
                <c:pt idx="128">
                  <c:v>2687.2</c:v>
                </c:pt>
                <c:pt idx="129">
                  <c:v>2688.8</c:v>
                </c:pt>
                <c:pt idx="130">
                  <c:v>2690.3</c:v>
                </c:pt>
                <c:pt idx="131">
                  <c:v>2691.8</c:v>
                </c:pt>
                <c:pt idx="132">
                  <c:v>2693.3</c:v>
                </c:pt>
                <c:pt idx="133">
                  <c:v>2694.8</c:v>
                </c:pt>
                <c:pt idx="134">
                  <c:v>2696.3</c:v>
                </c:pt>
                <c:pt idx="135">
                  <c:v>2697.8</c:v>
                </c:pt>
                <c:pt idx="136">
                  <c:v>2699.3</c:v>
                </c:pt>
                <c:pt idx="137">
                  <c:v>2700.8</c:v>
                </c:pt>
                <c:pt idx="138">
                  <c:v>2702.2</c:v>
                </c:pt>
                <c:pt idx="139">
                  <c:v>2703.7</c:v>
                </c:pt>
                <c:pt idx="140">
                  <c:v>2705.2</c:v>
                </c:pt>
                <c:pt idx="141">
                  <c:v>2706.6</c:v>
                </c:pt>
                <c:pt idx="142">
                  <c:v>2708.1</c:v>
                </c:pt>
                <c:pt idx="143">
                  <c:v>2709.5</c:v>
                </c:pt>
                <c:pt idx="144">
                  <c:v>2710.9</c:v>
                </c:pt>
                <c:pt idx="145">
                  <c:v>2712.3</c:v>
                </c:pt>
                <c:pt idx="146">
                  <c:v>2713.8</c:v>
                </c:pt>
                <c:pt idx="147">
                  <c:v>2715.2</c:v>
                </c:pt>
                <c:pt idx="148">
                  <c:v>2716.6</c:v>
                </c:pt>
                <c:pt idx="149">
                  <c:v>2717.9</c:v>
                </c:pt>
                <c:pt idx="150">
                  <c:v>2719.3</c:v>
                </c:pt>
                <c:pt idx="151">
                  <c:v>2720.7</c:v>
                </c:pt>
                <c:pt idx="152">
                  <c:v>2722.1</c:v>
                </c:pt>
                <c:pt idx="153">
                  <c:v>2723.4</c:v>
                </c:pt>
                <c:pt idx="154">
                  <c:v>2724.8</c:v>
                </c:pt>
                <c:pt idx="155">
                  <c:v>2726.1</c:v>
                </c:pt>
                <c:pt idx="156">
                  <c:v>2727.4</c:v>
                </c:pt>
                <c:pt idx="157">
                  <c:v>2728.8</c:v>
                </c:pt>
                <c:pt idx="158">
                  <c:v>2730.1</c:v>
                </c:pt>
                <c:pt idx="159">
                  <c:v>2731.4</c:v>
                </c:pt>
                <c:pt idx="160">
                  <c:v>2732.7</c:v>
                </c:pt>
                <c:pt idx="161">
                  <c:v>2734</c:v>
                </c:pt>
                <c:pt idx="162">
                  <c:v>2735.2</c:v>
                </c:pt>
                <c:pt idx="163">
                  <c:v>2736.5</c:v>
                </c:pt>
                <c:pt idx="164">
                  <c:v>2737.8</c:v>
                </c:pt>
                <c:pt idx="165">
                  <c:v>2739</c:v>
                </c:pt>
                <c:pt idx="166">
                  <c:v>2740.3</c:v>
                </c:pt>
                <c:pt idx="167">
                  <c:v>2741.5</c:v>
                </c:pt>
                <c:pt idx="168">
                  <c:v>2742.7</c:v>
                </c:pt>
                <c:pt idx="169">
                  <c:v>2743.9</c:v>
                </c:pt>
                <c:pt idx="170">
                  <c:v>2745.1</c:v>
                </c:pt>
                <c:pt idx="171">
                  <c:v>2746.3</c:v>
                </c:pt>
                <c:pt idx="172">
                  <c:v>2747.5</c:v>
                </c:pt>
                <c:pt idx="173">
                  <c:v>2748.7</c:v>
                </c:pt>
                <c:pt idx="174">
                  <c:v>2749.8</c:v>
                </c:pt>
                <c:pt idx="175">
                  <c:v>2751</c:v>
                </c:pt>
                <c:pt idx="176">
                  <c:v>2752.1</c:v>
                </c:pt>
                <c:pt idx="177">
                  <c:v>2753.3</c:v>
                </c:pt>
                <c:pt idx="178">
                  <c:v>2754.4</c:v>
                </c:pt>
                <c:pt idx="179">
                  <c:v>2755.5</c:v>
                </c:pt>
                <c:pt idx="180">
                  <c:v>2756.6</c:v>
                </c:pt>
                <c:pt idx="181">
                  <c:v>2757.7</c:v>
                </c:pt>
                <c:pt idx="182">
                  <c:v>2758.8</c:v>
                </c:pt>
                <c:pt idx="183">
                  <c:v>2759.8</c:v>
                </c:pt>
                <c:pt idx="184">
                  <c:v>2760.9</c:v>
                </c:pt>
                <c:pt idx="185">
                  <c:v>2761.9</c:v>
                </c:pt>
                <c:pt idx="186">
                  <c:v>2763</c:v>
                </c:pt>
                <c:pt idx="187">
                  <c:v>2764</c:v>
                </c:pt>
                <c:pt idx="188">
                  <c:v>2765</c:v>
                </c:pt>
                <c:pt idx="189">
                  <c:v>2766</c:v>
                </c:pt>
                <c:pt idx="190">
                  <c:v>2767</c:v>
                </c:pt>
                <c:pt idx="191">
                  <c:v>2768</c:v>
                </c:pt>
                <c:pt idx="192">
                  <c:v>2768.9</c:v>
                </c:pt>
                <c:pt idx="193">
                  <c:v>2769.9</c:v>
                </c:pt>
                <c:pt idx="194">
                  <c:v>2770.8</c:v>
                </c:pt>
                <c:pt idx="195">
                  <c:v>2771.8</c:v>
                </c:pt>
                <c:pt idx="196">
                  <c:v>2772.7</c:v>
                </c:pt>
                <c:pt idx="197">
                  <c:v>2773.6</c:v>
                </c:pt>
                <c:pt idx="198">
                  <c:v>2774.5</c:v>
                </c:pt>
                <c:pt idx="199">
                  <c:v>2775.3</c:v>
                </c:pt>
                <c:pt idx="200">
                  <c:v>2776.2</c:v>
                </c:pt>
                <c:pt idx="201">
                  <c:v>2777.1</c:v>
                </c:pt>
                <c:pt idx="202">
                  <c:v>2777.9</c:v>
                </c:pt>
                <c:pt idx="203">
                  <c:v>2778.7</c:v>
                </c:pt>
                <c:pt idx="204">
                  <c:v>2779.6</c:v>
                </c:pt>
                <c:pt idx="205">
                  <c:v>2780.4</c:v>
                </c:pt>
                <c:pt idx="206">
                  <c:v>2781.2</c:v>
                </c:pt>
                <c:pt idx="207">
                  <c:v>2781.9</c:v>
                </c:pt>
                <c:pt idx="208">
                  <c:v>2782.7</c:v>
                </c:pt>
                <c:pt idx="209">
                  <c:v>2783.5</c:v>
                </c:pt>
                <c:pt idx="210">
                  <c:v>2784.2</c:v>
                </c:pt>
                <c:pt idx="211">
                  <c:v>2784.9</c:v>
                </c:pt>
                <c:pt idx="212">
                  <c:v>2785.6</c:v>
                </c:pt>
                <c:pt idx="213">
                  <c:v>2786.3</c:v>
                </c:pt>
                <c:pt idx="214">
                  <c:v>2787</c:v>
                </c:pt>
                <c:pt idx="215">
                  <c:v>2787.7</c:v>
                </c:pt>
                <c:pt idx="216">
                  <c:v>2788.3</c:v>
                </c:pt>
                <c:pt idx="217">
                  <c:v>2789</c:v>
                </c:pt>
                <c:pt idx="218">
                  <c:v>2789.6</c:v>
                </c:pt>
                <c:pt idx="219">
                  <c:v>2790.2</c:v>
                </c:pt>
                <c:pt idx="220">
                  <c:v>2790.8</c:v>
                </c:pt>
                <c:pt idx="221">
                  <c:v>2791.4</c:v>
                </c:pt>
                <c:pt idx="222">
                  <c:v>2792</c:v>
                </c:pt>
                <c:pt idx="223">
                  <c:v>2792.5</c:v>
                </c:pt>
                <c:pt idx="224">
                  <c:v>2793.1</c:v>
                </c:pt>
                <c:pt idx="225">
                  <c:v>2793.6</c:v>
                </c:pt>
                <c:pt idx="226">
                  <c:v>2794.1</c:v>
                </c:pt>
                <c:pt idx="227">
                  <c:v>2794.6</c:v>
                </c:pt>
                <c:pt idx="228">
                  <c:v>2795.1</c:v>
                </c:pt>
                <c:pt idx="229">
                  <c:v>2795.6</c:v>
                </c:pt>
                <c:pt idx="230">
                  <c:v>2796</c:v>
                </c:pt>
                <c:pt idx="231">
                  <c:v>2796.4</c:v>
                </c:pt>
                <c:pt idx="232">
                  <c:v>2796.9</c:v>
                </c:pt>
                <c:pt idx="233">
                  <c:v>2797.3</c:v>
                </c:pt>
                <c:pt idx="234">
                  <c:v>2797.7</c:v>
                </c:pt>
                <c:pt idx="235">
                  <c:v>2798</c:v>
                </c:pt>
                <c:pt idx="236">
                  <c:v>2798.4</c:v>
                </c:pt>
                <c:pt idx="237">
                  <c:v>2798.7</c:v>
                </c:pt>
                <c:pt idx="238">
                  <c:v>2799</c:v>
                </c:pt>
                <c:pt idx="239">
                  <c:v>2799.3</c:v>
                </c:pt>
                <c:pt idx="240">
                  <c:v>2799.6</c:v>
                </c:pt>
                <c:pt idx="241">
                  <c:v>2799.9</c:v>
                </c:pt>
                <c:pt idx="242">
                  <c:v>2800.2</c:v>
                </c:pt>
                <c:pt idx="243">
                  <c:v>2800.4</c:v>
                </c:pt>
                <c:pt idx="244">
                  <c:v>2800.6</c:v>
                </c:pt>
                <c:pt idx="245">
                  <c:v>2800.8</c:v>
                </c:pt>
                <c:pt idx="246">
                  <c:v>2801</c:v>
                </c:pt>
                <c:pt idx="247">
                  <c:v>2801.2</c:v>
                </c:pt>
                <c:pt idx="248">
                  <c:v>2801.3</c:v>
                </c:pt>
                <c:pt idx="249">
                  <c:v>2801.5</c:v>
                </c:pt>
                <c:pt idx="250">
                  <c:v>2801.6</c:v>
                </c:pt>
                <c:pt idx="251">
                  <c:v>2801.7</c:v>
                </c:pt>
                <c:pt idx="252">
                  <c:v>2801.8</c:v>
                </c:pt>
                <c:pt idx="253">
                  <c:v>2801.8</c:v>
                </c:pt>
                <c:pt idx="254">
                  <c:v>2801.9</c:v>
                </c:pt>
                <c:pt idx="255">
                  <c:v>2801.9</c:v>
                </c:pt>
                <c:pt idx="256">
                  <c:v>2801.9</c:v>
                </c:pt>
                <c:pt idx="257">
                  <c:v>2801.9</c:v>
                </c:pt>
                <c:pt idx="258">
                  <c:v>2801.9</c:v>
                </c:pt>
                <c:pt idx="259">
                  <c:v>2801.8</c:v>
                </c:pt>
                <c:pt idx="260">
                  <c:v>2801.7</c:v>
                </c:pt>
                <c:pt idx="261">
                  <c:v>2801.6</c:v>
                </c:pt>
                <c:pt idx="262">
                  <c:v>2801.5</c:v>
                </c:pt>
                <c:pt idx="263">
                  <c:v>2801.4</c:v>
                </c:pt>
                <c:pt idx="264">
                  <c:v>2801.2</c:v>
                </c:pt>
                <c:pt idx="265">
                  <c:v>2801</c:v>
                </c:pt>
                <c:pt idx="266">
                  <c:v>2800.8</c:v>
                </c:pt>
                <c:pt idx="267">
                  <c:v>2800.6</c:v>
                </c:pt>
                <c:pt idx="268">
                  <c:v>2800.4</c:v>
                </c:pt>
                <c:pt idx="269">
                  <c:v>2800.1</c:v>
                </c:pt>
                <c:pt idx="270">
                  <c:v>2799.8</c:v>
                </c:pt>
                <c:pt idx="271">
                  <c:v>2799.5</c:v>
                </c:pt>
                <c:pt idx="272">
                  <c:v>2799.2</c:v>
                </c:pt>
                <c:pt idx="273">
                  <c:v>2798.9</c:v>
                </c:pt>
                <c:pt idx="274">
                  <c:v>2798.5</c:v>
                </c:pt>
                <c:pt idx="275">
                  <c:v>2798.1</c:v>
                </c:pt>
                <c:pt idx="276">
                  <c:v>2797.7</c:v>
                </c:pt>
                <c:pt idx="277">
                  <c:v>2797.2</c:v>
                </c:pt>
                <c:pt idx="278">
                  <c:v>2796.8</c:v>
                </c:pt>
                <c:pt idx="279">
                  <c:v>2796.3</c:v>
                </c:pt>
                <c:pt idx="280">
                  <c:v>2795.7</c:v>
                </c:pt>
                <c:pt idx="281">
                  <c:v>2795.2</c:v>
                </c:pt>
                <c:pt idx="282">
                  <c:v>2794.6</c:v>
                </c:pt>
                <c:pt idx="283">
                  <c:v>2794</c:v>
                </c:pt>
                <c:pt idx="284">
                  <c:v>2793.4</c:v>
                </c:pt>
                <c:pt idx="285">
                  <c:v>2792.8</c:v>
                </c:pt>
                <c:pt idx="286">
                  <c:v>2792.1</c:v>
                </c:pt>
                <c:pt idx="287">
                  <c:v>2791.4</c:v>
                </c:pt>
                <c:pt idx="288">
                  <c:v>2790.7</c:v>
                </c:pt>
                <c:pt idx="289">
                  <c:v>2789.9</c:v>
                </c:pt>
                <c:pt idx="290">
                  <c:v>2789.1</c:v>
                </c:pt>
                <c:pt idx="291">
                  <c:v>2788.3</c:v>
                </c:pt>
                <c:pt idx="292">
                  <c:v>2787.5</c:v>
                </c:pt>
                <c:pt idx="293">
                  <c:v>2786.6</c:v>
                </c:pt>
                <c:pt idx="294">
                  <c:v>2785.7</c:v>
                </c:pt>
                <c:pt idx="295">
                  <c:v>2784.8</c:v>
                </c:pt>
                <c:pt idx="296">
                  <c:v>2783.8</c:v>
                </c:pt>
                <c:pt idx="297">
                  <c:v>2782.8</c:v>
                </c:pt>
                <c:pt idx="298">
                  <c:v>2781.8</c:v>
                </c:pt>
                <c:pt idx="299">
                  <c:v>2780.8</c:v>
                </c:pt>
                <c:pt idx="300">
                  <c:v>2779.7</c:v>
                </c:pt>
                <c:pt idx="301">
                  <c:v>2778.6</c:v>
                </c:pt>
                <c:pt idx="302">
                  <c:v>2777.4</c:v>
                </c:pt>
                <c:pt idx="303">
                  <c:v>2776.2</c:v>
                </c:pt>
                <c:pt idx="304">
                  <c:v>2775</c:v>
                </c:pt>
                <c:pt idx="305">
                  <c:v>2773.7</c:v>
                </c:pt>
                <c:pt idx="306">
                  <c:v>2772.4</c:v>
                </c:pt>
                <c:pt idx="307">
                  <c:v>2771.1</c:v>
                </c:pt>
                <c:pt idx="308">
                  <c:v>2769.8</c:v>
                </c:pt>
                <c:pt idx="309">
                  <c:v>2768.4</c:v>
                </c:pt>
                <c:pt idx="310">
                  <c:v>2766.9</c:v>
                </c:pt>
                <c:pt idx="311">
                  <c:v>2765.4</c:v>
                </c:pt>
                <c:pt idx="312">
                  <c:v>2763.9</c:v>
                </c:pt>
                <c:pt idx="313">
                  <c:v>2762.3</c:v>
                </c:pt>
                <c:pt idx="314">
                  <c:v>2760.8</c:v>
                </c:pt>
                <c:pt idx="315">
                  <c:v>2759.1</c:v>
                </c:pt>
                <c:pt idx="316">
                  <c:v>2757.5</c:v>
                </c:pt>
                <c:pt idx="317">
                  <c:v>2755.7</c:v>
                </c:pt>
                <c:pt idx="318">
                  <c:v>2754</c:v>
                </c:pt>
                <c:pt idx="319">
                  <c:v>2752.2</c:v>
                </c:pt>
                <c:pt idx="320">
                  <c:v>2750.3</c:v>
                </c:pt>
                <c:pt idx="321">
                  <c:v>2748.4</c:v>
                </c:pt>
                <c:pt idx="322">
                  <c:v>2746.5</c:v>
                </c:pt>
                <c:pt idx="323">
                  <c:v>2744.5</c:v>
                </c:pt>
                <c:pt idx="324">
                  <c:v>2742.5</c:v>
                </c:pt>
                <c:pt idx="325">
                  <c:v>2740.4</c:v>
                </c:pt>
                <c:pt idx="326">
                  <c:v>2738.3</c:v>
                </c:pt>
                <c:pt idx="327">
                  <c:v>2736.1</c:v>
                </c:pt>
                <c:pt idx="328">
                  <c:v>2733.8</c:v>
                </c:pt>
                <c:pt idx="329">
                  <c:v>2731.5</c:v>
                </c:pt>
                <c:pt idx="330">
                  <c:v>2729.2</c:v>
                </c:pt>
                <c:pt idx="331">
                  <c:v>2726.8</c:v>
                </c:pt>
                <c:pt idx="332">
                  <c:v>2724.4</c:v>
                </c:pt>
                <c:pt idx="333">
                  <c:v>2721.8</c:v>
                </c:pt>
                <c:pt idx="334">
                  <c:v>2719.3</c:v>
                </c:pt>
                <c:pt idx="335">
                  <c:v>2716.7</c:v>
                </c:pt>
                <c:pt idx="336">
                  <c:v>2714</c:v>
                </c:pt>
                <c:pt idx="337">
                  <c:v>2711.2</c:v>
                </c:pt>
                <c:pt idx="338">
                  <c:v>2708.4</c:v>
                </c:pt>
                <c:pt idx="339">
                  <c:v>2705.6</c:v>
                </c:pt>
                <c:pt idx="340">
                  <c:v>2702.6</c:v>
                </c:pt>
                <c:pt idx="341">
                  <c:v>2699.6</c:v>
                </c:pt>
                <c:pt idx="342">
                  <c:v>2696.6</c:v>
                </c:pt>
                <c:pt idx="343">
                  <c:v>2693.4</c:v>
                </c:pt>
                <c:pt idx="344">
                  <c:v>2690.2</c:v>
                </c:pt>
                <c:pt idx="345">
                  <c:v>2686.9</c:v>
                </c:pt>
                <c:pt idx="346">
                  <c:v>2683.6</c:v>
                </c:pt>
                <c:pt idx="347">
                  <c:v>2680.1</c:v>
                </c:pt>
                <c:pt idx="348">
                  <c:v>2676.6</c:v>
                </c:pt>
                <c:pt idx="349">
                  <c:v>2673</c:v>
                </c:pt>
                <c:pt idx="350">
                  <c:v>2669.3</c:v>
                </c:pt>
                <c:pt idx="351">
                  <c:v>2665.5</c:v>
                </c:pt>
                <c:pt idx="352">
                  <c:v>2661.7</c:v>
                </c:pt>
                <c:pt idx="353">
                  <c:v>2657.8</c:v>
                </c:pt>
                <c:pt idx="354">
                  <c:v>2653.8</c:v>
                </c:pt>
                <c:pt idx="355">
                  <c:v>2649.6</c:v>
                </c:pt>
                <c:pt idx="356">
                  <c:v>2645.4</c:v>
                </c:pt>
                <c:pt idx="357">
                  <c:v>2641.1</c:v>
                </c:pt>
                <c:pt idx="358">
                  <c:v>2636.6</c:v>
                </c:pt>
                <c:pt idx="359">
                  <c:v>2632.1</c:v>
                </c:pt>
                <c:pt idx="360">
                  <c:v>2627.4</c:v>
                </c:pt>
                <c:pt idx="361">
                  <c:v>2622.3</c:v>
                </c:pt>
                <c:pt idx="362">
                  <c:v>2617.3</c:v>
                </c:pt>
                <c:pt idx="363">
                  <c:v>2612.2</c:v>
                </c:pt>
                <c:pt idx="364">
                  <c:v>2607</c:v>
                </c:pt>
                <c:pt idx="365">
                  <c:v>2601.7</c:v>
                </c:pt>
                <c:pt idx="366">
                  <c:v>2596.2</c:v>
                </c:pt>
                <c:pt idx="367">
                  <c:v>2590.5</c:v>
                </c:pt>
                <c:pt idx="368">
                  <c:v>2584.6</c:v>
                </c:pt>
                <c:pt idx="369">
                  <c:v>2578.6</c:v>
                </c:pt>
                <c:pt idx="370">
                  <c:v>2572.5</c:v>
                </c:pt>
                <c:pt idx="371">
                  <c:v>2566.1</c:v>
                </c:pt>
                <c:pt idx="372">
                  <c:v>2559.1</c:v>
                </c:pt>
                <c:pt idx="373">
                  <c:v>2552.6</c:v>
                </c:pt>
                <c:pt idx="374">
                  <c:v>2545.5</c:v>
                </c:pt>
                <c:pt idx="375">
                  <c:v>2538.2</c:v>
                </c:pt>
                <c:pt idx="376">
                  <c:v>2530.5</c:v>
                </c:pt>
                <c:pt idx="377">
                  <c:v>2522.5</c:v>
                </c:pt>
                <c:pt idx="378">
                  <c:v>2514</c:v>
                </c:pt>
                <c:pt idx="379">
                  <c:v>2505.2</c:v>
                </c:pt>
                <c:pt idx="380">
                  <c:v>2495.7</c:v>
                </c:pt>
                <c:pt idx="381">
                  <c:v>2485.7</c:v>
                </c:pt>
                <c:pt idx="382">
                  <c:v>2475</c:v>
                </c:pt>
                <c:pt idx="383">
                  <c:v>2463.5</c:v>
                </c:pt>
                <c:pt idx="384">
                  <c:v>2451.2</c:v>
                </c:pt>
                <c:pt idx="385">
                  <c:v>2438.1</c:v>
                </c:pt>
                <c:pt idx="386">
                  <c:v>2424.2</c:v>
                </c:pt>
                <c:pt idx="387">
                  <c:v>2409.3</c:v>
                </c:pt>
                <c:pt idx="388">
                  <c:v>2393.4</c:v>
                </c:pt>
                <c:pt idx="389">
                  <c:v>2376.1</c:v>
                </c:pt>
                <c:pt idx="390">
                  <c:v>2357.1</c:v>
                </c:pt>
                <c:pt idx="391">
                  <c:v>2335.7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11008"/>
        <c:axId val="178412544"/>
      </c:scatterChart>
      <c:valAx>
        <c:axId val="178411008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412544"/>
        <c:crosses val="autoZero"/>
        <c:crossBetween val="midCat"/>
      </c:valAx>
      <c:valAx>
        <c:axId val="17841254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411008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131a4f-a0ca-4dc0-98fb-45282294d4ca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Пр3!$H$1</c:f>
              <c:strCache>
                <c:ptCount val="1"/>
                <c:pt idx="0">
                  <c:v>Удельная теплота испарения r, кДж/кг</c:v>
                </c:pt>
              </c:strCache>
            </c:strRef>
          </c:tx>
          <c:dLbls>
            <c:delete val="1"/>
          </c:dLbls>
          <c:xVal>
            <c:numRef>
              <c:f>Пр3!$A$2:$A$393</c:f>
              <c:numCache>
                <c:formatCode>0.0</c:formatCode>
                <c:ptCount val="392"/>
                <c:pt idx="0">
                  <c:v>0</c:v>
                </c:pt>
                <c:pt idx="1" c:formatCode="0.00">
                  <c:v>0.01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  <c:pt idx="25">
                  <c:v>19.5</c:v>
                </c:pt>
                <c:pt idx="26">
                  <c:v>20</c:v>
                </c:pt>
                <c:pt idx="27">
                  <c:v>20.5</c:v>
                </c:pt>
                <c:pt idx="28">
                  <c:v>21</c:v>
                </c:pt>
                <c:pt idx="29">
                  <c:v>21.5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  <c:pt idx="33">
                  <c:v>23.5</c:v>
                </c:pt>
                <c:pt idx="34">
                  <c:v>24</c:v>
                </c:pt>
                <c:pt idx="35">
                  <c:v>24.5</c:v>
                </c:pt>
                <c:pt idx="36">
                  <c:v>25</c:v>
                </c:pt>
                <c:pt idx="37">
                  <c:v>25.5</c:v>
                </c:pt>
                <c:pt idx="38">
                  <c:v>26</c:v>
                </c:pt>
                <c:pt idx="39">
                  <c:v>26.5</c:v>
                </c:pt>
                <c:pt idx="40">
                  <c:v>27</c:v>
                </c:pt>
                <c:pt idx="41">
                  <c:v>27.5</c:v>
                </c:pt>
                <c:pt idx="42">
                  <c:v>28</c:v>
                </c:pt>
                <c:pt idx="43">
                  <c:v>28.5</c:v>
                </c:pt>
                <c:pt idx="44">
                  <c:v>29</c:v>
                </c:pt>
                <c:pt idx="45">
                  <c:v>29.5</c:v>
                </c:pt>
                <c:pt idx="46">
                  <c:v>30</c:v>
                </c:pt>
                <c:pt idx="47">
                  <c:v>30.5</c:v>
                </c:pt>
                <c:pt idx="48">
                  <c:v>31</c:v>
                </c:pt>
                <c:pt idx="49">
                  <c:v>31.5</c:v>
                </c:pt>
                <c:pt idx="50">
                  <c:v>32</c:v>
                </c:pt>
                <c:pt idx="51">
                  <c:v>32.5</c:v>
                </c:pt>
                <c:pt idx="52">
                  <c:v>33</c:v>
                </c:pt>
                <c:pt idx="53">
                  <c:v>33.5</c:v>
                </c:pt>
                <c:pt idx="54">
                  <c:v>34</c:v>
                </c:pt>
                <c:pt idx="55">
                  <c:v>34.5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 c:formatCode="0">
                  <c:v>100</c:v>
                </c:pt>
                <c:pt idx="122" c:formatCode="0">
                  <c:v>101</c:v>
                </c:pt>
                <c:pt idx="123" c:formatCode="0">
                  <c:v>102</c:v>
                </c:pt>
                <c:pt idx="124" c:formatCode="0">
                  <c:v>103</c:v>
                </c:pt>
                <c:pt idx="125" c:formatCode="0">
                  <c:v>104</c:v>
                </c:pt>
                <c:pt idx="126" c:formatCode="0">
                  <c:v>105</c:v>
                </c:pt>
                <c:pt idx="127" c:formatCode="0">
                  <c:v>106</c:v>
                </c:pt>
                <c:pt idx="128" c:formatCode="0">
                  <c:v>107</c:v>
                </c:pt>
                <c:pt idx="129" c:formatCode="0">
                  <c:v>108</c:v>
                </c:pt>
                <c:pt idx="130" c:formatCode="0">
                  <c:v>109</c:v>
                </c:pt>
                <c:pt idx="131" c:formatCode="0">
                  <c:v>110</c:v>
                </c:pt>
                <c:pt idx="132" c:formatCode="0">
                  <c:v>111</c:v>
                </c:pt>
                <c:pt idx="133" c:formatCode="0">
                  <c:v>112</c:v>
                </c:pt>
                <c:pt idx="134" c:formatCode="0">
                  <c:v>113</c:v>
                </c:pt>
                <c:pt idx="135" c:formatCode="0">
                  <c:v>114</c:v>
                </c:pt>
                <c:pt idx="136" c:formatCode="0">
                  <c:v>115</c:v>
                </c:pt>
                <c:pt idx="137" c:formatCode="0">
                  <c:v>116</c:v>
                </c:pt>
                <c:pt idx="138" c:formatCode="0">
                  <c:v>117</c:v>
                </c:pt>
                <c:pt idx="139" c:formatCode="0">
                  <c:v>118</c:v>
                </c:pt>
                <c:pt idx="140" c:formatCode="0">
                  <c:v>119</c:v>
                </c:pt>
                <c:pt idx="141" c:formatCode="0">
                  <c:v>120</c:v>
                </c:pt>
                <c:pt idx="142" c:formatCode="0">
                  <c:v>121</c:v>
                </c:pt>
                <c:pt idx="143" c:formatCode="0">
                  <c:v>122</c:v>
                </c:pt>
                <c:pt idx="144" c:formatCode="0">
                  <c:v>123</c:v>
                </c:pt>
                <c:pt idx="145" c:formatCode="0">
                  <c:v>124</c:v>
                </c:pt>
                <c:pt idx="146" c:formatCode="0">
                  <c:v>125</c:v>
                </c:pt>
                <c:pt idx="147" c:formatCode="0">
                  <c:v>126</c:v>
                </c:pt>
                <c:pt idx="148" c:formatCode="0">
                  <c:v>127</c:v>
                </c:pt>
                <c:pt idx="149" c:formatCode="0">
                  <c:v>128</c:v>
                </c:pt>
                <c:pt idx="150" c:formatCode="0">
                  <c:v>129</c:v>
                </c:pt>
                <c:pt idx="151" c:formatCode="0">
                  <c:v>130</c:v>
                </c:pt>
                <c:pt idx="152" c:formatCode="0">
                  <c:v>131</c:v>
                </c:pt>
                <c:pt idx="153" c:formatCode="0">
                  <c:v>132</c:v>
                </c:pt>
                <c:pt idx="154" c:formatCode="0">
                  <c:v>133</c:v>
                </c:pt>
                <c:pt idx="155" c:formatCode="0">
                  <c:v>134</c:v>
                </c:pt>
                <c:pt idx="156" c:formatCode="0">
                  <c:v>135</c:v>
                </c:pt>
                <c:pt idx="157" c:formatCode="0">
                  <c:v>136</c:v>
                </c:pt>
                <c:pt idx="158" c:formatCode="0">
                  <c:v>137</c:v>
                </c:pt>
                <c:pt idx="159" c:formatCode="0">
                  <c:v>138</c:v>
                </c:pt>
                <c:pt idx="160" c:formatCode="0">
                  <c:v>139</c:v>
                </c:pt>
                <c:pt idx="161" c:formatCode="0">
                  <c:v>140</c:v>
                </c:pt>
                <c:pt idx="162" c:formatCode="0">
                  <c:v>141</c:v>
                </c:pt>
                <c:pt idx="163" c:formatCode="0">
                  <c:v>142</c:v>
                </c:pt>
                <c:pt idx="164" c:formatCode="0">
                  <c:v>143</c:v>
                </c:pt>
                <c:pt idx="165" c:formatCode="0">
                  <c:v>144</c:v>
                </c:pt>
                <c:pt idx="166" c:formatCode="0">
                  <c:v>145</c:v>
                </c:pt>
                <c:pt idx="167" c:formatCode="0">
                  <c:v>146</c:v>
                </c:pt>
                <c:pt idx="168" c:formatCode="0">
                  <c:v>147</c:v>
                </c:pt>
                <c:pt idx="169" c:formatCode="0">
                  <c:v>148</c:v>
                </c:pt>
                <c:pt idx="170" c:formatCode="0">
                  <c:v>149</c:v>
                </c:pt>
                <c:pt idx="171" c:formatCode="0">
                  <c:v>150</c:v>
                </c:pt>
                <c:pt idx="172" c:formatCode="0">
                  <c:v>151</c:v>
                </c:pt>
                <c:pt idx="173" c:formatCode="0">
                  <c:v>152</c:v>
                </c:pt>
                <c:pt idx="174" c:formatCode="0">
                  <c:v>153</c:v>
                </c:pt>
                <c:pt idx="175" c:formatCode="0">
                  <c:v>154</c:v>
                </c:pt>
                <c:pt idx="176" c:formatCode="0">
                  <c:v>155</c:v>
                </c:pt>
                <c:pt idx="177" c:formatCode="0">
                  <c:v>156</c:v>
                </c:pt>
                <c:pt idx="178" c:formatCode="0">
                  <c:v>157</c:v>
                </c:pt>
                <c:pt idx="179" c:formatCode="0">
                  <c:v>158</c:v>
                </c:pt>
                <c:pt idx="180" c:formatCode="0">
                  <c:v>159</c:v>
                </c:pt>
                <c:pt idx="181" c:formatCode="0">
                  <c:v>160</c:v>
                </c:pt>
                <c:pt idx="182" c:formatCode="0">
                  <c:v>161</c:v>
                </c:pt>
                <c:pt idx="183" c:formatCode="0">
                  <c:v>162</c:v>
                </c:pt>
                <c:pt idx="184" c:formatCode="0">
                  <c:v>163</c:v>
                </c:pt>
                <c:pt idx="185" c:formatCode="0">
                  <c:v>164</c:v>
                </c:pt>
                <c:pt idx="186" c:formatCode="0">
                  <c:v>165</c:v>
                </c:pt>
                <c:pt idx="187" c:formatCode="0">
                  <c:v>166</c:v>
                </c:pt>
                <c:pt idx="188" c:formatCode="0">
                  <c:v>167</c:v>
                </c:pt>
                <c:pt idx="189" c:formatCode="0">
                  <c:v>168</c:v>
                </c:pt>
                <c:pt idx="190" c:formatCode="0">
                  <c:v>169</c:v>
                </c:pt>
                <c:pt idx="191" c:formatCode="0">
                  <c:v>170</c:v>
                </c:pt>
                <c:pt idx="192" c:formatCode="0">
                  <c:v>171</c:v>
                </c:pt>
                <c:pt idx="193" c:formatCode="0">
                  <c:v>172</c:v>
                </c:pt>
                <c:pt idx="194" c:formatCode="0">
                  <c:v>173</c:v>
                </c:pt>
                <c:pt idx="195" c:formatCode="0">
                  <c:v>174</c:v>
                </c:pt>
                <c:pt idx="196" c:formatCode="0">
                  <c:v>175</c:v>
                </c:pt>
                <c:pt idx="197" c:formatCode="0">
                  <c:v>176</c:v>
                </c:pt>
                <c:pt idx="198" c:formatCode="0">
                  <c:v>177</c:v>
                </c:pt>
                <c:pt idx="199" c:formatCode="0">
                  <c:v>178</c:v>
                </c:pt>
                <c:pt idx="200" c:formatCode="0">
                  <c:v>179</c:v>
                </c:pt>
                <c:pt idx="201" c:formatCode="0">
                  <c:v>180</c:v>
                </c:pt>
                <c:pt idx="202" c:formatCode="0">
                  <c:v>181</c:v>
                </c:pt>
                <c:pt idx="203" c:formatCode="0">
                  <c:v>182</c:v>
                </c:pt>
                <c:pt idx="204" c:formatCode="0">
                  <c:v>183</c:v>
                </c:pt>
                <c:pt idx="205" c:formatCode="0">
                  <c:v>184</c:v>
                </c:pt>
                <c:pt idx="206" c:formatCode="0">
                  <c:v>185</c:v>
                </c:pt>
                <c:pt idx="207" c:formatCode="0">
                  <c:v>186</c:v>
                </c:pt>
                <c:pt idx="208" c:formatCode="0">
                  <c:v>187</c:v>
                </c:pt>
                <c:pt idx="209" c:formatCode="0">
                  <c:v>188</c:v>
                </c:pt>
                <c:pt idx="210" c:formatCode="0">
                  <c:v>189</c:v>
                </c:pt>
                <c:pt idx="211" c:formatCode="0">
                  <c:v>190</c:v>
                </c:pt>
                <c:pt idx="212" c:formatCode="0">
                  <c:v>191</c:v>
                </c:pt>
                <c:pt idx="213" c:formatCode="0">
                  <c:v>192</c:v>
                </c:pt>
                <c:pt idx="214" c:formatCode="0">
                  <c:v>193</c:v>
                </c:pt>
                <c:pt idx="215" c:formatCode="0">
                  <c:v>194</c:v>
                </c:pt>
                <c:pt idx="216" c:formatCode="0">
                  <c:v>195</c:v>
                </c:pt>
                <c:pt idx="217" c:formatCode="0">
                  <c:v>196</c:v>
                </c:pt>
                <c:pt idx="218" c:formatCode="0">
                  <c:v>197</c:v>
                </c:pt>
                <c:pt idx="219" c:formatCode="0">
                  <c:v>198</c:v>
                </c:pt>
                <c:pt idx="220" c:formatCode="0">
                  <c:v>199</c:v>
                </c:pt>
                <c:pt idx="221" c:formatCode="0">
                  <c:v>200</c:v>
                </c:pt>
                <c:pt idx="222" c:formatCode="0">
                  <c:v>201</c:v>
                </c:pt>
                <c:pt idx="223" c:formatCode="0">
                  <c:v>202</c:v>
                </c:pt>
                <c:pt idx="224" c:formatCode="0">
                  <c:v>203</c:v>
                </c:pt>
                <c:pt idx="225" c:formatCode="0">
                  <c:v>204</c:v>
                </c:pt>
                <c:pt idx="226" c:formatCode="0">
                  <c:v>205</c:v>
                </c:pt>
                <c:pt idx="227" c:formatCode="0">
                  <c:v>206</c:v>
                </c:pt>
                <c:pt idx="228" c:formatCode="0">
                  <c:v>207</c:v>
                </c:pt>
                <c:pt idx="229" c:formatCode="0">
                  <c:v>208</c:v>
                </c:pt>
                <c:pt idx="230" c:formatCode="0">
                  <c:v>209</c:v>
                </c:pt>
                <c:pt idx="231" c:formatCode="0">
                  <c:v>210</c:v>
                </c:pt>
                <c:pt idx="232" c:formatCode="0">
                  <c:v>211</c:v>
                </c:pt>
                <c:pt idx="233" c:formatCode="0">
                  <c:v>212</c:v>
                </c:pt>
                <c:pt idx="234" c:formatCode="0">
                  <c:v>213</c:v>
                </c:pt>
                <c:pt idx="235" c:formatCode="0">
                  <c:v>214</c:v>
                </c:pt>
                <c:pt idx="236" c:formatCode="0">
                  <c:v>215</c:v>
                </c:pt>
                <c:pt idx="237" c:formatCode="0">
                  <c:v>216</c:v>
                </c:pt>
                <c:pt idx="238" c:formatCode="0">
                  <c:v>217</c:v>
                </c:pt>
                <c:pt idx="239" c:formatCode="0">
                  <c:v>218</c:v>
                </c:pt>
                <c:pt idx="240" c:formatCode="0">
                  <c:v>219</c:v>
                </c:pt>
                <c:pt idx="241" c:formatCode="0">
                  <c:v>220</c:v>
                </c:pt>
                <c:pt idx="242" c:formatCode="0">
                  <c:v>221</c:v>
                </c:pt>
                <c:pt idx="243" c:formatCode="0">
                  <c:v>222</c:v>
                </c:pt>
                <c:pt idx="244" c:formatCode="0">
                  <c:v>223</c:v>
                </c:pt>
                <c:pt idx="245" c:formatCode="0">
                  <c:v>224</c:v>
                </c:pt>
                <c:pt idx="246" c:formatCode="0">
                  <c:v>225</c:v>
                </c:pt>
                <c:pt idx="247" c:formatCode="0">
                  <c:v>226</c:v>
                </c:pt>
                <c:pt idx="248" c:formatCode="0">
                  <c:v>227</c:v>
                </c:pt>
                <c:pt idx="249" c:formatCode="0">
                  <c:v>228</c:v>
                </c:pt>
                <c:pt idx="250" c:formatCode="0">
                  <c:v>229</c:v>
                </c:pt>
                <c:pt idx="251" c:formatCode="0">
                  <c:v>230</c:v>
                </c:pt>
                <c:pt idx="252" c:formatCode="0">
                  <c:v>231</c:v>
                </c:pt>
                <c:pt idx="253" c:formatCode="0">
                  <c:v>232</c:v>
                </c:pt>
                <c:pt idx="254" c:formatCode="0">
                  <c:v>233</c:v>
                </c:pt>
                <c:pt idx="255" c:formatCode="0">
                  <c:v>234</c:v>
                </c:pt>
                <c:pt idx="256" c:formatCode="0">
                  <c:v>235</c:v>
                </c:pt>
                <c:pt idx="257" c:formatCode="0">
                  <c:v>236</c:v>
                </c:pt>
                <c:pt idx="258" c:formatCode="0">
                  <c:v>237</c:v>
                </c:pt>
                <c:pt idx="259" c:formatCode="0">
                  <c:v>238</c:v>
                </c:pt>
                <c:pt idx="260" c:formatCode="0">
                  <c:v>239</c:v>
                </c:pt>
                <c:pt idx="261" c:formatCode="0">
                  <c:v>240</c:v>
                </c:pt>
                <c:pt idx="262" c:formatCode="0">
                  <c:v>241</c:v>
                </c:pt>
                <c:pt idx="263" c:formatCode="0">
                  <c:v>242</c:v>
                </c:pt>
                <c:pt idx="264" c:formatCode="0">
                  <c:v>243</c:v>
                </c:pt>
                <c:pt idx="265" c:formatCode="0">
                  <c:v>244</c:v>
                </c:pt>
                <c:pt idx="266" c:formatCode="0">
                  <c:v>245</c:v>
                </c:pt>
                <c:pt idx="267" c:formatCode="0">
                  <c:v>246</c:v>
                </c:pt>
                <c:pt idx="268" c:formatCode="0">
                  <c:v>247</c:v>
                </c:pt>
                <c:pt idx="269" c:formatCode="0">
                  <c:v>248</c:v>
                </c:pt>
                <c:pt idx="270" c:formatCode="0">
                  <c:v>249</c:v>
                </c:pt>
                <c:pt idx="271" c:formatCode="0">
                  <c:v>250</c:v>
                </c:pt>
                <c:pt idx="272" c:formatCode="0">
                  <c:v>251</c:v>
                </c:pt>
                <c:pt idx="273" c:formatCode="0">
                  <c:v>252</c:v>
                </c:pt>
                <c:pt idx="274" c:formatCode="0">
                  <c:v>253</c:v>
                </c:pt>
                <c:pt idx="275" c:formatCode="0">
                  <c:v>254</c:v>
                </c:pt>
                <c:pt idx="276" c:formatCode="0">
                  <c:v>255</c:v>
                </c:pt>
                <c:pt idx="277" c:formatCode="0">
                  <c:v>256</c:v>
                </c:pt>
                <c:pt idx="278" c:formatCode="0">
                  <c:v>257</c:v>
                </c:pt>
                <c:pt idx="279" c:formatCode="0">
                  <c:v>258</c:v>
                </c:pt>
                <c:pt idx="280" c:formatCode="0">
                  <c:v>259</c:v>
                </c:pt>
                <c:pt idx="281" c:formatCode="0">
                  <c:v>260</c:v>
                </c:pt>
                <c:pt idx="282" c:formatCode="0">
                  <c:v>261</c:v>
                </c:pt>
                <c:pt idx="283" c:formatCode="0">
                  <c:v>262</c:v>
                </c:pt>
                <c:pt idx="284" c:formatCode="0">
                  <c:v>263</c:v>
                </c:pt>
                <c:pt idx="285" c:formatCode="0">
                  <c:v>264</c:v>
                </c:pt>
                <c:pt idx="286" c:formatCode="0">
                  <c:v>265</c:v>
                </c:pt>
                <c:pt idx="287" c:formatCode="0">
                  <c:v>266</c:v>
                </c:pt>
                <c:pt idx="288" c:formatCode="0">
                  <c:v>267</c:v>
                </c:pt>
                <c:pt idx="289" c:formatCode="0">
                  <c:v>268</c:v>
                </c:pt>
                <c:pt idx="290" c:formatCode="0">
                  <c:v>269</c:v>
                </c:pt>
                <c:pt idx="291" c:formatCode="0">
                  <c:v>270</c:v>
                </c:pt>
                <c:pt idx="292" c:formatCode="0">
                  <c:v>271</c:v>
                </c:pt>
                <c:pt idx="293" c:formatCode="0">
                  <c:v>272</c:v>
                </c:pt>
                <c:pt idx="294" c:formatCode="0">
                  <c:v>273</c:v>
                </c:pt>
                <c:pt idx="295" c:formatCode="0">
                  <c:v>274</c:v>
                </c:pt>
                <c:pt idx="296" c:formatCode="0">
                  <c:v>275</c:v>
                </c:pt>
                <c:pt idx="297" c:formatCode="0">
                  <c:v>276</c:v>
                </c:pt>
                <c:pt idx="298" c:formatCode="0">
                  <c:v>277</c:v>
                </c:pt>
                <c:pt idx="299" c:formatCode="0">
                  <c:v>278</c:v>
                </c:pt>
                <c:pt idx="300" c:formatCode="0">
                  <c:v>279</c:v>
                </c:pt>
                <c:pt idx="301" c:formatCode="0">
                  <c:v>280</c:v>
                </c:pt>
                <c:pt idx="302" c:formatCode="0">
                  <c:v>281</c:v>
                </c:pt>
                <c:pt idx="303" c:formatCode="0">
                  <c:v>282</c:v>
                </c:pt>
                <c:pt idx="304" c:formatCode="0">
                  <c:v>283</c:v>
                </c:pt>
                <c:pt idx="305" c:formatCode="0">
                  <c:v>284</c:v>
                </c:pt>
                <c:pt idx="306" c:formatCode="0">
                  <c:v>285</c:v>
                </c:pt>
                <c:pt idx="307" c:formatCode="0">
                  <c:v>286</c:v>
                </c:pt>
                <c:pt idx="308" c:formatCode="0">
                  <c:v>287</c:v>
                </c:pt>
                <c:pt idx="309" c:formatCode="0">
                  <c:v>288</c:v>
                </c:pt>
                <c:pt idx="310" c:formatCode="0">
                  <c:v>289</c:v>
                </c:pt>
                <c:pt idx="311" c:formatCode="0">
                  <c:v>290</c:v>
                </c:pt>
                <c:pt idx="312" c:formatCode="0">
                  <c:v>291</c:v>
                </c:pt>
                <c:pt idx="313" c:formatCode="0">
                  <c:v>292</c:v>
                </c:pt>
                <c:pt idx="314" c:formatCode="0">
                  <c:v>293</c:v>
                </c:pt>
                <c:pt idx="315" c:formatCode="0">
                  <c:v>294</c:v>
                </c:pt>
                <c:pt idx="316" c:formatCode="0">
                  <c:v>295</c:v>
                </c:pt>
                <c:pt idx="317" c:formatCode="0">
                  <c:v>296</c:v>
                </c:pt>
                <c:pt idx="318" c:formatCode="0">
                  <c:v>297</c:v>
                </c:pt>
                <c:pt idx="319" c:formatCode="0">
                  <c:v>298</c:v>
                </c:pt>
                <c:pt idx="320" c:formatCode="0">
                  <c:v>299</c:v>
                </c:pt>
                <c:pt idx="321" c:formatCode="0">
                  <c:v>300</c:v>
                </c:pt>
                <c:pt idx="322" c:formatCode="0">
                  <c:v>301</c:v>
                </c:pt>
                <c:pt idx="323" c:formatCode="0">
                  <c:v>302</c:v>
                </c:pt>
                <c:pt idx="324" c:formatCode="0">
                  <c:v>303</c:v>
                </c:pt>
                <c:pt idx="325" c:formatCode="0">
                  <c:v>304</c:v>
                </c:pt>
                <c:pt idx="326" c:formatCode="0">
                  <c:v>305</c:v>
                </c:pt>
                <c:pt idx="327" c:formatCode="0">
                  <c:v>306</c:v>
                </c:pt>
                <c:pt idx="328" c:formatCode="0">
                  <c:v>307</c:v>
                </c:pt>
                <c:pt idx="329" c:formatCode="0">
                  <c:v>308</c:v>
                </c:pt>
                <c:pt idx="330" c:formatCode="0">
                  <c:v>309</c:v>
                </c:pt>
                <c:pt idx="331" c:formatCode="0">
                  <c:v>310</c:v>
                </c:pt>
                <c:pt idx="332" c:formatCode="0">
                  <c:v>311</c:v>
                </c:pt>
                <c:pt idx="333" c:formatCode="0">
                  <c:v>312</c:v>
                </c:pt>
                <c:pt idx="334" c:formatCode="0">
                  <c:v>313</c:v>
                </c:pt>
                <c:pt idx="335" c:formatCode="0">
                  <c:v>314</c:v>
                </c:pt>
                <c:pt idx="336" c:formatCode="0">
                  <c:v>315</c:v>
                </c:pt>
                <c:pt idx="337" c:formatCode="0">
                  <c:v>316</c:v>
                </c:pt>
                <c:pt idx="338" c:formatCode="0">
                  <c:v>317</c:v>
                </c:pt>
                <c:pt idx="339" c:formatCode="0">
                  <c:v>318</c:v>
                </c:pt>
                <c:pt idx="340" c:formatCode="0">
                  <c:v>319</c:v>
                </c:pt>
                <c:pt idx="341" c:formatCode="0">
                  <c:v>320</c:v>
                </c:pt>
                <c:pt idx="342" c:formatCode="0">
                  <c:v>321</c:v>
                </c:pt>
                <c:pt idx="343" c:formatCode="0">
                  <c:v>322</c:v>
                </c:pt>
                <c:pt idx="344" c:formatCode="0">
                  <c:v>323</c:v>
                </c:pt>
                <c:pt idx="345" c:formatCode="0">
                  <c:v>324</c:v>
                </c:pt>
                <c:pt idx="346" c:formatCode="0">
                  <c:v>325</c:v>
                </c:pt>
                <c:pt idx="347" c:formatCode="0">
                  <c:v>326</c:v>
                </c:pt>
                <c:pt idx="348" c:formatCode="0">
                  <c:v>327</c:v>
                </c:pt>
                <c:pt idx="349" c:formatCode="0">
                  <c:v>328</c:v>
                </c:pt>
                <c:pt idx="350" c:formatCode="0">
                  <c:v>329</c:v>
                </c:pt>
                <c:pt idx="351" c:formatCode="0">
                  <c:v>330</c:v>
                </c:pt>
                <c:pt idx="352" c:formatCode="0">
                  <c:v>331</c:v>
                </c:pt>
                <c:pt idx="353" c:formatCode="0">
                  <c:v>332</c:v>
                </c:pt>
                <c:pt idx="354" c:formatCode="0">
                  <c:v>333</c:v>
                </c:pt>
                <c:pt idx="355" c:formatCode="0">
                  <c:v>334</c:v>
                </c:pt>
                <c:pt idx="356" c:formatCode="0">
                  <c:v>335</c:v>
                </c:pt>
                <c:pt idx="357" c:formatCode="0">
                  <c:v>336</c:v>
                </c:pt>
                <c:pt idx="358" c:formatCode="0">
                  <c:v>337</c:v>
                </c:pt>
                <c:pt idx="359" c:formatCode="0">
                  <c:v>338</c:v>
                </c:pt>
                <c:pt idx="360" c:formatCode="0">
                  <c:v>339</c:v>
                </c:pt>
                <c:pt idx="361" c:formatCode="0">
                  <c:v>340</c:v>
                </c:pt>
                <c:pt idx="362" c:formatCode="0">
                  <c:v>341</c:v>
                </c:pt>
                <c:pt idx="363" c:formatCode="0">
                  <c:v>342</c:v>
                </c:pt>
                <c:pt idx="364" c:formatCode="0">
                  <c:v>343</c:v>
                </c:pt>
                <c:pt idx="365" c:formatCode="0">
                  <c:v>344</c:v>
                </c:pt>
                <c:pt idx="366" c:formatCode="0">
                  <c:v>345</c:v>
                </c:pt>
                <c:pt idx="367" c:formatCode="0">
                  <c:v>346</c:v>
                </c:pt>
                <c:pt idx="368" c:formatCode="0">
                  <c:v>347</c:v>
                </c:pt>
                <c:pt idx="369" c:formatCode="0">
                  <c:v>348</c:v>
                </c:pt>
                <c:pt idx="370" c:formatCode="0">
                  <c:v>349</c:v>
                </c:pt>
                <c:pt idx="371" c:formatCode="0">
                  <c:v>350</c:v>
                </c:pt>
                <c:pt idx="372" c:formatCode="0">
                  <c:v>351</c:v>
                </c:pt>
                <c:pt idx="373" c:formatCode="0">
                  <c:v>352</c:v>
                </c:pt>
                <c:pt idx="374" c:formatCode="0">
                  <c:v>353</c:v>
                </c:pt>
                <c:pt idx="375" c:formatCode="0">
                  <c:v>354</c:v>
                </c:pt>
                <c:pt idx="376" c:formatCode="0">
                  <c:v>355</c:v>
                </c:pt>
                <c:pt idx="377" c:formatCode="0">
                  <c:v>356</c:v>
                </c:pt>
                <c:pt idx="378" c:formatCode="0">
                  <c:v>357</c:v>
                </c:pt>
                <c:pt idx="379" c:formatCode="0">
                  <c:v>358</c:v>
                </c:pt>
                <c:pt idx="380" c:formatCode="0">
                  <c:v>359</c:v>
                </c:pt>
                <c:pt idx="381" c:formatCode="0">
                  <c:v>360</c:v>
                </c:pt>
                <c:pt idx="382" c:formatCode="0">
                  <c:v>361</c:v>
                </c:pt>
                <c:pt idx="383" c:formatCode="0">
                  <c:v>362</c:v>
                </c:pt>
                <c:pt idx="384" c:formatCode="0">
                  <c:v>363</c:v>
                </c:pt>
                <c:pt idx="385" c:formatCode="0">
                  <c:v>364</c:v>
                </c:pt>
                <c:pt idx="386" c:formatCode="0">
                  <c:v>365</c:v>
                </c:pt>
                <c:pt idx="387" c:formatCode="0">
                  <c:v>366</c:v>
                </c:pt>
                <c:pt idx="388" c:formatCode="0">
                  <c:v>367</c:v>
                </c:pt>
                <c:pt idx="389" c:formatCode="0">
                  <c:v>368</c:v>
                </c:pt>
                <c:pt idx="390" c:formatCode="0">
                  <c:v>369</c:v>
                </c:pt>
                <c:pt idx="391" c:formatCode="0">
                  <c:v>370</c:v>
                </c:pt>
              </c:numCache>
            </c:numRef>
          </c:xVal>
          <c:yVal>
            <c:numRef>
              <c:f>Пр3!$H$2:$H$393</c:f>
              <c:numCache>
                <c:formatCode>0.0</c:formatCode>
                <c:ptCount val="392"/>
                <c:pt idx="0">
                  <c:v>2501</c:v>
                </c:pt>
                <c:pt idx="1">
                  <c:v>2501</c:v>
                </c:pt>
                <c:pt idx="2">
                  <c:v>2498.6</c:v>
                </c:pt>
                <c:pt idx="3">
                  <c:v>2496.3</c:v>
                </c:pt>
                <c:pt idx="4">
                  <c:v>2493.9</c:v>
                </c:pt>
                <c:pt idx="5">
                  <c:v>2491.5</c:v>
                </c:pt>
                <c:pt idx="6">
                  <c:v>2489.2</c:v>
                </c:pt>
                <c:pt idx="7">
                  <c:v>2486.8</c:v>
                </c:pt>
                <c:pt idx="8">
                  <c:v>2484.5</c:v>
                </c:pt>
                <c:pt idx="9">
                  <c:v>2482.1</c:v>
                </c:pt>
                <c:pt idx="10">
                  <c:v>2479.7</c:v>
                </c:pt>
                <c:pt idx="11">
                  <c:v>2477.4</c:v>
                </c:pt>
                <c:pt idx="12">
                  <c:v>2475</c:v>
                </c:pt>
                <c:pt idx="13">
                  <c:v>2472.6</c:v>
                </c:pt>
                <c:pt idx="14">
                  <c:v>2470.2</c:v>
                </c:pt>
                <c:pt idx="15">
                  <c:v>2467.9</c:v>
                </c:pt>
                <c:pt idx="16">
                  <c:v>2465.7</c:v>
                </c:pt>
                <c:pt idx="17">
                  <c:v>2464.3</c:v>
                </c:pt>
                <c:pt idx="18">
                  <c:v>2463.3</c:v>
                </c:pt>
                <c:pt idx="19">
                  <c:v>2462.1</c:v>
                </c:pt>
                <c:pt idx="20">
                  <c:v>2460.9</c:v>
                </c:pt>
                <c:pt idx="21">
                  <c:v>2459.7</c:v>
                </c:pt>
                <c:pt idx="22">
                  <c:v>2458.3</c:v>
                </c:pt>
                <c:pt idx="23">
                  <c:v>2457.4</c:v>
                </c:pt>
                <c:pt idx="24">
                  <c:v>2456.2</c:v>
                </c:pt>
                <c:pt idx="25">
                  <c:v>2455</c:v>
                </c:pt>
                <c:pt idx="26">
                  <c:v>2453.8</c:v>
                </c:pt>
                <c:pt idx="27">
                  <c:v>2452.6</c:v>
                </c:pt>
                <c:pt idx="28">
                  <c:v>2451.5</c:v>
                </c:pt>
                <c:pt idx="29">
                  <c:v>2450.3</c:v>
                </c:pt>
                <c:pt idx="30">
                  <c:v>2449.2</c:v>
                </c:pt>
                <c:pt idx="31">
                  <c:v>2448</c:v>
                </c:pt>
                <c:pt idx="32">
                  <c:v>2446.8</c:v>
                </c:pt>
                <c:pt idx="33">
                  <c:v>2445.6</c:v>
                </c:pt>
                <c:pt idx="34">
                  <c:v>2444.4</c:v>
                </c:pt>
                <c:pt idx="35">
                  <c:v>2443.2</c:v>
                </c:pt>
                <c:pt idx="36">
                  <c:v>2442</c:v>
                </c:pt>
                <c:pt idx="37">
                  <c:v>2440.8</c:v>
                </c:pt>
                <c:pt idx="38">
                  <c:v>2439.6</c:v>
                </c:pt>
                <c:pt idx="39">
                  <c:v>2438.5</c:v>
                </c:pt>
                <c:pt idx="40">
                  <c:v>2437.3</c:v>
                </c:pt>
                <c:pt idx="41">
                  <c:v>2436.2</c:v>
                </c:pt>
                <c:pt idx="42">
                  <c:v>2435</c:v>
                </c:pt>
                <c:pt idx="43">
                  <c:v>2433.8</c:v>
                </c:pt>
                <c:pt idx="44">
                  <c:v>2432.6</c:v>
                </c:pt>
                <c:pt idx="45">
                  <c:v>2431.4</c:v>
                </c:pt>
                <c:pt idx="46">
                  <c:v>2430.2</c:v>
                </c:pt>
                <c:pt idx="47">
                  <c:v>2429</c:v>
                </c:pt>
                <c:pt idx="48">
                  <c:v>2427.9</c:v>
                </c:pt>
                <c:pt idx="49">
                  <c:v>2426.7</c:v>
                </c:pt>
                <c:pt idx="50">
                  <c:v>2425.5</c:v>
                </c:pt>
                <c:pt idx="51">
                  <c:v>2424.3</c:v>
                </c:pt>
                <c:pt idx="52">
                  <c:v>2423.2</c:v>
                </c:pt>
                <c:pt idx="53">
                  <c:v>2422</c:v>
                </c:pt>
                <c:pt idx="54">
                  <c:v>2420.8</c:v>
                </c:pt>
                <c:pt idx="55">
                  <c:v>2419.6</c:v>
                </c:pt>
                <c:pt idx="56">
                  <c:v>2418.4</c:v>
                </c:pt>
                <c:pt idx="57">
                  <c:v>2416.1</c:v>
                </c:pt>
                <c:pt idx="58">
                  <c:v>2413.7</c:v>
                </c:pt>
                <c:pt idx="59">
                  <c:v>2411.3</c:v>
                </c:pt>
                <c:pt idx="60">
                  <c:v>2408.9</c:v>
                </c:pt>
                <c:pt idx="61">
                  <c:v>2406.5</c:v>
                </c:pt>
                <c:pt idx="62">
                  <c:v>2404.2</c:v>
                </c:pt>
                <c:pt idx="63">
                  <c:v>2401.8</c:v>
                </c:pt>
                <c:pt idx="64">
                  <c:v>2399.4</c:v>
                </c:pt>
                <c:pt idx="65">
                  <c:v>2396.9</c:v>
                </c:pt>
                <c:pt idx="66">
                  <c:v>2394.5</c:v>
                </c:pt>
                <c:pt idx="67">
                  <c:v>2392.2</c:v>
                </c:pt>
                <c:pt idx="68">
                  <c:v>2389.8</c:v>
                </c:pt>
                <c:pt idx="69">
                  <c:v>2387.4</c:v>
                </c:pt>
                <c:pt idx="70">
                  <c:v>2385</c:v>
                </c:pt>
                <c:pt idx="71">
                  <c:v>2382.5</c:v>
                </c:pt>
                <c:pt idx="72">
                  <c:v>2380.2</c:v>
                </c:pt>
                <c:pt idx="73">
                  <c:v>2377.8</c:v>
                </c:pt>
                <c:pt idx="74">
                  <c:v>2375.4</c:v>
                </c:pt>
                <c:pt idx="75">
                  <c:v>2372.9</c:v>
                </c:pt>
                <c:pt idx="76">
                  <c:v>2370.5</c:v>
                </c:pt>
                <c:pt idx="77">
                  <c:v>2368.1</c:v>
                </c:pt>
                <c:pt idx="78">
                  <c:v>2365.7</c:v>
                </c:pt>
                <c:pt idx="79">
                  <c:v>2363.3</c:v>
                </c:pt>
                <c:pt idx="80">
                  <c:v>2360.8</c:v>
                </c:pt>
                <c:pt idx="81">
                  <c:v>2358.4</c:v>
                </c:pt>
                <c:pt idx="82">
                  <c:v>2355.9</c:v>
                </c:pt>
                <c:pt idx="83">
                  <c:v>2353.5</c:v>
                </c:pt>
                <c:pt idx="84">
                  <c:v>2351.1</c:v>
                </c:pt>
                <c:pt idx="85">
                  <c:v>2348.6</c:v>
                </c:pt>
                <c:pt idx="86">
                  <c:v>2346.2</c:v>
                </c:pt>
                <c:pt idx="87">
                  <c:v>2343.7</c:v>
                </c:pt>
                <c:pt idx="88">
                  <c:v>2341.2</c:v>
                </c:pt>
                <c:pt idx="89">
                  <c:v>2338.7</c:v>
                </c:pt>
                <c:pt idx="90">
                  <c:v>2336.3</c:v>
                </c:pt>
                <c:pt idx="91">
                  <c:v>2333.8</c:v>
                </c:pt>
                <c:pt idx="92">
                  <c:v>2331.3</c:v>
                </c:pt>
                <c:pt idx="93">
                  <c:v>2328.8</c:v>
                </c:pt>
                <c:pt idx="94">
                  <c:v>2326.3</c:v>
                </c:pt>
                <c:pt idx="95">
                  <c:v>2323.9</c:v>
                </c:pt>
                <c:pt idx="96">
                  <c:v>2321.4</c:v>
                </c:pt>
                <c:pt idx="97">
                  <c:v>2318.9</c:v>
                </c:pt>
                <c:pt idx="98">
                  <c:v>2316.4</c:v>
                </c:pt>
                <c:pt idx="99">
                  <c:v>2313.9</c:v>
                </c:pt>
                <c:pt idx="100">
                  <c:v>2311.4</c:v>
                </c:pt>
                <c:pt idx="101">
                  <c:v>2308.9</c:v>
                </c:pt>
                <c:pt idx="102">
                  <c:v>2306.3</c:v>
                </c:pt>
                <c:pt idx="103">
                  <c:v>2303.8</c:v>
                </c:pt>
                <c:pt idx="104">
                  <c:v>2301.3</c:v>
                </c:pt>
                <c:pt idx="105">
                  <c:v>2298.7</c:v>
                </c:pt>
                <c:pt idx="106">
                  <c:v>2296.2</c:v>
                </c:pt>
                <c:pt idx="107">
                  <c:v>2293.6</c:v>
                </c:pt>
                <c:pt idx="108">
                  <c:v>2291.1</c:v>
                </c:pt>
                <c:pt idx="109">
                  <c:v>2288.5</c:v>
                </c:pt>
                <c:pt idx="110">
                  <c:v>2286</c:v>
                </c:pt>
                <c:pt idx="111">
                  <c:v>2283.4</c:v>
                </c:pt>
                <c:pt idx="112">
                  <c:v>2280.7</c:v>
                </c:pt>
                <c:pt idx="113">
                  <c:v>2278.1</c:v>
                </c:pt>
                <c:pt idx="114">
                  <c:v>2275.6</c:v>
                </c:pt>
                <c:pt idx="115">
                  <c:v>2273</c:v>
                </c:pt>
                <c:pt idx="116">
                  <c:v>2270.4</c:v>
                </c:pt>
                <c:pt idx="117">
                  <c:v>2267.8</c:v>
                </c:pt>
                <c:pt idx="118">
                  <c:v>2265.2</c:v>
                </c:pt>
                <c:pt idx="119">
                  <c:v>2262.6</c:v>
                </c:pt>
                <c:pt idx="120">
                  <c:v>2259.9</c:v>
                </c:pt>
                <c:pt idx="121">
                  <c:v>2257.2</c:v>
                </c:pt>
                <c:pt idx="122">
                  <c:v>2254.6</c:v>
                </c:pt>
                <c:pt idx="123">
                  <c:v>2252</c:v>
                </c:pt>
                <c:pt idx="124">
                  <c:v>2249.3</c:v>
                </c:pt>
                <c:pt idx="125">
                  <c:v>2246.6</c:v>
                </c:pt>
                <c:pt idx="126">
                  <c:v>2243.9</c:v>
                </c:pt>
                <c:pt idx="127">
                  <c:v>2241.3</c:v>
                </c:pt>
                <c:pt idx="128">
                  <c:v>2238.6</c:v>
                </c:pt>
                <c:pt idx="129">
                  <c:v>2235.9</c:v>
                </c:pt>
                <c:pt idx="130">
                  <c:v>2233.2</c:v>
                </c:pt>
                <c:pt idx="131">
                  <c:v>2230.5</c:v>
                </c:pt>
                <c:pt idx="132">
                  <c:v>2227.7</c:v>
                </c:pt>
                <c:pt idx="133">
                  <c:v>2225</c:v>
                </c:pt>
                <c:pt idx="134">
                  <c:v>2222.3</c:v>
                </c:pt>
                <c:pt idx="135">
                  <c:v>2219.5</c:v>
                </c:pt>
                <c:pt idx="136">
                  <c:v>2216.8</c:v>
                </c:pt>
                <c:pt idx="137">
                  <c:v>2214.1</c:v>
                </c:pt>
                <c:pt idx="138">
                  <c:v>2211.2</c:v>
                </c:pt>
                <c:pt idx="139">
                  <c:v>2208.5</c:v>
                </c:pt>
                <c:pt idx="140">
                  <c:v>2205.7</c:v>
                </c:pt>
                <c:pt idx="141">
                  <c:v>2202.9</c:v>
                </c:pt>
                <c:pt idx="142">
                  <c:v>2200.1</c:v>
                </c:pt>
                <c:pt idx="143">
                  <c:v>2197.3</c:v>
                </c:pt>
                <c:pt idx="144">
                  <c:v>2194.4</c:v>
                </c:pt>
                <c:pt idx="145">
                  <c:v>2191.6</c:v>
                </c:pt>
                <c:pt idx="146">
                  <c:v>2188.8</c:v>
                </c:pt>
                <c:pt idx="147">
                  <c:v>2186</c:v>
                </c:pt>
                <c:pt idx="148">
                  <c:v>2183.1</c:v>
                </c:pt>
                <c:pt idx="149">
                  <c:v>2180.1</c:v>
                </c:pt>
                <c:pt idx="150">
                  <c:v>2177.3</c:v>
                </c:pt>
                <c:pt idx="151">
                  <c:v>2174.4</c:v>
                </c:pt>
                <c:pt idx="152">
                  <c:v>2171.5</c:v>
                </c:pt>
                <c:pt idx="153">
                  <c:v>2168.6</c:v>
                </c:pt>
                <c:pt idx="154">
                  <c:v>2165.7</c:v>
                </c:pt>
                <c:pt idx="155">
                  <c:v>2162.7</c:v>
                </c:pt>
                <c:pt idx="156">
                  <c:v>2159.7</c:v>
                </c:pt>
                <c:pt idx="157">
                  <c:v>2156.8</c:v>
                </c:pt>
                <c:pt idx="158">
                  <c:v>2153.9</c:v>
                </c:pt>
                <c:pt idx="159">
                  <c:v>2150.9</c:v>
                </c:pt>
                <c:pt idx="160">
                  <c:v>2147.9</c:v>
                </c:pt>
                <c:pt idx="161">
                  <c:v>2144.9</c:v>
                </c:pt>
                <c:pt idx="162">
                  <c:v>2141.8</c:v>
                </c:pt>
                <c:pt idx="163">
                  <c:v>2138.8</c:v>
                </c:pt>
                <c:pt idx="164">
                  <c:v>2135.8</c:v>
                </c:pt>
                <c:pt idx="165">
                  <c:v>2132.7</c:v>
                </c:pt>
                <c:pt idx="166">
                  <c:v>2129.7</c:v>
                </c:pt>
                <c:pt idx="167">
                  <c:v>2126.6</c:v>
                </c:pt>
                <c:pt idx="168">
                  <c:v>2123.5</c:v>
                </c:pt>
                <c:pt idx="169">
                  <c:v>2120.4</c:v>
                </c:pt>
                <c:pt idx="170">
                  <c:v>2117.3</c:v>
                </c:pt>
                <c:pt idx="171">
                  <c:v>2114.1</c:v>
                </c:pt>
                <c:pt idx="172">
                  <c:v>2111</c:v>
                </c:pt>
                <c:pt idx="173">
                  <c:v>2107.9</c:v>
                </c:pt>
                <c:pt idx="174">
                  <c:v>2104.7</c:v>
                </c:pt>
                <c:pt idx="175">
                  <c:v>2101.5</c:v>
                </c:pt>
                <c:pt idx="176">
                  <c:v>2098.3</c:v>
                </c:pt>
                <c:pt idx="177">
                  <c:v>2095.2</c:v>
                </c:pt>
                <c:pt idx="178">
                  <c:v>2092</c:v>
                </c:pt>
                <c:pt idx="179">
                  <c:v>2088.7</c:v>
                </c:pt>
                <c:pt idx="180">
                  <c:v>2085.5</c:v>
                </c:pt>
                <c:pt idx="181">
                  <c:v>2082.2</c:v>
                </c:pt>
                <c:pt idx="182">
                  <c:v>2079</c:v>
                </c:pt>
                <c:pt idx="183">
                  <c:v>2075.6</c:v>
                </c:pt>
                <c:pt idx="184">
                  <c:v>2072.4</c:v>
                </c:pt>
                <c:pt idx="185">
                  <c:v>2069</c:v>
                </c:pt>
                <c:pt idx="186">
                  <c:v>2065.7</c:v>
                </c:pt>
                <c:pt idx="187">
                  <c:v>2062.4</c:v>
                </c:pt>
                <c:pt idx="188">
                  <c:v>2059</c:v>
                </c:pt>
                <c:pt idx="189">
                  <c:v>2055.6</c:v>
                </c:pt>
                <c:pt idx="190">
                  <c:v>2052.3</c:v>
                </c:pt>
                <c:pt idx="191">
                  <c:v>2048.9</c:v>
                </c:pt>
                <c:pt idx="192">
                  <c:v>2045.4</c:v>
                </c:pt>
                <c:pt idx="193">
                  <c:v>2042</c:v>
                </c:pt>
                <c:pt idx="194">
                  <c:v>2038.5</c:v>
                </c:pt>
                <c:pt idx="195">
                  <c:v>2035.1</c:v>
                </c:pt>
                <c:pt idx="196">
                  <c:v>2031.6</c:v>
                </c:pt>
                <c:pt idx="197">
                  <c:v>2028.1</c:v>
                </c:pt>
                <c:pt idx="198">
                  <c:v>2024.6</c:v>
                </c:pt>
                <c:pt idx="199">
                  <c:v>2021</c:v>
                </c:pt>
                <c:pt idx="200">
                  <c:v>2017.5</c:v>
                </c:pt>
                <c:pt idx="201">
                  <c:v>2014</c:v>
                </c:pt>
                <c:pt idx="202">
                  <c:v>2010.4</c:v>
                </c:pt>
                <c:pt idx="203">
                  <c:v>2006.7</c:v>
                </c:pt>
                <c:pt idx="204">
                  <c:v>2003.2</c:v>
                </c:pt>
                <c:pt idx="205">
                  <c:v>1999.6</c:v>
                </c:pt>
                <c:pt idx="206">
                  <c:v>1995.9</c:v>
                </c:pt>
                <c:pt idx="207">
                  <c:v>1992.2</c:v>
                </c:pt>
                <c:pt idx="208">
                  <c:v>1988.5</c:v>
                </c:pt>
                <c:pt idx="209">
                  <c:v>1984.9</c:v>
                </c:pt>
                <c:pt idx="210">
                  <c:v>1981.1</c:v>
                </c:pt>
                <c:pt idx="211">
                  <c:v>1977.4</c:v>
                </c:pt>
                <c:pt idx="212">
                  <c:v>1973.6</c:v>
                </c:pt>
                <c:pt idx="213">
                  <c:v>1969.8</c:v>
                </c:pt>
                <c:pt idx="214">
                  <c:v>1966.1</c:v>
                </c:pt>
                <c:pt idx="215">
                  <c:v>1962.3</c:v>
                </c:pt>
                <c:pt idx="216">
                  <c:v>1958.4</c:v>
                </c:pt>
                <c:pt idx="217">
                  <c:v>1954.6</c:v>
                </c:pt>
                <c:pt idx="218">
                  <c:v>1950.7</c:v>
                </c:pt>
                <c:pt idx="219">
                  <c:v>1946.8</c:v>
                </c:pt>
                <c:pt idx="220">
                  <c:v>1942.9</c:v>
                </c:pt>
                <c:pt idx="221">
                  <c:v>1939</c:v>
                </c:pt>
                <c:pt idx="222">
                  <c:v>1935.1</c:v>
                </c:pt>
                <c:pt idx="223">
                  <c:v>1931.1</c:v>
                </c:pt>
                <c:pt idx="224">
                  <c:v>1927.2</c:v>
                </c:pt>
                <c:pt idx="225">
                  <c:v>1923.1</c:v>
                </c:pt>
                <c:pt idx="226">
                  <c:v>1919.1</c:v>
                </c:pt>
                <c:pt idx="227">
                  <c:v>1915.1</c:v>
                </c:pt>
                <c:pt idx="228">
                  <c:v>1911</c:v>
                </c:pt>
                <c:pt idx="229">
                  <c:v>1907</c:v>
                </c:pt>
                <c:pt idx="230">
                  <c:v>1902.8</c:v>
                </c:pt>
                <c:pt idx="231">
                  <c:v>1898.6</c:v>
                </c:pt>
                <c:pt idx="232">
                  <c:v>1894.6</c:v>
                </c:pt>
                <c:pt idx="233">
                  <c:v>1890.4</c:v>
                </c:pt>
                <c:pt idx="234">
                  <c:v>1886.2</c:v>
                </c:pt>
                <c:pt idx="235">
                  <c:v>1882</c:v>
                </c:pt>
                <c:pt idx="236">
                  <c:v>1877.8</c:v>
                </c:pt>
                <c:pt idx="237">
                  <c:v>1873.5</c:v>
                </c:pt>
                <c:pt idx="238">
                  <c:v>1869.2</c:v>
                </c:pt>
                <c:pt idx="239">
                  <c:v>1864.8</c:v>
                </c:pt>
                <c:pt idx="240">
                  <c:v>1880.5</c:v>
                </c:pt>
                <c:pt idx="241">
                  <c:v>1856.2</c:v>
                </c:pt>
                <c:pt idx="242">
                  <c:v>1851.9</c:v>
                </c:pt>
                <c:pt idx="243">
                  <c:v>1847.4</c:v>
                </c:pt>
                <c:pt idx="244">
                  <c:v>1843</c:v>
                </c:pt>
                <c:pt idx="245">
                  <c:v>1838.6</c:v>
                </c:pt>
                <c:pt idx="246">
                  <c:v>1834.1</c:v>
                </c:pt>
                <c:pt idx="247">
                  <c:v>1829.6</c:v>
                </c:pt>
                <c:pt idx="248">
                  <c:v>1825.1</c:v>
                </c:pt>
                <c:pt idx="249">
                  <c:v>1820.6</c:v>
                </c:pt>
                <c:pt idx="250">
                  <c:v>1816</c:v>
                </c:pt>
                <c:pt idx="251">
                  <c:v>1811.4</c:v>
                </c:pt>
                <c:pt idx="252">
                  <c:v>1806.8</c:v>
                </c:pt>
                <c:pt idx="253">
                  <c:v>1802.1</c:v>
                </c:pt>
                <c:pt idx="254">
                  <c:v>1797.5</c:v>
                </c:pt>
                <c:pt idx="255">
                  <c:v>1792.8</c:v>
                </c:pt>
                <c:pt idx="256">
                  <c:v>1788</c:v>
                </c:pt>
                <c:pt idx="257">
                  <c:v>1783.3</c:v>
                </c:pt>
                <c:pt idx="258">
                  <c:v>1778.5</c:v>
                </c:pt>
                <c:pt idx="259">
                  <c:v>1773.7</c:v>
                </c:pt>
                <c:pt idx="260">
                  <c:v>1768.8</c:v>
                </c:pt>
                <c:pt idx="261">
                  <c:v>1764</c:v>
                </c:pt>
                <c:pt idx="262">
                  <c:v>1759.1</c:v>
                </c:pt>
                <c:pt idx="263">
                  <c:v>1754.2</c:v>
                </c:pt>
                <c:pt idx="264">
                  <c:v>1749.2</c:v>
                </c:pt>
                <c:pt idx="265">
                  <c:v>1744.2</c:v>
                </c:pt>
                <c:pt idx="266">
                  <c:v>1739.2</c:v>
                </c:pt>
                <c:pt idx="267">
                  <c:v>1734.1</c:v>
                </c:pt>
                <c:pt idx="268">
                  <c:v>1729.1</c:v>
                </c:pt>
                <c:pt idx="269">
                  <c:v>1724</c:v>
                </c:pt>
                <c:pt idx="270">
                  <c:v>1718.8</c:v>
                </c:pt>
                <c:pt idx="271">
                  <c:v>1713.7</c:v>
                </c:pt>
                <c:pt idx="272">
                  <c:v>1708.5</c:v>
                </c:pt>
                <c:pt idx="273">
                  <c:v>1703.3</c:v>
                </c:pt>
                <c:pt idx="274">
                  <c:v>1698</c:v>
                </c:pt>
                <c:pt idx="275">
                  <c:v>1692.7</c:v>
                </c:pt>
                <c:pt idx="276">
                  <c:v>1687.4</c:v>
                </c:pt>
                <c:pt idx="277">
                  <c:v>1682</c:v>
                </c:pt>
                <c:pt idx="278">
                  <c:v>1676.6</c:v>
                </c:pt>
                <c:pt idx="279">
                  <c:v>1671.2</c:v>
                </c:pt>
                <c:pt idx="280">
                  <c:v>1665.6</c:v>
                </c:pt>
                <c:pt idx="281">
                  <c:v>1660.2</c:v>
                </c:pt>
                <c:pt idx="282">
                  <c:v>1654.6</c:v>
                </c:pt>
                <c:pt idx="283">
                  <c:v>1649</c:v>
                </c:pt>
                <c:pt idx="284">
                  <c:v>1643.4</c:v>
                </c:pt>
                <c:pt idx="285">
                  <c:v>1637.8</c:v>
                </c:pt>
                <c:pt idx="286">
                  <c:v>1632.1</c:v>
                </c:pt>
                <c:pt idx="287">
                  <c:v>1626.3</c:v>
                </c:pt>
                <c:pt idx="288">
                  <c:v>1620.6</c:v>
                </c:pt>
                <c:pt idx="289">
                  <c:v>1614.7</c:v>
                </c:pt>
                <c:pt idx="290">
                  <c:v>1608.8</c:v>
                </c:pt>
                <c:pt idx="291">
                  <c:v>1602.9</c:v>
                </c:pt>
                <c:pt idx="292">
                  <c:v>1597</c:v>
                </c:pt>
                <c:pt idx="293">
                  <c:v>1591</c:v>
                </c:pt>
                <c:pt idx="294">
                  <c:v>1585</c:v>
                </c:pt>
                <c:pt idx="295">
                  <c:v>1578.9</c:v>
                </c:pt>
                <c:pt idx="296">
                  <c:v>1572.8</c:v>
                </c:pt>
                <c:pt idx="297">
                  <c:v>1566.6</c:v>
                </c:pt>
                <c:pt idx="298">
                  <c:v>1560.4</c:v>
                </c:pt>
                <c:pt idx="299">
                  <c:v>1554.2</c:v>
                </c:pt>
                <c:pt idx="300">
                  <c:v>1547.9</c:v>
                </c:pt>
                <c:pt idx="301">
                  <c:v>1541.6</c:v>
                </c:pt>
                <c:pt idx="302">
                  <c:v>1535.1</c:v>
                </c:pt>
                <c:pt idx="303">
                  <c:v>1528.6</c:v>
                </c:pt>
                <c:pt idx="304">
                  <c:v>1522.2</c:v>
                </c:pt>
                <c:pt idx="305">
                  <c:v>1515.6</c:v>
                </c:pt>
                <c:pt idx="306">
                  <c:v>1509</c:v>
                </c:pt>
                <c:pt idx="307">
                  <c:v>1502.3</c:v>
                </c:pt>
                <c:pt idx="308">
                  <c:v>1495.7</c:v>
                </c:pt>
                <c:pt idx="309">
                  <c:v>1488.9</c:v>
                </c:pt>
                <c:pt idx="310">
                  <c:v>1482</c:v>
                </c:pt>
                <c:pt idx="311">
                  <c:v>1475.1</c:v>
                </c:pt>
                <c:pt idx="312">
                  <c:v>1468.2</c:v>
                </c:pt>
                <c:pt idx="313">
                  <c:v>1461.1</c:v>
                </c:pt>
                <c:pt idx="314">
                  <c:v>1454.1</c:v>
                </c:pt>
                <c:pt idx="315">
                  <c:v>1447</c:v>
                </c:pt>
                <c:pt idx="316">
                  <c:v>1439.9</c:v>
                </c:pt>
                <c:pt idx="317">
                  <c:v>1432.6</c:v>
                </c:pt>
                <c:pt idx="318">
                  <c:v>1425.3</c:v>
                </c:pt>
                <c:pt idx="319">
                  <c:v>1418</c:v>
                </c:pt>
                <c:pt idx="320">
                  <c:v>1410.5</c:v>
                </c:pt>
                <c:pt idx="321">
                  <c:v>1403</c:v>
                </c:pt>
                <c:pt idx="322">
                  <c:v>1395.4</c:v>
                </c:pt>
                <c:pt idx="323">
                  <c:v>1387.8</c:v>
                </c:pt>
                <c:pt idx="324">
                  <c:v>1380.1</c:v>
                </c:pt>
                <c:pt idx="325">
                  <c:v>1372.3</c:v>
                </c:pt>
                <c:pt idx="326">
                  <c:v>1364.4</c:v>
                </c:pt>
                <c:pt idx="327">
                  <c:v>1356.5</c:v>
                </c:pt>
                <c:pt idx="328">
                  <c:v>1348.4</c:v>
                </c:pt>
                <c:pt idx="329">
                  <c:v>1340.3</c:v>
                </c:pt>
                <c:pt idx="330">
                  <c:v>1332.1</c:v>
                </c:pt>
                <c:pt idx="331">
                  <c:v>1323.9</c:v>
                </c:pt>
                <c:pt idx="332">
                  <c:v>1315.6</c:v>
                </c:pt>
                <c:pt idx="333">
                  <c:v>1307</c:v>
                </c:pt>
                <c:pt idx="334">
                  <c:v>1298.6</c:v>
                </c:pt>
                <c:pt idx="335">
                  <c:v>1290</c:v>
                </c:pt>
                <c:pt idx="336">
                  <c:v>1281.3</c:v>
                </c:pt>
                <c:pt idx="337">
                  <c:v>1272.4</c:v>
                </c:pt>
                <c:pt idx="338">
                  <c:v>1263.5</c:v>
                </c:pt>
                <c:pt idx="339">
                  <c:v>1254.6</c:v>
                </c:pt>
                <c:pt idx="340">
                  <c:v>1245.4</c:v>
                </c:pt>
                <c:pt idx="341">
                  <c:v>1236.2</c:v>
                </c:pt>
                <c:pt idx="342">
                  <c:v>1227</c:v>
                </c:pt>
                <c:pt idx="343">
                  <c:v>1217.5</c:v>
                </c:pt>
                <c:pt idx="344">
                  <c:v>1208</c:v>
                </c:pt>
                <c:pt idx="345">
                  <c:v>1198.4</c:v>
                </c:pt>
                <c:pt idx="346">
                  <c:v>1188.7</c:v>
                </c:pt>
                <c:pt idx="347">
                  <c:v>1178.8</c:v>
                </c:pt>
                <c:pt idx="348">
                  <c:v>1168.8</c:v>
                </c:pt>
                <c:pt idx="349">
                  <c:v>1158.7</c:v>
                </c:pt>
                <c:pt idx="350">
                  <c:v>1148.4</c:v>
                </c:pt>
                <c:pt idx="351">
                  <c:v>1138</c:v>
                </c:pt>
                <c:pt idx="352">
                  <c:v>1127.5</c:v>
                </c:pt>
                <c:pt idx="353">
                  <c:v>1116.9</c:v>
                </c:pt>
                <c:pt idx="354">
                  <c:v>1106.1</c:v>
                </c:pt>
                <c:pt idx="355">
                  <c:v>1095</c:v>
                </c:pt>
                <c:pt idx="356">
                  <c:v>1084</c:v>
                </c:pt>
                <c:pt idx="357">
                  <c:v>1072.7</c:v>
                </c:pt>
                <c:pt idx="358">
                  <c:v>1061.2</c:v>
                </c:pt>
                <c:pt idx="359">
                  <c:v>1049.6</c:v>
                </c:pt>
                <c:pt idx="360">
                  <c:v>1037.8</c:v>
                </c:pt>
                <c:pt idx="361">
                  <c:v>1025.5</c:v>
                </c:pt>
                <c:pt idx="362">
                  <c:v>1013.3</c:v>
                </c:pt>
                <c:pt idx="363">
                  <c:v>1000.9</c:v>
                </c:pt>
                <c:pt idx="364">
                  <c:v>988.3</c:v>
                </c:pt>
                <c:pt idx="365">
                  <c:v>975.6</c:v>
                </c:pt>
                <c:pt idx="366">
                  <c:v>962.5</c:v>
                </c:pt>
                <c:pt idx="367">
                  <c:v>949.2</c:v>
                </c:pt>
                <c:pt idx="368">
                  <c:v>935.6</c:v>
                </c:pt>
                <c:pt idx="369">
                  <c:v>921.7</c:v>
                </c:pt>
                <c:pt idx="370">
                  <c:v>907.7</c:v>
                </c:pt>
                <c:pt idx="371">
                  <c:v>893.2</c:v>
                </c:pt>
                <c:pt idx="372">
                  <c:v>878.4</c:v>
                </c:pt>
                <c:pt idx="373">
                  <c:v>863.1</c:v>
                </c:pt>
                <c:pt idx="374">
                  <c:v>847.5</c:v>
                </c:pt>
                <c:pt idx="375">
                  <c:v>831.5</c:v>
                </c:pt>
                <c:pt idx="376">
                  <c:v>815</c:v>
                </c:pt>
                <c:pt idx="377">
                  <c:v>798</c:v>
                </c:pt>
                <c:pt idx="378">
                  <c:v>780.2</c:v>
                </c:pt>
                <c:pt idx="379">
                  <c:v>761.9</c:v>
                </c:pt>
                <c:pt idx="380">
                  <c:v>742.7</c:v>
                </c:pt>
                <c:pt idx="381">
                  <c:v>722.6</c:v>
                </c:pt>
                <c:pt idx="382">
                  <c:v>701.5</c:v>
                </c:pt>
                <c:pt idx="383">
                  <c:v>679.2</c:v>
                </c:pt>
                <c:pt idx="384">
                  <c:v>655.7</c:v>
                </c:pt>
                <c:pt idx="385">
                  <c:v>630.9</c:v>
                </c:pt>
                <c:pt idx="386">
                  <c:v>604.7</c:v>
                </c:pt>
                <c:pt idx="387">
                  <c:v>576.7</c:v>
                </c:pt>
                <c:pt idx="388">
                  <c:v>546.8</c:v>
                </c:pt>
                <c:pt idx="389">
                  <c:v>514.5</c:v>
                </c:pt>
                <c:pt idx="390">
                  <c:v>479</c:v>
                </c:pt>
                <c:pt idx="391">
                  <c:v>439.5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24832"/>
        <c:axId val="178746112"/>
      </c:scatterChart>
      <c:valAx>
        <c:axId val="178424832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746112"/>
        <c:crosses val="autoZero"/>
        <c:crossBetween val="midCat"/>
      </c:valAx>
      <c:valAx>
        <c:axId val="17874611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42483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b471f3-94b6-49bb-b606-263e24a23a2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Пр3!$I$1</c:f>
              <c:strCache>
                <c:ptCount val="1"/>
                <c:pt idx="0">
                  <c:v>Уд. энтропия кипящей воды s', кДж/(кг*К)</c:v>
                </c:pt>
              </c:strCache>
            </c:strRef>
          </c:tx>
          <c:dLbls>
            <c:delete val="1"/>
          </c:dLbls>
          <c:xVal>
            <c:numRef>
              <c:f>Пр3!$A$2:$A$393</c:f>
              <c:numCache>
                <c:formatCode>0.0</c:formatCode>
                <c:ptCount val="392"/>
                <c:pt idx="0">
                  <c:v>0</c:v>
                </c:pt>
                <c:pt idx="1" c:formatCode="0.00">
                  <c:v>0.01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  <c:pt idx="25">
                  <c:v>19.5</c:v>
                </c:pt>
                <c:pt idx="26">
                  <c:v>20</c:v>
                </c:pt>
                <c:pt idx="27">
                  <c:v>20.5</c:v>
                </c:pt>
                <c:pt idx="28">
                  <c:v>21</c:v>
                </c:pt>
                <c:pt idx="29">
                  <c:v>21.5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  <c:pt idx="33">
                  <c:v>23.5</c:v>
                </c:pt>
                <c:pt idx="34">
                  <c:v>24</c:v>
                </c:pt>
                <c:pt idx="35">
                  <c:v>24.5</c:v>
                </c:pt>
                <c:pt idx="36">
                  <c:v>25</c:v>
                </c:pt>
                <c:pt idx="37">
                  <c:v>25.5</c:v>
                </c:pt>
                <c:pt idx="38">
                  <c:v>26</c:v>
                </c:pt>
                <c:pt idx="39">
                  <c:v>26.5</c:v>
                </c:pt>
                <c:pt idx="40">
                  <c:v>27</c:v>
                </c:pt>
                <c:pt idx="41">
                  <c:v>27.5</c:v>
                </c:pt>
                <c:pt idx="42">
                  <c:v>28</c:v>
                </c:pt>
                <c:pt idx="43">
                  <c:v>28.5</c:v>
                </c:pt>
                <c:pt idx="44">
                  <c:v>29</c:v>
                </c:pt>
                <c:pt idx="45">
                  <c:v>29.5</c:v>
                </c:pt>
                <c:pt idx="46">
                  <c:v>30</c:v>
                </c:pt>
                <c:pt idx="47">
                  <c:v>30.5</c:v>
                </c:pt>
                <c:pt idx="48">
                  <c:v>31</c:v>
                </c:pt>
                <c:pt idx="49">
                  <c:v>31.5</c:v>
                </c:pt>
                <c:pt idx="50">
                  <c:v>32</c:v>
                </c:pt>
                <c:pt idx="51">
                  <c:v>32.5</c:v>
                </c:pt>
                <c:pt idx="52">
                  <c:v>33</c:v>
                </c:pt>
                <c:pt idx="53">
                  <c:v>33.5</c:v>
                </c:pt>
                <c:pt idx="54">
                  <c:v>34</c:v>
                </c:pt>
                <c:pt idx="55">
                  <c:v>34.5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 c:formatCode="0">
                  <c:v>100</c:v>
                </c:pt>
                <c:pt idx="122" c:formatCode="0">
                  <c:v>101</c:v>
                </c:pt>
                <c:pt idx="123" c:formatCode="0">
                  <c:v>102</c:v>
                </c:pt>
                <c:pt idx="124" c:formatCode="0">
                  <c:v>103</c:v>
                </c:pt>
                <c:pt idx="125" c:formatCode="0">
                  <c:v>104</c:v>
                </c:pt>
                <c:pt idx="126" c:formatCode="0">
                  <c:v>105</c:v>
                </c:pt>
                <c:pt idx="127" c:formatCode="0">
                  <c:v>106</c:v>
                </c:pt>
                <c:pt idx="128" c:formatCode="0">
                  <c:v>107</c:v>
                </c:pt>
                <c:pt idx="129" c:formatCode="0">
                  <c:v>108</c:v>
                </c:pt>
                <c:pt idx="130" c:formatCode="0">
                  <c:v>109</c:v>
                </c:pt>
                <c:pt idx="131" c:formatCode="0">
                  <c:v>110</c:v>
                </c:pt>
                <c:pt idx="132" c:formatCode="0">
                  <c:v>111</c:v>
                </c:pt>
                <c:pt idx="133" c:formatCode="0">
                  <c:v>112</c:v>
                </c:pt>
                <c:pt idx="134" c:formatCode="0">
                  <c:v>113</c:v>
                </c:pt>
                <c:pt idx="135" c:formatCode="0">
                  <c:v>114</c:v>
                </c:pt>
                <c:pt idx="136" c:formatCode="0">
                  <c:v>115</c:v>
                </c:pt>
                <c:pt idx="137" c:formatCode="0">
                  <c:v>116</c:v>
                </c:pt>
                <c:pt idx="138" c:formatCode="0">
                  <c:v>117</c:v>
                </c:pt>
                <c:pt idx="139" c:formatCode="0">
                  <c:v>118</c:v>
                </c:pt>
                <c:pt idx="140" c:formatCode="0">
                  <c:v>119</c:v>
                </c:pt>
                <c:pt idx="141" c:formatCode="0">
                  <c:v>120</c:v>
                </c:pt>
                <c:pt idx="142" c:formatCode="0">
                  <c:v>121</c:v>
                </c:pt>
                <c:pt idx="143" c:formatCode="0">
                  <c:v>122</c:v>
                </c:pt>
                <c:pt idx="144" c:formatCode="0">
                  <c:v>123</c:v>
                </c:pt>
                <c:pt idx="145" c:formatCode="0">
                  <c:v>124</c:v>
                </c:pt>
                <c:pt idx="146" c:formatCode="0">
                  <c:v>125</c:v>
                </c:pt>
                <c:pt idx="147" c:formatCode="0">
                  <c:v>126</c:v>
                </c:pt>
                <c:pt idx="148" c:formatCode="0">
                  <c:v>127</c:v>
                </c:pt>
                <c:pt idx="149" c:formatCode="0">
                  <c:v>128</c:v>
                </c:pt>
                <c:pt idx="150" c:formatCode="0">
                  <c:v>129</c:v>
                </c:pt>
                <c:pt idx="151" c:formatCode="0">
                  <c:v>130</c:v>
                </c:pt>
                <c:pt idx="152" c:formatCode="0">
                  <c:v>131</c:v>
                </c:pt>
                <c:pt idx="153" c:formatCode="0">
                  <c:v>132</c:v>
                </c:pt>
                <c:pt idx="154" c:formatCode="0">
                  <c:v>133</c:v>
                </c:pt>
                <c:pt idx="155" c:formatCode="0">
                  <c:v>134</c:v>
                </c:pt>
                <c:pt idx="156" c:formatCode="0">
                  <c:v>135</c:v>
                </c:pt>
                <c:pt idx="157" c:formatCode="0">
                  <c:v>136</c:v>
                </c:pt>
                <c:pt idx="158" c:formatCode="0">
                  <c:v>137</c:v>
                </c:pt>
                <c:pt idx="159" c:formatCode="0">
                  <c:v>138</c:v>
                </c:pt>
                <c:pt idx="160" c:formatCode="0">
                  <c:v>139</c:v>
                </c:pt>
                <c:pt idx="161" c:formatCode="0">
                  <c:v>140</c:v>
                </c:pt>
                <c:pt idx="162" c:formatCode="0">
                  <c:v>141</c:v>
                </c:pt>
                <c:pt idx="163" c:formatCode="0">
                  <c:v>142</c:v>
                </c:pt>
                <c:pt idx="164" c:formatCode="0">
                  <c:v>143</c:v>
                </c:pt>
                <c:pt idx="165" c:formatCode="0">
                  <c:v>144</c:v>
                </c:pt>
                <c:pt idx="166" c:formatCode="0">
                  <c:v>145</c:v>
                </c:pt>
                <c:pt idx="167" c:formatCode="0">
                  <c:v>146</c:v>
                </c:pt>
                <c:pt idx="168" c:formatCode="0">
                  <c:v>147</c:v>
                </c:pt>
                <c:pt idx="169" c:formatCode="0">
                  <c:v>148</c:v>
                </c:pt>
                <c:pt idx="170" c:formatCode="0">
                  <c:v>149</c:v>
                </c:pt>
                <c:pt idx="171" c:formatCode="0">
                  <c:v>150</c:v>
                </c:pt>
                <c:pt idx="172" c:formatCode="0">
                  <c:v>151</c:v>
                </c:pt>
                <c:pt idx="173" c:formatCode="0">
                  <c:v>152</c:v>
                </c:pt>
                <c:pt idx="174" c:formatCode="0">
                  <c:v>153</c:v>
                </c:pt>
                <c:pt idx="175" c:formatCode="0">
                  <c:v>154</c:v>
                </c:pt>
                <c:pt idx="176" c:formatCode="0">
                  <c:v>155</c:v>
                </c:pt>
                <c:pt idx="177" c:formatCode="0">
                  <c:v>156</c:v>
                </c:pt>
                <c:pt idx="178" c:formatCode="0">
                  <c:v>157</c:v>
                </c:pt>
                <c:pt idx="179" c:formatCode="0">
                  <c:v>158</c:v>
                </c:pt>
                <c:pt idx="180" c:formatCode="0">
                  <c:v>159</c:v>
                </c:pt>
                <c:pt idx="181" c:formatCode="0">
                  <c:v>160</c:v>
                </c:pt>
                <c:pt idx="182" c:formatCode="0">
                  <c:v>161</c:v>
                </c:pt>
                <c:pt idx="183" c:formatCode="0">
                  <c:v>162</c:v>
                </c:pt>
                <c:pt idx="184" c:formatCode="0">
                  <c:v>163</c:v>
                </c:pt>
                <c:pt idx="185" c:formatCode="0">
                  <c:v>164</c:v>
                </c:pt>
                <c:pt idx="186" c:formatCode="0">
                  <c:v>165</c:v>
                </c:pt>
                <c:pt idx="187" c:formatCode="0">
                  <c:v>166</c:v>
                </c:pt>
                <c:pt idx="188" c:formatCode="0">
                  <c:v>167</c:v>
                </c:pt>
                <c:pt idx="189" c:formatCode="0">
                  <c:v>168</c:v>
                </c:pt>
                <c:pt idx="190" c:formatCode="0">
                  <c:v>169</c:v>
                </c:pt>
                <c:pt idx="191" c:formatCode="0">
                  <c:v>170</c:v>
                </c:pt>
                <c:pt idx="192" c:formatCode="0">
                  <c:v>171</c:v>
                </c:pt>
                <c:pt idx="193" c:formatCode="0">
                  <c:v>172</c:v>
                </c:pt>
                <c:pt idx="194" c:formatCode="0">
                  <c:v>173</c:v>
                </c:pt>
                <c:pt idx="195" c:formatCode="0">
                  <c:v>174</c:v>
                </c:pt>
                <c:pt idx="196" c:formatCode="0">
                  <c:v>175</c:v>
                </c:pt>
                <c:pt idx="197" c:formatCode="0">
                  <c:v>176</c:v>
                </c:pt>
                <c:pt idx="198" c:formatCode="0">
                  <c:v>177</c:v>
                </c:pt>
                <c:pt idx="199" c:formatCode="0">
                  <c:v>178</c:v>
                </c:pt>
                <c:pt idx="200" c:formatCode="0">
                  <c:v>179</c:v>
                </c:pt>
                <c:pt idx="201" c:formatCode="0">
                  <c:v>180</c:v>
                </c:pt>
                <c:pt idx="202" c:formatCode="0">
                  <c:v>181</c:v>
                </c:pt>
                <c:pt idx="203" c:formatCode="0">
                  <c:v>182</c:v>
                </c:pt>
                <c:pt idx="204" c:formatCode="0">
                  <c:v>183</c:v>
                </c:pt>
                <c:pt idx="205" c:formatCode="0">
                  <c:v>184</c:v>
                </c:pt>
                <c:pt idx="206" c:formatCode="0">
                  <c:v>185</c:v>
                </c:pt>
                <c:pt idx="207" c:formatCode="0">
                  <c:v>186</c:v>
                </c:pt>
                <c:pt idx="208" c:formatCode="0">
                  <c:v>187</c:v>
                </c:pt>
                <c:pt idx="209" c:formatCode="0">
                  <c:v>188</c:v>
                </c:pt>
                <c:pt idx="210" c:formatCode="0">
                  <c:v>189</c:v>
                </c:pt>
                <c:pt idx="211" c:formatCode="0">
                  <c:v>190</c:v>
                </c:pt>
                <c:pt idx="212" c:formatCode="0">
                  <c:v>191</c:v>
                </c:pt>
                <c:pt idx="213" c:formatCode="0">
                  <c:v>192</c:v>
                </c:pt>
                <c:pt idx="214" c:formatCode="0">
                  <c:v>193</c:v>
                </c:pt>
                <c:pt idx="215" c:formatCode="0">
                  <c:v>194</c:v>
                </c:pt>
                <c:pt idx="216" c:formatCode="0">
                  <c:v>195</c:v>
                </c:pt>
                <c:pt idx="217" c:formatCode="0">
                  <c:v>196</c:v>
                </c:pt>
                <c:pt idx="218" c:formatCode="0">
                  <c:v>197</c:v>
                </c:pt>
                <c:pt idx="219" c:formatCode="0">
                  <c:v>198</c:v>
                </c:pt>
                <c:pt idx="220" c:formatCode="0">
                  <c:v>199</c:v>
                </c:pt>
                <c:pt idx="221" c:formatCode="0">
                  <c:v>200</c:v>
                </c:pt>
                <c:pt idx="222" c:formatCode="0">
                  <c:v>201</c:v>
                </c:pt>
                <c:pt idx="223" c:formatCode="0">
                  <c:v>202</c:v>
                </c:pt>
                <c:pt idx="224" c:formatCode="0">
                  <c:v>203</c:v>
                </c:pt>
                <c:pt idx="225" c:formatCode="0">
                  <c:v>204</c:v>
                </c:pt>
                <c:pt idx="226" c:formatCode="0">
                  <c:v>205</c:v>
                </c:pt>
                <c:pt idx="227" c:formatCode="0">
                  <c:v>206</c:v>
                </c:pt>
                <c:pt idx="228" c:formatCode="0">
                  <c:v>207</c:v>
                </c:pt>
                <c:pt idx="229" c:formatCode="0">
                  <c:v>208</c:v>
                </c:pt>
                <c:pt idx="230" c:formatCode="0">
                  <c:v>209</c:v>
                </c:pt>
                <c:pt idx="231" c:formatCode="0">
                  <c:v>210</c:v>
                </c:pt>
                <c:pt idx="232" c:formatCode="0">
                  <c:v>211</c:v>
                </c:pt>
                <c:pt idx="233" c:formatCode="0">
                  <c:v>212</c:v>
                </c:pt>
                <c:pt idx="234" c:formatCode="0">
                  <c:v>213</c:v>
                </c:pt>
                <c:pt idx="235" c:formatCode="0">
                  <c:v>214</c:v>
                </c:pt>
                <c:pt idx="236" c:formatCode="0">
                  <c:v>215</c:v>
                </c:pt>
                <c:pt idx="237" c:formatCode="0">
                  <c:v>216</c:v>
                </c:pt>
                <c:pt idx="238" c:formatCode="0">
                  <c:v>217</c:v>
                </c:pt>
                <c:pt idx="239" c:formatCode="0">
                  <c:v>218</c:v>
                </c:pt>
                <c:pt idx="240" c:formatCode="0">
                  <c:v>219</c:v>
                </c:pt>
                <c:pt idx="241" c:formatCode="0">
                  <c:v>220</c:v>
                </c:pt>
                <c:pt idx="242" c:formatCode="0">
                  <c:v>221</c:v>
                </c:pt>
                <c:pt idx="243" c:formatCode="0">
                  <c:v>222</c:v>
                </c:pt>
                <c:pt idx="244" c:formatCode="0">
                  <c:v>223</c:v>
                </c:pt>
                <c:pt idx="245" c:formatCode="0">
                  <c:v>224</c:v>
                </c:pt>
                <c:pt idx="246" c:formatCode="0">
                  <c:v>225</c:v>
                </c:pt>
                <c:pt idx="247" c:formatCode="0">
                  <c:v>226</c:v>
                </c:pt>
                <c:pt idx="248" c:formatCode="0">
                  <c:v>227</c:v>
                </c:pt>
                <c:pt idx="249" c:formatCode="0">
                  <c:v>228</c:v>
                </c:pt>
                <c:pt idx="250" c:formatCode="0">
                  <c:v>229</c:v>
                </c:pt>
                <c:pt idx="251" c:formatCode="0">
                  <c:v>230</c:v>
                </c:pt>
                <c:pt idx="252" c:formatCode="0">
                  <c:v>231</c:v>
                </c:pt>
                <c:pt idx="253" c:formatCode="0">
                  <c:v>232</c:v>
                </c:pt>
                <c:pt idx="254" c:formatCode="0">
                  <c:v>233</c:v>
                </c:pt>
                <c:pt idx="255" c:formatCode="0">
                  <c:v>234</c:v>
                </c:pt>
                <c:pt idx="256" c:formatCode="0">
                  <c:v>235</c:v>
                </c:pt>
                <c:pt idx="257" c:formatCode="0">
                  <c:v>236</c:v>
                </c:pt>
                <c:pt idx="258" c:formatCode="0">
                  <c:v>237</c:v>
                </c:pt>
                <c:pt idx="259" c:formatCode="0">
                  <c:v>238</c:v>
                </c:pt>
                <c:pt idx="260" c:formatCode="0">
                  <c:v>239</c:v>
                </c:pt>
                <c:pt idx="261" c:formatCode="0">
                  <c:v>240</c:v>
                </c:pt>
                <c:pt idx="262" c:formatCode="0">
                  <c:v>241</c:v>
                </c:pt>
                <c:pt idx="263" c:formatCode="0">
                  <c:v>242</c:v>
                </c:pt>
                <c:pt idx="264" c:formatCode="0">
                  <c:v>243</c:v>
                </c:pt>
                <c:pt idx="265" c:formatCode="0">
                  <c:v>244</c:v>
                </c:pt>
                <c:pt idx="266" c:formatCode="0">
                  <c:v>245</c:v>
                </c:pt>
                <c:pt idx="267" c:formatCode="0">
                  <c:v>246</c:v>
                </c:pt>
                <c:pt idx="268" c:formatCode="0">
                  <c:v>247</c:v>
                </c:pt>
                <c:pt idx="269" c:formatCode="0">
                  <c:v>248</c:v>
                </c:pt>
                <c:pt idx="270" c:formatCode="0">
                  <c:v>249</c:v>
                </c:pt>
                <c:pt idx="271" c:formatCode="0">
                  <c:v>250</c:v>
                </c:pt>
                <c:pt idx="272" c:formatCode="0">
                  <c:v>251</c:v>
                </c:pt>
                <c:pt idx="273" c:formatCode="0">
                  <c:v>252</c:v>
                </c:pt>
                <c:pt idx="274" c:formatCode="0">
                  <c:v>253</c:v>
                </c:pt>
                <c:pt idx="275" c:formatCode="0">
                  <c:v>254</c:v>
                </c:pt>
                <c:pt idx="276" c:formatCode="0">
                  <c:v>255</c:v>
                </c:pt>
                <c:pt idx="277" c:formatCode="0">
                  <c:v>256</c:v>
                </c:pt>
                <c:pt idx="278" c:formatCode="0">
                  <c:v>257</c:v>
                </c:pt>
                <c:pt idx="279" c:formatCode="0">
                  <c:v>258</c:v>
                </c:pt>
                <c:pt idx="280" c:formatCode="0">
                  <c:v>259</c:v>
                </c:pt>
                <c:pt idx="281" c:formatCode="0">
                  <c:v>260</c:v>
                </c:pt>
                <c:pt idx="282" c:formatCode="0">
                  <c:v>261</c:v>
                </c:pt>
                <c:pt idx="283" c:formatCode="0">
                  <c:v>262</c:v>
                </c:pt>
                <c:pt idx="284" c:formatCode="0">
                  <c:v>263</c:v>
                </c:pt>
                <c:pt idx="285" c:formatCode="0">
                  <c:v>264</c:v>
                </c:pt>
                <c:pt idx="286" c:formatCode="0">
                  <c:v>265</c:v>
                </c:pt>
                <c:pt idx="287" c:formatCode="0">
                  <c:v>266</c:v>
                </c:pt>
                <c:pt idx="288" c:formatCode="0">
                  <c:v>267</c:v>
                </c:pt>
                <c:pt idx="289" c:formatCode="0">
                  <c:v>268</c:v>
                </c:pt>
                <c:pt idx="290" c:formatCode="0">
                  <c:v>269</c:v>
                </c:pt>
                <c:pt idx="291" c:formatCode="0">
                  <c:v>270</c:v>
                </c:pt>
                <c:pt idx="292" c:formatCode="0">
                  <c:v>271</c:v>
                </c:pt>
                <c:pt idx="293" c:formatCode="0">
                  <c:v>272</c:v>
                </c:pt>
                <c:pt idx="294" c:formatCode="0">
                  <c:v>273</c:v>
                </c:pt>
                <c:pt idx="295" c:formatCode="0">
                  <c:v>274</c:v>
                </c:pt>
                <c:pt idx="296" c:formatCode="0">
                  <c:v>275</c:v>
                </c:pt>
                <c:pt idx="297" c:formatCode="0">
                  <c:v>276</c:v>
                </c:pt>
                <c:pt idx="298" c:formatCode="0">
                  <c:v>277</c:v>
                </c:pt>
                <c:pt idx="299" c:formatCode="0">
                  <c:v>278</c:v>
                </c:pt>
                <c:pt idx="300" c:formatCode="0">
                  <c:v>279</c:v>
                </c:pt>
                <c:pt idx="301" c:formatCode="0">
                  <c:v>280</c:v>
                </c:pt>
                <c:pt idx="302" c:formatCode="0">
                  <c:v>281</c:v>
                </c:pt>
                <c:pt idx="303" c:formatCode="0">
                  <c:v>282</c:v>
                </c:pt>
                <c:pt idx="304" c:formatCode="0">
                  <c:v>283</c:v>
                </c:pt>
                <c:pt idx="305" c:formatCode="0">
                  <c:v>284</c:v>
                </c:pt>
                <c:pt idx="306" c:formatCode="0">
                  <c:v>285</c:v>
                </c:pt>
                <c:pt idx="307" c:formatCode="0">
                  <c:v>286</c:v>
                </c:pt>
                <c:pt idx="308" c:formatCode="0">
                  <c:v>287</c:v>
                </c:pt>
                <c:pt idx="309" c:formatCode="0">
                  <c:v>288</c:v>
                </c:pt>
                <c:pt idx="310" c:formatCode="0">
                  <c:v>289</c:v>
                </c:pt>
                <c:pt idx="311" c:formatCode="0">
                  <c:v>290</c:v>
                </c:pt>
                <c:pt idx="312" c:formatCode="0">
                  <c:v>291</c:v>
                </c:pt>
                <c:pt idx="313" c:formatCode="0">
                  <c:v>292</c:v>
                </c:pt>
                <c:pt idx="314" c:formatCode="0">
                  <c:v>293</c:v>
                </c:pt>
                <c:pt idx="315" c:formatCode="0">
                  <c:v>294</c:v>
                </c:pt>
                <c:pt idx="316" c:formatCode="0">
                  <c:v>295</c:v>
                </c:pt>
                <c:pt idx="317" c:formatCode="0">
                  <c:v>296</c:v>
                </c:pt>
                <c:pt idx="318" c:formatCode="0">
                  <c:v>297</c:v>
                </c:pt>
                <c:pt idx="319" c:formatCode="0">
                  <c:v>298</c:v>
                </c:pt>
                <c:pt idx="320" c:formatCode="0">
                  <c:v>299</c:v>
                </c:pt>
                <c:pt idx="321" c:formatCode="0">
                  <c:v>300</c:v>
                </c:pt>
                <c:pt idx="322" c:formatCode="0">
                  <c:v>301</c:v>
                </c:pt>
                <c:pt idx="323" c:formatCode="0">
                  <c:v>302</c:v>
                </c:pt>
                <c:pt idx="324" c:formatCode="0">
                  <c:v>303</c:v>
                </c:pt>
                <c:pt idx="325" c:formatCode="0">
                  <c:v>304</c:v>
                </c:pt>
                <c:pt idx="326" c:formatCode="0">
                  <c:v>305</c:v>
                </c:pt>
                <c:pt idx="327" c:formatCode="0">
                  <c:v>306</c:v>
                </c:pt>
                <c:pt idx="328" c:formatCode="0">
                  <c:v>307</c:v>
                </c:pt>
                <c:pt idx="329" c:formatCode="0">
                  <c:v>308</c:v>
                </c:pt>
                <c:pt idx="330" c:formatCode="0">
                  <c:v>309</c:v>
                </c:pt>
                <c:pt idx="331" c:formatCode="0">
                  <c:v>310</c:v>
                </c:pt>
                <c:pt idx="332" c:formatCode="0">
                  <c:v>311</c:v>
                </c:pt>
                <c:pt idx="333" c:formatCode="0">
                  <c:v>312</c:v>
                </c:pt>
                <c:pt idx="334" c:formatCode="0">
                  <c:v>313</c:v>
                </c:pt>
                <c:pt idx="335" c:formatCode="0">
                  <c:v>314</c:v>
                </c:pt>
                <c:pt idx="336" c:formatCode="0">
                  <c:v>315</c:v>
                </c:pt>
                <c:pt idx="337" c:formatCode="0">
                  <c:v>316</c:v>
                </c:pt>
                <c:pt idx="338" c:formatCode="0">
                  <c:v>317</c:v>
                </c:pt>
                <c:pt idx="339" c:formatCode="0">
                  <c:v>318</c:v>
                </c:pt>
                <c:pt idx="340" c:formatCode="0">
                  <c:v>319</c:v>
                </c:pt>
                <c:pt idx="341" c:formatCode="0">
                  <c:v>320</c:v>
                </c:pt>
                <c:pt idx="342" c:formatCode="0">
                  <c:v>321</c:v>
                </c:pt>
                <c:pt idx="343" c:formatCode="0">
                  <c:v>322</c:v>
                </c:pt>
                <c:pt idx="344" c:formatCode="0">
                  <c:v>323</c:v>
                </c:pt>
                <c:pt idx="345" c:formatCode="0">
                  <c:v>324</c:v>
                </c:pt>
                <c:pt idx="346" c:formatCode="0">
                  <c:v>325</c:v>
                </c:pt>
                <c:pt idx="347" c:formatCode="0">
                  <c:v>326</c:v>
                </c:pt>
                <c:pt idx="348" c:formatCode="0">
                  <c:v>327</c:v>
                </c:pt>
                <c:pt idx="349" c:formatCode="0">
                  <c:v>328</c:v>
                </c:pt>
                <c:pt idx="350" c:formatCode="0">
                  <c:v>329</c:v>
                </c:pt>
                <c:pt idx="351" c:formatCode="0">
                  <c:v>330</c:v>
                </c:pt>
                <c:pt idx="352" c:formatCode="0">
                  <c:v>331</c:v>
                </c:pt>
                <c:pt idx="353" c:formatCode="0">
                  <c:v>332</c:v>
                </c:pt>
                <c:pt idx="354" c:formatCode="0">
                  <c:v>333</c:v>
                </c:pt>
                <c:pt idx="355" c:formatCode="0">
                  <c:v>334</c:v>
                </c:pt>
                <c:pt idx="356" c:formatCode="0">
                  <c:v>335</c:v>
                </c:pt>
                <c:pt idx="357" c:formatCode="0">
                  <c:v>336</c:v>
                </c:pt>
                <c:pt idx="358" c:formatCode="0">
                  <c:v>337</c:v>
                </c:pt>
                <c:pt idx="359" c:formatCode="0">
                  <c:v>338</c:v>
                </c:pt>
                <c:pt idx="360" c:formatCode="0">
                  <c:v>339</c:v>
                </c:pt>
                <c:pt idx="361" c:formatCode="0">
                  <c:v>340</c:v>
                </c:pt>
                <c:pt idx="362" c:formatCode="0">
                  <c:v>341</c:v>
                </c:pt>
                <c:pt idx="363" c:formatCode="0">
                  <c:v>342</c:v>
                </c:pt>
                <c:pt idx="364" c:formatCode="0">
                  <c:v>343</c:v>
                </c:pt>
                <c:pt idx="365" c:formatCode="0">
                  <c:v>344</c:v>
                </c:pt>
                <c:pt idx="366" c:formatCode="0">
                  <c:v>345</c:v>
                </c:pt>
                <c:pt idx="367" c:formatCode="0">
                  <c:v>346</c:v>
                </c:pt>
                <c:pt idx="368" c:formatCode="0">
                  <c:v>347</c:v>
                </c:pt>
                <c:pt idx="369" c:formatCode="0">
                  <c:v>348</c:v>
                </c:pt>
                <c:pt idx="370" c:formatCode="0">
                  <c:v>349</c:v>
                </c:pt>
                <c:pt idx="371" c:formatCode="0">
                  <c:v>350</c:v>
                </c:pt>
                <c:pt idx="372" c:formatCode="0">
                  <c:v>351</c:v>
                </c:pt>
                <c:pt idx="373" c:formatCode="0">
                  <c:v>352</c:v>
                </c:pt>
                <c:pt idx="374" c:formatCode="0">
                  <c:v>353</c:v>
                </c:pt>
                <c:pt idx="375" c:formatCode="0">
                  <c:v>354</c:v>
                </c:pt>
                <c:pt idx="376" c:formatCode="0">
                  <c:v>355</c:v>
                </c:pt>
                <c:pt idx="377" c:formatCode="0">
                  <c:v>356</c:v>
                </c:pt>
                <c:pt idx="378" c:formatCode="0">
                  <c:v>357</c:v>
                </c:pt>
                <c:pt idx="379" c:formatCode="0">
                  <c:v>358</c:v>
                </c:pt>
                <c:pt idx="380" c:formatCode="0">
                  <c:v>359</c:v>
                </c:pt>
                <c:pt idx="381" c:formatCode="0">
                  <c:v>360</c:v>
                </c:pt>
                <c:pt idx="382" c:formatCode="0">
                  <c:v>361</c:v>
                </c:pt>
                <c:pt idx="383" c:formatCode="0">
                  <c:v>362</c:v>
                </c:pt>
                <c:pt idx="384" c:formatCode="0">
                  <c:v>363</c:v>
                </c:pt>
                <c:pt idx="385" c:formatCode="0">
                  <c:v>364</c:v>
                </c:pt>
                <c:pt idx="386" c:formatCode="0">
                  <c:v>365</c:v>
                </c:pt>
                <c:pt idx="387" c:formatCode="0">
                  <c:v>366</c:v>
                </c:pt>
                <c:pt idx="388" c:formatCode="0">
                  <c:v>367</c:v>
                </c:pt>
                <c:pt idx="389" c:formatCode="0">
                  <c:v>368</c:v>
                </c:pt>
                <c:pt idx="390" c:formatCode="0">
                  <c:v>369</c:v>
                </c:pt>
                <c:pt idx="391" c:formatCode="0">
                  <c:v>370</c:v>
                </c:pt>
              </c:numCache>
            </c:numRef>
          </c:xVal>
          <c:yVal>
            <c:numRef>
              <c:f>Пр3!$I$2:$I$393</c:f>
              <c:numCache>
                <c:formatCode>0.0000</c:formatCode>
                <c:ptCount val="392"/>
                <c:pt idx="0">
                  <c:v>-0.0002</c:v>
                </c:pt>
                <c:pt idx="1">
                  <c:v>0</c:v>
                </c:pt>
                <c:pt idx="2">
                  <c:v>0.0152</c:v>
                </c:pt>
                <c:pt idx="3">
                  <c:v>0.0306</c:v>
                </c:pt>
                <c:pt idx="4">
                  <c:v>0.0459</c:v>
                </c:pt>
                <c:pt idx="5">
                  <c:v>0.0611</c:v>
                </c:pt>
                <c:pt idx="6">
                  <c:v>0.0762</c:v>
                </c:pt>
                <c:pt idx="7">
                  <c:v>0.0913</c:v>
                </c:pt>
                <c:pt idx="8">
                  <c:v>0.1063</c:v>
                </c:pt>
                <c:pt idx="9">
                  <c:v>0.1213</c:v>
                </c:pt>
                <c:pt idx="10">
                  <c:v>0.1362</c:v>
                </c:pt>
                <c:pt idx="11">
                  <c:v>0.151</c:v>
                </c:pt>
                <c:pt idx="12">
                  <c:v>0.1658</c:v>
                </c:pt>
                <c:pt idx="13">
                  <c:v>0.1806</c:v>
                </c:pt>
                <c:pt idx="14">
                  <c:v>0.1952</c:v>
                </c:pt>
                <c:pt idx="15">
                  <c:v>0.2098</c:v>
                </c:pt>
                <c:pt idx="16">
                  <c:v>0.2243</c:v>
                </c:pt>
                <c:pt idx="17">
                  <c:v>0.2316</c:v>
                </c:pt>
                <c:pt idx="18">
                  <c:v>0.2388</c:v>
                </c:pt>
                <c:pt idx="19">
                  <c:v>0.246</c:v>
                </c:pt>
                <c:pt idx="20">
                  <c:v>0.2533</c:v>
                </c:pt>
                <c:pt idx="21">
                  <c:v>0.2605</c:v>
                </c:pt>
                <c:pt idx="22">
                  <c:v>0.2677</c:v>
                </c:pt>
                <c:pt idx="23">
                  <c:v>0.2748</c:v>
                </c:pt>
                <c:pt idx="24">
                  <c:v>0.282</c:v>
                </c:pt>
                <c:pt idx="25">
                  <c:v>0.2892</c:v>
                </c:pt>
                <c:pt idx="26">
                  <c:v>0.2963</c:v>
                </c:pt>
                <c:pt idx="27">
                  <c:v>0.3034</c:v>
                </c:pt>
                <c:pt idx="28">
                  <c:v>0.3105</c:v>
                </c:pt>
                <c:pt idx="29">
                  <c:v>0.3176</c:v>
                </c:pt>
                <c:pt idx="30">
                  <c:v>0.3247</c:v>
                </c:pt>
                <c:pt idx="31">
                  <c:v>0.3318</c:v>
                </c:pt>
                <c:pt idx="32">
                  <c:v>0.3389</c:v>
                </c:pt>
                <c:pt idx="33">
                  <c:v>0.3459</c:v>
                </c:pt>
                <c:pt idx="34">
                  <c:v>0.353</c:v>
                </c:pt>
                <c:pt idx="35">
                  <c:v>0.36</c:v>
                </c:pt>
                <c:pt idx="36">
                  <c:v>0.367</c:v>
                </c:pt>
                <c:pt idx="37">
                  <c:v>0.374</c:v>
                </c:pt>
                <c:pt idx="38">
                  <c:v>0.381</c:v>
                </c:pt>
                <c:pt idx="39">
                  <c:v>0.388</c:v>
                </c:pt>
                <c:pt idx="40">
                  <c:v>0.3949</c:v>
                </c:pt>
                <c:pt idx="41">
                  <c:v>0.4019</c:v>
                </c:pt>
                <c:pt idx="42">
                  <c:v>0.4088</c:v>
                </c:pt>
                <c:pt idx="43">
                  <c:v>0.4158</c:v>
                </c:pt>
                <c:pt idx="44">
                  <c:v>0.4227</c:v>
                </c:pt>
                <c:pt idx="45">
                  <c:v>0.4296</c:v>
                </c:pt>
                <c:pt idx="46">
                  <c:v>0.4365</c:v>
                </c:pt>
                <c:pt idx="47">
                  <c:v>0.4434</c:v>
                </c:pt>
                <c:pt idx="48">
                  <c:v>0.4503</c:v>
                </c:pt>
                <c:pt idx="49">
                  <c:v>0.4571</c:v>
                </c:pt>
                <c:pt idx="50">
                  <c:v>0.464</c:v>
                </c:pt>
                <c:pt idx="51">
                  <c:v>0.4708</c:v>
                </c:pt>
                <c:pt idx="52">
                  <c:v>0.4777</c:v>
                </c:pt>
                <c:pt idx="53">
                  <c:v>0.4845</c:v>
                </c:pt>
                <c:pt idx="54">
                  <c:v>0.4913</c:v>
                </c:pt>
                <c:pt idx="55">
                  <c:v>0.4981</c:v>
                </c:pt>
                <c:pt idx="56">
                  <c:v>0.5049</c:v>
                </c:pt>
                <c:pt idx="57">
                  <c:v>0.5184</c:v>
                </c:pt>
                <c:pt idx="58">
                  <c:v>0.5319</c:v>
                </c:pt>
                <c:pt idx="59">
                  <c:v>0.5453</c:v>
                </c:pt>
                <c:pt idx="60">
                  <c:v>0.5588</c:v>
                </c:pt>
                <c:pt idx="61">
                  <c:v>0.5721</c:v>
                </c:pt>
                <c:pt idx="62">
                  <c:v>0.5854</c:v>
                </c:pt>
                <c:pt idx="63">
                  <c:v>0.5987</c:v>
                </c:pt>
                <c:pt idx="64">
                  <c:v>0.612</c:v>
                </c:pt>
                <c:pt idx="65">
                  <c:v>0.6252</c:v>
                </c:pt>
                <c:pt idx="66">
                  <c:v>0.6383</c:v>
                </c:pt>
                <c:pt idx="67">
                  <c:v>0.6514</c:v>
                </c:pt>
                <c:pt idx="68">
                  <c:v>0.6645</c:v>
                </c:pt>
                <c:pt idx="69">
                  <c:v>0.6776</c:v>
                </c:pt>
                <c:pt idx="70">
                  <c:v>0.6906</c:v>
                </c:pt>
                <c:pt idx="71">
                  <c:v>0.7035</c:v>
                </c:pt>
                <c:pt idx="72">
                  <c:v>0.7164</c:v>
                </c:pt>
                <c:pt idx="73">
                  <c:v>0.7293</c:v>
                </c:pt>
                <c:pt idx="74">
                  <c:v>0.7422</c:v>
                </c:pt>
                <c:pt idx="75">
                  <c:v>0.755</c:v>
                </c:pt>
                <c:pt idx="76">
                  <c:v>0.7677</c:v>
                </c:pt>
                <c:pt idx="77">
                  <c:v>0.7804</c:v>
                </c:pt>
                <c:pt idx="78">
                  <c:v>0.7931</c:v>
                </c:pt>
                <c:pt idx="79">
                  <c:v>0.8058</c:v>
                </c:pt>
                <c:pt idx="80">
                  <c:v>0.8184</c:v>
                </c:pt>
                <c:pt idx="81">
                  <c:v>0.831</c:v>
                </c:pt>
                <c:pt idx="82">
                  <c:v>0.8435</c:v>
                </c:pt>
                <c:pt idx="83">
                  <c:v>0.856</c:v>
                </c:pt>
                <c:pt idx="84">
                  <c:v>0.8685</c:v>
                </c:pt>
                <c:pt idx="85">
                  <c:v>0.8809</c:v>
                </c:pt>
                <c:pt idx="86">
                  <c:v>0.8933</c:v>
                </c:pt>
                <c:pt idx="87">
                  <c:v>0.9057</c:v>
                </c:pt>
                <c:pt idx="88">
                  <c:v>0.918</c:v>
                </c:pt>
                <c:pt idx="89">
                  <c:v>0.9303</c:v>
                </c:pt>
                <c:pt idx="90">
                  <c:v>0.9426</c:v>
                </c:pt>
                <c:pt idx="91">
                  <c:v>0.9548</c:v>
                </c:pt>
                <c:pt idx="92">
                  <c:v>0.967</c:v>
                </c:pt>
                <c:pt idx="93">
                  <c:v>0.9792</c:v>
                </c:pt>
                <c:pt idx="94">
                  <c:v>0.9913</c:v>
                </c:pt>
                <c:pt idx="95">
                  <c:v>1.0034</c:v>
                </c:pt>
                <c:pt idx="96">
                  <c:v>1.0154</c:v>
                </c:pt>
                <c:pt idx="97">
                  <c:v>1.0275</c:v>
                </c:pt>
                <c:pt idx="98">
                  <c:v>1.0395</c:v>
                </c:pt>
                <c:pt idx="99">
                  <c:v>1.0514</c:v>
                </c:pt>
                <c:pt idx="100">
                  <c:v>1.0634</c:v>
                </c:pt>
                <c:pt idx="101">
                  <c:v>1.0752</c:v>
                </c:pt>
                <c:pt idx="102">
                  <c:v>1.0871</c:v>
                </c:pt>
                <c:pt idx="103">
                  <c:v>1.099</c:v>
                </c:pt>
                <c:pt idx="104">
                  <c:v>1.1108</c:v>
                </c:pt>
                <c:pt idx="105">
                  <c:v>1.1225</c:v>
                </c:pt>
                <c:pt idx="106">
                  <c:v>1.1343</c:v>
                </c:pt>
                <c:pt idx="107">
                  <c:v>1.146</c:v>
                </c:pt>
                <c:pt idx="108">
                  <c:v>1.1577</c:v>
                </c:pt>
                <c:pt idx="109">
                  <c:v>1.1693</c:v>
                </c:pt>
                <c:pt idx="110">
                  <c:v>1.1809</c:v>
                </c:pt>
                <c:pt idx="111">
                  <c:v>1.1925</c:v>
                </c:pt>
                <c:pt idx="112">
                  <c:v>1.2041</c:v>
                </c:pt>
                <c:pt idx="113">
                  <c:v>1.2156</c:v>
                </c:pt>
                <c:pt idx="114">
                  <c:v>1.2271</c:v>
                </c:pt>
                <c:pt idx="115">
                  <c:v>1.2386</c:v>
                </c:pt>
                <c:pt idx="116">
                  <c:v>1.25</c:v>
                </c:pt>
                <c:pt idx="117">
                  <c:v>1.2615</c:v>
                </c:pt>
                <c:pt idx="118">
                  <c:v>1.2729</c:v>
                </c:pt>
                <c:pt idx="119">
                  <c:v>1.2842</c:v>
                </c:pt>
                <c:pt idx="120">
                  <c:v>1.2956</c:v>
                </c:pt>
                <c:pt idx="121">
                  <c:v>1.3069</c:v>
                </c:pt>
                <c:pt idx="122">
                  <c:v>1.3182</c:v>
                </c:pt>
                <c:pt idx="123">
                  <c:v>1.3294</c:v>
                </c:pt>
                <c:pt idx="124">
                  <c:v>1.3406</c:v>
                </c:pt>
                <c:pt idx="125">
                  <c:v>1.3518</c:v>
                </c:pt>
                <c:pt idx="126">
                  <c:v>1.363</c:v>
                </c:pt>
                <c:pt idx="127">
                  <c:v>1.3742</c:v>
                </c:pt>
                <c:pt idx="128">
                  <c:v>1.3853</c:v>
                </c:pt>
                <c:pt idx="129">
                  <c:v>1.3964</c:v>
                </c:pt>
                <c:pt idx="130">
                  <c:v>1.4074</c:v>
                </c:pt>
                <c:pt idx="131">
                  <c:v>1.4185</c:v>
                </c:pt>
                <c:pt idx="132">
                  <c:v>1.4295</c:v>
                </c:pt>
                <c:pt idx="133">
                  <c:v>1.4405</c:v>
                </c:pt>
                <c:pt idx="134">
                  <c:v>1.4515</c:v>
                </c:pt>
                <c:pt idx="135">
                  <c:v>1.4624</c:v>
                </c:pt>
                <c:pt idx="136">
                  <c:v>1.4733</c:v>
                </c:pt>
                <c:pt idx="137">
                  <c:v>1.4842</c:v>
                </c:pt>
                <c:pt idx="138">
                  <c:v>1.4951</c:v>
                </c:pt>
                <c:pt idx="139" c:formatCode="General">
                  <c:v>1.506</c:v>
                </c:pt>
                <c:pt idx="140">
                  <c:v>1.5168</c:v>
                </c:pt>
                <c:pt idx="141">
                  <c:v>1.5276</c:v>
                </c:pt>
                <c:pt idx="142">
                  <c:v>1.5384</c:v>
                </c:pt>
                <c:pt idx="143">
                  <c:v>1.5491</c:v>
                </c:pt>
                <c:pt idx="144">
                  <c:v>1.5599</c:v>
                </c:pt>
                <c:pt idx="145">
                  <c:v>1.5706</c:v>
                </c:pt>
                <c:pt idx="146">
                  <c:v>1.5813</c:v>
                </c:pt>
                <c:pt idx="147">
                  <c:v>1.5919</c:v>
                </c:pt>
                <c:pt idx="148">
                  <c:v>1.6026</c:v>
                </c:pt>
                <c:pt idx="149">
                  <c:v>1.6132</c:v>
                </c:pt>
                <c:pt idx="150">
                  <c:v>1.6238</c:v>
                </c:pt>
                <c:pt idx="151">
                  <c:v>1.6344</c:v>
                </c:pt>
                <c:pt idx="152">
                  <c:v>1.6449</c:v>
                </c:pt>
                <c:pt idx="153">
                  <c:v>1.6555</c:v>
                </c:pt>
                <c:pt idx="154">
                  <c:v>1.666</c:v>
                </c:pt>
                <c:pt idx="155">
                  <c:v>1.6765</c:v>
                </c:pt>
                <c:pt idx="156">
                  <c:v>1.6869</c:v>
                </c:pt>
                <c:pt idx="157">
                  <c:v>1.6974</c:v>
                </c:pt>
                <c:pt idx="158">
                  <c:v>1.7078</c:v>
                </c:pt>
                <c:pt idx="159">
                  <c:v>1.7182</c:v>
                </c:pt>
                <c:pt idx="160">
                  <c:v>1.7286</c:v>
                </c:pt>
                <c:pt idx="161">
                  <c:v>1.739</c:v>
                </c:pt>
                <c:pt idx="162">
                  <c:v>1.7493</c:v>
                </c:pt>
                <c:pt idx="163">
                  <c:v>1.7597</c:v>
                </c:pt>
                <c:pt idx="164">
                  <c:v>1.77</c:v>
                </c:pt>
                <c:pt idx="165">
                  <c:v>1.7803</c:v>
                </c:pt>
                <c:pt idx="166">
                  <c:v>1.7906</c:v>
                </c:pt>
                <c:pt idx="167">
                  <c:v>1.8008</c:v>
                </c:pt>
                <c:pt idx="168">
                  <c:v>1.811</c:v>
                </c:pt>
                <c:pt idx="169">
                  <c:v>1.8213</c:v>
                </c:pt>
                <c:pt idx="170">
                  <c:v>1.8315</c:v>
                </c:pt>
                <c:pt idx="171">
                  <c:v>1.8416</c:v>
                </c:pt>
                <c:pt idx="172">
                  <c:v>1.8518</c:v>
                </c:pt>
                <c:pt idx="173">
                  <c:v>1.8619</c:v>
                </c:pt>
                <c:pt idx="174">
                  <c:v>1.8721</c:v>
                </c:pt>
                <c:pt idx="175">
                  <c:v>1.8822</c:v>
                </c:pt>
                <c:pt idx="176">
                  <c:v>1.8923</c:v>
                </c:pt>
                <c:pt idx="177">
                  <c:v>1.9023</c:v>
                </c:pt>
                <c:pt idx="178">
                  <c:v>1.9124</c:v>
                </c:pt>
                <c:pt idx="179">
                  <c:v>1.9224</c:v>
                </c:pt>
                <c:pt idx="180">
                  <c:v>1.9325</c:v>
                </c:pt>
                <c:pt idx="181">
                  <c:v>1.9425</c:v>
                </c:pt>
                <c:pt idx="182">
                  <c:v>1.9525</c:v>
                </c:pt>
                <c:pt idx="183">
                  <c:v>1.9624</c:v>
                </c:pt>
                <c:pt idx="184">
                  <c:v>1.9724</c:v>
                </c:pt>
                <c:pt idx="185">
                  <c:v>1.9823</c:v>
                </c:pt>
                <c:pt idx="186">
                  <c:v>1.9922</c:v>
                </c:pt>
                <c:pt idx="187">
                  <c:v>2.0022</c:v>
                </c:pt>
                <c:pt idx="188">
                  <c:v>2.012</c:v>
                </c:pt>
                <c:pt idx="189">
                  <c:v>2.0219</c:v>
                </c:pt>
                <c:pt idx="190">
                  <c:v>2.0318</c:v>
                </c:pt>
                <c:pt idx="191">
                  <c:v>2.0416</c:v>
                </c:pt>
                <c:pt idx="192">
                  <c:v>2.0515</c:v>
                </c:pt>
                <c:pt idx="193">
                  <c:v>2.0613</c:v>
                </c:pt>
                <c:pt idx="194">
                  <c:v>2.0711</c:v>
                </c:pt>
                <c:pt idx="195">
                  <c:v>2.0809</c:v>
                </c:pt>
                <c:pt idx="196">
                  <c:v>2.0906</c:v>
                </c:pt>
                <c:pt idx="197">
                  <c:v>2.1004</c:v>
                </c:pt>
                <c:pt idx="198">
                  <c:v>2.1101</c:v>
                </c:pt>
                <c:pt idx="199">
                  <c:v>2.1199</c:v>
                </c:pt>
                <c:pt idx="200">
                  <c:v>2.1296</c:v>
                </c:pt>
                <c:pt idx="201">
                  <c:v>2.1393</c:v>
                </c:pt>
                <c:pt idx="202">
                  <c:v>2.149</c:v>
                </c:pt>
                <c:pt idx="203">
                  <c:v>2.1586</c:v>
                </c:pt>
                <c:pt idx="204">
                  <c:v>2.1683</c:v>
                </c:pt>
                <c:pt idx="205">
                  <c:v>2.178</c:v>
                </c:pt>
                <c:pt idx="206">
                  <c:v>2.1876</c:v>
                </c:pt>
                <c:pt idx="207">
                  <c:v>2.1972</c:v>
                </c:pt>
                <c:pt idx="208">
                  <c:v>2.2068</c:v>
                </c:pt>
                <c:pt idx="209">
                  <c:v>2.2164</c:v>
                </c:pt>
                <c:pt idx="210">
                  <c:v>2.226</c:v>
                </c:pt>
                <c:pt idx="211">
                  <c:v>2.2356</c:v>
                </c:pt>
                <c:pt idx="212">
                  <c:v>2.2451</c:v>
                </c:pt>
                <c:pt idx="213">
                  <c:v>2.2547</c:v>
                </c:pt>
                <c:pt idx="214">
                  <c:v>2.2642</c:v>
                </c:pt>
                <c:pt idx="215">
                  <c:v>2.2738</c:v>
                </c:pt>
                <c:pt idx="216">
                  <c:v>2.2833</c:v>
                </c:pt>
                <c:pt idx="217">
                  <c:v>2.2928</c:v>
                </c:pt>
                <c:pt idx="218">
                  <c:v>2.3023</c:v>
                </c:pt>
                <c:pt idx="219">
                  <c:v>2.3117</c:v>
                </c:pt>
                <c:pt idx="220">
                  <c:v>2.3212</c:v>
                </c:pt>
                <c:pt idx="221">
                  <c:v>2.3307</c:v>
                </c:pt>
                <c:pt idx="222">
                  <c:v>2.3401</c:v>
                </c:pt>
                <c:pt idx="223">
                  <c:v>2.3496</c:v>
                </c:pt>
                <c:pt idx="224">
                  <c:v>2.359</c:v>
                </c:pt>
                <c:pt idx="225">
                  <c:v>2.3684</c:v>
                </c:pt>
                <c:pt idx="226">
                  <c:v>2.3778</c:v>
                </c:pt>
                <c:pt idx="227">
                  <c:v>2.3872</c:v>
                </c:pt>
                <c:pt idx="228">
                  <c:v>2.3966</c:v>
                </c:pt>
                <c:pt idx="229">
                  <c:v>2.406</c:v>
                </c:pt>
                <c:pt idx="230">
                  <c:v>2.4153</c:v>
                </c:pt>
                <c:pt idx="231">
                  <c:v>2.4247</c:v>
                </c:pt>
                <c:pt idx="232">
                  <c:v>2.4341</c:v>
                </c:pt>
                <c:pt idx="233">
                  <c:v>2.4434</c:v>
                </c:pt>
                <c:pt idx="234">
                  <c:v>2.4527</c:v>
                </c:pt>
                <c:pt idx="235">
                  <c:v>2.4621</c:v>
                </c:pt>
                <c:pt idx="236">
                  <c:v>2.4714</c:v>
                </c:pt>
                <c:pt idx="237">
                  <c:v>2.4807</c:v>
                </c:pt>
                <c:pt idx="238">
                  <c:v>2.49</c:v>
                </c:pt>
                <c:pt idx="239">
                  <c:v>2.4993</c:v>
                </c:pt>
                <c:pt idx="240">
                  <c:v>2.5086</c:v>
                </c:pt>
                <c:pt idx="241">
                  <c:v>2.5178</c:v>
                </c:pt>
                <c:pt idx="242">
                  <c:v>2.5271</c:v>
                </c:pt>
                <c:pt idx="243">
                  <c:v>2.5364</c:v>
                </c:pt>
                <c:pt idx="244">
                  <c:v>2.5456</c:v>
                </c:pt>
                <c:pt idx="245">
                  <c:v>2.5549</c:v>
                </c:pt>
                <c:pt idx="246">
                  <c:v>2.5641</c:v>
                </c:pt>
                <c:pt idx="247">
                  <c:v>2.5733</c:v>
                </c:pt>
                <c:pt idx="248">
                  <c:v>2.5826</c:v>
                </c:pt>
                <c:pt idx="249">
                  <c:v>2.5918</c:v>
                </c:pt>
                <c:pt idx="250">
                  <c:v>2.601</c:v>
                </c:pt>
                <c:pt idx="251">
                  <c:v>2.6102</c:v>
                </c:pt>
                <c:pt idx="252">
                  <c:v>2.6194</c:v>
                </c:pt>
                <c:pt idx="253">
                  <c:v>2.6286</c:v>
                </c:pt>
                <c:pt idx="254">
                  <c:v>2.6378</c:v>
                </c:pt>
                <c:pt idx="255">
                  <c:v>2.647</c:v>
                </c:pt>
                <c:pt idx="256">
                  <c:v>2.6562</c:v>
                </c:pt>
                <c:pt idx="257">
                  <c:v>2.6654</c:v>
                </c:pt>
                <c:pt idx="258">
                  <c:v>2.6746</c:v>
                </c:pt>
                <c:pt idx="259">
                  <c:v>2.6838</c:v>
                </c:pt>
                <c:pt idx="260">
                  <c:v>2.6929</c:v>
                </c:pt>
                <c:pt idx="261">
                  <c:v>2.7021</c:v>
                </c:pt>
                <c:pt idx="262">
                  <c:v>2.7113</c:v>
                </c:pt>
                <c:pt idx="263">
                  <c:v>2.7204</c:v>
                </c:pt>
                <c:pt idx="264">
                  <c:v>2.7296</c:v>
                </c:pt>
                <c:pt idx="265">
                  <c:v>2.7387</c:v>
                </c:pt>
                <c:pt idx="266">
                  <c:v>2.7479</c:v>
                </c:pt>
                <c:pt idx="267">
                  <c:v>2.757</c:v>
                </c:pt>
                <c:pt idx="268">
                  <c:v>2.7662</c:v>
                </c:pt>
                <c:pt idx="269">
                  <c:v>2.7753</c:v>
                </c:pt>
                <c:pt idx="270">
                  <c:v>2.7845</c:v>
                </c:pt>
                <c:pt idx="271">
                  <c:v>2.7936</c:v>
                </c:pt>
                <c:pt idx="272">
                  <c:v>2.8028</c:v>
                </c:pt>
                <c:pt idx="273">
                  <c:v>2.8119</c:v>
                </c:pt>
                <c:pt idx="274">
                  <c:v>2.821</c:v>
                </c:pt>
                <c:pt idx="275">
                  <c:v>2.8302</c:v>
                </c:pt>
                <c:pt idx="276">
                  <c:v>2.8393</c:v>
                </c:pt>
                <c:pt idx="277">
                  <c:v>2.8485</c:v>
                </c:pt>
                <c:pt idx="278">
                  <c:v>2.8576</c:v>
                </c:pt>
                <c:pt idx="279">
                  <c:v>2.8668</c:v>
                </c:pt>
                <c:pt idx="280">
                  <c:v>2.8759</c:v>
                </c:pt>
                <c:pt idx="281">
                  <c:v>2.885</c:v>
                </c:pt>
                <c:pt idx="282">
                  <c:v>2.8942</c:v>
                </c:pt>
                <c:pt idx="283">
                  <c:v>2.9033</c:v>
                </c:pt>
                <c:pt idx="284">
                  <c:v>2.9125</c:v>
                </c:pt>
                <c:pt idx="285">
                  <c:v>2.9216</c:v>
                </c:pt>
                <c:pt idx="286">
                  <c:v>2.9358</c:v>
                </c:pt>
                <c:pt idx="287">
                  <c:v>2.9399</c:v>
                </c:pt>
                <c:pt idx="288">
                  <c:v>2.9491</c:v>
                </c:pt>
                <c:pt idx="289">
                  <c:v>2.9583</c:v>
                </c:pt>
                <c:pt idx="290">
                  <c:v>2.9675</c:v>
                </c:pt>
                <c:pt idx="291">
                  <c:v>2.9766</c:v>
                </c:pt>
                <c:pt idx="292">
                  <c:v>2.9858</c:v>
                </c:pt>
                <c:pt idx="293">
                  <c:v>2.995</c:v>
                </c:pt>
                <c:pt idx="294">
                  <c:v>3.0042</c:v>
                </c:pt>
                <c:pt idx="295">
                  <c:v>3.0134</c:v>
                </c:pt>
                <c:pt idx="296">
                  <c:v>3.0226</c:v>
                </c:pt>
                <c:pt idx="297">
                  <c:v>3.0318</c:v>
                </c:pt>
                <c:pt idx="298">
                  <c:v>3.041</c:v>
                </c:pt>
                <c:pt idx="299">
                  <c:v>3.0502</c:v>
                </c:pt>
                <c:pt idx="300">
                  <c:v>3.0594</c:v>
                </c:pt>
                <c:pt idx="301">
                  <c:v>3.0687</c:v>
                </c:pt>
                <c:pt idx="302">
                  <c:v>3.0779</c:v>
                </c:pt>
                <c:pt idx="303">
                  <c:v>3.0872</c:v>
                </c:pt>
                <c:pt idx="304">
                  <c:v>3.0964</c:v>
                </c:pt>
                <c:pt idx="305">
                  <c:v>3.1057</c:v>
                </c:pt>
                <c:pt idx="306">
                  <c:v>3.115</c:v>
                </c:pt>
                <c:pt idx="307">
                  <c:v>3.1243</c:v>
                </c:pt>
                <c:pt idx="308">
                  <c:v>3.1336</c:v>
                </c:pt>
                <c:pt idx="309">
                  <c:v>3.1429</c:v>
                </c:pt>
                <c:pt idx="310">
                  <c:v>3.1523</c:v>
                </c:pt>
                <c:pt idx="311">
                  <c:v>3.1616</c:v>
                </c:pt>
                <c:pt idx="312">
                  <c:v>3.171</c:v>
                </c:pt>
                <c:pt idx="313">
                  <c:v>3.1803</c:v>
                </c:pt>
                <c:pt idx="314">
                  <c:v>3.1897</c:v>
                </c:pt>
                <c:pt idx="315">
                  <c:v>3.1991</c:v>
                </c:pt>
                <c:pt idx="316">
                  <c:v>3.2085</c:v>
                </c:pt>
                <c:pt idx="317">
                  <c:v>3.218</c:v>
                </c:pt>
                <c:pt idx="318">
                  <c:v>3.2274</c:v>
                </c:pt>
                <c:pt idx="319">
                  <c:v>3.2369</c:v>
                </c:pt>
                <c:pt idx="320">
                  <c:v>3.2464</c:v>
                </c:pt>
                <c:pt idx="321">
                  <c:v>3.2559</c:v>
                </c:pt>
                <c:pt idx="322">
                  <c:v>3.2654</c:v>
                </c:pt>
                <c:pt idx="323">
                  <c:v>3.275</c:v>
                </c:pt>
                <c:pt idx="324">
                  <c:v>3.2845</c:v>
                </c:pt>
                <c:pt idx="325">
                  <c:v>3.2941</c:v>
                </c:pt>
                <c:pt idx="326">
                  <c:v>3.3037</c:v>
                </c:pt>
                <c:pt idx="327">
                  <c:v>3.3134</c:v>
                </c:pt>
                <c:pt idx="328">
                  <c:v>3.323</c:v>
                </c:pt>
                <c:pt idx="329">
                  <c:v>3.3327</c:v>
                </c:pt>
                <c:pt idx="330">
                  <c:v>3.3424</c:v>
                </c:pt>
                <c:pt idx="331">
                  <c:v>3.3522</c:v>
                </c:pt>
                <c:pt idx="332">
                  <c:v>3.3619</c:v>
                </c:pt>
                <c:pt idx="333">
                  <c:v>3.3717</c:v>
                </c:pt>
                <c:pt idx="334">
                  <c:v>3.3816</c:v>
                </c:pt>
                <c:pt idx="335">
                  <c:v>3.3914</c:v>
                </c:pt>
                <c:pt idx="336">
                  <c:v>3.4013</c:v>
                </c:pt>
                <c:pt idx="337">
                  <c:v>3.4112</c:v>
                </c:pt>
                <c:pt idx="338">
                  <c:v>3.4212</c:v>
                </c:pt>
                <c:pt idx="339">
                  <c:v>3.4312</c:v>
                </c:pt>
                <c:pt idx="340">
                  <c:v>3.4412</c:v>
                </c:pt>
                <c:pt idx="341">
                  <c:v>3.4513</c:v>
                </c:pt>
                <c:pt idx="342">
                  <c:v>3.4614</c:v>
                </c:pt>
                <c:pt idx="343">
                  <c:v>3.4716</c:v>
                </c:pt>
                <c:pt idx="344">
                  <c:v>3.4818</c:v>
                </c:pt>
                <c:pt idx="345">
                  <c:v>3.492</c:v>
                </c:pt>
                <c:pt idx="346">
                  <c:v>3.5023</c:v>
                </c:pt>
                <c:pt idx="347">
                  <c:v>3.5127</c:v>
                </c:pt>
                <c:pt idx="348">
                  <c:v>3.5231</c:v>
                </c:pt>
                <c:pt idx="349">
                  <c:v>3.5335</c:v>
                </c:pt>
                <c:pt idx="350">
                  <c:v>3.544</c:v>
                </c:pt>
                <c:pt idx="351">
                  <c:v>3.5546</c:v>
                </c:pt>
                <c:pt idx="352">
                  <c:v>3.5652</c:v>
                </c:pt>
                <c:pt idx="353">
                  <c:v>3.5759</c:v>
                </c:pt>
                <c:pt idx="354">
                  <c:v>3.5867</c:v>
                </c:pt>
                <c:pt idx="355">
                  <c:v>3.5975</c:v>
                </c:pt>
                <c:pt idx="356">
                  <c:v>3.6084</c:v>
                </c:pt>
                <c:pt idx="357">
                  <c:v>3.6193</c:v>
                </c:pt>
                <c:pt idx="358">
                  <c:v>3.6304</c:v>
                </c:pt>
                <c:pt idx="359">
                  <c:v>3.6415</c:v>
                </c:pt>
                <c:pt idx="360">
                  <c:v>3.6527</c:v>
                </c:pt>
                <c:pt idx="361">
                  <c:v>3.6638</c:v>
                </c:pt>
                <c:pt idx="362">
                  <c:v>3.675</c:v>
                </c:pt>
                <c:pt idx="363">
                  <c:v>3.6864</c:v>
                </c:pt>
                <c:pt idx="364">
                  <c:v>3.6978</c:v>
                </c:pt>
                <c:pt idx="365">
                  <c:v>3.7094</c:v>
                </c:pt>
                <c:pt idx="366">
                  <c:v>3.7211</c:v>
                </c:pt>
                <c:pt idx="367">
                  <c:v>3.7329</c:v>
                </c:pt>
                <c:pt idx="368">
                  <c:v>3.7448</c:v>
                </c:pt>
                <c:pt idx="369">
                  <c:v>3.7569</c:v>
                </c:pt>
                <c:pt idx="370">
                  <c:v>3.7692</c:v>
                </c:pt>
                <c:pt idx="371">
                  <c:v>3.7816</c:v>
                </c:pt>
                <c:pt idx="372">
                  <c:v>3.7942</c:v>
                </c:pt>
                <c:pt idx="373">
                  <c:v>3.807</c:v>
                </c:pt>
                <c:pt idx="374">
                  <c:v>3.82</c:v>
                </c:pt>
                <c:pt idx="375">
                  <c:v>3.8332</c:v>
                </c:pt>
                <c:pt idx="376">
                  <c:v>3.8467</c:v>
                </c:pt>
                <c:pt idx="377">
                  <c:v>3.8604</c:v>
                </c:pt>
                <c:pt idx="378">
                  <c:v>3.8745</c:v>
                </c:pt>
                <c:pt idx="379">
                  <c:v>3.8889</c:v>
                </c:pt>
                <c:pt idx="380">
                  <c:v>3.9037</c:v>
                </c:pt>
                <c:pt idx="381">
                  <c:v>3.9189</c:v>
                </c:pt>
                <c:pt idx="382">
                  <c:v>3.9346</c:v>
                </c:pt>
                <c:pt idx="383">
                  <c:v>3.9509</c:v>
                </c:pt>
                <c:pt idx="384">
                  <c:v>3.9678</c:v>
                </c:pt>
                <c:pt idx="385">
                  <c:v>3.9856</c:v>
                </c:pt>
                <c:pt idx="386">
                  <c:v>4.0041</c:v>
                </c:pt>
                <c:pt idx="387">
                  <c:v>4.0238</c:v>
                </c:pt>
                <c:pt idx="388">
                  <c:v>4.0449</c:v>
                </c:pt>
                <c:pt idx="389">
                  <c:v>4.0676</c:v>
                </c:pt>
                <c:pt idx="390">
                  <c:v>4.0925</c:v>
                </c:pt>
                <c:pt idx="391">
                  <c:v>4.1198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62496"/>
        <c:axId val="178764032"/>
      </c:scatterChart>
      <c:valAx>
        <c:axId val="17876249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764032"/>
        <c:crosses val="autoZero"/>
        <c:crossBetween val="midCat"/>
      </c:valAx>
      <c:valAx>
        <c:axId val="178764032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76249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b276c2-ca3a-4181-b7a5-2fa4e96be8d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Пр3!$J$1</c:f>
              <c:strCache>
                <c:ptCount val="1"/>
                <c:pt idx="0">
                  <c:v>Уд. энтропия насыщенного пара s", кДж/(кг*К)</c:v>
                </c:pt>
              </c:strCache>
            </c:strRef>
          </c:tx>
          <c:dLbls>
            <c:delete val="1"/>
          </c:dLbls>
          <c:xVal>
            <c:numRef>
              <c:f>Пр3!$A$2:$A$393</c:f>
              <c:numCache>
                <c:formatCode>0.0</c:formatCode>
                <c:ptCount val="392"/>
                <c:pt idx="0">
                  <c:v>0</c:v>
                </c:pt>
                <c:pt idx="1" c:formatCode="0.00">
                  <c:v>0.01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  <c:pt idx="25">
                  <c:v>19.5</c:v>
                </c:pt>
                <c:pt idx="26">
                  <c:v>20</c:v>
                </c:pt>
                <c:pt idx="27">
                  <c:v>20.5</c:v>
                </c:pt>
                <c:pt idx="28">
                  <c:v>21</c:v>
                </c:pt>
                <c:pt idx="29">
                  <c:v>21.5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  <c:pt idx="33">
                  <c:v>23.5</c:v>
                </c:pt>
                <c:pt idx="34">
                  <c:v>24</c:v>
                </c:pt>
                <c:pt idx="35">
                  <c:v>24.5</c:v>
                </c:pt>
                <c:pt idx="36">
                  <c:v>25</c:v>
                </c:pt>
                <c:pt idx="37">
                  <c:v>25.5</c:v>
                </c:pt>
                <c:pt idx="38">
                  <c:v>26</c:v>
                </c:pt>
                <c:pt idx="39">
                  <c:v>26.5</c:v>
                </c:pt>
                <c:pt idx="40">
                  <c:v>27</c:v>
                </c:pt>
                <c:pt idx="41">
                  <c:v>27.5</c:v>
                </c:pt>
                <c:pt idx="42">
                  <c:v>28</c:v>
                </c:pt>
                <c:pt idx="43">
                  <c:v>28.5</c:v>
                </c:pt>
                <c:pt idx="44">
                  <c:v>29</c:v>
                </c:pt>
                <c:pt idx="45">
                  <c:v>29.5</c:v>
                </c:pt>
                <c:pt idx="46">
                  <c:v>30</c:v>
                </c:pt>
                <c:pt idx="47">
                  <c:v>30.5</c:v>
                </c:pt>
                <c:pt idx="48">
                  <c:v>31</c:v>
                </c:pt>
                <c:pt idx="49">
                  <c:v>31.5</c:v>
                </c:pt>
                <c:pt idx="50">
                  <c:v>32</c:v>
                </c:pt>
                <c:pt idx="51">
                  <c:v>32.5</c:v>
                </c:pt>
                <c:pt idx="52">
                  <c:v>33</c:v>
                </c:pt>
                <c:pt idx="53">
                  <c:v>33.5</c:v>
                </c:pt>
                <c:pt idx="54">
                  <c:v>34</c:v>
                </c:pt>
                <c:pt idx="55">
                  <c:v>34.5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 c:formatCode="0">
                  <c:v>100</c:v>
                </c:pt>
                <c:pt idx="122" c:formatCode="0">
                  <c:v>101</c:v>
                </c:pt>
                <c:pt idx="123" c:formatCode="0">
                  <c:v>102</c:v>
                </c:pt>
                <c:pt idx="124" c:formatCode="0">
                  <c:v>103</c:v>
                </c:pt>
                <c:pt idx="125" c:formatCode="0">
                  <c:v>104</c:v>
                </c:pt>
                <c:pt idx="126" c:formatCode="0">
                  <c:v>105</c:v>
                </c:pt>
                <c:pt idx="127" c:formatCode="0">
                  <c:v>106</c:v>
                </c:pt>
                <c:pt idx="128" c:formatCode="0">
                  <c:v>107</c:v>
                </c:pt>
                <c:pt idx="129" c:formatCode="0">
                  <c:v>108</c:v>
                </c:pt>
                <c:pt idx="130" c:formatCode="0">
                  <c:v>109</c:v>
                </c:pt>
                <c:pt idx="131" c:formatCode="0">
                  <c:v>110</c:v>
                </c:pt>
                <c:pt idx="132" c:formatCode="0">
                  <c:v>111</c:v>
                </c:pt>
                <c:pt idx="133" c:formatCode="0">
                  <c:v>112</c:v>
                </c:pt>
                <c:pt idx="134" c:formatCode="0">
                  <c:v>113</c:v>
                </c:pt>
                <c:pt idx="135" c:formatCode="0">
                  <c:v>114</c:v>
                </c:pt>
                <c:pt idx="136" c:formatCode="0">
                  <c:v>115</c:v>
                </c:pt>
                <c:pt idx="137" c:formatCode="0">
                  <c:v>116</c:v>
                </c:pt>
                <c:pt idx="138" c:formatCode="0">
                  <c:v>117</c:v>
                </c:pt>
                <c:pt idx="139" c:formatCode="0">
                  <c:v>118</c:v>
                </c:pt>
                <c:pt idx="140" c:formatCode="0">
                  <c:v>119</c:v>
                </c:pt>
                <c:pt idx="141" c:formatCode="0">
                  <c:v>120</c:v>
                </c:pt>
                <c:pt idx="142" c:formatCode="0">
                  <c:v>121</c:v>
                </c:pt>
                <c:pt idx="143" c:formatCode="0">
                  <c:v>122</c:v>
                </c:pt>
                <c:pt idx="144" c:formatCode="0">
                  <c:v>123</c:v>
                </c:pt>
                <c:pt idx="145" c:formatCode="0">
                  <c:v>124</c:v>
                </c:pt>
                <c:pt idx="146" c:formatCode="0">
                  <c:v>125</c:v>
                </c:pt>
                <c:pt idx="147" c:formatCode="0">
                  <c:v>126</c:v>
                </c:pt>
                <c:pt idx="148" c:formatCode="0">
                  <c:v>127</c:v>
                </c:pt>
                <c:pt idx="149" c:formatCode="0">
                  <c:v>128</c:v>
                </c:pt>
                <c:pt idx="150" c:formatCode="0">
                  <c:v>129</c:v>
                </c:pt>
                <c:pt idx="151" c:formatCode="0">
                  <c:v>130</c:v>
                </c:pt>
                <c:pt idx="152" c:formatCode="0">
                  <c:v>131</c:v>
                </c:pt>
                <c:pt idx="153" c:formatCode="0">
                  <c:v>132</c:v>
                </c:pt>
                <c:pt idx="154" c:formatCode="0">
                  <c:v>133</c:v>
                </c:pt>
                <c:pt idx="155" c:formatCode="0">
                  <c:v>134</c:v>
                </c:pt>
                <c:pt idx="156" c:formatCode="0">
                  <c:v>135</c:v>
                </c:pt>
                <c:pt idx="157" c:formatCode="0">
                  <c:v>136</c:v>
                </c:pt>
                <c:pt idx="158" c:formatCode="0">
                  <c:v>137</c:v>
                </c:pt>
                <c:pt idx="159" c:formatCode="0">
                  <c:v>138</c:v>
                </c:pt>
                <c:pt idx="160" c:formatCode="0">
                  <c:v>139</c:v>
                </c:pt>
                <c:pt idx="161" c:formatCode="0">
                  <c:v>140</c:v>
                </c:pt>
                <c:pt idx="162" c:formatCode="0">
                  <c:v>141</c:v>
                </c:pt>
                <c:pt idx="163" c:formatCode="0">
                  <c:v>142</c:v>
                </c:pt>
                <c:pt idx="164" c:formatCode="0">
                  <c:v>143</c:v>
                </c:pt>
                <c:pt idx="165" c:formatCode="0">
                  <c:v>144</c:v>
                </c:pt>
                <c:pt idx="166" c:formatCode="0">
                  <c:v>145</c:v>
                </c:pt>
                <c:pt idx="167" c:formatCode="0">
                  <c:v>146</c:v>
                </c:pt>
                <c:pt idx="168" c:formatCode="0">
                  <c:v>147</c:v>
                </c:pt>
                <c:pt idx="169" c:formatCode="0">
                  <c:v>148</c:v>
                </c:pt>
                <c:pt idx="170" c:formatCode="0">
                  <c:v>149</c:v>
                </c:pt>
                <c:pt idx="171" c:formatCode="0">
                  <c:v>150</c:v>
                </c:pt>
                <c:pt idx="172" c:formatCode="0">
                  <c:v>151</c:v>
                </c:pt>
                <c:pt idx="173" c:formatCode="0">
                  <c:v>152</c:v>
                </c:pt>
                <c:pt idx="174" c:formatCode="0">
                  <c:v>153</c:v>
                </c:pt>
                <c:pt idx="175" c:formatCode="0">
                  <c:v>154</c:v>
                </c:pt>
                <c:pt idx="176" c:formatCode="0">
                  <c:v>155</c:v>
                </c:pt>
                <c:pt idx="177" c:formatCode="0">
                  <c:v>156</c:v>
                </c:pt>
                <c:pt idx="178" c:formatCode="0">
                  <c:v>157</c:v>
                </c:pt>
                <c:pt idx="179" c:formatCode="0">
                  <c:v>158</c:v>
                </c:pt>
                <c:pt idx="180" c:formatCode="0">
                  <c:v>159</c:v>
                </c:pt>
                <c:pt idx="181" c:formatCode="0">
                  <c:v>160</c:v>
                </c:pt>
                <c:pt idx="182" c:formatCode="0">
                  <c:v>161</c:v>
                </c:pt>
                <c:pt idx="183" c:formatCode="0">
                  <c:v>162</c:v>
                </c:pt>
                <c:pt idx="184" c:formatCode="0">
                  <c:v>163</c:v>
                </c:pt>
                <c:pt idx="185" c:formatCode="0">
                  <c:v>164</c:v>
                </c:pt>
                <c:pt idx="186" c:formatCode="0">
                  <c:v>165</c:v>
                </c:pt>
                <c:pt idx="187" c:formatCode="0">
                  <c:v>166</c:v>
                </c:pt>
                <c:pt idx="188" c:formatCode="0">
                  <c:v>167</c:v>
                </c:pt>
                <c:pt idx="189" c:formatCode="0">
                  <c:v>168</c:v>
                </c:pt>
                <c:pt idx="190" c:formatCode="0">
                  <c:v>169</c:v>
                </c:pt>
                <c:pt idx="191" c:formatCode="0">
                  <c:v>170</c:v>
                </c:pt>
                <c:pt idx="192" c:formatCode="0">
                  <c:v>171</c:v>
                </c:pt>
                <c:pt idx="193" c:formatCode="0">
                  <c:v>172</c:v>
                </c:pt>
                <c:pt idx="194" c:formatCode="0">
                  <c:v>173</c:v>
                </c:pt>
                <c:pt idx="195" c:formatCode="0">
                  <c:v>174</c:v>
                </c:pt>
                <c:pt idx="196" c:formatCode="0">
                  <c:v>175</c:v>
                </c:pt>
                <c:pt idx="197" c:formatCode="0">
                  <c:v>176</c:v>
                </c:pt>
                <c:pt idx="198" c:formatCode="0">
                  <c:v>177</c:v>
                </c:pt>
                <c:pt idx="199" c:formatCode="0">
                  <c:v>178</c:v>
                </c:pt>
                <c:pt idx="200" c:formatCode="0">
                  <c:v>179</c:v>
                </c:pt>
                <c:pt idx="201" c:formatCode="0">
                  <c:v>180</c:v>
                </c:pt>
                <c:pt idx="202" c:formatCode="0">
                  <c:v>181</c:v>
                </c:pt>
                <c:pt idx="203" c:formatCode="0">
                  <c:v>182</c:v>
                </c:pt>
                <c:pt idx="204" c:formatCode="0">
                  <c:v>183</c:v>
                </c:pt>
                <c:pt idx="205" c:formatCode="0">
                  <c:v>184</c:v>
                </c:pt>
                <c:pt idx="206" c:formatCode="0">
                  <c:v>185</c:v>
                </c:pt>
                <c:pt idx="207" c:formatCode="0">
                  <c:v>186</c:v>
                </c:pt>
                <c:pt idx="208" c:formatCode="0">
                  <c:v>187</c:v>
                </c:pt>
                <c:pt idx="209" c:formatCode="0">
                  <c:v>188</c:v>
                </c:pt>
                <c:pt idx="210" c:formatCode="0">
                  <c:v>189</c:v>
                </c:pt>
                <c:pt idx="211" c:formatCode="0">
                  <c:v>190</c:v>
                </c:pt>
                <c:pt idx="212" c:formatCode="0">
                  <c:v>191</c:v>
                </c:pt>
                <c:pt idx="213" c:formatCode="0">
                  <c:v>192</c:v>
                </c:pt>
                <c:pt idx="214" c:formatCode="0">
                  <c:v>193</c:v>
                </c:pt>
                <c:pt idx="215" c:formatCode="0">
                  <c:v>194</c:v>
                </c:pt>
                <c:pt idx="216" c:formatCode="0">
                  <c:v>195</c:v>
                </c:pt>
                <c:pt idx="217" c:formatCode="0">
                  <c:v>196</c:v>
                </c:pt>
                <c:pt idx="218" c:formatCode="0">
                  <c:v>197</c:v>
                </c:pt>
                <c:pt idx="219" c:formatCode="0">
                  <c:v>198</c:v>
                </c:pt>
                <c:pt idx="220" c:formatCode="0">
                  <c:v>199</c:v>
                </c:pt>
                <c:pt idx="221" c:formatCode="0">
                  <c:v>200</c:v>
                </c:pt>
                <c:pt idx="222" c:formatCode="0">
                  <c:v>201</c:v>
                </c:pt>
                <c:pt idx="223" c:formatCode="0">
                  <c:v>202</c:v>
                </c:pt>
                <c:pt idx="224" c:formatCode="0">
                  <c:v>203</c:v>
                </c:pt>
                <c:pt idx="225" c:formatCode="0">
                  <c:v>204</c:v>
                </c:pt>
                <c:pt idx="226" c:formatCode="0">
                  <c:v>205</c:v>
                </c:pt>
                <c:pt idx="227" c:formatCode="0">
                  <c:v>206</c:v>
                </c:pt>
                <c:pt idx="228" c:formatCode="0">
                  <c:v>207</c:v>
                </c:pt>
                <c:pt idx="229" c:formatCode="0">
                  <c:v>208</c:v>
                </c:pt>
                <c:pt idx="230" c:formatCode="0">
                  <c:v>209</c:v>
                </c:pt>
                <c:pt idx="231" c:formatCode="0">
                  <c:v>210</c:v>
                </c:pt>
                <c:pt idx="232" c:formatCode="0">
                  <c:v>211</c:v>
                </c:pt>
                <c:pt idx="233" c:formatCode="0">
                  <c:v>212</c:v>
                </c:pt>
                <c:pt idx="234" c:formatCode="0">
                  <c:v>213</c:v>
                </c:pt>
                <c:pt idx="235" c:formatCode="0">
                  <c:v>214</c:v>
                </c:pt>
                <c:pt idx="236" c:formatCode="0">
                  <c:v>215</c:v>
                </c:pt>
                <c:pt idx="237" c:formatCode="0">
                  <c:v>216</c:v>
                </c:pt>
                <c:pt idx="238" c:formatCode="0">
                  <c:v>217</c:v>
                </c:pt>
                <c:pt idx="239" c:formatCode="0">
                  <c:v>218</c:v>
                </c:pt>
                <c:pt idx="240" c:formatCode="0">
                  <c:v>219</c:v>
                </c:pt>
                <c:pt idx="241" c:formatCode="0">
                  <c:v>220</c:v>
                </c:pt>
                <c:pt idx="242" c:formatCode="0">
                  <c:v>221</c:v>
                </c:pt>
                <c:pt idx="243" c:formatCode="0">
                  <c:v>222</c:v>
                </c:pt>
                <c:pt idx="244" c:formatCode="0">
                  <c:v>223</c:v>
                </c:pt>
                <c:pt idx="245" c:formatCode="0">
                  <c:v>224</c:v>
                </c:pt>
                <c:pt idx="246" c:formatCode="0">
                  <c:v>225</c:v>
                </c:pt>
                <c:pt idx="247" c:formatCode="0">
                  <c:v>226</c:v>
                </c:pt>
                <c:pt idx="248" c:formatCode="0">
                  <c:v>227</c:v>
                </c:pt>
                <c:pt idx="249" c:formatCode="0">
                  <c:v>228</c:v>
                </c:pt>
                <c:pt idx="250" c:formatCode="0">
                  <c:v>229</c:v>
                </c:pt>
                <c:pt idx="251" c:formatCode="0">
                  <c:v>230</c:v>
                </c:pt>
                <c:pt idx="252" c:formatCode="0">
                  <c:v>231</c:v>
                </c:pt>
                <c:pt idx="253" c:formatCode="0">
                  <c:v>232</c:v>
                </c:pt>
                <c:pt idx="254" c:formatCode="0">
                  <c:v>233</c:v>
                </c:pt>
                <c:pt idx="255" c:formatCode="0">
                  <c:v>234</c:v>
                </c:pt>
                <c:pt idx="256" c:formatCode="0">
                  <c:v>235</c:v>
                </c:pt>
                <c:pt idx="257" c:formatCode="0">
                  <c:v>236</c:v>
                </c:pt>
                <c:pt idx="258" c:formatCode="0">
                  <c:v>237</c:v>
                </c:pt>
                <c:pt idx="259" c:formatCode="0">
                  <c:v>238</c:v>
                </c:pt>
                <c:pt idx="260" c:formatCode="0">
                  <c:v>239</c:v>
                </c:pt>
                <c:pt idx="261" c:formatCode="0">
                  <c:v>240</c:v>
                </c:pt>
                <c:pt idx="262" c:formatCode="0">
                  <c:v>241</c:v>
                </c:pt>
                <c:pt idx="263" c:formatCode="0">
                  <c:v>242</c:v>
                </c:pt>
                <c:pt idx="264" c:formatCode="0">
                  <c:v>243</c:v>
                </c:pt>
                <c:pt idx="265" c:formatCode="0">
                  <c:v>244</c:v>
                </c:pt>
                <c:pt idx="266" c:formatCode="0">
                  <c:v>245</c:v>
                </c:pt>
                <c:pt idx="267" c:formatCode="0">
                  <c:v>246</c:v>
                </c:pt>
                <c:pt idx="268" c:formatCode="0">
                  <c:v>247</c:v>
                </c:pt>
                <c:pt idx="269" c:formatCode="0">
                  <c:v>248</c:v>
                </c:pt>
                <c:pt idx="270" c:formatCode="0">
                  <c:v>249</c:v>
                </c:pt>
                <c:pt idx="271" c:formatCode="0">
                  <c:v>250</c:v>
                </c:pt>
                <c:pt idx="272" c:formatCode="0">
                  <c:v>251</c:v>
                </c:pt>
                <c:pt idx="273" c:formatCode="0">
                  <c:v>252</c:v>
                </c:pt>
                <c:pt idx="274" c:formatCode="0">
                  <c:v>253</c:v>
                </c:pt>
                <c:pt idx="275" c:formatCode="0">
                  <c:v>254</c:v>
                </c:pt>
                <c:pt idx="276" c:formatCode="0">
                  <c:v>255</c:v>
                </c:pt>
                <c:pt idx="277" c:formatCode="0">
                  <c:v>256</c:v>
                </c:pt>
                <c:pt idx="278" c:formatCode="0">
                  <c:v>257</c:v>
                </c:pt>
                <c:pt idx="279" c:formatCode="0">
                  <c:v>258</c:v>
                </c:pt>
                <c:pt idx="280" c:formatCode="0">
                  <c:v>259</c:v>
                </c:pt>
                <c:pt idx="281" c:formatCode="0">
                  <c:v>260</c:v>
                </c:pt>
                <c:pt idx="282" c:formatCode="0">
                  <c:v>261</c:v>
                </c:pt>
                <c:pt idx="283" c:formatCode="0">
                  <c:v>262</c:v>
                </c:pt>
                <c:pt idx="284" c:formatCode="0">
                  <c:v>263</c:v>
                </c:pt>
                <c:pt idx="285" c:formatCode="0">
                  <c:v>264</c:v>
                </c:pt>
                <c:pt idx="286" c:formatCode="0">
                  <c:v>265</c:v>
                </c:pt>
                <c:pt idx="287" c:formatCode="0">
                  <c:v>266</c:v>
                </c:pt>
                <c:pt idx="288" c:formatCode="0">
                  <c:v>267</c:v>
                </c:pt>
                <c:pt idx="289" c:formatCode="0">
                  <c:v>268</c:v>
                </c:pt>
                <c:pt idx="290" c:formatCode="0">
                  <c:v>269</c:v>
                </c:pt>
                <c:pt idx="291" c:formatCode="0">
                  <c:v>270</c:v>
                </c:pt>
                <c:pt idx="292" c:formatCode="0">
                  <c:v>271</c:v>
                </c:pt>
                <c:pt idx="293" c:formatCode="0">
                  <c:v>272</c:v>
                </c:pt>
                <c:pt idx="294" c:formatCode="0">
                  <c:v>273</c:v>
                </c:pt>
                <c:pt idx="295" c:formatCode="0">
                  <c:v>274</c:v>
                </c:pt>
                <c:pt idx="296" c:formatCode="0">
                  <c:v>275</c:v>
                </c:pt>
                <c:pt idx="297" c:formatCode="0">
                  <c:v>276</c:v>
                </c:pt>
                <c:pt idx="298" c:formatCode="0">
                  <c:v>277</c:v>
                </c:pt>
                <c:pt idx="299" c:formatCode="0">
                  <c:v>278</c:v>
                </c:pt>
                <c:pt idx="300" c:formatCode="0">
                  <c:v>279</c:v>
                </c:pt>
                <c:pt idx="301" c:formatCode="0">
                  <c:v>280</c:v>
                </c:pt>
                <c:pt idx="302" c:formatCode="0">
                  <c:v>281</c:v>
                </c:pt>
                <c:pt idx="303" c:formatCode="0">
                  <c:v>282</c:v>
                </c:pt>
                <c:pt idx="304" c:formatCode="0">
                  <c:v>283</c:v>
                </c:pt>
                <c:pt idx="305" c:formatCode="0">
                  <c:v>284</c:v>
                </c:pt>
                <c:pt idx="306" c:formatCode="0">
                  <c:v>285</c:v>
                </c:pt>
                <c:pt idx="307" c:formatCode="0">
                  <c:v>286</c:v>
                </c:pt>
                <c:pt idx="308" c:formatCode="0">
                  <c:v>287</c:v>
                </c:pt>
                <c:pt idx="309" c:formatCode="0">
                  <c:v>288</c:v>
                </c:pt>
                <c:pt idx="310" c:formatCode="0">
                  <c:v>289</c:v>
                </c:pt>
                <c:pt idx="311" c:formatCode="0">
                  <c:v>290</c:v>
                </c:pt>
                <c:pt idx="312" c:formatCode="0">
                  <c:v>291</c:v>
                </c:pt>
                <c:pt idx="313" c:formatCode="0">
                  <c:v>292</c:v>
                </c:pt>
                <c:pt idx="314" c:formatCode="0">
                  <c:v>293</c:v>
                </c:pt>
                <c:pt idx="315" c:formatCode="0">
                  <c:v>294</c:v>
                </c:pt>
                <c:pt idx="316" c:formatCode="0">
                  <c:v>295</c:v>
                </c:pt>
                <c:pt idx="317" c:formatCode="0">
                  <c:v>296</c:v>
                </c:pt>
                <c:pt idx="318" c:formatCode="0">
                  <c:v>297</c:v>
                </c:pt>
                <c:pt idx="319" c:formatCode="0">
                  <c:v>298</c:v>
                </c:pt>
                <c:pt idx="320" c:formatCode="0">
                  <c:v>299</c:v>
                </c:pt>
                <c:pt idx="321" c:formatCode="0">
                  <c:v>300</c:v>
                </c:pt>
                <c:pt idx="322" c:formatCode="0">
                  <c:v>301</c:v>
                </c:pt>
                <c:pt idx="323" c:formatCode="0">
                  <c:v>302</c:v>
                </c:pt>
                <c:pt idx="324" c:formatCode="0">
                  <c:v>303</c:v>
                </c:pt>
                <c:pt idx="325" c:formatCode="0">
                  <c:v>304</c:v>
                </c:pt>
                <c:pt idx="326" c:formatCode="0">
                  <c:v>305</c:v>
                </c:pt>
                <c:pt idx="327" c:formatCode="0">
                  <c:v>306</c:v>
                </c:pt>
                <c:pt idx="328" c:formatCode="0">
                  <c:v>307</c:v>
                </c:pt>
                <c:pt idx="329" c:formatCode="0">
                  <c:v>308</c:v>
                </c:pt>
                <c:pt idx="330" c:formatCode="0">
                  <c:v>309</c:v>
                </c:pt>
                <c:pt idx="331" c:formatCode="0">
                  <c:v>310</c:v>
                </c:pt>
                <c:pt idx="332" c:formatCode="0">
                  <c:v>311</c:v>
                </c:pt>
                <c:pt idx="333" c:formatCode="0">
                  <c:v>312</c:v>
                </c:pt>
                <c:pt idx="334" c:formatCode="0">
                  <c:v>313</c:v>
                </c:pt>
                <c:pt idx="335" c:formatCode="0">
                  <c:v>314</c:v>
                </c:pt>
                <c:pt idx="336" c:formatCode="0">
                  <c:v>315</c:v>
                </c:pt>
                <c:pt idx="337" c:formatCode="0">
                  <c:v>316</c:v>
                </c:pt>
                <c:pt idx="338" c:formatCode="0">
                  <c:v>317</c:v>
                </c:pt>
                <c:pt idx="339" c:formatCode="0">
                  <c:v>318</c:v>
                </c:pt>
                <c:pt idx="340" c:formatCode="0">
                  <c:v>319</c:v>
                </c:pt>
                <c:pt idx="341" c:formatCode="0">
                  <c:v>320</c:v>
                </c:pt>
                <c:pt idx="342" c:formatCode="0">
                  <c:v>321</c:v>
                </c:pt>
                <c:pt idx="343" c:formatCode="0">
                  <c:v>322</c:v>
                </c:pt>
                <c:pt idx="344" c:formatCode="0">
                  <c:v>323</c:v>
                </c:pt>
                <c:pt idx="345" c:formatCode="0">
                  <c:v>324</c:v>
                </c:pt>
                <c:pt idx="346" c:formatCode="0">
                  <c:v>325</c:v>
                </c:pt>
                <c:pt idx="347" c:formatCode="0">
                  <c:v>326</c:v>
                </c:pt>
                <c:pt idx="348" c:formatCode="0">
                  <c:v>327</c:v>
                </c:pt>
                <c:pt idx="349" c:formatCode="0">
                  <c:v>328</c:v>
                </c:pt>
                <c:pt idx="350" c:formatCode="0">
                  <c:v>329</c:v>
                </c:pt>
                <c:pt idx="351" c:formatCode="0">
                  <c:v>330</c:v>
                </c:pt>
                <c:pt idx="352" c:formatCode="0">
                  <c:v>331</c:v>
                </c:pt>
                <c:pt idx="353" c:formatCode="0">
                  <c:v>332</c:v>
                </c:pt>
                <c:pt idx="354" c:formatCode="0">
                  <c:v>333</c:v>
                </c:pt>
                <c:pt idx="355" c:formatCode="0">
                  <c:v>334</c:v>
                </c:pt>
                <c:pt idx="356" c:formatCode="0">
                  <c:v>335</c:v>
                </c:pt>
                <c:pt idx="357" c:formatCode="0">
                  <c:v>336</c:v>
                </c:pt>
                <c:pt idx="358" c:formatCode="0">
                  <c:v>337</c:v>
                </c:pt>
                <c:pt idx="359" c:formatCode="0">
                  <c:v>338</c:v>
                </c:pt>
                <c:pt idx="360" c:formatCode="0">
                  <c:v>339</c:v>
                </c:pt>
                <c:pt idx="361" c:formatCode="0">
                  <c:v>340</c:v>
                </c:pt>
                <c:pt idx="362" c:formatCode="0">
                  <c:v>341</c:v>
                </c:pt>
                <c:pt idx="363" c:formatCode="0">
                  <c:v>342</c:v>
                </c:pt>
                <c:pt idx="364" c:formatCode="0">
                  <c:v>343</c:v>
                </c:pt>
                <c:pt idx="365" c:formatCode="0">
                  <c:v>344</c:v>
                </c:pt>
                <c:pt idx="366" c:formatCode="0">
                  <c:v>345</c:v>
                </c:pt>
                <c:pt idx="367" c:formatCode="0">
                  <c:v>346</c:v>
                </c:pt>
                <c:pt idx="368" c:formatCode="0">
                  <c:v>347</c:v>
                </c:pt>
                <c:pt idx="369" c:formatCode="0">
                  <c:v>348</c:v>
                </c:pt>
                <c:pt idx="370" c:formatCode="0">
                  <c:v>349</c:v>
                </c:pt>
                <c:pt idx="371" c:formatCode="0">
                  <c:v>350</c:v>
                </c:pt>
                <c:pt idx="372" c:formatCode="0">
                  <c:v>351</c:v>
                </c:pt>
                <c:pt idx="373" c:formatCode="0">
                  <c:v>352</c:v>
                </c:pt>
                <c:pt idx="374" c:formatCode="0">
                  <c:v>353</c:v>
                </c:pt>
                <c:pt idx="375" c:formatCode="0">
                  <c:v>354</c:v>
                </c:pt>
                <c:pt idx="376" c:formatCode="0">
                  <c:v>355</c:v>
                </c:pt>
                <c:pt idx="377" c:formatCode="0">
                  <c:v>356</c:v>
                </c:pt>
                <c:pt idx="378" c:formatCode="0">
                  <c:v>357</c:v>
                </c:pt>
                <c:pt idx="379" c:formatCode="0">
                  <c:v>358</c:v>
                </c:pt>
                <c:pt idx="380" c:formatCode="0">
                  <c:v>359</c:v>
                </c:pt>
                <c:pt idx="381" c:formatCode="0">
                  <c:v>360</c:v>
                </c:pt>
                <c:pt idx="382" c:formatCode="0">
                  <c:v>361</c:v>
                </c:pt>
                <c:pt idx="383" c:formatCode="0">
                  <c:v>362</c:v>
                </c:pt>
                <c:pt idx="384" c:formatCode="0">
                  <c:v>363</c:v>
                </c:pt>
                <c:pt idx="385" c:formatCode="0">
                  <c:v>364</c:v>
                </c:pt>
                <c:pt idx="386" c:formatCode="0">
                  <c:v>365</c:v>
                </c:pt>
                <c:pt idx="387" c:formatCode="0">
                  <c:v>366</c:v>
                </c:pt>
                <c:pt idx="388" c:formatCode="0">
                  <c:v>367</c:v>
                </c:pt>
                <c:pt idx="389" c:formatCode="0">
                  <c:v>368</c:v>
                </c:pt>
                <c:pt idx="390" c:formatCode="0">
                  <c:v>369</c:v>
                </c:pt>
                <c:pt idx="391" c:formatCode="0">
                  <c:v>370</c:v>
                </c:pt>
              </c:numCache>
            </c:numRef>
          </c:xVal>
          <c:yVal>
            <c:numRef>
              <c:f>Пр3!$J$2:$J$393</c:f>
              <c:numCache>
                <c:formatCode>0.0000</c:formatCode>
                <c:ptCount val="392"/>
                <c:pt idx="0">
                  <c:v>9.1565</c:v>
                </c:pt>
                <c:pt idx="1">
                  <c:v>9.1562</c:v>
                </c:pt>
                <c:pt idx="2">
                  <c:v>9.1298</c:v>
                </c:pt>
                <c:pt idx="3">
                  <c:v>9.1035</c:v>
                </c:pt>
                <c:pt idx="4">
                  <c:v>9.0773</c:v>
                </c:pt>
                <c:pt idx="5">
                  <c:v>9.0514</c:v>
                </c:pt>
                <c:pt idx="6">
                  <c:v>9.0258</c:v>
                </c:pt>
                <c:pt idx="7">
                  <c:v>9.0003</c:v>
                </c:pt>
                <c:pt idx="8">
                  <c:v>8.9751</c:v>
                </c:pt>
                <c:pt idx="9">
                  <c:v>8.9501</c:v>
                </c:pt>
                <c:pt idx="10">
                  <c:v>8.9254</c:v>
                </c:pt>
                <c:pt idx="11">
                  <c:v>8.9009</c:v>
                </c:pt>
                <c:pt idx="12">
                  <c:v>8.8766</c:v>
                </c:pt>
                <c:pt idx="13">
                  <c:v>8.8525</c:v>
                </c:pt>
                <c:pt idx="14">
                  <c:v>8.8286</c:v>
                </c:pt>
                <c:pt idx="15">
                  <c:v>8.805</c:v>
                </c:pt>
                <c:pt idx="16">
                  <c:v>8.7815</c:v>
                </c:pt>
                <c:pt idx="17">
                  <c:v>8.7699</c:v>
                </c:pt>
                <c:pt idx="18">
                  <c:v>8.7583</c:v>
                </c:pt>
                <c:pt idx="19">
                  <c:v>8.7468</c:v>
                </c:pt>
                <c:pt idx="20">
                  <c:v>8.7353</c:v>
                </c:pt>
                <c:pt idx="21">
                  <c:v>8.7239</c:v>
                </c:pt>
                <c:pt idx="22">
                  <c:v>8.7125</c:v>
                </c:pt>
                <c:pt idx="23">
                  <c:v>8.7011</c:v>
                </c:pt>
                <c:pt idx="24">
                  <c:v>8.6898</c:v>
                </c:pt>
                <c:pt idx="25">
                  <c:v>8.6786</c:v>
                </c:pt>
                <c:pt idx="26">
                  <c:v>8.6674</c:v>
                </c:pt>
                <c:pt idx="27">
                  <c:v>8.6563</c:v>
                </c:pt>
                <c:pt idx="28">
                  <c:v>8.6452</c:v>
                </c:pt>
                <c:pt idx="29">
                  <c:v>8.6342</c:v>
                </c:pt>
                <c:pt idx="30">
                  <c:v>8.6232</c:v>
                </c:pt>
                <c:pt idx="31">
                  <c:v>8.6123</c:v>
                </c:pt>
                <c:pt idx="32">
                  <c:v>8.6014</c:v>
                </c:pt>
                <c:pt idx="33">
                  <c:v>8.5905</c:v>
                </c:pt>
                <c:pt idx="34">
                  <c:v>8.5797</c:v>
                </c:pt>
                <c:pt idx="35">
                  <c:v>8.569</c:v>
                </c:pt>
                <c:pt idx="36">
                  <c:v>8.5583</c:v>
                </c:pt>
                <c:pt idx="37">
                  <c:v>8.5476</c:v>
                </c:pt>
                <c:pt idx="38">
                  <c:v>8.537</c:v>
                </c:pt>
                <c:pt idx="39">
                  <c:v>8.5264</c:v>
                </c:pt>
                <c:pt idx="40">
                  <c:v>8.5159</c:v>
                </c:pt>
                <c:pt idx="41">
                  <c:v>8.5064</c:v>
                </c:pt>
                <c:pt idx="42">
                  <c:v>8.495</c:v>
                </c:pt>
                <c:pt idx="43">
                  <c:v>8.4846</c:v>
                </c:pt>
                <c:pt idx="44">
                  <c:v>8.4743</c:v>
                </c:pt>
                <c:pt idx="45">
                  <c:v>8.464</c:v>
                </c:pt>
                <c:pt idx="46">
                  <c:v>8.4537</c:v>
                </c:pt>
                <c:pt idx="47">
                  <c:v>8.4435</c:v>
                </c:pt>
                <c:pt idx="48">
                  <c:v>8.4334</c:v>
                </c:pt>
                <c:pt idx="49">
                  <c:v>8.4233</c:v>
                </c:pt>
                <c:pt idx="50">
                  <c:v>8.4132</c:v>
                </c:pt>
                <c:pt idx="51">
                  <c:v>8.4031</c:v>
                </c:pt>
                <c:pt idx="52">
                  <c:v>8.3932</c:v>
                </c:pt>
                <c:pt idx="53">
                  <c:v>8.3832</c:v>
                </c:pt>
                <c:pt idx="54">
                  <c:v>8.3733</c:v>
                </c:pt>
                <c:pt idx="55">
                  <c:v>8.3634</c:v>
                </c:pt>
                <c:pt idx="56">
                  <c:v>8.3536</c:v>
                </c:pt>
                <c:pt idx="57">
                  <c:v>8.3341</c:v>
                </c:pt>
                <c:pt idx="58">
                  <c:v>8.3147</c:v>
                </c:pt>
                <c:pt idx="59">
                  <c:v>8.2955</c:v>
                </c:pt>
                <c:pt idx="60">
                  <c:v>8.2765</c:v>
                </c:pt>
                <c:pt idx="61">
                  <c:v>8.2576</c:v>
                </c:pt>
                <c:pt idx="62">
                  <c:v>8.2389</c:v>
                </c:pt>
                <c:pt idx="63">
                  <c:v>8.2203</c:v>
                </c:pt>
                <c:pt idx="64">
                  <c:v>8.2019</c:v>
                </c:pt>
                <c:pt idx="65">
                  <c:v>8.1836</c:v>
                </c:pt>
                <c:pt idx="66">
                  <c:v>8.1655</c:v>
                </c:pt>
                <c:pt idx="67">
                  <c:v>8.1475</c:v>
                </c:pt>
                <c:pt idx="68">
                  <c:v>8.1297</c:v>
                </c:pt>
                <c:pt idx="69">
                  <c:v>8.1121</c:v>
                </c:pt>
                <c:pt idx="70">
                  <c:v>8.0945</c:v>
                </c:pt>
                <c:pt idx="71">
                  <c:v>8.0771</c:v>
                </c:pt>
                <c:pt idx="72">
                  <c:v>8.0598</c:v>
                </c:pt>
                <c:pt idx="73">
                  <c:v>8.0427</c:v>
                </c:pt>
                <c:pt idx="74">
                  <c:v>8.0258</c:v>
                </c:pt>
                <c:pt idx="75" c:formatCode="General">
                  <c:v>8.0089</c:v>
                </c:pt>
                <c:pt idx="76" c:formatCode="General">
                  <c:v>7.9922</c:v>
                </c:pt>
                <c:pt idx="77" c:formatCode="General">
                  <c:v>7.9756</c:v>
                </c:pt>
                <c:pt idx="78" c:formatCode="General">
                  <c:v>7.9591</c:v>
                </c:pt>
                <c:pt idx="79" c:formatCode="General">
                  <c:v>7.9428</c:v>
                </c:pt>
                <c:pt idx="80" c:formatCode="General">
                  <c:v>7.9266</c:v>
                </c:pt>
                <c:pt idx="81" c:formatCode="General">
                  <c:v>7.9106</c:v>
                </c:pt>
                <c:pt idx="82" c:formatCode="General">
                  <c:v>7.8946</c:v>
                </c:pt>
                <c:pt idx="83" c:formatCode="General">
                  <c:v>7.8788</c:v>
                </c:pt>
                <c:pt idx="84" c:formatCode="General">
                  <c:v>7.8631</c:v>
                </c:pt>
                <c:pt idx="85" c:formatCode="General">
                  <c:v>7.8475</c:v>
                </c:pt>
                <c:pt idx="86" c:formatCode="General">
                  <c:v>7.832</c:v>
                </c:pt>
                <c:pt idx="87" c:formatCode="General">
                  <c:v>7.8167</c:v>
                </c:pt>
                <c:pt idx="88" c:formatCode="General">
                  <c:v>7.8015</c:v>
                </c:pt>
                <c:pt idx="89" c:formatCode="General">
                  <c:v>7.7864</c:v>
                </c:pt>
                <c:pt idx="90" c:formatCode="General">
                  <c:v>7.7714</c:v>
                </c:pt>
                <c:pt idx="91" c:formatCode="General">
                  <c:v>7.7565</c:v>
                </c:pt>
                <c:pt idx="92" c:formatCode="General">
                  <c:v>7.7417</c:v>
                </c:pt>
                <c:pt idx="93" c:formatCode="General">
                  <c:v>7.727</c:v>
                </c:pt>
                <c:pt idx="94" c:formatCode="General">
                  <c:v>7.7125</c:v>
                </c:pt>
                <c:pt idx="95" c:formatCode="General">
                  <c:v>7.698</c:v>
                </c:pt>
                <c:pt idx="96" c:formatCode="General">
                  <c:v>7.6837</c:v>
                </c:pt>
                <c:pt idx="97" c:formatCode="General">
                  <c:v>7.6694</c:v>
                </c:pt>
                <c:pt idx="98" c:formatCode="General">
                  <c:v>7.6553</c:v>
                </c:pt>
                <c:pt idx="99" c:formatCode="General">
                  <c:v>7.6413</c:v>
                </c:pt>
                <c:pt idx="100" c:formatCode="General">
                  <c:v>7.6274</c:v>
                </c:pt>
                <c:pt idx="101" c:formatCode="General">
                  <c:v>7.6135</c:v>
                </c:pt>
                <c:pt idx="102" c:formatCode="General">
                  <c:v>7.5998</c:v>
                </c:pt>
                <c:pt idx="103" c:formatCode="General">
                  <c:v>7.5862</c:v>
                </c:pt>
                <c:pt idx="104" c:formatCode="General">
                  <c:v>7.5726</c:v>
                </c:pt>
                <c:pt idx="105" c:formatCode="General">
                  <c:v>7.5592</c:v>
                </c:pt>
                <c:pt idx="106" c:formatCode="General">
                  <c:v>7.5459</c:v>
                </c:pt>
                <c:pt idx="107" c:formatCode="General">
                  <c:v>7.5326</c:v>
                </c:pt>
                <c:pt idx="108" c:formatCode="General">
                  <c:v>7.5195</c:v>
                </c:pt>
                <c:pt idx="109" c:formatCode="General">
                  <c:v>7.5064</c:v>
                </c:pt>
                <c:pt idx="110" c:formatCode="General">
                  <c:v>7.4934</c:v>
                </c:pt>
                <c:pt idx="111" c:formatCode="General">
                  <c:v>7.4805</c:v>
                </c:pt>
                <c:pt idx="112" c:formatCode="General">
                  <c:v>7.4677</c:v>
                </c:pt>
                <c:pt idx="113" c:formatCode="General">
                  <c:v>7.455</c:v>
                </c:pt>
                <c:pt idx="114" c:formatCode="General">
                  <c:v>7.4424</c:v>
                </c:pt>
                <c:pt idx="115" c:formatCode="General">
                  <c:v>7.4299</c:v>
                </c:pt>
                <c:pt idx="116" c:formatCode="General">
                  <c:v>7.4174</c:v>
                </c:pt>
                <c:pt idx="117" c:formatCode="General">
                  <c:v>7.4051</c:v>
                </c:pt>
                <c:pt idx="118" c:formatCode="General">
                  <c:v>7.3928</c:v>
                </c:pt>
                <c:pt idx="119" c:formatCode="General">
                  <c:v>7.3806</c:v>
                </c:pt>
                <c:pt idx="120" c:formatCode="General">
                  <c:v>7.3685</c:v>
                </c:pt>
                <c:pt idx="121" c:formatCode="General">
                  <c:v>7.3564</c:v>
                </c:pt>
                <c:pt idx="122" c:formatCode="General">
                  <c:v>7.3445</c:v>
                </c:pt>
                <c:pt idx="123" c:formatCode="General">
                  <c:v>7.3326</c:v>
                </c:pt>
                <c:pt idx="124" c:formatCode="General">
                  <c:v>7.3208</c:v>
                </c:pt>
                <c:pt idx="125" c:formatCode="General">
                  <c:v>7.309</c:v>
                </c:pt>
                <c:pt idx="126" c:formatCode="General">
                  <c:v>7.2974</c:v>
                </c:pt>
                <c:pt idx="127" c:formatCode="General">
                  <c:v>7.2858</c:v>
                </c:pt>
                <c:pt idx="128" c:formatCode="General">
                  <c:v>7.2743</c:v>
                </c:pt>
                <c:pt idx="129" c:formatCode="General">
                  <c:v>7.2629</c:v>
                </c:pt>
                <c:pt idx="130" c:formatCode="General">
                  <c:v>7.2515</c:v>
                </c:pt>
                <c:pt idx="131" c:formatCode="General">
                  <c:v>7.2402</c:v>
                </c:pt>
                <c:pt idx="132" c:formatCode="General">
                  <c:v>7.229</c:v>
                </c:pt>
                <c:pt idx="133" c:formatCode="General">
                  <c:v>7.2179</c:v>
                </c:pt>
                <c:pt idx="134" c:formatCode="General">
                  <c:v>7.2068</c:v>
                </c:pt>
                <c:pt idx="135" c:formatCode="General">
                  <c:v>7.1958</c:v>
                </c:pt>
                <c:pt idx="136" c:formatCode="General">
                  <c:v>7.1848</c:v>
                </c:pt>
                <c:pt idx="137" c:formatCode="General">
                  <c:v>7.1739</c:v>
                </c:pt>
                <c:pt idx="138" c:formatCode="General">
                  <c:v>7.1631</c:v>
                </c:pt>
                <c:pt idx="139" c:formatCode="General">
                  <c:v>7.1524</c:v>
                </c:pt>
                <c:pt idx="140">
                  <c:v>7.1417</c:v>
                </c:pt>
                <c:pt idx="141">
                  <c:v>7.131</c:v>
                </c:pt>
                <c:pt idx="142">
                  <c:v>7.1205</c:v>
                </c:pt>
                <c:pt idx="143">
                  <c:v>7.11</c:v>
                </c:pt>
                <c:pt idx="144">
                  <c:v>7.0996</c:v>
                </c:pt>
                <c:pt idx="145">
                  <c:v>7.0892</c:v>
                </c:pt>
                <c:pt idx="146">
                  <c:v>7.0788</c:v>
                </c:pt>
                <c:pt idx="147">
                  <c:v>7.0686</c:v>
                </c:pt>
                <c:pt idx="148">
                  <c:v>7.0584</c:v>
                </c:pt>
                <c:pt idx="149">
                  <c:v>7.0482</c:v>
                </c:pt>
                <c:pt idx="150">
                  <c:v>7.0382</c:v>
                </c:pt>
                <c:pt idx="151">
                  <c:v>7.0281</c:v>
                </c:pt>
                <c:pt idx="152">
                  <c:v>7.0181</c:v>
                </c:pt>
                <c:pt idx="153">
                  <c:v>7.0082</c:v>
                </c:pt>
                <c:pt idx="154">
                  <c:v>6.9983</c:v>
                </c:pt>
                <c:pt idx="155">
                  <c:v>6.9885</c:v>
                </c:pt>
                <c:pt idx="156">
                  <c:v>6.9787</c:v>
                </c:pt>
                <c:pt idx="157">
                  <c:v>6.969</c:v>
                </c:pt>
                <c:pt idx="158">
                  <c:v>6.9594</c:v>
                </c:pt>
                <c:pt idx="159">
                  <c:v>6.9498</c:v>
                </c:pt>
                <c:pt idx="160">
                  <c:v>6.9402</c:v>
                </c:pt>
                <c:pt idx="161">
                  <c:v>6.9307</c:v>
                </c:pt>
                <c:pt idx="162">
                  <c:v>6.9212</c:v>
                </c:pt>
                <c:pt idx="163">
                  <c:v>6.9118</c:v>
                </c:pt>
                <c:pt idx="164">
                  <c:v>6.9024</c:v>
                </c:pt>
                <c:pt idx="165">
                  <c:v>6.8931</c:v>
                </c:pt>
                <c:pt idx="166">
                  <c:v>6.8838</c:v>
                </c:pt>
                <c:pt idx="167">
                  <c:v>6.8746</c:v>
                </c:pt>
                <c:pt idx="168">
                  <c:v>6.8654</c:v>
                </c:pt>
                <c:pt idx="169">
                  <c:v>6.8563</c:v>
                </c:pt>
                <c:pt idx="170">
                  <c:v>6.8472</c:v>
                </c:pt>
                <c:pt idx="171">
                  <c:v>6.8381</c:v>
                </c:pt>
                <c:pt idx="172">
                  <c:v>6.8291</c:v>
                </c:pt>
                <c:pt idx="173">
                  <c:v>6.8201</c:v>
                </c:pt>
                <c:pt idx="174">
                  <c:v>6.8112</c:v>
                </c:pt>
                <c:pt idx="175">
                  <c:v>6.8023</c:v>
                </c:pt>
                <c:pt idx="176">
                  <c:v>6.7934</c:v>
                </c:pt>
                <c:pt idx="177">
                  <c:v>6.7846</c:v>
                </c:pt>
                <c:pt idx="178">
                  <c:v>6.7759</c:v>
                </c:pt>
                <c:pt idx="179">
                  <c:v>6.7671</c:v>
                </c:pt>
                <c:pt idx="180">
                  <c:v>6.7584</c:v>
                </c:pt>
                <c:pt idx="181">
                  <c:v>6.7498</c:v>
                </c:pt>
                <c:pt idx="182">
                  <c:v>6.7412</c:v>
                </c:pt>
                <c:pt idx="183">
                  <c:v>6.7326</c:v>
                </c:pt>
                <c:pt idx="184">
                  <c:v>6.724</c:v>
                </c:pt>
                <c:pt idx="185">
                  <c:v>6.7155</c:v>
                </c:pt>
                <c:pt idx="186">
                  <c:v>6.707</c:v>
                </c:pt>
                <c:pt idx="187">
                  <c:v>6.6986</c:v>
                </c:pt>
                <c:pt idx="188">
                  <c:v>6.6902</c:v>
                </c:pt>
                <c:pt idx="189">
                  <c:v>6.6818</c:v>
                </c:pt>
                <c:pt idx="190">
                  <c:v>6.6735</c:v>
                </c:pt>
                <c:pt idx="191">
                  <c:v>6.6652</c:v>
                </c:pt>
                <c:pt idx="192">
                  <c:v>6.6569</c:v>
                </c:pt>
                <c:pt idx="193">
                  <c:v>6.6486</c:v>
                </c:pt>
                <c:pt idx="194">
                  <c:v>6.6404</c:v>
                </c:pt>
                <c:pt idx="195">
                  <c:v>6.6322</c:v>
                </c:pt>
                <c:pt idx="196">
                  <c:v>6.6241</c:v>
                </c:pt>
                <c:pt idx="197">
                  <c:v>6.616</c:v>
                </c:pt>
                <c:pt idx="198">
                  <c:v>6.6079</c:v>
                </c:pt>
                <c:pt idx="199">
                  <c:v>6.5998</c:v>
                </c:pt>
                <c:pt idx="200">
                  <c:v>6.5918</c:v>
                </c:pt>
                <c:pt idx="201">
                  <c:v>6.5838</c:v>
                </c:pt>
                <c:pt idx="202">
                  <c:v>6.5758</c:v>
                </c:pt>
                <c:pt idx="203">
                  <c:v>6.5678</c:v>
                </c:pt>
                <c:pt idx="204">
                  <c:v>6.5599</c:v>
                </c:pt>
                <c:pt idx="205">
                  <c:v>6.552</c:v>
                </c:pt>
                <c:pt idx="206">
                  <c:v>6.5441</c:v>
                </c:pt>
                <c:pt idx="207">
                  <c:v>6.5363</c:v>
                </c:pt>
                <c:pt idx="208">
                  <c:v>6.5285</c:v>
                </c:pt>
                <c:pt idx="209">
                  <c:v>6.5207</c:v>
                </c:pt>
                <c:pt idx="210">
                  <c:v>6.5129</c:v>
                </c:pt>
                <c:pt idx="211">
                  <c:v>6.5052</c:v>
                </c:pt>
                <c:pt idx="212">
                  <c:v>6.4974</c:v>
                </c:pt>
                <c:pt idx="213">
                  <c:v>6.4897</c:v>
                </c:pt>
                <c:pt idx="214">
                  <c:v>6.482</c:v>
                </c:pt>
                <c:pt idx="215">
                  <c:v>6.4744</c:v>
                </c:pt>
                <c:pt idx="216">
                  <c:v>6.4667</c:v>
                </c:pt>
                <c:pt idx="217">
                  <c:v>6.4591</c:v>
                </c:pt>
                <c:pt idx="218">
                  <c:v>6.4516</c:v>
                </c:pt>
                <c:pt idx="219">
                  <c:v>6.444</c:v>
                </c:pt>
                <c:pt idx="220">
                  <c:v>6.4364</c:v>
                </c:pt>
                <c:pt idx="221">
                  <c:v>6.4289</c:v>
                </c:pt>
                <c:pt idx="222">
                  <c:v>6.4214</c:v>
                </c:pt>
                <c:pt idx="223">
                  <c:v>6.4139</c:v>
                </c:pt>
                <c:pt idx="224">
                  <c:v>6.4064</c:v>
                </c:pt>
                <c:pt idx="225">
                  <c:v>6.399</c:v>
                </c:pt>
                <c:pt idx="226">
                  <c:v>6.3915</c:v>
                </c:pt>
                <c:pt idx="227">
                  <c:v>6.3841</c:v>
                </c:pt>
                <c:pt idx="228">
                  <c:v>6.3767</c:v>
                </c:pt>
                <c:pt idx="229">
                  <c:v>6.3693</c:v>
                </c:pt>
                <c:pt idx="230">
                  <c:v>6.362</c:v>
                </c:pt>
                <c:pt idx="231">
                  <c:v>6.3546</c:v>
                </c:pt>
                <c:pt idx="232">
                  <c:v>6.3473</c:v>
                </c:pt>
                <c:pt idx="233">
                  <c:v>6.3399</c:v>
                </c:pt>
                <c:pt idx="234">
                  <c:v>6.3326</c:v>
                </c:pt>
                <c:pt idx="235">
                  <c:v>6.3253</c:v>
                </c:pt>
                <c:pt idx="236">
                  <c:v>6.3181</c:v>
                </c:pt>
                <c:pt idx="237">
                  <c:v>6.3108</c:v>
                </c:pt>
                <c:pt idx="238">
                  <c:v>6.3036</c:v>
                </c:pt>
                <c:pt idx="239">
                  <c:v>6.2963</c:v>
                </c:pt>
                <c:pt idx="240">
                  <c:v>6.2891</c:v>
                </c:pt>
                <c:pt idx="241">
                  <c:v>6.2819</c:v>
                </c:pt>
                <c:pt idx="242">
                  <c:v>6.2747</c:v>
                </c:pt>
                <c:pt idx="243">
                  <c:v>6.2675</c:v>
                </c:pt>
                <c:pt idx="244">
                  <c:v>6.2603</c:v>
                </c:pt>
                <c:pt idx="245">
                  <c:v>6.2532</c:v>
                </c:pt>
                <c:pt idx="246">
                  <c:v>6.246</c:v>
                </c:pt>
                <c:pt idx="247">
                  <c:v>6.2388</c:v>
                </c:pt>
                <c:pt idx="248">
                  <c:v>6.2317</c:v>
                </c:pt>
                <c:pt idx="249">
                  <c:v>6.2246</c:v>
                </c:pt>
                <c:pt idx="250">
                  <c:v>6.2175</c:v>
                </c:pt>
                <c:pt idx="251">
                  <c:v>6.2104</c:v>
                </c:pt>
                <c:pt idx="252">
                  <c:v>6.2033</c:v>
                </c:pt>
                <c:pt idx="253">
                  <c:v>6.1962</c:v>
                </c:pt>
                <c:pt idx="254">
                  <c:v>6.1891</c:v>
                </c:pt>
                <c:pt idx="255">
                  <c:v>6.182</c:v>
                </c:pt>
                <c:pt idx="256">
                  <c:v>6.1749</c:v>
                </c:pt>
                <c:pt idx="257">
                  <c:v>6.1679</c:v>
                </c:pt>
                <c:pt idx="258">
                  <c:v>6.1608</c:v>
                </c:pt>
                <c:pt idx="259">
                  <c:v>6.1537</c:v>
                </c:pt>
                <c:pt idx="260">
                  <c:v>6.1467</c:v>
                </c:pt>
                <c:pt idx="261">
                  <c:v>6.1397</c:v>
                </c:pt>
                <c:pt idx="262">
                  <c:v>6.1326</c:v>
                </c:pt>
                <c:pt idx="263">
                  <c:v>6.1256</c:v>
                </c:pt>
                <c:pt idx="264">
                  <c:v>6.1185</c:v>
                </c:pt>
                <c:pt idx="265">
                  <c:v>6.1115</c:v>
                </c:pt>
                <c:pt idx="266">
                  <c:v>6.1045</c:v>
                </c:pt>
                <c:pt idx="267">
                  <c:v>6.0974</c:v>
                </c:pt>
                <c:pt idx="268">
                  <c:v>6.0904</c:v>
                </c:pt>
                <c:pt idx="269">
                  <c:v>6.0834</c:v>
                </c:pt>
                <c:pt idx="270">
                  <c:v>6.0763</c:v>
                </c:pt>
                <c:pt idx="271">
                  <c:v>6.0693</c:v>
                </c:pt>
                <c:pt idx="272">
                  <c:v>6.0623</c:v>
                </c:pt>
                <c:pt idx="273">
                  <c:v>6.0552</c:v>
                </c:pt>
                <c:pt idx="274">
                  <c:v>6.0482</c:v>
                </c:pt>
                <c:pt idx="275">
                  <c:v>6.0412</c:v>
                </c:pt>
                <c:pt idx="276">
                  <c:v>6.0341</c:v>
                </c:pt>
                <c:pt idx="277">
                  <c:v>6.0271</c:v>
                </c:pt>
                <c:pt idx="278">
                  <c:v>6.0201</c:v>
                </c:pt>
                <c:pt idx="279">
                  <c:v>6.013</c:v>
                </c:pt>
                <c:pt idx="280">
                  <c:v>6.006</c:v>
                </c:pt>
                <c:pt idx="281">
                  <c:v>5.9989</c:v>
                </c:pt>
                <c:pt idx="282">
                  <c:v>5.9918</c:v>
                </c:pt>
                <c:pt idx="283">
                  <c:v>5.9847</c:v>
                </c:pt>
                <c:pt idx="284">
                  <c:v>5.9777</c:v>
                </c:pt>
                <c:pt idx="285">
                  <c:v>5.9706</c:v>
                </c:pt>
                <c:pt idx="286">
                  <c:v>5.9635</c:v>
                </c:pt>
                <c:pt idx="287">
                  <c:v>5.9564</c:v>
                </c:pt>
                <c:pt idx="288">
                  <c:v>5.9492</c:v>
                </c:pt>
                <c:pt idx="289">
                  <c:v>5.9421</c:v>
                </c:pt>
                <c:pt idx="290">
                  <c:v>5.935</c:v>
                </c:pt>
                <c:pt idx="291">
                  <c:v>5.9278</c:v>
                </c:pt>
                <c:pt idx="292">
                  <c:v>5.9206</c:v>
                </c:pt>
                <c:pt idx="293">
                  <c:v>5.9135</c:v>
                </c:pt>
                <c:pt idx="294">
                  <c:v>5.9063</c:v>
                </c:pt>
                <c:pt idx="295">
                  <c:v>5.8991</c:v>
                </c:pt>
                <c:pt idx="296">
                  <c:v>5.8918</c:v>
                </c:pt>
                <c:pt idx="297">
                  <c:v>5.8846</c:v>
                </c:pt>
                <c:pt idx="298">
                  <c:v>5.8773</c:v>
                </c:pt>
                <c:pt idx="299">
                  <c:v>5.8701</c:v>
                </c:pt>
                <c:pt idx="300">
                  <c:v>5.8628</c:v>
                </c:pt>
                <c:pt idx="301">
                  <c:v>5.8555</c:v>
                </c:pt>
                <c:pt idx="302">
                  <c:v>5.8481</c:v>
                </c:pt>
                <c:pt idx="303">
                  <c:v>5.8408</c:v>
                </c:pt>
                <c:pt idx="304">
                  <c:v>5.8334</c:v>
                </c:pt>
                <c:pt idx="305">
                  <c:v>5.826</c:v>
                </c:pt>
                <c:pt idx="306">
                  <c:v>5.8186</c:v>
                </c:pt>
                <c:pt idx="307">
                  <c:v>5.8111</c:v>
                </c:pt>
                <c:pt idx="308">
                  <c:v>5.8036</c:v>
                </c:pt>
                <c:pt idx="309">
                  <c:v>5.7961</c:v>
                </c:pt>
                <c:pt idx="310">
                  <c:v>5.7886</c:v>
                </c:pt>
                <c:pt idx="311">
                  <c:v>5.7811</c:v>
                </c:pt>
                <c:pt idx="312">
                  <c:v>5.7735</c:v>
                </c:pt>
                <c:pt idx="313">
                  <c:v>5.7658</c:v>
                </c:pt>
                <c:pt idx="314">
                  <c:v>5.7582</c:v>
                </c:pt>
                <c:pt idx="315">
                  <c:v>5.7506</c:v>
                </c:pt>
                <c:pt idx="316">
                  <c:v>5.7428</c:v>
                </c:pt>
                <c:pt idx="317">
                  <c:v>5.7351</c:v>
                </c:pt>
                <c:pt idx="318">
                  <c:v>5.7273</c:v>
                </c:pt>
                <c:pt idx="319">
                  <c:v>5.7195</c:v>
                </c:pt>
                <c:pt idx="320">
                  <c:v>5.7117</c:v>
                </c:pt>
                <c:pt idx="321">
                  <c:v>5.7038</c:v>
                </c:pt>
                <c:pt idx="322">
                  <c:v>5.6958</c:v>
                </c:pt>
                <c:pt idx="323">
                  <c:v>5.6879</c:v>
                </c:pt>
                <c:pt idx="324">
                  <c:v>5.6798</c:v>
                </c:pt>
                <c:pt idx="325">
                  <c:v>5.6718</c:v>
                </c:pt>
                <c:pt idx="326">
                  <c:v>5.6637</c:v>
                </c:pt>
                <c:pt idx="327">
                  <c:v>5.6555</c:v>
                </c:pt>
                <c:pt idx="328">
                  <c:v>5.6473</c:v>
                </c:pt>
                <c:pt idx="329">
                  <c:v>5.639</c:v>
                </c:pt>
                <c:pt idx="330">
                  <c:v>5.6307</c:v>
                </c:pt>
                <c:pt idx="331">
                  <c:v>5.6224</c:v>
                </c:pt>
                <c:pt idx="332">
                  <c:v>5.614</c:v>
                </c:pt>
                <c:pt idx="333">
                  <c:v>5.6055</c:v>
                </c:pt>
                <c:pt idx="334">
                  <c:v>5.597</c:v>
                </c:pt>
                <c:pt idx="335">
                  <c:v>5.5884</c:v>
                </c:pt>
                <c:pt idx="336">
                  <c:v>5.5798</c:v>
                </c:pt>
                <c:pt idx="337">
                  <c:v>5.5711</c:v>
                </c:pt>
                <c:pt idx="338">
                  <c:v>5.5623</c:v>
                </c:pt>
                <c:pt idx="339">
                  <c:v>5.5535</c:v>
                </c:pt>
                <c:pt idx="340">
                  <c:v>5.5446</c:v>
                </c:pt>
                <c:pt idx="341">
                  <c:v>5.5356</c:v>
                </c:pt>
                <c:pt idx="342">
                  <c:v>5.5266</c:v>
                </c:pt>
                <c:pt idx="343">
                  <c:v>5.5174</c:v>
                </c:pt>
                <c:pt idx="344">
                  <c:v>5.5081</c:v>
                </c:pt>
                <c:pt idx="345">
                  <c:v>5.4989</c:v>
                </c:pt>
                <c:pt idx="346">
                  <c:v>5.4896</c:v>
                </c:pt>
                <c:pt idx="347">
                  <c:v>5.4802</c:v>
                </c:pt>
                <c:pt idx="348">
                  <c:v>5.4706</c:v>
                </c:pt>
                <c:pt idx="349">
                  <c:v>5.4609</c:v>
                </c:pt>
                <c:pt idx="350">
                  <c:v>5.4512</c:v>
                </c:pt>
                <c:pt idx="351">
                  <c:v>5.4414</c:v>
                </c:pt>
                <c:pt idx="352">
                  <c:v>5.4315</c:v>
                </c:pt>
                <c:pt idx="353">
                  <c:v>5.4215</c:v>
                </c:pt>
                <c:pt idx="354">
                  <c:v>5.4114</c:v>
                </c:pt>
                <c:pt idx="355">
                  <c:v>5.4011</c:v>
                </c:pt>
                <c:pt idx="356">
                  <c:v>5.3908</c:v>
                </c:pt>
                <c:pt idx="357">
                  <c:v>5.3803</c:v>
                </c:pt>
                <c:pt idx="358">
                  <c:v>5.3697</c:v>
                </c:pt>
                <c:pt idx="359">
                  <c:v>5.3589</c:v>
                </c:pt>
                <c:pt idx="360">
                  <c:v>5.3479</c:v>
                </c:pt>
                <c:pt idx="361">
                  <c:v>5.3363</c:v>
                </c:pt>
                <c:pt idx="362">
                  <c:v>5.325</c:v>
                </c:pt>
                <c:pt idx="363">
                  <c:v>5.3136</c:v>
                </c:pt>
                <c:pt idx="364">
                  <c:v>5.302</c:v>
                </c:pt>
                <c:pt idx="365">
                  <c:v>5.2902</c:v>
                </c:pt>
                <c:pt idx="366">
                  <c:v>5.2782</c:v>
                </c:pt>
                <c:pt idx="367">
                  <c:v>5.266</c:v>
                </c:pt>
                <c:pt idx="368">
                  <c:v>5.2536</c:v>
                </c:pt>
                <c:pt idx="369">
                  <c:v>5.241</c:v>
                </c:pt>
                <c:pt idx="370">
                  <c:v>5.2281</c:v>
                </c:pt>
                <c:pt idx="371">
                  <c:v>5.2149</c:v>
                </c:pt>
                <c:pt idx="372">
                  <c:v>5.2015</c:v>
                </c:pt>
                <c:pt idx="373">
                  <c:v>5.1877</c:v>
                </c:pt>
                <c:pt idx="374">
                  <c:v>5.1736</c:v>
                </c:pt>
                <c:pt idx="375">
                  <c:v>5.1591</c:v>
                </c:pt>
                <c:pt idx="376">
                  <c:v>5.1442</c:v>
                </c:pt>
                <c:pt idx="377">
                  <c:v>5.1288</c:v>
                </c:pt>
                <c:pt idx="378">
                  <c:v>5.1128</c:v>
                </c:pt>
                <c:pt idx="379">
                  <c:v>5.0961</c:v>
                </c:pt>
                <c:pt idx="380">
                  <c:v>5.0786</c:v>
                </c:pt>
                <c:pt idx="381">
                  <c:v>5.0603</c:v>
                </c:pt>
                <c:pt idx="382">
                  <c:v>5.0409</c:v>
                </c:pt>
                <c:pt idx="383">
                  <c:v>5.0204</c:v>
                </c:pt>
                <c:pt idx="384">
                  <c:v>4.9987</c:v>
                </c:pt>
                <c:pt idx="385">
                  <c:v>4.9758</c:v>
                </c:pt>
                <c:pt idx="386">
                  <c:v>4.9517</c:v>
                </c:pt>
                <c:pt idx="387">
                  <c:v>4.9262</c:v>
                </c:pt>
                <c:pt idx="388">
                  <c:v>4.8992</c:v>
                </c:pt>
                <c:pt idx="389">
                  <c:v>4.8701</c:v>
                </c:pt>
                <c:pt idx="390">
                  <c:v>4.8384</c:v>
                </c:pt>
                <c:pt idx="391">
                  <c:v>4.8031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38752"/>
        <c:axId val="178540544"/>
      </c:scatterChart>
      <c:valAx>
        <c:axId val="178538752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540544"/>
        <c:crosses val="autoZero"/>
        <c:crossBetween val="midCat"/>
      </c:valAx>
      <c:valAx>
        <c:axId val="178540544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53875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a3f168-1716-4793-bf8f-10f3fec555b6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Пр3!$K$1</c:f>
              <c:strCache>
                <c:ptCount val="1"/>
                <c:pt idx="0">
                  <c:v>Приращение энтропии s"-s', кДж/(кг*К)</c:v>
                </c:pt>
              </c:strCache>
            </c:strRef>
          </c:tx>
          <c:dLbls>
            <c:delete val="1"/>
          </c:dLbls>
          <c:xVal>
            <c:numRef>
              <c:f>Пр3!$A$2:$A$393</c:f>
              <c:numCache>
                <c:formatCode>0.0</c:formatCode>
                <c:ptCount val="392"/>
                <c:pt idx="0">
                  <c:v>0</c:v>
                </c:pt>
                <c:pt idx="1" c:formatCode="0.00">
                  <c:v>0.01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15.5</c:v>
                </c:pt>
                <c:pt idx="18">
                  <c:v>16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</c:v>
                </c:pt>
                <c:pt idx="23">
                  <c:v>18.5</c:v>
                </c:pt>
                <c:pt idx="24">
                  <c:v>19</c:v>
                </c:pt>
                <c:pt idx="25">
                  <c:v>19.5</c:v>
                </c:pt>
                <c:pt idx="26">
                  <c:v>20</c:v>
                </c:pt>
                <c:pt idx="27">
                  <c:v>20.5</c:v>
                </c:pt>
                <c:pt idx="28">
                  <c:v>21</c:v>
                </c:pt>
                <c:pt idx="29">
                  <c:v>21.5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  <c:pt idx="33">
                  <c:v>23.5</c:v>
                </c:pt>
                <c:pt idx="34">
                  <c:v>24</c:v>
                </c:pt>
                <c:pt idx="35">
                  <c:v>24.5</c:v>
                </c:pt>
                <c:pt idx="36">
                  <c:v>25</c:v>
                </c:pt>
                <c:pt idx="37">
                  <c:v>25.5</c:v>
                </c:pt>
                <c:pt idx="38">
                  <c:v>26</c:v>
                </c:pt>
                <c:pt idx="39">
                  <c:v>26.5</c:v>
                </c:pt>
                <c:pt idx="40">
                  <c:v>27</c:v>
                </c:pt>
                <c:pt idx="41">
                  <c:v>27.5</c:v>
                </c:pt>
                <c:pt idx="42">
                  <c:v>28</c:v>
                </c:pt>
                <c:pt idx="43">
                  <c:v>28.5</c:v>
                </c:pt>
                <c:pt idx="44">
                  <c:v>29</c:v>
                </c:pt>
                <c:pt idx="45">
                  <c:v>29.5</c:v>
                </c:pt>
                <c:pt idx="46">
                  <c:v>30</c:v>
                </c:pt>
                <c:pt idx="47">
                  <c:v>30.5</c:v>
                </c:pt>
                <c:pt idx="48">
                  <c:v>31</c:v>
                </c:pt>
                <c:pt idx="49">
                  <c:v>31.5</c:v>
                </c:pt>
                <c:pt idx="50">
                  <c:v>32</c:v>
                </c:pt>
                <c:pt idx="51">
                  <c:v>32.5</c:v>
                </c:pt>
                <c:pt idx="52">
                  <c:v>33</c:v>
                </c:pt>
                <c:pt idx="53">
                  <c:v>33.5</c:v>
                </c:pt>
                <c:pt idx="54">
                  <c:v>34</c:v>
                </c:pt>
                <c:pt idx="55">
                  <c:v>34.5</c:v>
                </c:pt>
                <c:pt idx="56">
                  <c:v>35</c:v>
                </c:pt>
                <c:pt idx="57">
                  <c:v>36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41</c:v>
                </c:pt>
                <c:pt idx="63">
                  <c:v>42</c:v>
                </c:pt>
                <c:pt idx="64">
                  <c:v>43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47</c:v>
                </c:pt>
                <c:pt idx="69">
                  <c:v>48</c:v>
                </c:pt>
                <c:pt idx="70">
                  <c:v>49</c:v>
                </c:pt>
                <c:pt idx="71">
                  <c:v>50</c:v>
                </c:pt>
                <c:pt idx="72">
                  <c:v>51</c:v>
                </c:pt>
                <c:pt idx="73">
                  <c:v>52</c:v>
                </c:pt>
                <c:pt idx="74">
                  <c:v>53</c:v>
                </c:pt>
                <c:pt idx="75">
                  <c:v>54</c:v>
                </c:pt>
                <c:pt idx="76">
                  <c:v>55</c:v>
                </c:pt>
                <c:pt idx="77">
                  <c:v>56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60</c:v>
                </c:pt>
                <c:pt idx="82">
                  <c:v>61</c:v>
                </c:pt>
                <c:pt idx="83">
                  <c:v>62</c:v>
                </c:pt>
                <c:pt idx="84">
                  <c:v>63</c:v>
                </c:pt>
                <c:pt idx="85">
                  <c:v>64</c:v>
                </c:pt>
                <c:pt idx="86">
                  <c:v>65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79</c:v>
                </c:pt>
                <c:pt idx="101">
                  <c:v>80</c:v>
                </c:pt>
                <c:pt idx="102">
                  <c:v>81</c:v>
                </c:pt>
                <c:pt idx="103">
                  <c:v>82</c:v>
                </c:pt>
                <c:pt idx="104">
                  <c:v>83</c:v>
                </c:pt>
                <c:pt idx="105">
                  <c:v>84</c:v>
                </c:pt>
                <c:pt idx="106">
                  <c:v>85</c:v>
                </c:pt>
                <c:pt idx="107">
                  <c:v>86</c:v>
                </c:pt>
                <c:pt idx="108">
                  <c:v>87</c:v>
                </c:pt>
                <c:pt idx="109">
                  <c:v>88</c:v>
                </c:pt>
                <c:pt idx="110">
                  <c:v>89</c:v>
                </c:pt>
                <c:pt idx="111">
                  <c:v>90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97</c:v>
                </c:pt>
                <c:pt idx="119">
                  <c:v>98</c:v>
                </c:pt>
                <c:pt idx="120">
                  <c:v>99</c:v>
                </c:pt>
                <c:pt idx="121" c:formatCode="0">
                  <c:v>100</c:v>
                </c:pt>
                <c:pt idx="122" c:formatCode="0">
                  <c:v>101</c:v>
                </c:pt>
                <c:pt idx="123" c:formatCode="0">
                  <c:v>102</c:v>
                </c:pt>
                <c:pt idx="124" c:formatCode="0">
                  <c:v>103</c:v>
                </c:pt>
                <c:pt idx="125" c:formatCode="0">
                  <c:v>104</c:v>
                </c:pt>
                <c:pt idx="126" c:formatCode="0">
                  <c:v>105</c:v>
                </c:pt>
                <c:pt idx="127" c:formatCode="0">
                  <c:v>106</c:v>
                </c:pt>
                <c:pt idx="128" c:formatCode="0">
                  <c:v>107</c:v>
                </c:pt>
                <c:pt idx="129" c:formatCode="0">
                  <c:v>108</c:v>
                </c:pt>
                <c:pt idx="130" c:formatCode="0">
                  <c:v>109</c:v>
                </c:pt>
                <c:pt idx="131" c:formatCode="0">
                  <c:v>110</c:v>
                </c:pt>
                <c:pt idx="132" c:formatCode="0">
                  <c:v>111</c:v>
                </c:pt>
                <c:pt idx="133" c:formatCode="0">
                  <c:v>112</c:v>
                </c:pt>
                <c:pt idx="134" c:formatCode="0">
                  <c:v>113</c:v>
                </c:pt>
                <c:pt idx="135" c:formatCode="0">
                  <c:v>114</c:v>
                </c:pt>
                <c:pt idx="136" c:formatCode="0">
                  <c:v>115</c:v>
                </c:pt>
                <c:pt idx="137" c:formatCode="0">
                  <c:v>116</c:v>
                </c:pt>
                <c:pt idx="138" c:formatCode="0">
                  <c:v>117</c:v>
                </c:pt>
                <c:pt idx="139" c:formatCode="0">
                  <c:v>118</c:v>
                </c:pt>
                <c:pt idx="140" c:formatCode="0">
                  <c:v>119</c:v>
                </c:pt>
                <c:pt idx="141" c:formatCode="0">
                  <c:v>120</c:v>
                </c:pt>
                <c:pt idx="142" c:formatCode="0">
                  <c:v>121</c:v>
                </c:pt>
                <c:pt idx="143" c:formatCode="0">
                  <c:v>122</c:v>
                </c:pt>
                <c:pt idx="144" c:formatCode="0">
                  <c:v>123</c:v>
                </c:pt>
                <c:pt idx="145" c:formatCode="0">
                  <c:v>124</c:v>
                </c:pt>
                <c:pt idx="146" c:formatCode="0">
                  <c:v>125</c:v>
                </c:pt>
                <c:pt idx="147" c:formatCode="0">
                  <c:v>126</c:v>
                </c:pt>
                <c:pt idx="148" c:formatCode="0">
                  <c:v>127</c:v>
                </c:pt>
                <c:pt idx="149" c:formatCode="0">
                  <c:v>128</c:v>
                </c:pt>
                <c:pt idx="150" c:formatCode="0">
                  <c:v>129</c:v>
                </c:pt>
                <c:pt idx="151" c:formatCode="0">
                  <c:v>130</c:v>
                </c:pt>
                <c:pt idx="152" c:formatCode="0">
                  <c:v>131</c:v>
                </c:pt>
                <c:pt idx="153" c:formatCode="0">
                  <c:v>132</c:v>
                </c:pt>
                <c:pt idx="154" c:formatCode="0">
                  <c:v>133</c:v>
                </c:pt>
                <c:pt idx="155" c:formatCode="0">
                  <c:v>134</c:v>
                </c:pt>
                <c:pt idx="156" c:formatCode="0">
                  <c:v>135</c:v>
                </c:pt>
                <c:pt idx="157" c:formatCode="0">
                  <c:v>136</c:v>
                </c:pt>
                <c:pt idx="158" c:formatCode="0">
                  <c:v>137</c:v>
                </c:pt>
                <c:pt idx="159" c:formatCode="0">
                  <c:v>138</c:v>
                </c:pt>
                <c:pt idx="160" c:formatCode="0">
                  <c:v>139</c:v>
                </c:pt>
                <c:pt idx="161" c:formatCode="0">
                  <c:v>140</c:v>
                </c:pt>
                <c:pt idx="162" c:formatCode="0">
                  <c:v>141</c:v>
                </c:pt>
                <c:pt idx="163" c:formatCode="0">
                  <c:v>142</c:v>
                </c:pt>
                <c:pt idx="164" c:formatCode="0">
                  <c:v>143</c:v>
                </c:pt>
                <c:pt idx="165" c:formatCode="0">
                  <c:v>144</c:v>
                </c:pt>
                <c:pt idx="166" c:formatCode="0">
                  <c:v>145</c:v>
                </c:pt>
                <c:pt idx="167" c:formatCode="0">
                  <c:v>146</c:v>
                </c:pt>
                <c:pt idx="168" c:formatCode="0">
                  <c:v>147</c:v>
                </c:pt>
                <c:pt idx="169" c:formatCode="0">
                  <c:v>148</c:v>
                </c:pt>
                <c:pt idx="170" c:formatCode="0">
                  <c:v>149</c:v>
                </c:pt>
                <c:pt idx="171" c:formatCode="0">
                  <c:v>150</c:v>
                </c:pt>
                <c:pt idx="172" c:formatCode="0">
                  <c:v>151</c:v>
                </c:pt>
                <c:pt idx="173" c:formatCode="0">
                  <c:v>152</c:v>
                </c:pt>
                <c:pt idx="174" c:formatCode="0">
                  <c:v>153</c:v>
                </c:pt>
                <c:pt idx="175" c:formatCode="0">
                  <c:v>154</c:v>
                </c:pt>
                <c:pt idx="176" c:formatCode="0">
                  <c:v>155</c:v>
                </c:pt>
                <c:pt idx="177" c:formatCode="0">
                  <c:v>156</c:v>
                </c:pt>
                <c:pt idx="178" c:formatCode="0">
                  <c:v>157</c:v>
                </c:pt>
                <c:pt idx="179" c:formatCode="0">
                  <c:v>158</c:v>
                </c:pt>
                <c:pt idx="180" c:formatCode="0">
                  <c:v>159</c:v>
                </c:pt>
                <c:pt idx="181" c:formatCode="0">
                  <c:v>160</c:v>
                </c:pt>
                <c:pt idx="182" c:formatCode="0">
                  <c:v>161</c:v>
                </c:pt>
                <c:pt idx="183" c:formatCode="0">
                  <c:v>162</c:v>
                </c:pt>
                <c:pt idx="184" c:formatCode="0">
                  <c:v>163</c:v>
                </c:pt>
                <c:pt idx="185" c:formatCode="0">
                  <c:v>164</c:v>
                </c:pt>
                <c:pt idx="186" c:formatCode="0">
                  <c:v>165</c:v>
                </c:pt>
                <c:pt idx="187" c:formatCode="0">
                  <c:v>166</c:v>
                </c:pt>
                <c:pt idx="188" c:formatCode="0">
                  <c:v>167</c:v>
                </c:pt>
                <c:pt idx="189" c:formatCode="0">
                  <c:v>168</c:v>
                </c:pt>
                <c:pt idx="190" c:formatCode="0">
                  <c:v>169</c:v>
                </c:pt>
                <c:pt idx="191" c:formatCode="0">
                  <c:v>170</c:v>
                </c:pt>
                <c:pt idx="192" c:formatCode="0">
                  <c:v>171</c:v>
                </c:pt>
                <c:pt idx="193" c:formatCode="0">
                  <c:v>172</c:v>
                </c:pt>
                <c:pt idx="194" c:formatCode="0">
                  <c:v>173</c:v>
                </c:pt>
                <c:pt idx="195" c:formatCode="0">
                  <c:v>174</c:v>
                </c:pt>
                <c:pt idx="196" c:formatCode="0">
                  <c:v>175</c:v>
                </c:pt>
                <c:pt idx="197" c:formatCode="0">
                  <c:v>176</c:v>
                </c:pt>
                <c:pt idx="198" c:formatCode="0">
                  <c:v>177</c:v>
                </c:pt>
                <c:pt idx="199" c:formatCode="0">
                  <c:v>178</c:v>
                </c:pt>
                <c:pt idx="200" c:formatCode="0">
                  <c:v>179</c:v>
                </c:pt>
                <c:pt idx="201" c:formatCode="0">
                  <c:v>180</c:v>
                </c:pt>
                <c:pt idx="202" c:formatCode="0">
                  <c:v>181</c:v>
                </c:pt>
                <c:pt idx="203" c:formatCode="0">
                  <c:v>182</c:v>
                </c:pt>
                <c:pt idx="204" c:formatCode="0">
                  <c:v>183</c:v>
                </c:pt>
                <c:pt idx="205" c:formatCode="0">
                  <c:v>184</c:v>
                </c:pt>
                <c:pt idx="206" c:formatCode="0">
                  <c:v>185</c:v>
                </c:pt>
                <c:pt idx="207" c:formatCode="0">
                  <c:v>186</c:v>
                </c:pt>
                <c:pt idx="208" c:formatCode="0">
                  <c:v>187</c:v>
                </c:pt>
                <c:pt idx="209" c:formatCode="0">
                  <c:v>188</c:v>
                </c:pt>
                <c:pt idx="210" c:formatCode="0">
                  <c:v>189</c:v>
                </c:pt>
                <c:pt idx="211" c:formatCode="0">
                  <c:v>190</c:v>
                </c:pt>
                <c:pt idx="212" c:formatCode="0">
                  <c:v>191</c:v>
                </c:pt>
                <c:pt idx="213" c:formatCode="0">
                  <c:v>192</c:v>
                </c:pt>
                <c:pt idx="214" c:formatCode="0">
                  <c:v>193</c:v>
                </c:pt>
                <c:pt idx="215" c:formatCode="0">
                  <c:v>194</c:v>
                </c:pt>
                <c:pt idx="216" c:formatCode="0">
                  <c:v>195</c:v>
                </c:pt>
                <c:pt idx="217" c:formatCode="0">
                  <c:v>196</c:v>
                </c:pt>
                <c:pt idx="218" c:formatCode="0">
                  <c:v>197</c:v>
                </c:pt>
                <c:pt idx="219" c:formatCode="0">
                  <c:v>198</c:v>
                </c:pt>
                <c:pt idx="220" c:formatCode="0">
                  <c:v>199</c:v>
                </c:pt>
                <c:pt idx="221" c:formatCode="0">
                  <c:v>200</c:v>
                </c:pt>
                <c:pt idx="222" c:formatCode="0">
                  <c:v>201</c:v>
                </c:pt>
                <c:pt idx="223" c:formatCode="0">
                  <c:v>202</c:v>
                </c:pt>
                <c:pt idx="224" c:formatCode="0">
                  <c:v>203</c:v>
                </c:pt>
                <c:pt idx="225" c:formatCode="0">
                  <c:v>204</c:v>
                </c:pt>
                <c:pt idx="226" c:formatCode="0">
                  <c:v>205</c:v>
                </c:pt>
                <c:pt idx="227" c:formatCode="0">
                  <c:v>206</c:v>
                </c:pt>
                <c:pt idx="228" c:formatCode="0">
                  <c:v>207</c:v>
                </c:pt>
                <c:pt idx="229" c:formatCode="0">
                  <c:v>208</c:v>
                </c:pt>
                <c:pt idx="230" c:formatCode="0">
                  <c:v>209</c:v>
                </c:pt>
                <c:pt idx="231" c:formatCode="0">
                  <c:v>210</c:v>
                </c:pt>
                <c:pt idx="232" c:formatCode="0">
                  <c:v>211</c:v>
                </c:pt>
                <c:pt idx="233" c:formatCode="0">
                  <c:v>212</c:v>
                </c:pt>
                <c:pt idx="234" c:formatCode="0">
                  <c:v>213</c:v>
                </c:pt>
                <c:pt idx="235" c:formatCode="0">
                  <c:v>214</c:v>
                </c:pt>
                <c:pt idx="236" c:formatCode="0">
                  <c:v>215</c:v>
                </c:pt>
                <c:pt idx="237" c:formatCode="0">
                  <c:v>216</c:v>
                </c:pt>
                <c:pt idx="238" c:formatCode="0">
                  <c:v>217</c:v>
                </c:pt>
                <c:pt idx="239" c:formatCode="0">
                  <c:v>218</c:v>
                </c:pt>
                <c:pt idx="240" c:formatCode="0">
                  <c:v>219</c:v>
                </c:pt>
                <c:pt idx="241" c:formatCode="0">
                  <c:v>220</c:v>
                </c:pt>
                <c:pt idx="242" c:formatCode="0">
                  <c:v>221</c:v>
                </c:pt>
                <c:pt idx="243" c:formatCode="0">
                  <c:v>222</c:v>
                </c:pt>
                <c:pt idx="244" c:formatCode="0">
                  <c:v>223</c:v>
                </c:pt>
                <c:pt idx="245" c:formatCode="0">
                  <c:v>224</c:v>
                </c:pt>
                <c:pt idx="246" c:formatCode="0">
                  <c:v>225</c:v>
                </c:pt>
                <c:pt idx="247" c:formatCode="0">
                  <c:v>226</c:v>
                </c:pt>
                <c:pt idx="248" c:formatCode="0">
                  <c:v>227</c:v>
                </c:pt>
                <c:pt idx="249" c:formatCode="0">
                  <c:v>228</c:v>
                </c:pt>
                <c:pt idx="250" c:formatCode="0">
                  <c:v>229</c:v>
                </c:pt>
                <c:pt idx="251" c:formatCode="0">
                  <c:v>230</c:v>
                </c:pt>
                <c:pt idx="252" c:formatCode="0">
                  <c:v>231</c:v>
                </c:pt>
                <c:pt idx="253" c:formatCode="0">
                  <c:v>232</c:v>
                </c:pt>
                <c:pt idx="254" c:formatCode="0">
                  <c:v>233</c:v>
                </c:pt>
                <c:pt idx="255" c:formatCode="0">
                  <c:v>234</c:v>
                </c:pt>
                <c:pt idx="256" c:formatCode="0">
                  <c:v>235</c:v>
                </c:pt>
                <c:pt idx="257" c:formatCode="0">
                  <c:v>236</c:v>
                </c:pt>
                <c:pt idx="258" c:formatCode="0">
                  <c:v>237</c:v>
                </c:pt>
                <c:pt idx="259" c:formatCode="0">
                  <c:v>238</c:v>
                </c:pt>
                <c:pt idx="260" c:formatCode="0">
                  <c:v>239</c:v>
                </c:pt>
                <c:pt idx="261" c:formatCode="0">
                  <c:v>240</c:v>
                </c:pt>
                <c:pt idx="262" c:formatCode="0">
                  <c:v>241</c:v>
                </c:pt>
                <c:pt idx="263" c:formatCode="0">
                  <c:v>242</c:v>
                </c:pt>
                <c:pt idx="264" c:formatCode="0">
                  <c:v>243</c:v>
                </c:pt>
                <c:pt idx="265" c:formatCode="0">
                  <c:v>244</c:v>
                </c:pt>
                <c:pt idx="266" c:formatCode="0">
                  <c:v>245</c:v>
                </c:pt>
                <c:pt idx="267" c:formatCode="0">
                  <c:v>246</c:v>
                </c:pt>
                <c:pt idx="268" c:formatCode="0">
                  <c:v>247</c:v>
                </c:pt>
                <c:pt idx="269" c:formatCode="0">
                  <c:v>248</c:v>
                </c:pt>
                <c:pt idx="270" c:formatCode="0">
                  <c:v>249</c:v>
                </c:pt>
                <c:pt idx="271" c:formatCode="0">
                  <c:v>250</c:v>
                </c:pt>
                <c:pt idx="272" c:formatCode="0">
                  <c:v>251</c:v>
                </c:pt>
                <c:pt idx="273" c:formatCode="0">
                  <c:v>252</c:v>
                </c:pt>
                <c:pt idx="274" c:formatCode="0">
                  <c:v>253</c:v>
                </c:pt>
                <c:pt idx="275" c:formatCode="0">
                  <c:v>254</c:v>
                </c:pt>
                <c:pt idx="276" c:formatCode="0">
                  <c:v>255</c:v>
                </c:pt>
                <c:pt idx="277" c:formatCode="0">
                  <c:v>256</c:v>
                </c:pt>
                <c:pt idx="278" c:formatCode="0">
                  <c:v>257</c:v>
                </c:pt>
                <c:pt idx="279" c:formatCode="0">
                  <c:v>258</c:v>
                </c:pt>
                <c:pt idx="280" c:formatCode="0">
                  <c:v>259</c:v>
                </c:pt>
                <c:pt idx="281" c:formatCode="0">
                  <c:v>260</c:v>
                </c:pt>
                <c:pt idx="282" c:formatCode="0">
                  <c:v>261</c:v>
                </c:pt>
                <c:pt idx="283" c:formatCode="0">
                  <c:v>262</c:v>
                </c:pt>
                <c:pt idx="284" c:formatCode="0">
                  <c:v>263</c:v>
                </c:pt>
                <c:pt idx="285" c:formatCode="0">
                  <c:v>264</c:v>
                </c:pt>
                <c:pt idx="286" c:formatCode="0">
                  <c:v>265</c:v>
                </c:pt>
                <c:pt idx="287" c:formatCode="0">
                  <c:v>266</c:v>
                </c:pt>
                <c:pt idx="288" c:formatCode="0">
                  <c:v>267</c:v>
                </c:pt>
                <c:pt idx="289" c:formatCode="0">
                  <c:v>268</c:v>
                </c:pt>
                <c:pt idx="290" c:formatCode="0">
                  <c:v>269</c:v>
                </c:pt>
                <c:pt idx="291" c:formatCode="0">
                  <c:v>270</c:v>
                </c:pt>
                <c:pt idx="292" c:formatCode="0">
                  <c:v>271</c:v>
                </c:pt>
                <c:pt idx="293" c:formatCode="0">
                  <c:v>272</c:v>
                </c:pt>
                <c:pt idx="294" c:formatCode="0">
                  <c:v>273</c:v>
                </c:pt>
                <c:pt idx="295" c:formatCode="0">
                  <c:v>274</c:v>
                </c:pt>
                <c:pt idx="296" c:formatCode="0">
                  <c:v>275</c:v>
                </c:pt>
                <c:pt idx="297" c:formatCode="0">
                  <c:v>276</c:v>
                </c:pt>
                <c:pt idx="298" c:formatCode="0">
                  <c:v>277</c:v>
                </c:pt>
                <c:pt idx="299" c:formatCode="0">
                  <c:v>278</c:v>
                </c:pt>
                <c:pt idx="300" c:formatCode="0">
                  <c:v>279</c:v>
                </c:pt>
                <c:pt idx="301" c:formatCode="0">
                  <c:v>280</c:v>
                </c:pt>
                <c:pt idx="302" c:formatCode="0">
                  <c:v>281</c:v>
                </c:pt>
                <c:pt idx="303" c:formatCode="0">
                  <c:v>282</c:v>
                </c:pt>
                <c:pt idx="304" c:formatCode="0">
                  <c:v>283</c:v>
                </c:pt>
                <c:pt idx="305" c:formatCode="0">
                  <c:v>284</c:v>
                </c:pt>
                <c:pt idx="306" c:formatCode="0">
                  <c:v>285</c:v>
                </c:pt>
                <c:pt idx="307" c:formatCode="0">
                  <c:v>286</c:v>
                </c:pt>
                <c:pt idx="308" c:formatCode="0">
                  <c:v>287</c:v>
                </c:pt>
                <c:pt idx="309" c:formatCode="0">
                  <c:v>288</c:v>
                </c:pt>
                <c:pt idx="310" c:formatCode="0">
                  <c:v>289</c:v>
                </c:pt>
                <c:pt idx="311" c:formatCode="0">
                  <c:v>290</c:v>
                </c:pt>
                <c:pt idx="312" c:formatCode="0">
                  <c:v>291</c:v>
                </c:pt>
                <c:pt idx="313" c:formatCode="0">
                  <c:v>292</c:v>
                </c:pt>
                <c:pt idx="314" c:formatCode="0">
                  <c:v>293</c:v>
                </c:pt>
                <c:pt idx="315" c:formatCode="0">
                  <c:v>294</c:v>
                </c:pt>
                <c:pt idx="316" c:formatCode="0">
                  <c:v>295</c:v>
                </c:pt>
                <c:pt idx="317" c:formatCode="0">
                  <c:v>296</c:v>
                </c:pt>
                <c:pt idx="318" c:formatCode="0">
                  <c:v>297</c:v>
                </c:pt>
                <c:pt idx="319" c:formatCode="0">
                  <c:v>298</c:v>
                </c:pt>
                <c:pt idx="320" c:formatCode="0">
                  <c:v>299</c:v>
                </c:pt>
                <c:pt idx="321" c:formatCode="0">
                  <c:v>300</c:v>
                </c:pt>
                <c:pt idx="322" c:formatCode="0">
                  <c:v>301</c:v>
                </c:pt>
                <c:pt idx="323" c:formatCode="0">
                  <c:v>302</c:v>
                </c:pt>
                <c:pt idx="324" c:formatCode="0">
                  <c:v>303</c:v>
                </c:pt>
                <c:pt idx="325" c:formatCode="0">
                  <c:v>304</c:v>
                </c:pt>
                <c:pt idx="326" c:formatCode="0">
                  <c:v>305</c:v>
                </c:pt>
                <c:pt idx="327" c:formatCode="0">
                  <c:v>306</c:v>
                </c:pt>
                <c:pt idx="328" c:formatCode="0">
                  <c:v>307</c:v>
                </c:pt>
                <c:pt idx="329" c:formatCode="0">
                  <c:v>308</c:v>
                </c:pt>
                <c:pt idx="330" c:formatCode="0">
                  <c:v>309</c:v>
                </c:pt>
                <c:pt idx="331" c:formatCode="0">
                  <c:v>310</c:v>
                </c:pt>
                <c:pt idx="332" c:formatCode="0">
                  <c:v>311</c:v>
                </c:pt>
                <c:pt idx="333" c:formatCode="0">
                  <c:v>312</c:v>
                </c:pt>
                <c:pt idx="334" c:formatCode="0">
                  <c:v>313</c:v>
                </c:pt>
                <c:pt idx="335" c:formatCode="0">
                  <c:v>314</c:v>
                </c:pt>
                <c:pt idx="336" c:formatCode="0">
                  <c:v>315</c:v>
                </c:pt>
                <c:pt idx="337" c:formatCode="0">
                  <c:v>316</c:v>
                </c:pt>
                <c:pt idx="338" c:formatCode="0">
                  <c:v>317</c:v>
                </c:pt>
                <c:pt idx="339" c:formatCode="0">
                  <c:v>318</c:v>
                </c:pt>
                <c:pt idx="340" c:formatCode="0">
                  <c:v>319</c:v>
                </c:pt>
                <c:pt idx="341" c:formatCode="0">
                  <c:v>320</c:v>
                </c:pt>
                <c:pt idx="342" c:formatCode="0">
                  <c:v>321</c:v>
                </c:pt>
                <c:pt idx="343" c:formatCode="0">
                  <c:v>322</c:v>
                </c:pt>
                <c:pt idx="344" c:formatCode="0">
                  <c:v>323</c:v>
                </c:pt>
                <c:pt idx="345" c:formatCode="0">
                  <c:v>324</c:v>
                </c:pt>
                <c:pt idx="346" c:formatCode="0">
                  <c:v>325</c:v>
                </c:pt>
                <c:pt idx="347" c:formatCode="0">
                  <c:v>326</c:v>
                </c:pt>
                <c:pt idx="348" c:formatCode="0">
                  <c:v>327</c:v>
                </c:pt>
                <c:pt idx="349" c:formatCode="0">
                  <c:v>328</c:v>
                </c:pt>
                <c:pt idx="350" c:formatCode="0">
                  <c:v>329</c:v>
                </c:pt>
                <c:pt idx="351" c:formatCode="0">
                  <c:v>330</c:v>
                </c:pt>
                <c:pt idx="352" c:formatCode="0">
                  <c:v>331</c:v>
                </c:pt>
                <c:pt idx="353" c:formatCode="0">
                  <c:v>332</c:v>
                </c:pt>
                <c:pt idx="354" c:formatCode="0">
                  <c:v>333</c:v>
                </c:pt>
                <c:pt idx="355" c:formatCode="0">
                  <c:v>334</c:v>
                </c:pt>
                <c:pt idx="356" c:formatCode="0">
                  <c:v>335</c:v>
                </c:pt>
                <c:pt idx="357" c:formatCode="0">
                  <c:v>336</c:v>
                </c:pt>
                <c:pt idx="358" c:formatCode="0">
                  <c:v>337</c:v>
                </c:pt>
                <c:pt idx="359" c:formatCode="0">
                  <c:v>338</c:v>
                </c:pt>
                <c:pt idx="360" c:formatCode="0">
                  <c:v>339</c:v>
                </c:pt>
                <c:pt idx="361" c:formatCode="0">
                  <c:v>340</c:v>
                </c:pt>
                <c:pt idx="362" c:formatCode="0">
                  <c:v>341</c:v>
                </c:pt>
                <c:pt idx="363" c:formatCode="0">
                  <c:v>342</c:v>
                </c:pt>
                <c:pt idx="364" c:formatCode="0">
                  <c:v>343</c:v>
                </c:pt>
                <c:pt idx="365" c:formatCode="0">
                  <c:v>344</c:v>
                </c:pt>
                <c:pt idx="366" c:formatCode="0">
                  <c:v>345</c:v>
                </c:pt>
                <c:pt idx="367" c:formatCode="0">
                  <c:v>346</c:v>
                </c:pt>
                <c:pt idx="368" c:formatCode="0">
                  <c:v>347</c:v>
                </c:pt>
                <c:pt idx="369" c:formatCode="0">
                  <c:v>348</c:v>
                </c:pt>
                <c:pt idx="370" c:formatCode="0">
                  <c:v>349</c:v>
                </c:pt>
                <c:pt idx="371" c:formatCode="0">
                  <c:v>350</c:v>
                </c:pt>
                <c:pt idx="372" c:formatCode="0">
                  <c:v>351</c:v>
                </c:pt>
                <c:pt idx="373" c:formatCode="0">
                  <c:v>352</c:v>
                </c:pt>
                <c:pt idx="374" c:formatCode="0">
                  <c:v>353</c:v>
                </c:pt>
                <c:pt idx="375" c:formatCode="0">
                  <c:v>354</c:v>
                </c:pt>
                <c:pt idx="376" c:formatCode="0">
                  <c:v>355</c:v>
                </c:pt>
                <c:pt idx="377" c:formatCode="0">
                  <c:v>356</c:v>
                </c:pt>
                <c:pt idx="378" c:formatCode="0">
                  <c:v>357</c:v>
                </c:pt>
                <c:pt idx="379" c:formatCode="0">
                  <c:v>358</c:v>
                </c:pt>
                <c:pt idx="380" c:formatCode="0">
                  <c:v>359</c:v>
                </c:pt>
                <c:pt idx="381" c:formatCode="0">
                  <c:v>360</c:v>
                </c:pt>
                <c:pt idx="382" c:formatCode="0">
                  <c:v>361</c:v>
                </c:pt>
                <c:pt idx="383" c:formatCode="0">
                  <c:v>362</c:v>
                </c:pt>
                <c:pt idx="384" c:formatCode="0">
                  <c:v>363</c:v>
                </c:pt>
                <c:pt idx="385" c:formatCode="0">
                  <c:v>364</c:v>
                </c:pt>
                <c:pt idx="386" c:formatCode="0">
                  <c:v>365</c:v>
                </c:pt>
                <c:pt idx="387" c:formatCode="0">
                  <c:v>366</c:v>
                </c:pt>
                <c:pt idx="388" c:formatCode="0">
                  <c:v>367</c:v>
                </c:pt>
                <c:pt idx="389" c:formatCode="0">
                  <c:v>368</c:v>
                </c:pt>
                <c:pt idx="390" c:formatCode="0">
                  <c:v>369</c:v>
                </c:pt>
                <c:pt idx="391" c:formatCode="0">
                  <c:v>370</c:v>
                </c:pt>
              </c:numCache>
            </c:numRef>
          </c:xVal>
          <c:yVal>
            <c:numRef>
              <c:f>Пр3!$K$2:$K$393</c:f>
              <c:numCache>
                <c:formatCode>0.0000</c:formatCode>
                <c:ptCount val="392"/>
                <c:pt idx="0">
                  <c:v>9.1567</c:v>
                </c:pt>
                <c:pt idx="1">
                  <c:v>9.1562</c:v>
                </c:pt>
                <c:pt idx="2">
                  <c:v>9.1146</c:v>
                </c:pt>
                <c:pt idx="3">
                  <c:v>9.0729</c:v>
                </c:pt>
                <c:pt idx="4">
                  <c:v>9.0314</c:v>
                </c:pt>
                <c:pt idx="5">
                  <c:v>8.9903</c:v>
                </c:pt>
                <c:pt idx="6">
                  <c:v>8.9496</c:v>
                </c:pt>
                <c:pt idx="7">
                  <c:v>8.909</c:v>
                </c:pt>
                <c:pt idx="8">
                  <c:v>8.8688</c:v>
                </c:pt>
                <c:pt idx="9">
                  <c:v>8.8288</c:v>
                </c:pt>
                <c:pt idx="10">
                  <c:v>8.7892</c:v>
                </c:pt>
                <c:pt idx="11">
                  <c:v>8.7499</c:v>
                </c:pt>
                <c:pt idx="12">
                  <c:v>8.7108</c:v>
                </c:pt>
                <c:pt idx="13">
                  <c:v>8.6719</c:v>
                </c:pt>
                <c:pt idx="14">
                  <c:v>8.6334</c:v>
                </c:pt>
                <c:pt idx="15">
                  <c:v>8.5952</c:v>
                </c:pt>
                <c:pt idx="16">
                  <c:v>8.5572</c:v>
                </c:pt>
                <c:pt idx="17">
                  <c:v>8.5383</c:v>
                </c:pt>
                <c:pt idx="18">
                  <c:v>8.5195</c:v>
                </c:pt>
                <c:pt idx="19">
                  <c:v>8.5008</c:v>
                </c:pt>
                <c:pt idx="20">
                  <c:v>8.482</c:v>
                </c:pt>
                <c:pt idx="21">
                  <c:v>8.4634</c:v>
                </c:pt>
                <c:pt idx="22">
                  <c:v>8.4448</c:v>
                </c:pt>
                <c:pt idx="23">
                  <c:v>8.4263</c:v>
                </c:pt>
                <c:pt idx="24">
                  <c:v>8.4078</c:v>
                </c:pt>
                <c:pt idx="25">
                  <c:v>8.3894</c:v>
                </c:pt>
                <c:pt idx="26">
                  <c:v>8.3711</c:v>
                </c:pt>
                <c:pt idx="27">
                  <c:v>8.3529</c:v>
                </c:pt>
                <c:pt idx="28">
                  <c:v>8.3347</c:v>
                </c:pt>
                <c:pt idx="29">
                  <c:v>8.3166</c:v>
                </c:pt>
                <c:pt idx="30">
                  <c:v>8.2985</c:v>
                </c:pt>
                <c:pt idx="31">
                  <c:v>8.2805</c:v>
                </c:pt>
                <c:pt idx="32">
                  <c:v>8.2625</c:v>
                </c:pt>
                <c:pt idx="33">
                  <c:v>8.2446</c:v>
                </c:pt>
                <c:pt idx="34">
                  <c:v>8.2267</c:v>
                </c:pt>
                <c:pt idx="35">
                  <c:v>8.209</c:v>
                </c:pt>
                <c:pt idx="36">
                  <c:v>8.1913</c:v>
                </c:pt>
                <c:pt idx="37">
                  <c:v>8.1736</c:v>
                </c:pt>
                <c:pt idx="38">
                  <c:v>8.156</c:v>
                </c:pt>
                <c:pt idx="39">
                  <c:v>8.1384</c:v>
                </c:pt>
                <c:pt idx="40">
                  <c:v>8.121</c:v>
                </c:pt>
                <c:pt idx="41">
                  <c:v>8.1045</c:v>
                </c:pt>
                <c:pt idx="42">
                  <c:v>8.0862</c:v>
                </c:pt>
                <c:pt idx="43">
                  <c:v>8.0688</c:v>
                </c:pt>
                <c:pt idx="44">
                  <c:v>8.0516</c:v>
                </c:pt>
                <c:pt idx="45">
                  <c:v>8.0344</c:v>
                </c:pt>
                <c:pt idx="46">
                  <c:v>8.0172</c:v>
                </c:pt>
                <c:pt idx="47">
                  <c:v>8.0001</c:v>
                </c:pt>
                <c:pt idx="48">
                  <c:v>7.9831</c:v>
                </c:pt>
                <c:pt idx="49">
                  <c:v>7.9662</c:v>
                </c:pt>
                <c:pt idx="50">
                  <c:v>7.9492</c:v>
                </c:pt>
                <c:pt idx="51">
                  <c:v>7.9323</c:v>
                </c:pt>
                <c:pt idx="52">
                  <c:v>7.9155</c:v>
                </c:pt>
                <c:pt idx="53">
                  <c:v>7.8987</c:v>
                </c:pt>
                <c:pt idx="54">
                  <c:v>7.882</c:v>
                </c:pt>
                <c:pt idx="55">
                  <c:v>7.8653</c:v>
                </c:pt>
                <c:pt idx="56">
                  <c:v>7.8487</c:v>
                </c:pt>
                <c:pt idx="57">
                  <c:v>7.8157</c:v>
                </c:pt>
                <c:pt idx="58">
                  <c:v>7.7828</c:v>
                </c:pt>
                <c:pt idx="59">
                  <c:v>7.7502</c:v>
                </c:pt>
                <c:pt idx="60">
                  <c:v>7.7177</c:v>
                </c:pt>
                <c:pt idx="61">
                  <c:v>7.6855</c:v>
                </c:pt>
                <c:pt idx="62">
                  <c:v>7.6535</c:v>
                </c:pt>
                <c:pt idx="63">
                  <c:v>7.6216</c:v>
                </c:pt>
                <c:pt idx="64">
                  <c:v>7.5899</c:v>
                </c:pt>
                <c:pt idx="65">
                  <c:v>7.5584</c:v>
                </c:pt>
                <c:pt idx="66">
                  <c:v>7.5272</c:v>
                </c:pt>
                <c:pt idx="67">
                  <c:v>7.4961</c:v>
                </c:pt>
                <c:pt idx="68">
                  <c:v>7.4652</c:v>
                </c:pt>
                <c:pt idx="69">
                  <c:v>7.4345</c:v>
                </c:pt>
                <c:pt idx="70">
                  <c:v>7.4039</c:v>
                </c:pt>
                <c:pt idx="71">
                  <c:v>7.3736</c:v>
                </c:pt>
                <c:pt idx="72">
                  <c:v>7.3434</c:v>
                </c:pt>
                <c:pt idx="73">
                  <c:v>7.3134</c:v>
                </c:pt>
                <c:pt idx="74">
                  <c:v>7.2836</c:v>
                </c:pt>
                <c:pt idx="75">
                  <c:v>7.2539</c:v>
                </c:pt>
                <c:pt idx="76">
                  <c:v>7.2245</c:v>
                </c:pt>
                <c:pt idx="77">
                  <c:v>7.1952</c:v>
                </c:pt>
                <c:pt idx="78">
                  <c:v>7.166</c:v>
                </c:pt>
                <c:pt idx="79">
                  <c:v>7.137</c:v>
                </c:pt>
                <c:pt idx="80">
                  <c:v>7.1082</c:v>
                </c:pt>
                <c:pt idx="81">
                  <c:v>7.0796</c:v>
                </c:pt>
                <c:pt idx="82">
                  <c:v>7.0511</c:v>
                </c:pt>
                <c:pt idx="83">
                  <c:v>7.0228</c:v>
                </c:pt>
                <c:pt idx="84">
                  <c:v>6.9946</c:v>
                </c:pt>
                <c:pt idx="85">
                  <c:v>6.9666</c:v>
                </c:pt>
                <c:pt idx="86">
                  <c:v>6.9387</c:v>
                </c:pt>
                <c:pt idx="87">
                  <c:v>6.911</c:v>
                </c:pt>
                <c:pt idx="88">
                  <c:v>6.8835</c:v>
                </c:pt>
                <c:pt idx="89">
                  <c:v>6.8561</c:v>
                </c:pt>
                <c:pt idx="90">
                  <c:v>6.8288</c:v>
                </c:pt>
                <c:pt idx="91">
                  <c:v>6.8017</c:v>
                </c:pt>
                <c:pt idx="92">
                  <c:v>6.7747</c:v>
                </c:pt>
                <c:pt idx="93">
                  <c:v>6.7478</c:v>
                </c:pt>
                <c:pt idx="94">
                  <c:v>6.7212</c:v>
                </c:pt>
                <c:pt idx="95">
                  <c:v>6.6946</c:v>
                </c:pt>
                <c:pt idx="96">
                  <c:v>6.6683</c:v>
                </c:pt>
                <c:pt idx="97">
                  <c:v>6.6419</c:v>
                </c:pt>
                <c:pt idx="98">
                  <c:v>6.6158</c:v>
                </c:pt>
                <c:pt idx="99">
                  <c:v>6.5899</c:v>
                </c:pt>
                <c:pt idx="100">
                  <c:v>6.564</c:v>
                </c:pt>
                <c:pt idx="101">
                  <c:v>6.5383</c:v>
                </c:pt>
                <c:pt idx="102">
                  <c:v>6.5127</c:v>
                </c:pt>
                <c:pt idx="103">
                  <c:v>6.4872</c:v>
                </c:pt>
                <c:pt idx="104">
                  <c:v>6.4618</c:v>
                </c:pt>
                <c:pt idx="105">
                  <c:v>6.4367</c:v>
                </c:pt>
                <c:pt idx="106">
                  <c:v>6.4116</c:v>
                </c:pt>
                <c:pt idx="107">
                  <c:v>6.3866</c:v>
                </c:pt>
                <c:pt idx="108">
                  <c:v>6.3618</c:v>
                </c:pt>
                <c:pt idx="109">
                  <c:v>6.3371</c:v>
                </c:pt>
                <c:pt idx="110">
                  <c:v>6.3125</c:v>
                </c:pt>
                <c:pt idx="111">
                  <c:v>6.288</c:v>
                </c:pt>
                <c:pt idx="112">
                  <c:v>6.2636</c:v>
                </c:pt>
                <c:pt idx="113">
                  <c:v>6.2394</c:v>
                </c:pt>
                <c:pt idx="114">
                  <c:v>6.2153</c:v>
                </c:pt>
                <c:pt idx="115">
                  <c:v>6.1913</c:v>
                </c:pt>
                <c:pt idx="116">
                  <c:v>6.1674</c:v>
                </c:pt>
                <c:pt idx="117">
                  <c:v>6.1436</c:v>
                </c:pt>
                <c:pt idx="118">
                  <c:v>6.1199</c:v>
                </c:pt>
                <c:pt idx="119">
                  <c:v>6.0964</c:v>
                </c:pt>
                <c:pt idx="120">
                  <c:v>6.0729</c:v>
                </c:pt>
                <c:pt idx="121">
                  <c:v>6.0495</c:v>
                </c:pt>
                <c:pt idx="122">
                  <c:v>6.0263</c:v>
                </c:pt>
                <c:pt idx="123">
                  <c:v>6.0032</c:v>
                </c:pt>
                <c:pt idx="124">
                  <c:v>5.9802</c:v>
                </c:pt>
                <c:pt idx="125">
                  <c:v>5.9572</c:v>
                </c:pt>
                <c:pt idx="126">
                  <c:v>5.9344</c:v>
                </c:pt>
                <c:pt idx="127">
                  <c:v>5.9116</c:v>
                </c:pt>
                <c:pt idx="128">
                  <c:v>5.889</c:v>
                </c:pt>
                <c:pt idx="129">
                  <c:v>5.8665</c:v>
                </c:pt>
                <c:pt idx="130">
                  <c:v>5.8441</c:v>
                </c:pt>
                <c:pt idx="131">
                  <c:v>5.8217</c:v>
                </c:pt>
                <c:pt idx="132">
                  <c:v>5.7995</c:v>
                </c:pt>
                <c:pt idx="133">
                  <c:v>5.7774</c:v>
                </c:pt>
                <c:pt idx="134">
                  <c:v>5.7553</c:v>
                </c:pt>
                <c:pt idx="135">
                  <c:v>5.7334</c:v>
                </c:pt>
                <c:pt idx="136">
                  <c:v>5.7115</c:v>
                </c:pt>
                <c:pt idx="137">
                  <c:v>5.6897</c:v>
                </c:pt>
                <c:pt idx="138">
                  <c:v>5.668</c:v>
                </c:pt>
                <c:pt idx="139">
                  <c:v>5.6464</c:v>
                </c:pt>
                <c:pt idx="140">
                  <c:v>5.6249</c:v>
                </c:pt>
                <c:pt idx="141">
                  <c:v>5.6034</c:v>
                </c:pt>
                <c:pt idx="142">
                  <c:v>5.5821</c:v>
                </c:pt>
                <c:pt idx="143">
                  <c:v>5.5609</c:v>
                </c:pt>
                <c:pt idx="144">
                  <c:v>5.5397</c:v>
                </c:pt>
                <c:pt idx="145">
                  <c:v>5.5186</c:v>
                </c:pt>
                <c:pt idx="146">
                  <c:v>5.4975</c:v>
                </c:pt>
                <c:pt idx="147">
                  <c:v>5.4767</c:v>
                </c:pt>
                <c:pt idx="148">
                  <c:v>5.4558</c:v>
                </c:pt>
                <c:pt idx="149">
                  <c:v>5.435</c:v>
                </c:pt>
                <c:pt idx="150">
                  <c:v>5.4144</c:v>
                </c:pt>
                <c:pt idx="151">
                  <c:v>5.3937</c:v>
                </c:pt>
                <c:pt idx="152">
                  <c:v>5.3732</c:v>
                </c:pt>
                <c:pt idx="153">
                  <c:v>5.3527</c:v>
                </c:pt>
                <c:pt idx="154">
                  <c:v>5.3323</c:v>
                </c:pt>
                <c:pt idx="155">
                  <c:v>5.312</c:v>
                </c:pt>
                <c:pt idx="156">
                  <c:v>5.2918</c:v>
                </c:pt>
                <c:pt idx="157">
                  <c:v>5.2716</c:v>
                </c:pt>
                <c:pt idx="158">
                  <c:v>5.2516</c:v>
                </c:pt>
                <c:pt idx="159">
                  <c:v>5.2316</c:v>
                </c:pt>
                <c:pt idx="160">
                  <c:v>5.2116</c:v>
                </c:pt>
                <c:pt idx="161">
                  <c:v>5.1917</c:v>
                </c:pt>
                <c:pt idx="162">
                  <c:v>5.1719</c:v>
                </c:pt>
                <c:pt idx="163">
                  <c:v>5.1521</c:v>
                </c:pt>
                <c:pt idx="164">
                  <c:v>5.1324</c:v>
                </c:pt>
                <c:pt idx="165">
                  <c:v>5.1128</c:v>
                </c:pt>
                <c:pt idx="166">
                  <c:v>5.0932</c:v>
                </c:pt>
                <c:pt idx="167">
                  <c:v>5.0738</c:v>
                </c:pt>
                <c:pt idx="168">
                  <c:v>5.0544</c:v>
                </c:pt>
                <c:pt idx="169">
                  <c:v>5.035</c:v>
                </c:pt>
                <c:pt idx="170">
                  <c:v>5.0157</c:v>
                </c:pt>
                <c:pt idx="171">
                  <c:v>4.9965</c:v>
                </c:pt>
                <c:pt idx="172">
                  <c:v>4.9773</c:v>
                </c:pt>
                <c:pt idx="173">
                  <c:v>4.9582</c:v>
                </c:pt>
                <c:pt idx="174">
                  <c:v>4.9391</c:v>
                </c:pt>
                <c:pt idx="175">
                  <c:v>4.9201</c:v>
                </c:pt>
                <c:pt idx="176">
                  <c:v>4.9011</c:v>
                </c:pt>
                <c:pt idx="177">
                  <c:v>4.8823</c:v>
                </c:pt>
                <c:pt idx="178">
                  <c:v>4.8635</c:v>
                </c:pt>
                <c:pt idx="179">
                  <c:v>4.8447</c:v>
                </c:pt>
                <c:pt idx="180">
                  <c:v>4.8259</c:v>
                </c:pt>
                <c:pt idx="181">
                  <c:v>4.8073</c:v>
                </c:pt>
                <c:pt idx="182">
                  <c:v>4.7887</c:v>
                </c:pt>
                <c:pt idx="183">
                  <c:v>4.7702</c:v>
                </c:pt>
                <c:pt idx="184">
                  <c:v>4.7516</c:v>
                </c:pt>
                <c:pt idx="185">
                  <c:v>4.7332</c:v>
                </c:pt>
                <c:pt idx="186">
                  <c:v>4.7148</c:v>
                </c:pt>
                <c:pt idx="187">
                  <c:v>4.6964</c:v>
                </c:pt>
                <c:pt idx="188">
                  <c:v>4.6782</c:v>
                </c:pt>
                <c:pt idx="189">
                  <c:v>4.6599</c:v>
                </c:pt>
                <c:pt idx="190">
                  <c:v>4.6417</c:v>
                </c:pt>
                <c:pt idx="191">
                  <c:v>4.6236</c:v>
                </c:pt>
                <c:pt idx="192">
                  <c:v>4.6054</c:v>
                </c:pt>
                <c:pt idx="193">
                  <c:v>4.5873</c:v>
                </c:pt>
                <c:pt idx="194">
                  <c:v>4.5693</c:v>
                </c:pt>
                <c:pt idx="195">
                  <c:v>4.5513</c:v>
                </c:pt>
                <c:pt idx="196">
                  <c:v>4.5335</c:v>
                </c:pt>
                <c:pt idx="197">
                  <c:v>4.5156</c:v>
                </c:pt>
                <c:pt idx="198">
                  <c:v>4.4978</c:v>
                </c:pt>
                <c:pt idx="199">
                  <c:v>4.4799</c:v>
                </c:pt>
                <c:pt idx="200">
                  <c:v>4.4622</c:v>
                </c:pt>
                <c:pt idx="201">
                  <c:v>4.4445</c:v>
                </c:pt>
                <c:pt idx="202">
                  <c:v>4.4268</c:v>
                </c:pt>
                <c:pt idx="203">
                  <c:v>4.4092</c:v>
                </c:pt>
                <c:pt idx="204">
                  <c:v>4.3916</c:v>
                </c:pt>
                <c:pt idx="205">
                  <c:v>4.374</c:v>
                </c:pt>
                <c:pt idx="206">
                  <c:v>4.3565</c:v>
                </c:pt>
                <c:pt idx="207">
                  <c:v>4.3391</c:v>
                </c:pt>
                <c:pt idx="208">
                  <c:v>4.3217</c:v>
                </c:pt>
                <c:pt idx="209">
                  <c:v>4.3043</c:v>
                </c:pt>
                <c:pt idx="210">
                  <c:v>4.2869</c:v>
                </c:pt>
                <c:pt idx="211">
                  <c:v>4.2696</c:v>
                </c:pt>
                <c:pt idx="212">
                  <c:v>4.2523</c:v>
                </c:pt>
                <c:pt idx="213">
                  <c:v>4.235</c:v>
                </c:pt>
                <c:pt idx="214">
                  <c:v>4.2178</c:v>
                </c:pt>
                <c:pt idx="215">
                  <c:v>4.2006</c:v>
                </c:pt>
                <c:pt idx="216">
                  <c:v>4.1834</c:v>
                </c:pt>
                <c:pt idx="217">
                  <c:v>4.1663</c:v>
                </c:pt>
                <c:pt idx="218">
                  <c:v>4.1493</c:v>
                </c:pt>
                <c:pt idx="219">
                  <c:v>4.1323</c:v>
                </c:pt>
                <c:pt idx="220">
                  <c:v>4.1152</c:v>
                </c:pt>
                <c:pt idx="221">
                  <c:v>4.0982</c:v>
                </c:pt>
                <c:pt idx="222">
                  <c:v>4.0813</c:v>
                </c:pt>
                <c:pt idx="223">
                  <c:v>4.0643</c:v>
                </c:pt>
                <c:pt idx="224">
                  <c:v>4.0474</c:v>
                </c:pt>
                <c:pt idx="225">
                  <c:v>4.0306</c:v>
                </c:pt>
                <c:pt idx="226">
                  <c:v>4.0137</c:v>
                </c:pt>
                <c:pt idx="227">
                  <c:v>3.9969</c:v>
                </c:pt>
                <c:pt idx="228">
                  <c:v>3.9801</c:v>
                </c:pt>
                <c:pt idx="229">
                  <c:v>3.9633</c:v>
                </c:pt>
                <c:pt idx="230">
                  <c:v>3.9467</c:v>
                </c:pt>
                <c:pt idx="231">
                  <c:v>3.9299</c:v>
                </c:pt>
                <c:pt idx="232">
                  <c:v>3.9132</c:v>
                </c:pt>
                <c:pt idx="233">
                  <c:v>3.8965</c:v>
                </c:pt>
                <c:pt idx="234">
                  <c:v>3.8799</c:v>
                </c:pt>
                <c:pt idx="235">
                  <c:v>3.8632</c:v>
                </c:pt>
                <c:pt idx="236">
                  <c:v>3.8467</c:v>
                </c:pt>
                <c:pt idx="237">
                  <c:v>3.8301</c:v>
                </c:pt>
                <c:pt idx="238">
                  <c:v>3.8136</c:v>
                </c:pt>
                <c:pt idx="239">
                  <c:v>3.797</c:v>
                </c:pt>
                <c:pt idx="240">
                  <c:v>3.7805</c:v>
                </c:pt>
                <c:pt idx="241">
                  <c:v>3.7641</c:v>
                </c:pt>
                <c:pt idx="242">
                  <c:v>3.7476</c:v>
                </c:pt>
                <c:pt idx="243">
                  <c:v>3.7311</c:v>
                </c:pt>
                <c:pt idx="244">
                  <c:v>3.7147</c:v>
                </c:pt>
                <c:pt idx="245">
                  <c:v>3.6983</c:v>
                </c:pt>
                <c:pt idx="246">
                  <c:v>3.6819</c:v>
                </c:pt>
                <c:pt idx="247">
                  <c:v>3.6655</c:v>
                </c:pt>
                <c:pt idx="248">
                  <c:v>3.6491</c:v>
                </c:pt>
                <c:pt idx="249">
                  <c:v>3.6328</c:v>
                </c:pt>
                <c:pt idx="250">
                  <c:v>3.6165</c:v>
                </c:pt>
                <c:pt idx="251">
                  <c:v>3.6002</c:v>
                </c:pt>
                <c:pt idx="252">
                  <c:v>3.5839</c:v>
                </c:pt>
                <c:pt idx="253">
                  <c:v>3.5676</c:v>
                </c:pt>
                <c:pt idx="254">
                  <c:v>3.5513</c:v>
                </c:pt>
                <c:pt idx="255">
                  <c:v>3.535</c:v>
                </c:pt>
                <c:pt idx="256">
                  <c:v>3.5187</c:v>
                </c:pt>
                <c:pt idx="257">
                  <c:v>3.5025</c:v>
                </c:pt>
                <c:pt idx="258">
                  <c:v>3.4862</c:v>
                </c:pt>
                <c:pt idx="259">
                  <c:v>3.4699</c:v>
                </c:pt>
                <c:pt idx="260">
                  <c:v>3.4538</c:v>
                </c:pt>
                <c:pt idx="261">
                  <c:v>3.4376</c:v>
                </c:pt>
                <c:pt idx="262">
                  <c:v>3.4213</c:v>
                </c:pt>
                <c:pt idx="263">
                  <c:v>3.4052</c:v>
                </c:pt>
                <c:pt idx="264">
                  <c:v>3.3889</c:v>
                </c:pt>
                <c:pt idx="265">
                  <c:v>3.3728</c:v>
                </c:pt>
                <c:pt idx="266">
                  <c:v>3.3566</c:v>
                </c:pt>
                <c:pt idx="267">
                  <c:v>3.3404</c:v>
                </c:pt>
                <c:pt idx="268">
                  <c:v>3.3242</c:v>
                </c:pt>
                <c:pt idx="269">
                  <c:v>3.3081</c:v>
                </c:pt>
                <c:pt idx="270">
                  <c:v>3.2918</c:v>
                </c:pt>
                <c:pt idx="271">
                  <c:v>3.2757</c:v>
                </c:pt>
                <c:pt idx="272">
                  <c:v>3.2595</c:v>
                </c:pt>
                <c:pt idx="273">
                  <c:v>3.2433</c:v>
                </c:pt>
                <c:pt idx="274">
                  <c:v>3.2272</c:v>
                </c:pt>
                <c:pt idx="275">
                  <c:v>3.211</c:v>
                </c:pt>
                <c:pt idx="276">
                  <c:v>3.1948</c:v>
                </c:pt>
                <c:pt idx="277">
                  <c:v>3.1786</c:v>
                </c:pt>
                <c:pt idx="278">
                  <c:v>3.1625</c:v>
                </c:pt>
                <c:pt idx="279">
                  <c:v>3.1462</c:v>
                </c:pt>
                <c:pt idx="280">
                  <c:v>3.1301</c:v>
                </c:pt>
                <c:pt idx="281">
                  <c:v>3.1139</c:v>
                </c:pt>
                <c:pt idx="282">
                  <c:v>3.0976</c:v>
                </c:pt>
                <c:pt idx="283">
                  <c:v>3.0814</c:v>
                </c:pt>
                <c:pt idx="284">
                  <c:v>3.0652</c:v>
                </c:pt>
                <c:pt idx="285">
                  <c:v>3.049</c:v>
                </c:pt>
                <c:pt idx="286">
                  <c:v>3.0277</c:v>
                </c:pt>
                <c:pt idx="287">
                  <c:v>3.0165</c:v>
                </c:pt>
                <c:pt idx="288">
                  <c:v>3.0001</c:v>
                </c:pt>
                <c:pt idx="289">
                  <c:v>2.9838</c:v>
                </c:pt>
                <c:pt idx="290">
                  <c:v>2.9675</c:v>
                </c:pt>
                <c:pt idx="291">
                  <c:v>2.9512</c:v>
                </c:pt>
                <c:pt idx="292">
                  <c:v>2.9348</c:v>
                </c:pt>
                <c:pt idx="293">
                  <c:v>2.9185</c:v>
                </c:pt>
                <c:pt idx="294">
                  <c:v>2.9021</c:v>
                </c:pt>
                <c:pt idx="295">
                  <c:v>2.8857</c:v>
                </c:pt>
                <c:pt idx="296">
                  <c:v>2.8692</c:v>
                </c:pt>
                <c:pt idx="297">
                  <c:v>2.8528</c:v>
                </c:pt>
                <c:pt idx="298">
                  <c:v>2.8363</c:v>
                </c:pt>
                <c:pt idx="299">
                  <c:v>2.8199</c:v>
                </c:pt>
                <c:pt idx="300">
                  <c:v>2.8034</c:v>
                </c:pt>
                <c:pt idx="301">
                  <c:v>2.7868</c:v>
                </c:pt>
                <c:pt idx="302">
                  <c:v>2.7702</c:v>
                </c:pt>
                <c:pt idx="303">
                  <c:v>2.7536</c:v>
                </c:pt>
                <c:pt idx="304">
                  <c:v>2.737</c:v>
                </c:pt>
                <c:pt idx="305">
                  <c:v>2.7203</c:v>
                </c:pt>
                <c:pt idx="306">
                  <c:v>2.7036</c:v>
                </c:pt>
                <c:pt idx="307">
                  <c:v>2.6868</c:v>
                </c:pt>
                <c:pt idx="308">
                  <c:v>2.67</c:v>
                </c:pt>
                <c:pt idx="309">
                  <c:v>2.6532</c:v>
                </c:pt>
                <c:pt idx="310">
                  <c:v>2.6363</c:v>
                </c:pt>
                <c:pt idx="311">
                  <c:v>2.6195</c:v>
                </c:pt>
                <c:pt idx="312">
                  <c:v>2.6025</c:v>
                </c:pt>
                <c:pt idx="313">
                  <c:v>2.5855</c:v>
                </c:pt>
                <c:pt idx="314">
                  <c:v>2.5685</c:v>
                </c:pt>
                <c:pt idx="315">
                  <c:v>2.5515</c:v>
                </c:pt>
                <c:pt idx="316">
                  <c:v>2.5343</c:v>
                </c:pt>
                <c:pt idx="317">
                  <c:v>2.5171</c:v>
                </c:pt>
                <c:pt idx="318">
                  <c:v>2.4999</c:v>
                </c:pt>
                <c:pt idx="319">
                  <c:v>2.4826</c:v>
                </c:pt>
                <c:pt idx="320">
                  <c:v>2.4653</c:v>
                </c:pt>
                <c:pt idx="321">
                  <c:v>2.4479</c:v>
                </c:pt>
                <c:pt idx="322">
                  <c:v>2.4304</c:v>
                </c:pt>
                <c:pt idx="323">
                  <c:v>2.4129</c:v>
                </c:pt>
                <c:pt idx="324">
                  <c:v>2.3953</c:v>
                </c:pt>
                <c:pt idx="325">
                  <c:v>2.3777</c:v>
                </c:pt>
                <c:pt idx="326">
                  <c:v>2.36</c:v>
                </c:pt>
                <c:pt idx="327">
                  <c:v>2.3421</c:v>
                </c:pt>
                <c:pt idx="328">
                  <c:v>2.3243</c:v>
                </c:pt>
                <c:pt idx="329">
                  <c:v>2.3063</c:v>
                </c:pt>
                <c:pt idx="330">
                  <c:v>2.2883</c:v>
                </c:pt>
                <c:pt idx="331">
                  <c:v>2.2702</c:v>
                </c:pt>
                <c:pt idx="332">
                  <c:v>2.2521</c:v>
                </c:pt>
                <c:pt idx="333">
                  <c:v>2.2338</c:v>
                </c:pt>
                <c:pt idx="334">
                  <c:v>2.2154</c:v>
                </c:pt>
                <c:pt idx="335">
                  <c:v>2.197</c:v>
                </c:pt>
                <c:pt idx="336">
                  <c:v>2.1785</c:v>
                </c:pt>
                <c:pt idx="337">
                  <c:v>2.1599</c:v>
                </c:pt>
                <c:pt idx="338">
                  <c:v>2.1411</c:v>
                </c:pt>
                <c:pt idx="339">
                  <c:v>2.1223</c:v>
                </c:pt>
                <c:pt idx="340">
                  <c:v>2.1034</c:v>
                </c:pt>
                <c:pt idx="341">
                  <c:v>2.0843</c:v>
                </c:pt>
                <c:pt idx="342">
                  <c:v>2.0652</c:v>
                </c:pt>
                <c:pt idx="343">
                  <c:v>2.0458</c:v>
                </c:pt>
                <c:pt idx="344">
                  <c:v>2.0263</c:v>
                </c:pt>
                <c:pt idx="345">
                  <c:v>2.0069</c:v>
                </c:pt>
                <c:pt idx="346">
                  <c:v>1.9873</c:v>
                </c:pt>
                <c:pt idx="347">
                  <c:v>1.9675</c:v>
                </c:pt>
                <c:pt idx="348">
                  <c:v>1.9475</c:v>
                </c:pt>
                <c:pt idx="349">
                  <c:v>1.9274</c:v>
                </c:pt>
                <c:pt idx="350">
                  <c:v>1.9072</c:v>
                </c:pt>
                <c:pt idx="351">
                  <c:v>1.8868</c:v>
                </c:pt>
                <c:pt idx="352">
                  <c:v>1.8663</c:v>
                </c:pt>
                <c:pt idx="353">
                  <c:v>1.8456</c:v>
                </c:pt>
                <c:pt idx="354">
                  <c:v>1.8247</c:v>
                </c:pt>
                <c:pt idx="355">
                  <c:v>1.8036</c:v>
                </c:pt>
                <c:pt idx="356">
                  <c:v>1.7824</c:v>
                </c:pt>
                <c:pt idx="357">
                  <c:v>1.761</c:v>
                </c:pt>
                <c:pt idx="358">
                  <c:v>1.7393</c:v>
                </c:pt>
                <c:pt idx="359">
                  <c:v>1.7174</c:v>
                </c:pt>
                <c:pt idx="360">
                  <c:v>1.6952</c:v>
                </c:pt>
                <c:pt idx="361">
                  <c:v>1.6725</c:v>
                </c:pt>
                <c:pt idx="362">
                  <c:v>1.65</c:v>
                </c:pt>
                <c:pt idx="363">
                  <c:v>1.6272</c:v>
                </c:pt>
                <c:pt idx="364">
                  <c:v>1.6042</c:v>
                </c:pt>
                <c:pt idx="365">
                  <c:v>1.5808</c:v>
                </c:pt>
                <c:pt idx="366">
                  <c:v>1.5571</c:v>
                </c:pt>
                <c:pt idx="367">
                  <c:v>1.5331</c:v>
                </c:pt>
                <c:pt idx="368">
                  <c:v>1.5088</c:v>
                </c:pt>
                <c:pt idx="369">
                  <c:v>1.4841</c:v>
                </c:pt>
                <c:pt idx="370">
                  <c:v>1.4589</c:v>
                </c:pt>
                <c:pt idx="371">
                  <c:v>1.4333</c:v>
                </c:pt>
                <c:pt idx="372">
                  <c:v>1.4073</c:v>
                </c:pt>
                <c:pt idx="373">
                  <c:v>1.3807</c:v>
                </c:pt>
                <c:pt idx="374">
                  <c:v>1.3536</c:v>
                </c:pt>
                <c:pt idx="375">
                  <c:v>1.3259</c:v>
                </c:pt>
                <c:pt idx="376">
                  <c:v>1.2975</c:v>
                </c:pt>
                <c:pt idx="377">
                  <c:v>1.2684</c:v>
                </c:pt>
                <c:pt idx="378">
                  <c:v>1.2383</c:v>
                </c:pt>
                <c:pt idx="379">
                  <c:v>1.2072</c:v>
                </c:pt>
                <c:pt idx="380">
                  <c:v>1.1749</c:v>
                </c:pt>
                <c:pt idx="381">
                  <c:v>1.1414</c:v>
                </c:pt>
                <c:pt idx="382">
                  <c:v>1.1063</c:v>
                </c:pt>
                <c:pt idx="383">
                  <c:v>1.0695</c:v>
                </c:pt>
                <c:pt idx="384">
                  <c:v>1.0309</c:v>
                </c:pt>
                <c:pt idx="385">
                  <c:v>0.9902</c:v>
                </c:pt>
                <c:pt idx="386">
                  <c:v>0.9476</c:v>
                </c:pt>
                <c:pt idx="387">
                  <c:v>0.9024</c:v>
                </c:pt>
                <c:pt idx="388">
                  <c:v>0.8543</c:v>
                </c:pt>
                <c:pt idx="389">
                  <c:v>0.8025</c:v>
                </c:pt>
                <c:pt idx="390">
                  <c:v>0.7459</c:v>
                </c:pt>
                <c:pt idx="391">
                  <c:v>0.6833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65120"/>
        <c:axId val="178566656"/>
      </c:scatterChart>
      <c:valAx>
        <c:axId val="178565120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566656"/>
        <c:crosses val="autoZero"/>
        <c:crossBetween val="midCat"/>
      </c:valAx>
      <c:valAx>
        <c:axId val="178566656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5651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58895d-45de-4c80-b548-17123d674862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Пр4!$B$1</c:f>
              <c:strCache>
                <c:ptCount val="1"/>
                <c:pt idx="0">
                  <c:v>Теплоёмкость Ср, кДж/(кг*К)</c:v>
                </c:pt>
              </c:strCache>
            </c:strRef>
          </c:tx>
          <c:dLbls>
            <c:delete val="1"/>
          </c:dLbls>
          <c:xVal>
            <c:numRef>
              <c:f>Пр4!$A$2:$A$37</c:f>
              <c:numCache>
                <c:formatCode>0.0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Пр4!$B$2:$B$37</c:f>
              <c:numCache>
                <c:formatCode>General</c:formatCode>
                <c:ptCount val="36"/>
                <c:pt idx="0">
                  <c:v>1.864</c:v>
                </c:pt>
                <c:pt idx="1">
                  <c:v>1.868</c:v>
                </c:pt>
                <c:pt idx="2">
                  <c:v>1.874</c:v>
                </c:pt>
                <c:pt idx="3">
                  <c:v>1.883</c:v>
                </c:pt>
                <c:pt idx="4">
                  <c:v>1.894</c:v>
                </c:pt>
                <c:pt idx="5">
                  <c:v>1.907</c:v>
                </c:pt>
                <c:pt idx="6">
                  <c:v>1.924</c:v>
                </c:pt>
                <c:pt idx="7">
                  <c:v>1.944</c:v>
                </c:pt>
                <c:pt idx="8">
                  <c:v>1.939</c:v>
                </c:pt>
                <c:pt idx="9">
                  <c:v>1.999</c:v>
                </c:pt>
                <c:pt idx="10">
                  <c:v>2.034</c:v>
                </c:pt>
                <c:pt idx="11">
                  <c:v>2.075</c:v>
                </c:pt>
                <c:pt idx="12">
                  <c:v>2.124</c:v>
                </c:pt>
                <c:pt idx="13">
                  <c:v>2.18</c:v>
                </c:pt>
                <c:pt idx="14">
                  <c:v>2.245</c:v>
                </c:pt>
                <c:pt idx="15">
                  <c:v>2.32</c:v>
                </c:pt>
                <c:pt idx="16">
                  <c:v>2.403</c:v>
                </c:pt>
                <c:pt idx="17">
                  <c:v>2.504</c:v>
                </c:pt>
                <c:pt idx="18">
                  <c:v>2.615</c:v>
                </c:pt>
                <c:pt idx="19">
                  <c:v>2.741</c:v>
                </c:pt>
                <c:pt idx="20">
                  <c:v>2.883</c:v>
                </c:pt>
                <c:pt idx="21">
                  <c:v>3.043</c:v>
                </c:pt>
                <c:pt idx="22">
                  <c:v>3.223</c:v>
                </c:pt>
                <c:pt idx="23">
                  <c:v>3.426</c:v>
                </c:pt>
                <c:pt idx="24">
                  <c:v>3.656</c:v>
                </c:pt>
                <c:pt idx="25">
                  <c:v>3.918</c:v>
                </c:pt>
                <c:pt idx="26">
                  <c:v>4.221</c:v>
                </c:pt>
                <c:pt idx="27">
                  <c:v>4.574</c:v>
                </c:pt>
                <c:pt idx="28">
                  <c:v>4.995</c:v>
                </c:pt>
                <c:pt idx="29">
                  <c:v>5.51</c:v>
                </c:pt>
                <c:pt idx="30">
                  <c:v>6.14</c:v>
                </c:pt>
                <c:pt idx="31">
                  <c:v>6.93</c:v>
                </c:pt>
                <c:pt idx="32">
                  <c:v>8.05</c:v>
                </c:pt>
                <c:pt idx="33">
                  <c:v>9.59</c:v>
                </c:pt>
                <c:pt idx="34">
                  <c:v>11.92</c:v>
                </c:pt>
                <c:pt idx="35">
                  <c:v>15.95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84096"/>
        <c:axId val="178089984"/>
      </c:scatterChart>
      <c:valAx>
        <c:axId val="17808409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089984"/>
        <c:crosses val="autoZero"/>
        <c:crossBetween val="midCat"/>
      </c:valAx>
      <c:valAx>
        <c:axId val="178089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08409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459fee-b906-4d32-9be8-1856d390075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Пр4!$C$1</c:f>
              <c:strCache>
                <c:ptCount val="1"/>
                <c:pt idx="0">
                  <c:v>Теплопроводность λ,
мВт/(м*К)</c:v>
                </c:pt>
              </c:strCache>
            </c:strRef>
          </c:tx>
          <c:dLbls>
            <c:delete val="1"/>
          </c:dLbls>
          <c:xVal>
            <c:numRef>
              <c:f>Пр4!$A$2:$A$43</c:f>
              <c:numCache>
                <c:formatCode>0.0</c:formatCode>
                <c:ptCount val="4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371</c:v>
                </c:pt>
                <c:pt idx="39">
                  <c:v>372</c:v>
                </c:pt>
                <c:pt idx="40">
                  <c:v>373</c:v>
                </c:pt>
                <c:pt idx="41">
                  <c:v>374</c:v>
                </c:pt>
              </c:numCache>
            </c:numRef>
          </c:xVal>
          <c:yVal>
            <c:numRef>
              <c:f>Пр4!$C$2:$C$38</c:f>
              <c:numCache>
                <c:formatCode>General</c:formatCode>
                <c:ptCount val="37"/>
                <c:pt idx="0">
                  <c:v>17.1</c:v>
                </c:pt>
                <c:pt idx="1">
                  <c:v>17.6</c:v>
                </c:pt>
                <c:pt idx="2">
                  <c:v>18.2</c:v>
                </c:pt>
                <c:pt idx="3">
                  <c:v>18.9</c:v>
                </c:pt>
                <c:pt idx="4">
                  <c:v>19.6</c:v>
                </c:pt>
                <c:pt idx="5">
                  <c:v>20.4</c:v>
                </c:pt>
                <c:pt idx="6">
                  <c:v>21.2</c:v>
                </c:pt>
                <c:pt idx="7">
                  <c:v>22.1</c:v>
                </c:pt>
                <c:pt idx="8">
                  <c:v>23</c:v>
                </c:pt>
                <c:pt idx="9">
                  <c:v>24</c:v>
                </c:pt>
                <c:pt idx="10">
                  <c:v>25.1</c:v>
                </c:pt>
                <c:pt idx="11">
                  <c:v>23.2</c:v>
                </c:pt>
                <c:pt idx="12">
                  <c:v>27.5</c:v>
                </c:pt>
                <c:pt idx="13">
                  <c:v>28.8</c:v>
                </c:pt>
                <c:pt idx="14">
                  <c:v>30.1</c:v>
                </c:pt>
                <c:pt idx="15">
                  <c:v>31.6</c:v>
                </c:pt>
                <c:pt idx="16">
                  <c:v>33.1</c:v>
                </c:pt>
                <c:pt idx="17">
                  <c:v>34.7</c:v>
                </c:pt>
                <c:pt idx="18">
                  <c:v>36.4</c:v>
                </c:pt>
                <c:pt idx="19">
                  <c:v>38.2</c:v>
                </c:pt>
                <c:pt idx="20">
                  <c:v>40.1</c:v>
                </c:pt>
                <c:pt idx="21">
                  <c:v>42.1</c:v>
                </c:pt>
                <c:pt idx="22">
                  <c:v>44.2</c:v>
                </c:pt>
                <c:pt idx="23">
                  <c:v>46.4</c:v>
                </c:pt>
                <c:pt idx="24">
                  <c:v>48.7</c:v>
                </c:pt>
                <c:pt idx="25">
                  <c:v>51.3</c:v>
                </c:pt>
                <c:pt idx="26">
                  <c:v>54</c:v>
                </c:pt>
                <c:pt idx="27">
                  <c:v>57.1</c:v>
                </c:pt>
                <c:pt idx="28">
                  <c:v>60.6</c:v>
                </c:pt>
                <c:pt idx="29">
                  <c:v>64.7</c:v>
                </c:pt>
                <c:pt idx="30">
                  <c:v>69.6</c:v>
                </c:pt>
                <c:pt idx="31">
                  <c:v>75.8</c:v>
                </c:pt>
                <c:pt idx="32">
                  <c:v>83.8</c:v>
                </c:pt>
                <c:pt idx="33">
                  <c:v>94.7</c:v>
                </c:pt>
                <c:pt idx="34">
                  <c:v>110.3</c:v>
                </c:pt>
                <c:pt idx="35">
                  <c:v>134.2</c:v>
                </c:pt>
                <c:pt idx="36">
                  <c:v>180.6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00576"/>
        <c:axId val="178202112"/>
      </c:scatterChart>
      <c:valAx>
        <c:axId val="17820057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202112"/>
        <c:crosses val="autoZero"/>
        <c:crossBetween val="midCat"/>
      </c:valAx>
      <c:valAx>
        <c:axId val="178202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20057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8a0538-7a4f-4355-830b-a6200a5d86af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Пр4!$D$1</c:f>
              <c:strCache>
                <c:ptCount val="1"/>
                <c:pt idx="0">
                  <c:v>Динамическая вязкость μ,
мкПа*с</c:v>
                </c:pt>
              </c:strCache>
            </c:strRef>
          </c:tx>
          <c:dLbls>
            <c:delete val="1"/>
          </c:dLbls>
          <c:xVal>
            <c:numRef>
              <c:f>Пр4!$A$2:$A$43</c:f>
              <c:numCache>
                <c:formatCode>0.0</c:formatCode>
                <c:ptCount val="4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371</c:v>
                </c:pt>
                <c:pt idx="39">
                  <c:v>372</c:v>
                </c:pt>
                <c:pt idx="40">
                  <c:v>373</c:v>
                </c:pt>
                <c:pt idx="41">
                  <c:v>374</c:v>
                </c:pt>
              </c:numCache>
            </c:numRef>
          </c:xVal>
          <c:yVal>
            <c:numRef>
              <c:f>Пр4!$D$2:$D$36</c:f>
              <c:numCache>
                <c:formatCode>General</c:formatCode>
                <c:ptCount val="35"/>
                <c:pt idx="0">
                  <c:v>9.22</c:v>
                </c:pt>
                <c:pt idx="1">
                  <c:v>9.46</c:v>
                </c:pt>
                <c:pt idx="2">
                  <c:v>9.73</c:v>
                </c:pt>
                <c:pt idx="3">
                  <c:v>10.01</c:v>
                </c:pt>
                <c:pt idx="4">
                  <c:v>10.31</c:v>
                </c:pt>
                <c:pt idx="5">
                  <c:v>10.62</c:v>
                </c:pt>
                <c:pt idx="6">
                  <c:v>10.94</c:v>
                </c:pt>
                <c:pt idx="7">
                  <c:v>11.26</c:v>
                </c:pt>
                <c:pt idx="8">
                  <c:v>11.6</c:v>
                </c:pt>
                <c:pt idx="9">
                  <c:v>11.93</c:v>
                </c:pt>
                <c:pt idx="10">
                  <c:v>12.28</c:v>
                </c:pt>
                <c:pt idx="11">
                  <c:v>12.62</c:v>
                </c:pt>
                <c:pt idx="12">
                  <c:v>12.97</c:v>
                </c:pt>
                <c:pt idx="13">
                  <c:v>13.32</c:v>
                </c:pt>
                <c:pt idx="14">
                  <c:v>13.67</c:v>
                </c:pt>
                <c:pt idx="15">
                  <c:v>14.02</c:v>
                </c:pt>
                <c:pt idx="16">
                  <c:v>14.37</c:v>
                </c:pt>
                <c:pt idx="17">
                  <c:v>14.72</c:v>
                </c:pt>
                <c:pt idx="18">
                  <c:v>15.07</c:v>
                </c:pt>
                <c:pt idx="19">
                  <c:v>15.42</c:v>
                </c:pt>
                <c:pt idx="20">
                  <c:v>15.78</c:v>
                </c:pt>
                <c:pt idx="21">
                  <c:v>16.13</c:v>
                </c:pt>
                <c:pt idx="22">
                  <c:v>16.49</c:v>
                </c:pt>
                <c:pt idx="23">
                  <c:v>16.85</c:v>
                </c:pt>
                <c:pt idx="24">
                  <c:v>17.22</c:v>
                </c:pt>
                <c:pt idx="25">
                  <c:v>17.59</c:v>
                </c:pt>
                <c:pt idx="26">
                  <c:v>17.98</c:v>
                </c:pt>
                <c:pt idx="27">
                  <c:v>18.38</c:v>
                </c:pt>
                <c:pt idx="28">
                  <c:v>18.8</c:v>
                </c:pt>
                <c:pt idx="29">
                  <c:v>19.25</c:v>
                </c:pt>
                <c:pt idx="30">
                  <c:v>19.74</c:v>
                </c:pt>
                <c:pt idx="31">
                  <c:v>20.28</c:v>
                </c:pt>
                <c:pt idx="32">
                  <c:v>20.89</c:v>
                </c:pt>
                <c:pt idx="33">
                  <c:v>21.62</c:v>
                </c:pt>
                <c:pt idx="34">
                  <c:v>22.52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18880"/>
        <c:axId val="178220416"/>
      </c:scatterChart>
      <c:valAx>
        <c:axId val="178218880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220416"/>
        <c:crosses val="autoZero"/>
        <c:crossBetween val="midCat"/>
      </c:valAx>
      <c:valAx>
        <c:axId val="178220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21888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656865-21ef-425f-955c-f02fa1df7ad2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Пр4!$E$1</c:f>
              <c:strCache>
                <c:ptCount val="1"/>
                <c:pt idx="0">
                  <c:v>Критерий Прандтля Pr</c:v>
                </c:pt>
              </c:strCache>
            </c:strRef>
          </c:tx>
          <c:dLbls>
            <c:delete val="1"/>
          </c:dLbls>
          <c:xVal>
            <c:numRef>
              <c:f>Пр4!$A$2:$A$43</c:f>
              <c:numCache>
                <c:formatCode>0.0</c:formatCode>
                <c:ptCount val="4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371</c:v>
                </c:pt>
                <c:pt idx="39">
                  <c:v>372</c:v>
                </c:pt>
                <c:pt idx="40">
                  <c:v>373</c:v>
                </c:pt>
                <c:pt idx="41">
                  <c:v>374</c:v>
                </c:pt>
              </c:numCache>
            </c:numRef>
          </c:xVal>
          <c:yVal>
            <c:numRef>
              <c:f>Пр4!$E$2:$E$36</c:f>
              <c:numCache>
                <c:formatCode>General</c:formatCode>
                <c:ptCount val="35"/>
                <c:pt idx="0">
                  <c:v>1.01</c:v>
                </c:pt>
                <c:pt idx="1">
                  <c:v>1</c:v>
                </c:pt>
                <c:pt idx="2">
                  <c:v>1</c:v>
                </c:pt>
                <c:pt idx="3">
                  <c:v>0.997</c:v>
                </c:pt>
                <c:pt idx="4">
                  <c:v>0.993</c:v>
                </c:pt>
                <c:pt idx="5">
                  <c:v>0.993</c:v>
                </c:pt>
                <c:pt idx="6">
                  <c:v>0.992</c:v>
                </c:pt>
                <c:pt idx="7">
                  <c:v>0.99</c:v>
                </c:pt>
                <c:pt idx="8">
                  <c:v>0.993</c:v>
                </c:pt>
                <c:pt idx="9">
                  <c:v>0.994</c:v>
                </c:pt>
                <c:pt idx="10">
                  <c:v>0.995</c:v>
                </c:pt>
                <c:pt idx="11">
                  <c:v>0.999</c:v>
                </c:pt>
                <c:pt idx="12">
                  <c:v>1</c:v>
                </c:pt>
                <c:pt idx="13">
                  <c:v>1.01</c:v>
                </c:pt>
                <c:pt idx="14">
                  <c:v>1.02</c:v>
                </c:pt>
                <c:pt idx="15">
                  <c:v>1.03</c:v>
                </c:pt>
                <c:pt idx="16">
                  <c:v>1.04</c:v>
                </c:pt>
                <c:pt idx="17">
                  <c:v>1.03</c:v>
                </c:pt>
                <c:pt idx="18">
                  <c:v>1.08</c:v>
                </c:pt>
                <c:pt idx="19">
                  <c:v>1.11</c:v>
                </c:pt>
                <c:pt idx="20">
                  <c:v>1.13</c:v>
                </c:pt>
                <c:pt idx="21">
                  <c:v>1.17</c:v>
                </c:pt>
                <c:pt idx="22">
                  <c:v>1.2</c:v>
                </c:pt>
                <c:pt idx="23">
                  <c:v>1.24</c:v>
                </c:pt>
                <c:pt idx="24">
                  <c:v>1.29</c:v>
                </c:pt>
                <c:pt idx="25">
                  <c:v>1.34</c:v>
                </c:pt>
                <c:pt idx="26">
                  <c:v>1.41</c:v>
                </c:pt>
                <c:pt idx="27" c:formatCode="0.00">
                  <c:v>1.47</c:v>
                </c:pt>
                <c:pt idx="28">
                  <c:v>1.55</c:v>
                </c:pt>
                <c:pt idx="29">
                  <c:v>1.64</c:v>
                </c:pt>
                <c:pt idx="30">
                  <c:v>1.74</c:v>
                </c:pt>
                <c:pt idx="31">
                  <c:v>1.86</c:v>
                </c:pt>
                <c:pt idx="32">
                  <c:v>2.01</c:v>
                </c:pt>
                <c:pt idx="33">
                  <c:v>2.19</c:v>
                </c:pt>
                <c:pt idx="34">
                  <c:v>2.43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53824"/>
        <c:axId val="178255360"/>
      </c:scatterChart>
      <c:valAx>
        <c:axId val="178253824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255360"/>
        <c:crosses val="autoZero"/>
        <c:crossBetween val="midCat"/>
      </c:valAx>
      <c:valAx>
        <c:axId val="17825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25382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fc8180-459e-4979-8e90-7629eb554768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Пр5!$B$1</c:f>
              <c:strCache>
                <c:ptCount val="1"/>
                <c:pt idx="0">
                  <c:v>Теплоёмкость Ср, кДж/(кг*К)</c:v>
                </c:pt>
              </c:strCache>
            </c:strRef>
          </c:tx>
          <c:dLbls>
            <c:delete val="1"/>
          </c:dLbls>
          <c:xVal>
            <c:numRef>
              <c:f>Пр5!$A$2:$A$35</c:f>
              <c:numCache>
                <c:formatCode>0.0</c:formatCode>
                <c:ptCount val="3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</c:numCache>
            </c:numRef>
          </c:xVal>
          <c:yVal>
            <c:numRef>
              <c:f>Пр5!$B$2:$B$35</c:f>
              <c:numCache>
                <c:formatCode>General</c:formatCode>
                <c:ptCount val="34"/>
                <c:pt idx="0">
                  <c:v>4.217</c:v>
                </c:pt>
                <c:pt idx="1">
                  <c:v>4.193</c:v>
                </c:pt>
                <c:pt idx="2">
                  <c:v>4.182</c:v>
                </c:pt>
                <c:pt idx="3">
                  <c:v>4.179</c:v>
                </c:pt>
                <c:pt idx="4">
                  <c:v>4.179</c:v>
                </c:pt>
                <c:pt idx="5">
                  <c:v>4.181</c:v>
                </c:pt>
                <c:pt idx="6">
                  <c:v>4.185</c:v>
                </c:pt>
                <c:pt idx="7">
                  <c:v>4.19</c:v>
                </c:pt>
                <c:pt idx="8">
                  <c:v>4.197</c:v>
                </c:pt>
                <c:pt idx="9">
                  <c:v>4.205</c:v>
                </c:pt>
                <c:pt idx="10">
                  <c:v>4.216</c:v>
                </c:pt>
                <c:pt idx="11">
                  <c:v>4.229</c:v>
                </c:pt>
                <c:pt idx="12">
                  <c:v>4.245</c:v>
                </c:pt>
                <c:pt idx="13">
                  <c:v>4.263</c:v>
                </c:pt>
                <c:pt idx="14">
                  <c:v>4.285</c:v>
                </c:pt>
                <c:pt idx="15">
                  <c:v>4.31</c:v>
                </c:pt>
                <c:pt idx="16">
                  <c:v>4.339</c:v>
                </c:pt>
                <c:pt idx="17">
                  <c:v>4.371</c:v>
                </c:pt>
                <c:pt idx="18">
                  <c:v>4.408</c:v>
                </c:pt>
                <c:pt idx="19">
                  <c:v>4.449</c:v>
                </c:pt>
                <c:pt idx="20">
                  <c:v>4.497</c:v>
                </c:pt>
                <c:pt idx="21">
                  <c:v>4.551</c:v>
                </c:pt>
                <c:pt idx="22">
                  <c:v>4.614</c:v>
                </c:pt>
                <c:pt idx="23">
                  <c:v>4.686</c:v>
                </c:pt>
                <c:pt idx="24">
                  <c:v>4.77</c:v>
                </c:pt>
                <c:pt idx="25">
                  <c:v>4.869</c:v>
                </c:pt>
                <c:pt idx="26">
                  <c:v>4.986</c:v>
                </c:pt>
                <c:pt idx="27">
                  <c:v>5.13</c:v>
                </c:pt>
                <c:pt idx="28">
                  <c:v>5.3</c:v>
                </c:pt>
                <c:pt idx="29">
                  <c:v>5.51</c:v>
                </c:pt>
                <c:pt idx="30">
                  <c:v>5.77</c:v>
                </c:pt>
                <c:pt idx="31">
                  <c:v>6.12</c:v>
                </c:pt>
                <c:pt idx="32">
                  <c:v>6.59</c:v>
                </c:pt>
                <c:pt idx="33">
                  <c:v>7.25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97600"/>
        <c:axId val="174399488"/>
      </c:scatterChart>
      <c:valAx>
        <c:axId val="157497600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399488"/>
        <c:crosses val="autoZero"/>
        <c:crossBetween val="midCat"/>
      </c:valAx>
      <c:valAx>
        <c:axId val="174399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749760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42a149-4545-405e-b0b1-cf47909f8923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Пр5!$C$1</c:f>
              <c:strCache>
                <c:ptCount val="1"/>
                <c:pt idx="0">
                  <c:v>Теплопроводность λ,
мВт/(м*К)</c:v>
                </c:pt>
              </c:strCache>
            </c:strRef>
          </c:tx>
          <c:dLbls>
            <c:delete val="1"/>
          </c:dLbls>
          <c:xVal>
            <c:numRef>
              <c:f>Пр5!$A$2:$A$38</c:f>
              <c:numCache>
                <c:formatCode>0.0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Пр5!$C$2:$C$38</c:f>
              <c:numCache>
                <c:formatCode>General</c:formatCode>
                <c:ptCount val="37"/>
                <c:pt idx="0">
                  <c:v>561</c:v>
                </c:pt>
                <c:pt idx="1">
                  <c:v>580</c:v>
                </c:pt>
                <c:pt idx="2">
                  <c:v>598.5</c:v>
                </c:pt>
                <c:pt idx="3">
                  <c:v>615.5</c:v>
                </c:pt>
                <c:pt idx="4">
                  <c:v>630.6</c:v>
                </c:pt>
                <c:pt idx="5">
                  <c:v>643.6</c:v>
                </c:pt>
                <c:pt idx="6">
                  <c:v>654.4</c:v>
                </c:pt>
                <c:pt idx="7">
                  <c:v>663</c:v>
                </c:pt>
                <c:pt idx="8">
                  <c:v>669.8</c:v>
                </c:pt>
                <c:pt idx="9">
                  <c:v>675.1</c:v>
                </c:pt>
                <c:pt idx="10">
                  <c:v>678.8</c:v>
                </c:pt>
                <c:pt idx="11">
                  <c:v>681.3</c:v>
                </c:pt>
                <c:pt idx="12">
                  <c:v>683</c:v>
                </c:pt>
                <c:pt idx="13">
                  <c:v>683.4</c:v>
                </c:pt>
                <c:pt idx="14">
                  <c:v>682.9</c:v>
                </c:pt>
                <c:pt idx="15">
                  <c:v>681.7</c:v>
                </c:pt>
                <c:pt idx="16">
                  <c:v>679.7</c:v>
                </c:pt>
                <c:pt idx="17">
                  <c:v>676.8</c:v>
                </c:pt>
                <c:pt idx="18">
                  <c:v>673.2</c:v>
                </c:pt>
                <c:pt idx="19">
                  <c:v>668.7</c:v>
                </c:pt>
                <c:pt idx="20">
                  <c:v>663.3</c:v>
                </c:pt>
                <c:pt idx="21">
                  <c:v>657.1</c:v>
                </c:pt>
                <c:pt idx="22">
                  <c:v>649.8</c:v>
                </c:pt>
                <c:pt idx="23">
                  <c:v>641.5</c:v>
                </c:pt>
                <c:pt idx="24">
                  <c:v>632.1</c:v>
                </c:pt>
                <c:pt idx="25">
                  <c:v>621.5</c:v>
                </c:pt>
                <c:pt idx="26">
                  <c:v>609.6</c:v>
                </c:pt>
                <c:pt idx="27">
                  <c:v>595.2</c:v>
                </c:pt>
                <c:pt idx="28">
                  <c:v>581.4</c:v>
                </c:pt>
                <c:pt idx="29">
                  <c:v>565.2</c:v>
                </c:pt>
                <c:pt idx="30">
                  <c:v>547.5</c:v>
                </c:pt>
                <c:pt idx="31">
                  <c:v>528.7</c:v>
                </c:pt>
                <c:pt idx="32">
                  <c:v>509.1</c:v>
                </c:pt>
                <c:pt idx="33">
                  <c:v>489</c:v>
                </c:pt>
                <c:pt idx="34">
                  <c:v>468.6</c:v>
                </c:pt>
                <c:pt idx="35">
                  <c:v>445</c:v>
                </c:pt>
                <c:pt idx="36">
                  <c:v>423.1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15872"/>
        <c:axId val="174417408"/>
      </c:scatterChart>
      <c:valAx>
        <c:axId val="174415872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417408"/>
        <c:crosses val="autoZero"/>
        <c:crossBetween val="midCat"/>
      </c:valAx>
      <c:valAx>
        <c:axId val="174417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41587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afa6b8-d05f-4c98-9137-c148013209a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Пр5!$D$1</c:f>
              <c:strCache>
                <c:ptCount val="1"/>
                <c:pt idx="0">
                  <c:v>Температурапроводность, мкм2/с</c:v>
                </c:pt>
              </c:strCache>
            </c:strRef>
          </c:tx>
          <c:dLbls>
            <c:delete val="1"/>
          </c:dLbls>
          <c:xVal>
            <c:numRef>
              <c:f>Пр5!$A$2:$A$43</c:f>
              <c:numCache>
                <c:formatCode>0.0</c:formatCode>
                <c:ptCount val="4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371</c:v>
                </c:pt>
                <c:pt idx="39">
                  <c:v>372</c:v>
                </c:pt>
                <c:pt idx="40">
                  <c:v>373</c:v>
                </c:pt>
                <c:pt idx="41">
                  <c:v>374</c:v>
                </c:pt>
              </c:numCache>
            </c:numRef>
          </c:xVal>
          <c:yVal>
            <c:numRef>
              <c:f>Пр5!$D$2:$D$43</c:f>
              <c:numCache>
                <c:formatCode>0.000</c:formatCode>
                <c:ptCount val="42"/>
                <c:pt idx="0">
                  <c:v>0.133059568413564</c:v>
                </c:pt>
                <c:pt idx="1">
                  <c:v>0.138367278797997</c:v>
                </c:pt>
                <c:pt idx="2">
                  <c:v>0.143356635581062</c:v>
                </c:pt>
                <c:pt idx="3">
                  <c:v>0.147917360612587</c:v>
                </c:pt>
                <c:pt idx="4">
                  <c:v>0.152074343144293</c:v>
                </c:pt>
                <c:pt idx="5">
                  <c:v>0.155797072470701</c:v>
                </c:pt>
                <c:pt idx="6">
                  <c:v>0.159041873357228</c:v>
                </c:pt>
                <c:pt idx="7">
                  <c:v>0.161841622911694</c:v>
                </c:pt>
                <c:pt idx="8">
                  <c:v>0.164250216821539</c:v>
                </c:pt>
                <c:pt idx="9">
                  <c:v>0.166342713436385</c:v>
                </c:pt>
                <c:pt idx="10">
                  <c:v>0.168041641366224</c:v>
                </c:pt>
                <c:pt idx="11">
                  <c:v>0.169463104752897</c:v>
                </c:pt>
                <c:pt idx="12">
                  <c:v>0.170645418138987</c:v>
                </c:pt>
                <c:pt idx="13">
                  <c:v>0.171531315974666</c:v>
                </c:pt>
                <c:pt idx="14">
                  <c:v>0.172135423570595</c:v>
                </c:pt>
                <c:pt idx="15">
                  <c:v>0.172528621809745</c:v>
                </c:pt>
                <c:pt idx="16">
                  <c:v>0.172658525005762</c:v>
                </c:pt>
                <c:pt idx="17">
                  <c:v>0.172567741935484</c:v>
                </c:pt>
                <c:pt idx="18">
                  <c:v>0.17219441923775</c:v>
                </c:pt>
                <c:pt idx="19">
                  <c:v>0.17157137559002</c:v>
                </c:pt>
                <c:pt idx="20">
                  <c:v>0.170581821214143</c:v>
                </c:pt>
                <c:pt idx="21">
                  <c:v>0.169306846846847</c:v>
                </c:pt>
                <c:pt idx="22">
                  <c:v>0.167590377113134</c:v>
                </c:pt>
                <c:pt idx="23">
                  <c:v>0.16546757362356</c:v>
                </c:pt>
                <c:pt idx="24">
                  <c:v>0.162875075471698</c:v>
                </c:pt>
                <c:pt idx="25">
                  <c:v>0.159721287738755</c:v>
                </c:pt>
                <c:pt idx="26">
                  <c:v>0.155957833935018</c:v>
                </c:pt>
                <c:pt idx="27">
                  <c:v>0.151120467836257</c:v>
                </c:pt>
                <c:pt idx="28">
                  <c:v>0.146161766037736</c:v>
                </c:pt>
                <c:pt idx="29">
                  <c:v>0.140110105263158</c:v>
                </c:pt>
                <c:pt idx="30">
                  <c:v>0.133231325823224</c:v>
                </c:pt>
                <c:pt idx="31">
                  <c:v>0.125091111111111</c:v>
                </c:pt>
                <c:pt idx="32">
                  <c:v>0.115841494688923</c:v>
                </c:pt>
                <c:pt idx="33">
                  <c:v>0.105313737931034</c:v>
                </c:pt>
                <c:pt idx="34">
                  <c:v>0.0928700604594921</c:v>
                </c:pt>
                <c:pt idx="35">
                  <c:v>0.076846378968254</c:v>
                </c:pt>
                <c:pt idx="36">
                  <c:v>0.0534308405603736</c:v>
                </c:pt>
                <c:pt idx="37">
                  <c:v>0.0175499814471243</c:v>
                </c:pt>
                <c:pt idx="38">
                  <c:v>0.0138196965517241</c:v>
                </c:pt>
                <c:pt idx="39">
                  <c:v>0.00899847619047619</c:v>
                </c:pt>
                <c:pt idx="40">
                  <c:v>0.00566965776293823</c:v>
                </c:pt>
                <c:pt idx="41">
                  <c:v>0.00112460317460317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05408"/>
        <c:axId val="179507200"/>
      </c:scatterChart>
      <c:valAx>
        <c:axId val="179505408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507200"/>
        <c:crosses val="autoZero"/>
        <c:crossBetween val="midCat"/>
      </c:valAx>
      <c:valAx>
        <c:axId val="17950720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505408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bd47e3-dd87-4767-8422-9ae7e4bd3733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Пр5!$E$1</c:f>
              <c:strCache>
                <c:ptCount val="1"/>
                <c:pt idx="0">
                  <c:v>Динамическая вязкость μ,
мкПа*с</c:v>
                </c:pt>
              </c:strCache>
            </c:strRef>
          </c:tx>
          <c:dLbls>
            <c:delete val="1"/>
          </c:dLbls>
          <c:xVal>
            <c:numRef>
              <c:f>Пр5!$A$2:$A$43</c:f>
              <c:numCache>
                <c:formatCode>0.0</c:formatCode>
                <c:ptCount val="4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371</c:v>
                </c:pt>
                <c:pt idx="39">
                  <c:v>372</c:v>
                </c:pt>
                <c:pt idx="40">
                  <c:v>373</c:v>
                </c:pt>
                <c:pt idx="41">
                  <c:v>374</c:v>
                </c:pt>
              </c:numCache>
            </c:numRef>
          </c:xVal>
          <c:yVal>
            <c:numRef>
              <c:f>Пр5!$E$2:$E$43</c:f>
              <c:numCache>
                <c:formatCode>General</c:formatCode>
                <c:ptCount val="42"/>
                <c:pt idx="0">
                  <c:v>1792</c:v>
                </c:pt>
                <c:pt idx="1">
                  <c:v>1308</c:v>
                </c:pt>
                <c:pt idx="2">
                  <c:v>1003</c:v>
                </c:pt>
                <c:pt idx="3">
                  <c:v>797.7</c:v>
                </c:pt>
                <c:pt idx="4">
                  <c:v>653.1</c:v>
                </c:pt>
                <c:pt idx="5">
                  <c:v>547</c:v>
                </c:pt>
                <c:pt idx="6">
                  <c:v>466.8</c:v>
                </c:pt>
                <c:pt idx="7">
                  <c:v>404.4</c:v>
                </c:pt>
                <c:pt idx="8">
                  <c:v>354.9</c:v>
                </c:pt>
                <c:pt idx="9">
                  <c:v>314.9</c:v>
                </c:pt>
                <c:pt idx="10">
                  <c:v>282.1</c:v>
                </c:pt>
                <c:pt idx="11">
                  <c:v>254.9</c:v>
                </c:pt>
                <c:pt idx="12">
                  <c:v>232.1</c:v>
                </c:pt>
                <c:pt idx="13">
                  <c:v>212.7</c:v>
                </c:pt>
                <c:pt idx="14">
                  <c:v>196.1</c:v>
                </c:pt>
                <c:pt idx="15">
                  <c:v>181.9</c:v>
                </c:pt>
                <c:pt idx="16">
                  <c:v>169.6</c:v>
                </c:pt>
                <c:pt idx="17">
                  <c:v>158.8</c:v>
                </c:pt>
                <c:pt idx="18">
                  <c:v>149.4</c:v>
                </c:pt>
                <c:pt idx="19">
                  <c:v>141</c:v>
                </c:pt>
                <c:pt idx="20">
                  <c:v>133.6</c:v>
                </c:pt>
                <c:pt idx="21">
                  <c:v>127</c:v>
                </c:pt>
                <c:pt idx="22">
                  <c:v>121</c:v>
                </c:pt>
                <c:pt idx="23">
                  <c:v>115.5</c:v>
                </c:pt>
                <c:pt idx="24">
                  <c:v>110.5</c:v>
                </c:pt>
                <c:pt idx="25">
                  <c:v>105.8</c:v>
                </c:pt>
                <c:pt idx="26">
                  <c:v>101.5</c:v>
                </c:pt>
                <c:pt idx="27">
                  <c:v>97.36</c:v>
                </c:pt>
                <c:pt idx="28">
                  <c:v>93.41</c:v>
                </c:pt>
                <c:pt idx="29">
                  <c:v>89.58</c:v>
                </c:pt>
                <c:pt idx="30">
                  <c:v>85.81</c:v>
                </c:pt>
                <c:pt idx="31">
                  <c:v>82.06</c:v>
                </c:pt>
                <c:pt idx="32">
                  <c:v>78.27</c:v>
                </c:pt>
                <c:pt idx="33">
                  <c:v>74.37</c:v>
                </c:pt>
                <c:pt idx="34">
                  <c:v>70.21</c:v>
                </c:pt>
                <c:pt idx="35">
                  <c:v>65.68</c:v>
                </c:pt>
                <c:pt idx="36">
                  <c:v>60.21</c:v>
                </c:pt>
                <c:pt idx="37">
                  <c:v>51.43</c:v>
                </c:pt>
                <c:pt idx="38">
                  <c:v>50.07</c:v>
                </c:pt>
                <c:pt idx="39">
                  <c:v>48.6</c:v>
                </c:pt>
                <c:pt idx="40">
                  <c:v>46.8</c:v>
                </c:pt>
                <c:pt idx="41">
                  <c:v>46.9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20256"/>
        <c:axId val="179521792"/>
      </c:scatterChart>
      <c:valAx>
        <c:axId val="17952025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521792"/>
        <c:crosses val="autoZero"/>
        <c:crossBetween val="midCat"/>
      </c:valAx>
      <c:valAx>
        <c:axId val="179521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52025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056042-8140-41aa-873d-de83ac61a47d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Пр5!$F$1</c:f>
              <c:strCache>
                <c:ptCount val="1"/>
                <c:pt idx="0">
                  <c:v>критерий Прандтля Pr</c:v>
                </c:pt>
              </c:strCache>
            </c:strRef>
          </c:tx>
          <c:dLbls>
            <c:delete val="1"/>
          </c:dLbls>
          <c:xVal>
            <c:numRef>
              <c:f>Пр5!$A$2:$A$38</c:f>
              <c:numCache>
                <c:formatCode>0.0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Пр5!$F$2:$F$38</c:f>
              <c:numCache>
                <c:formatCode>General</c:formatCode>
                <c:ptCount val="37"/>
                <c:pt idx="0">
                  <c:v>13.47</c:v>
                </c:pt>
                <c:pt idx="1">
                  <c:v>9.46</c:v>
                </c:pt>
                <c:pt idx="2">
                  <c:v>7.01</c:v>
                </c:pt>
                <c:pt idx="3">
                  <c:v>5.42</c:v>
                </c:pt>
                <c:pt idx="4">
                  <c:v>4.33</c:v>
                </c:pt>
                <c:pt idx="5">
                  <c:v>3.55</c:v>
                </c:pt>
                <c:pt idx="6">
                  <c:v>2.99</c:v>
                </c:pt>
                <c:pt idx="7">
                  <c:v>2.56</c:v>
                </c:pt>
                <c:pt idx="8">
                  <c:v>2.22</c:v>
                </c:pt>
                <c:pt idx="9">
                  <c:v>1.93</c:v>
                </c:pt>
                <c:pt idx="10">
                  <c:v>1.75</c:v>
                </c:pt>
                <c:pt idx="11">
                  <c:v>1.58</c:v>
                </c:pt>
                <c:pt idx="12">
                  <c:v>1.44</c:v>
                </c:pt>
                <c:pt idx="13">
                  <c:v>1.33</c:v>
                </c:pt>
                <c:pt idx="14">
                  <c:v>1.23</c:v>
                </c:pt>
                <c:pt idx="15" c:formatCode="0.00">
                  <c:v>1.15</c:v>
                </c:pt>
                <c:pt idx="16">
                  <c:v>1.08</c:v>
                </c:pt>
                <c:pt idx="17">
                  <c:v>1.03</c:v>
                </c:pt>
                <c:pt idx="18">
                  <c:v>0.978</c:v>
                </c:pt>
                <c:pt idx="19">
                  <c:v>0.938</c:v>
                </c:pt>
                <c:pt idx="20">
                  <c:v>0.906</c:v>
                </c:pt>
                <c:pt idx="21">
                  <c:v>0.88</c:v>
                </c:pt>
                <c:pt idx="22">
                  <c:v>0.859</c:v>
                </c:pt>
                <c:pt idx="23">
                  <c:v>0.844</c:v>
                </c:pt>
                <c:pt idx="24">
                  <c:v>0.834</c:v>
                </c:pt>
                <c:pt idx="25">
                  <c:v>0.829</c:v>
                </c:pt>
                <c:pt idx="26">
                  <c:v>0.83</c:v>
                </c:pt>
                <c:pt idx="27">
                  <c:v>0.838</c:v>
                </c:pt>
                <c:pt idx="28">
                  <c:v>0.852</c:v>
                </c:pt>
                <c:pt idx="29">
                  <c:v>0.873</c:v>
                </c:pt>
                <c:pt idx="30">
                  <c:v>0.904</c:v>
                </c:pt>
                <c:pt idx="31">
                  <c:v>0.95</c:v>
                </c:pt>
                <c:pt idx="32">
                  <c:v>1.01</c:v>
                </c:pt>
                <c:pt idx="33">
                  <c:v>1.1</c:v>
                </c:pt>
                <c:pt idx="34">
                  <c:v>1.24</c:v>
                </c:pt>
                <c:pt idx="35">
                  <c:v>1.49</c:v>
                </c:pt>
                <c:pt idx="36">
                  <c:v>2.13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50464"/>
        <c:axId val="179560448"/>
      </c:scatterChart>
      <c:valAx>
        <c:axId val="179550464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560448"/>
        <c:crosses val="autoZero"/>
        <c:crossBetween val="midCat"/>
      </c:valAx>
      <c:valAx>
        <c:axId val="179560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55046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bcb2e0-da5f-4d3f-8b64-fd5f3ff324f2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Пр5!$G$1</c:f>
              <c:strCache>
                <c:ptCount val="1"/>
                <c:pt idx="0">
                  <c:v>Поверхностное натяжение σ, мН/м</c:v>
                </c:pt>
              </c:strCache>
            </c:strRef>
          </c:tx>
          <c:dLbls>
            <c:delete val="1"/>
          </c:dLbls>
          <c:xVal>
            <c:numRef>
              <c:f>Пр5!$A$2:$A$43</c:f>
              <c:numCache>
                <c:formatCode>0.0</c:formatCode>
                <c:ptCount val="4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371</c:v>
                </c:pt>
                <c:pt idx="39">
                  <c:v>372</c:v>
                </c:pt>
                <c:pt idx="40">
                  <c:v>373</c:v>
                </c:pt>
                <c:pt idx="41">
                  <c:v>374</c:v>
                </c:pt>
              </c:numCache>
            </c:numRef>
          </c:xVal>
          <c:yVal>
            <c:numRef>
              <c:f>Пр5!$G$2:$G$43</c:f>
              <c:numCache>
                <c:formatCode>General</c:formatCode>
                <c:ptCount val="42"/>
                <c:pt idx="0">
                  <c:v>75.65</c:v>
                </c:pt>
                <c:pt idx="1">
                  <c:v>74.22</c:v>
                </c:pt>
                <c:pt idx="2">
                  <c:v>72.74</c:v>
                </c:pt>
                <c:pt idx="3">
                  <c:v>71.2</c:v>
                </c:pt>
                <c:pt idx="4">
                  <c:v>69.6</c:v>
                </c:pt>
                <c:pt idx="5">
                  <c:v>67.95</c:v>
                </c:pt>
                <c:pt idx="6">
                  <c:v>66.24</c:v>
                </c:pt>
                <c:pt idx="7">
                  <c:v>64.49</c:v>
                </c:pt>
                <c:pt idx="8">
                  <c:v>62.68</c:v>
                </c:pt>
                <c:pt idx="9">
                  <c:v>60.82</c:v>
                </c:pt>
                <c:pt idx="10">
                  <c:v>58.92</c:v>
                </c:pt>
                <c:pt idx="11">
                  <c:v>56.97</c:v>
                </c:pt>
                <c:pt idx="12">
                  <c:v>54.97</c:v>
                </c:pt>
                <c:pt idx="13">
                  <c:v>52.94</c:v>
                </c:pt>
                <c:pt idx="14">
                  <c:v>50.86</c:v>
                </c:pt>
                <c:pt idx="15">
                  <c:v>48.75</c:v>
                </c:pt>
                <c:pt idx="16">
                  <c:v>46.6</c:v>
                </c:pt>
                <c:pt idx="17">
                  <c:v>44.41</c:v>
                </c:pt>
                <c:pt idx="18">
                  <c:v>42.2</c:v>
                </c:pt>
                <c:pt idx="19">
                  <c:v>39.95</c:v>
                </c:pt>
                <c:pt idx="20">
                  <c:v>37.68</c:v>
                </c:pt>
                <c:pt idx="21">
                  <c:v>35.39</c:v>
                </c:pt>
                <c:pt idx="22">
                  <c:v>33.8</c:v>
                </c:pt>
                <c:pt idx="23">
                  <c:v>30.75</c:v>
                </c:pt>
                <c:pt idx="24">
                  <c:v>28.4</c:v>
                </c:pt>
                <c:pt idx="25">
                  <c:v>26.5</c:v>
                </c:pt>
                <c:pt idx="26">
                  <c:v>23.7</c:v>
                </c:pt>
                <c:pt idx="27">
                  <c:v>21.35</c:v>
                </c:pt>
                <c:pt idx="28">
                  <c:v>19</c:v>
                </c:pt>
                <c:pt idx="29">
                  <c:v>16.68</c:v>
                </c:pt>
                <c:pt idx="30">
                  <c:v>14.37</c:v>
                </c:pt>
                <c:pt idx="31">
                  <c:v>12.1</c:v>
                </c:pt>
                <c:pt idx="32">
                  <c:v>9.88</c:v>
                </c:pt>
                <c:pt idx="33">
                  <c:v>7.71</c:v>
                </c:pt>
                <c:pt idx="34">
                  <c:v>4.64</c:v>
                </c:pt>
                <c:pt idx="35">
                  <c:v>3.68</c:v>
                </c:pt>
                <c:pt idx="36">
                  <c:v>1.89</c:v>
                </c:pt>
                <c:pt idx="37">
                  <c:v>0.396</c:v>
                </c:pt>
                <c:pt idx="38">
                  <c:v>0.28</c:v>
                </c:pt>
                <c:pt idx="39">
                  <c:v>0.176</c:v>
                </c:pt>
                <c:pt idx="40">
                  <c:v>0.07</c:v>
                </c:pt>
                <c:pt idx="41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62208"/>
        <c:axId val="179263744"/>
      </c:scatterChart>
      <c:valAx>
        <c:axId val="179262208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263744"/>
        <c:crosses val="autoZero"/>
        <c:crossBetween val="midCat"/>
      </c:valAx>
      <c:valAx>
        <c:axId val="179263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262208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ca7fea-bd1f-424c-928d-e53caa570735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Пр5!$H$1</c:f>
              <c:strCache>
                <c:ptCount val="1"/>
                <c:pt idx="0">
                  <c:v>Кинематическая вязкость, мкм2/с</c:v>
                </c:pt>
              </c:strCache>
            </c:strRef>
          </c:tx>
          <c:dLbls>
            <c:delete val="1"/>
          </c:dLbls>
          <c:xVal>
            <c:numRef>
              <c:f>Пр5!$A$2:$A$43</c:f>
              <c:numCache>
                <c:formatCode>0.0</c:formatCode>
                <c:ptCount val="4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371</c:v>
                </c:pt>
                <c:pt idx="39">
                  <c:v>372</c:v>
                </c:pt>
                <c:pt idx="40">
                  <c:v>373</c:v>
                </c:pt>
                <c:pt idx="41">
                  <c:v>374</c:v>
                </c:pt>
              </c:numCache>
            </c:numRef>
          </c:xVal>
          <c:yVal>
            <c:numRef>
              <c:f>Пр5!$H$2:$H$43</c:f>
              <c:numCache>
                <c:formatCode>0.000</c:formatCode>
                <c:ptCount val="42"/>
                <c:pt idx="0">
                  <c:v>1.7923584</c:v>
                </c:pt>
                <c:pt idx="1">
                  <c:v>1.3083924</c:v>
                </c:pt>
                <c:pt idx="2">
                  <c:v>1.0047051</c:v>
                </c:pt>
                <c:pt idx="3">
                  <c:v>0.80113011</c:v>
                </c:pt>
                <c:pt idx="4">
                  <c:v>0.65819418</c:v>
                </c:pt>
                <c:pt idx="5">
                  <c:v>0.5536187</c:v>
                </c:pt>
                <c:pt idx="6">
                  <c:v>0.47478228</c:v>
                </c:pt>
                <c:pt idx="7">
                  <c:v>0.41362032</c:v>
                </c:pt>
                <c:pt idx="8">
                  <c:v>0.36526308</c:v>
                </c:pt>
                <c:pt idx="9">
                  <c:v>0.32626789</c:v>
                </c:pt>
                <c:pt idx="10">
                  <c:v>0.29442777</c:v>
                </c:pt>
                <c:pt idx="11">
                  <c:v>0.26812931</c:v>
                </c:pt>
                <c:pt idx="12">
                  <c:v>0.24616526</c:v>
                </c:pt>
                <c:pt idx="13">
                  <c:v>0.227589</c:v>
                </c:pt>
                <c:pt idx="14">
                  <c:v>0.21180761</c:v>
                </c:pt>
                <c:pt idx="15">
                  <c:v>0.19841652</c:v>
                </c:pt>
                <c:pt idx="16">
                  <c:v>0.18693312</c:v>
                </c:pt>
                <c:pt idx="17">
                  <c:v>0.1769826</c:v>
                </c:pt>
                <c:pt idx="18">
                  <c:v>0.1684485</c:v>
                </c:pt>
                <c:pt idx="19">
                  <c:v>0.1609515</c:v>
                </c:pt>
                <c:pt idx="20">
                  <c:v>0.1545084</c:v>
                </c:pt>
                <c:pt idx="21">
                  <c:v>0.1489202</c:v>
                </c:pt>
                <c:pt idx="22">
                  <c:v>0.14399</c:v>
                </c:pt>
                <c:pt idx="23">
                  <c:v>0.13960485</c:v>
                </c:pt>
                <c:pt idx="24">
                  <c:v>0.13581555</c:v>
                </c:pt>
                <c:pt idx="25">
                  <c:v>0.13238754</c:v>
                </c:pt>
                <c:pt idx="26">
                  <c:v>0.1294734</c:v>
                </c:pt>
                <c:pt idx="27">
                  <c:v>0.1268114</c:v>
                </c:pt>
                <c:pt idx="28">
                  <c:v>0.124459484</c:v>
                </c:pt>
                <c:pt idx="29">
                  <c:v>0.122357322</c:v>
                </c:pt>
                <c:pt idx="30">
                  <c:v>0.120485821</c:v>
                </c:pt>
                <c:pt idx="31">
                  <c:v>0.11882288</c:v>
                </c:pt>
                <c:pt idx="32">
                  <c:v>0.117365865</c:v>
                </c:pt>
                <c:pt idx="33">
                  <c:v>0.116121318</c:v>
                </c:pt>
                <c:pt idx="34">
                  <c:v>0.11507419</c:v>
                </c:pt>
                <c:pt idx="35">
                  <c:v>0.114329176</c:v>
                </c:pt>
                <c:pt idx="36">
                  <c:v>0.11397753</c:v>
                </c:pt>
                <c:pt idx="37">
                  <c:v>0.11474033</c:v>
                </c:pt>
                <c:pt idx="38">
                  <c:v>0.11506086</c:v>
                </c:pt>
                <c:pt idx="39">
                  <c:v>0.1162512</c:v>
                </c:pt>
                <c:pt idx="40">
                  <c:v>0.11817</c:v>
                </c:pt>
                <c:pt idx="41">
                  <c:v>0.1329146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76800"/>
        <c:axId val="179290880"/>
      </c:scatterChart>
      <c:valAx>
        <c:axId val="179276800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290880"/>
        <c:crosses val="autoZero"/>
        <c:crossBetween val="midCat"/>
      </c:valAx>
      <c:valAx>
        <c:axId val="17929088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27680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70a12d-ee9c-4b0b-acff-87331802bde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Пр5!$I$1</c:f>
              <c:strCache>
                <c:ptCount val="1"/>
                <c:pt idx="0">
                  <c:v>Удельный объём,
м3/кг</c:v>
                </c:pt>
              </c:strCache>
            </c:strRef>
          </c:tx>
          <c:dLbls>
            <c:delete val="1"/>
          </c:dLbls>
          <c:xVal>
            <c:numRef>
              <c:f>Пр5!$A$2:$A$43</c:f>
              <c:numCache>
                <c:formatCode>0.0</c:formatCode>
                <c:ptCount val="4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371</c:v>
                </c:pt>
                <c:pt idx="39">
                  <c:v>372</c:v>
                </c:pt>
                <c:pt idx="40">
                  <c:v>373</c:v>
                </c:pt>
                <c:pt idx="41">
                  <c:v>374</c:v>
                </c:pt>
              </c:numCache>
            </c:numRef>
          </c:xVal>
          <c:yVal>
            <c:numRef>
              <c:f>Пр5!$I$2:$I$43</c:f>
              <c:numCache>
                <c:formatCode>0.0000</c:formatCode>
                <c:ptCount val="42"/>
                <c:pt idx="0">
                  <c:v>0.0010002</c:v>
                </c:pt>
                <c:pt idx="1">
                  <c:v>0.0010003</c:v>
                </c:pt>
                <c:pt idx="2">
                  <c:v>0.0010017</c:v>
                </c:pt>
                <c:pt idx="3">
                  <c:v>0.0010043</c:v>
                </c:pt>
                <c:pt idx="4">
                  <c:v>0.0010078</c:v>
                </c:pt>
                <c:pt idx="5">
                  <c:v>0.0010121</c:v>
                </c:pt>
                <c:pt idx="6">
                  <c:v>0.0010171</c:v>
                </c:pt>
                <c:pt idx="7">
                  <c:v>0.0010228</c:v>
                </c:pt>
                <c:pt idx="8">
                  <c:v>0.0010292</c:v>
                </c:pt>
                <c:pt idx="9">
                  <c:v>0.0010361</c:v>
                </c:pt>
                <c:pt idx="10">
                  <c:v>0.0010437</c:v>
                </c:pt>
                <c:pt idx="11">
                  <c:v>0.0010519</c:v>
                </c:pt>
                <c:pt idx="12">
                  <c:v>0.0010606</c:v>
                </c:pt>
                <c:pt idx="13">
                  <c:v>0.00107</c:v>
                </c:pt>
                <c:pt idx="14">
                  <c:v>0.0010801</c:v>
                </c:pt>
                <c:pt idx="15">
                  <c:v>0.0010908</c:v>
                </c:pt>
                <c:pt idx="16">
                  <c:v>0.0011022</c:v>
                </c:pt>
                <c:pt idx="17">
                  <c:v>0.0011145</c:v>
                </c:pt>
                <c:pt idx="18">
                  <c:v>0.0011275</c:v>
                </c:pt>
                <c:pt idx="19">
                  <c:v>0.0011415</c:v>
                </c:pt>
                <c:pt idx="20">
                  <c:v>0.0011565</c:v>
                </c:pt>
                <c:pt idx="21">
                  <c:v>0.0011726</c:v>
                </c:pt>
                <c:pt idx="22">
                  <c:v>0.00119</c:v>
                </c:pt>
                <c:pt idx="23">
                  <c:v>0.0012087</c:v>
                </c:pt>
                <c:pt idx="24">
                  <c:v>0.0012291</c:v>
                </c:pt>
                <c:pt idx="25">
                  <c:v>0.0012513</c:v>
                </c:pt>
                <c:pt idx="26">
                  <c:v>0.0012756</c:v>
                </c:pt>
                <c:pt idx="27">
                  <c:v>0.0013025</c:v>
                </c:pt>
                <c:pt idx="28">
                  <c:v>0.0013324</c:v>
                </c:pt>
                <c:pt idx="29">
                  <c:v>0.0013659</c:v>
                </c:pt>
                <c:pt idx="30">
                  <c:v>0.0014041</c:v>
                </c:pt>
                <c:pt idx="31">
                  <c:v>0.001448</c:v>
                </c:pt>
                <c:pt idx="32">
                  <c:v>0.0014995</c:v>
                </c:pt>
                <c:pt idx="33">
                  <c:v>0.0015614</c:v>
                </c:pt>
                <c:pt idx="34">
                  <c:v>0.001639</c:v>
                </c:pt>
                <c:pt idx="35">
                  <c:v>0.0017407</c:v>
                </c:pt>
                <c:pt idx="36">
                  <c:v>0.001893</c:v>
                </c:pt>
                <c:pt idx="37">
                  <c:v>0.002231</c:v>
                </c:pt>
                <c:pt idx="38">
                  <c:v>0.002298</c:v>
                </c:pt>
                <c:pt idx="39">
                  <c:v>0.002392</c:v>
                </c:pt>
                <c:pt idx="40">
                  <c:v>0.002525</c:v>
                </c:pt>
                <c:pt idx="41">
                  <c:v>0.002834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20320"/>
        <c:axId val="179321856"/>
      </c:scatterChart>
      <c:valAx>
        <c:axId val="179320320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321856"/>
        <c:crosses val="autoZero"/>
        <c:crossBetween val="midCat"/>
      </c:valAx>
      <c:valAx>
        <c:axId val="179321856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3203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6c7b8f-a48f-438e-93e2-223c1649d482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Пр6!$B$1</c:f>
              <c:strCache>
                <c:ptCount val="1"/>
                <c:pt idx="0">
                  <c:v>СО2,
кДж/(м3*оС)</c:v>
                </c:pt>
              </c:strCache>
            </c:strRef>
          </c:tx>
          <c:dLbls>
            <c:delete val="1"/>
          </c:dLbls>
          <c:xVal>
            <c:numRef>
              <c:f>Пр6!$A$2:$A$123</c:f>
              <c:numCache>
                <c:formatCode>General</c:formatCode>
                <c:ptCount val="122"/>
                <c:pt idx="0">
                  <c:v>0</c:v>
                </c:pt>
                <c:pt idx="1" c:formatCode="0">
                  <c:v>25</c:v>
                </c:pt>
                <c:pt idx="2" c:formatCode="0">
                  <c:v>50</c:v>
                </c:pt>
                <c:pt idx="3" c:formatCode="0">
                  <c:v>75</c:v>
                </c:pt>
                <c:pt idx="4">
                  <c:v>100</c:v>
                </c:pt>
                <c:pt idx="5" c:formatCode="0">
                  <c:v>125</c:v>
                </c:pt>
                <c:pt idx="6" c:formatCode="0">
                  <c:v>150</c:v>
                </c:pt>
                <c:pt idx="7" c:formatCode="0">
                  <c:v>175</c:v>
                </c:pt>
                <c:pt idx="8">
                  <c:v>200</c:v>
                </c:pt>
                <c:pt idx="9" c:formatCode="0">
                  <c:v>250</c:v>
                </c:pt>
                <c:pt idx="10">
                  <c:v>300</c:v>
                </c:pt>
                <c:pt idx="11" c:formatCode="0">
                  <c:v>350</c:v>
                </c:pt>
                <c:pt idx="12" c:formatCode="0">
                  <c:v>400</c:v>
                </c:pt>
                <c:pt idx="13" c:formatCode="0">
                  <c:v>410</c:v>
                </c:pt>
                <c:pt idx="14" c:formatCode="0">
                  <c:v>420</c:v>
                </c:pt>
                <c:pt idx="15" c:formatCode="0">
                  <c:v>430</c:v>
                </c:pt>
                <c:pt idx="16" c:formatCode="0">
                  <c:v>440</c:v>
                </c:pt>
                <c:pt idx="17" c:formatCode="0">
                  <c:v>450</c:v>
                </c:pt>
                <c:pt idx="18" c:formatCode="0">
                  <c:v>460</c:v>
                </c:pt>
                <c:pt idx="19" c:formatCode="0">
                  <c:v>470</c:v>
                </c:pt>
                <c:pt idx="20" c:formatCode="0">
                  <c:v>480</c:v>
                </c:pt>
                <c:pt idx="21" c:formatCode="0">
                  <c:v>490</c:v>
                </c:pt>
                <c:pt idx="22" c:formatCode="0">
                  <c:v>500</c:v>
                </c:pt>
                <c:pt idx="23" c:formatCode="0">
                  <c:v>510</c:v>
                </c:pt>
                <c:pt idx="24" c:formatCode="0">
                  <c:v>520</c:v>
                </c:pt>
                <c:pt idx="25" c:formatCode="0">
                  <c:v>530</c:v>
                </c:pt>
                <c:pt idx="26" c:formatCode="0">
                  <c:v>540</c:v>
                </c:pt>
                <c:pt idx="27" c:formatCode="0">
                  <c:v>550</c:v>
                </c:pt>
                <c:pt idx="28" c:formatCode="0">
                  <c:v>560</c:v>
                </c:pt>
                <c:pt idx="29" c:formatCode="0">
                  <c:v>570</c:v>
                </c:pt>
                <c:pt idx="30" c:formatCode="0">
                  <c:v>580</c:v>
                </c:pt>
                <c:pt idx="31" c:formatCode="0">
                  <c:v>590</c:v>
                </c:pt>
                <c:pt idx="32" c:formatCode="0">
                  <c:v>600</c:v>
                </c:pt>
                <c:pt idx="33" c:formatCode="0">
                  <c:v>610</c:v>
                </c:pt>
                <c:pt idx="34" c:formatCode="0">
                  <c:v>620</c:v>
                </c:pt>
                <c:pt idx="35" c:formatCode="0">
                  <c:v>630</c:v>
                </c:pt>
                <c:pt idx="36" c:formatCode="0">
                  <c:v>640</c:v>
                </c:pt>
                <c:pt idx="37" c:formatCode="0">
                  <c:v>650</c:v>
                </c:pt>
                <c:pt idx="38" c:formatCode="0">
                  <c:v>660</c:v>
                </c:pt>
                <c:pt idx="39" c:formatCode="0">
                  <c:v>670</c:v>
                </c:pt>
                <c:pt idx="40" c:formatCode="0">
                  <c:v>680</c:v>
                </c:pt>
                <c:pt idx="41" c:formatCode="0">
                  <c:v>690</c:v>
                </c:pt>
                <c:pt idx="42" c:formatCode="0">
                  <c:v>700</c:v>
                </c:pt>
                <c:pt idx="43" c:formatCode="0">
                  <c:v>710</c:v>
                </c:pt>
                <c:pt idx="44" c:formatCode="0">
                  <c:v>720</c:v>
                </c:pt>
                <c:pt idx="45" c:formatCode="0">
                  <c:v>730</c:v>
                </c:pt>
                <c:pt idx="46" c:formatCode="0">
                  <c:v>740</c:v>
                </c:pt>
                <c:pt idx="47" c:formatCode="0">
                  <c:v>750</c:v>
                </c:pt>
                <c:pt idx="48" c:formatCode="0">
                  <c:v>760</c:v>
                </c:pt>
                <c:pt idx="49" c:formatCode="0">
                  <c:v>770</c:v>
                </c:pt>
                <c:pt idx="50" c:formatCode="0">
                  <c:v>780</c:v>
                </c:pt>
                <c:pt idx="51" c:formatCode="0">
                  <c:v>790</c:v>
                </c:pt>
                <c:pt idx="52" c:formatCode="0">
                  <c:v>800</c:v>
                </c:pt>
                <c:pt idx="53" c:formatCode="0">
                  <c:v>810</c:v>
                </c:pt>
                <c:pt idx="54" c:formatCode="0">
                  <c:v>820</c:v>
                </c:pt>
                <c:pt idx="55" c:formatCode="0">
                  <c:v>830</c:v>
                </c:pt>
                <c:pt idx="56" c:formatCode="0">
                  <c:v>840</c:v>
                </c:pt>
                <c:pt idx="57" c:formatCode="0">
                  <c:v>850</c:v>
                </c:pt>
                <c:pt idx="58" c:formatCode="0">
                  <c:v>860</c:v>
                </c:pt>
                <c:pt idx="59" c:formatCode="0">
                  <c:v>870</c:v>
                </c:pt>
                <c:pt idx="60" c:formatCode="0">
                  <c:v>880</c:v>
                </c:pt>
                <c:pt idx="61" c:formatCode="0">
                  <c:v>890</c:v>
                </c:pt>
                <c:pt idx="62" c:formatCode="0">
                  <c:v>900</c:v>
                </c:pt>
                <c:pt idx="63" c:formatCode="0">
                  <c:v>910</c:v>
                </c:pt>
                <c:pt idx="64" c:formatCode="0">
                  <c:v>920</c:v>
                </c:pt>
                <c:pt idx="65" c:formatCode="0">
                  <c:v>930</c:v>
                </c:pt>
                <c:pt idx="66" c:formatCode="0">
                  <c:v>940</c:v>
                </c:pt>
                <c:pt idx="67" c:formatCode="0">
                  <c:v>950</c:v>
                </c:pt>
                <c:pt idx="68" c:formatCode="0">
                  <c:v>960</c:v>
                </c:pt>
                <c:pt idx="69" c:formatCode="0">
                  <c:v>970</c:v>
                </c:pt>
                <c:pt idx="70" c:formatCode="0">
                  <c:v>980</c:v>
                </c:pt>
                <c:pt idx="71" c:formatCode="0">
                  <c:v>990</c:v>
                </c:pt>
                <c:pt idx="72" c:formatCode="0">
                  <c:v>1000</c:v>
                </c:pt>
                <c:pt idx="73" c:formatCode="0">
                  <c:v>1010</c:v>
                </c:pt>
                <c:pt idx="74" c:formatCode="0">
                  <c:v>1020</c:v>
                </c:pt>
                <c:pt idx="75" c:formatCode="0">
                  <c:v>1030</c:v>
                </c:pt>
                <c:pt idx="76" c:formatCode="0">
                  <c:v>1040</c:v>
                </c:pt>
                <c:pt idx="77" c:formatCode="0">
                  <c:v>1050</c:v>
                </c:pt>
                <c:pt idx="78" c:formatCode="0">
                  <c:v>1060</c:v>
                </c:pt>
                <c:pt idx="79" c:formatCode="0">
                  <c:v>1070</c:v>
                </c:pt>
                <c:pt idx="80" c:formatCode="0">
                  <c:v>1080</c:v>
                </c:pt>
                <c:pt idx="81" c:formatCode="0">
                  <c:v>1090</c:v>
                </c:pt>
                <c:pt idx="82" c:formatCode="0">
                  <c:v>1100</c:v>
                </c:pt>
                <c:pt idx="83" c:formatCode="0">
                  <c:v>1110</c:v>
                </c:pt>
                <c:pt idx="84" c:formatCode="0">
                  <c:v>1120</c:v>
                </c:pt>
                <c:pt idx="85" c:formatCode="0">
                  <c:v>1130</c:v>
                </c:pt>
                <c:pt idx="86" c:formatCode="0">
                  <c:v>1140</c:v>
                </c:pt>
                <c:pt idx="87" c:formatCode="0">
                  <c:v>1150</c:v>
                </c:pt>
                <c:pt idx="88" c:formatCode="0">
                  <c:v>1160</c:v>
                </c:pt>
                <c:pt idx="89" c:formatCode="0">
                  <c:v>1170</c:v>
                </c:pt>
                <c:pt idx="90" c:formatCode="0">
                  <c:v>1180</c:v>
                </c:pt>
                <c:pt idx="91" c:formatCode="0">
                  <c:v>1190</c:v>
                </c:pt>
                <c:pt idx="92" c:formatCode="0">
                  <c:v>1200</c:v>
                </c:pt>
                <c:pt idx="93" c:formatCode="0">
                  <c:v>1210</c:v>
                </c:pt>
                <c:pt idx="94" c:formatCode="0">
                  <c:v>1220</c:v>
                </c:pt>
                <c:pt idx="95" c:formatCode="0">
                  <c:v>1230</c:v>
                </c:pt>
                <c:pt idx="96" c:formatCode="0">
                  <c:v>1240</c:v>
                </c:pt>
                <c:pt idx="97" c:formatCode="0">
                  <c:v>1250</c:v>
                </c:pt>
                <c:pt idx="98" c:formatCode="0">
                  <c:v>1260</c:v>
                </c:pt>
                <c:pt idx="99" c:formatCode="0">
                  <c:v>1270</c:v>
                </c:pt>
                <c:pt idx="100" c:formatCode="0">
                  <c:v>1280</c:v>
                </c:pt>
                <c:pt idx="101" c:formatCode="0">
                  <c:v>1290</c:v>
                </c:pt>
                <c:pt idx="102" c:formatCode="0">
                  <c:v>1300</c:v>
                </c:pt>
                <c:pt idx="103" c:formatCode="0">
                  <c:v>1310</c:v>
                </c:pt>
                <c:pt idx="104" c:formatCode="0">
                  <c:v>1320</c:v>
                </c:pt>
                <c:pt idx="105" c:formatCode="0">
                  <c:v>1330</c:v>
                </c:pt>
                <c:pt idx="106" c:formatCode="0">
                  <c:v>1340</c:v>
                </c:pt>
                <c:pt idx="107" c:formatCode="0">
                  <c:v>1350</c:v>
                </c:pt>
                <c:pt idx="108" c:formatCode="0">
                  <c:v>1360</c:v>
                </c:pt>
                <c:pt idx="109" c:formatCode="0">
                  <c:v>1370</c:v>
                </c:pt>
                <c:pt idx="110" c:formatCode="0">
                  <c:v>1380</c:v>
                </c:pt>
                <c:pt idx="111" c:formatCode="0">
                  <c:v>1390</c:v>
                </c:pt>
                <c:pt idx="112" c:formatCode="0">
                  <c:v>1400</c:v>
                </c:pt>
                <c:pt idx="113" c:formatCode="0">
                  <c:v>1500</c:v>
                </c:pt>
                <c:pt idx="114" c:formatCode="0">
                  <c:v>1600</c:v>
                </c:pt>
                <c:pt idx="115" c:formatCode="0">
                  <c:v>1700</c:v>
                </c:pt>
                <c:pt idx="116" c:formatCode="0">
                  <c:v>1800</c:v>
                </c:pt>
                <c:pt idx="117" c:formatCode="0">
                  <c:v>1900</c:v>
                </c:pt>
                <c:pt idx="118" c:formatCode="0">
                  <c:v>2000</c:v>
                </c:pt>
                <c:pt idx="119" c:formatCode="0">
                  <c:v>2100</c:v>
                </c:pt>
                <c:pt idx="120" c:formatCode="0">
                  <c:v>2200</c:v>
                </c:pt>
                <c:pt idx="121" c:formatCode="0">
                  <c:v>2300</c:v>
                </c:pt>
              </c:numCache>
            </c:numRef>
          </c:xVal>
          <c:yVal>
            <c:numRef>
              <c:f>Пр6!$B$2:$B$123</c:f>
              <c:numCache>
                <c:formatCode>0.000</c:formatCode>
                <c:ptCount val="122"/>
                <c:pt idx="0">
                  <c:v>1.61</c:v>
                </c:pt>
                <c:pt idx="1">
                  <c:v>1.64</c:v>
                </c:pt>
                <c:pt idx="2">
                  <c:v>1.67</c:v>
                </c:pt>
                <c:pt idx="3">
                  <c:v>1.7</c:v>
                </c:pt>
                <c:pt idx="4">
                  <c:v>1.73</c:v>
                </c:pt>
                <c:pt idx="5">
                  <c:v>1.7475</c:v>
                </c:pt>
                <c:pt idx="6">
                  <c:v>1.765</c:v>
                </c:pt>
                <c:pt idx="7">
                  <c:v>1.7825</c:v>
                </c:pt>
                <c:pt idx="8">
                  <c:v>1.8</c:v>
                </c:pt>
                <c:pt idx="9">
                  <c:v>1.835</c:v>
                </c:pt>
                <c:pt idx="10">
                  <c:v>1.87</c:v>
                </c:pt>
                <c:pt idx="11">
                  <c:v>1.905</c:v>
                </c:pt>
                <c:pt idx="12">
                  <c:v>1.94</c:v>
                </c:pt>
                <c:pt idx="13">
                  <c:v>1.946</c:v>
                </c:pt>
                <c:pt idx="14">
                  <c:v>1.952</c:v>
                </c:pt>
                <c:pt idx="15">
                  <c:v>1.958</c:v>
                </c:pt>
                <c:pt idx="16">
                  <c:v>1.964</c:v>
                </c:pt>
                <c:pt idx="17">
                  <c:v>1.97</c:v>
                </c:pt>
                <c:pt idx="18">
                  <c:v>1.976</c:v>
                </c:pt>
                <c:pt idx="19">
                  <c:v>1.982</c:v>
                </c:pt>
                <c:pt idx="20">
                  <c:v>1.988</c:v>
                </c:pt>
                <c:pt idx="21">
                  <c:v>1.994</c:v>
                </c:pt>
                <c:pt idx="22">
                  <c:v>2</c:v>
                </c:pt>
                <c:pt idx="23">
                  <c:v>2.005</c:v>
                </c:pt>
                <c:pt idx="24">
                  <c:v>2.01</c:v>
                </c:pt>
                <c:pt idx="25">
                  <c:v>2.015</c:v>
                </c:pt>
                <c:pt idx="26">
                  <c:v>2.02</c:v>
                </c:pt>
                <c:pt idx="27">
                  <c:v>2.025</c:v>
                </c:pt>
                <c:pt idx="28">
                  <c:v>2.03</c:v>
                </c:pt>
                <c:pt idx="29">
                  <c:v>2.035</c:v>
                </c:pt>
                <c:pt idx="30">
                  <c:v>2.04</c:v>
                </c:pt>
                <c:pt idx="31">
                  <c:v>2.045</c:v>
                </c:pt>
                <c:pt idx="32">
                  <c:v>2.05</c:v>
                </c:pt>
                <c:pt idx="33">
                  <c:v>2.055</c:v>
                </c:pt>
                <c:pt idx="34">
                  <c:v>2.06</c:v>
                </c:pt>
                <c:pt idx="35">
                  <c:v>2.065</c:v>
                </c:pt>
                <c:pt idx="36">
                  <c:v>2.07</c:v>
                </c:pt>
                <c:pt idx="37">
                  <c:v>2.075</c:v>
                </c:pt>
                <c:pt idx="38">
                  <c:v>2.08</c:v>
                </c:pt>
                <c:pt idx="39">
                  <c:v>2.085</c:v>
                </c:pt>
                <c:pt idx="40">
                  <c:v>2.09</c:v>
                </c:pt>
                <c:pt idx="41">
                  <c:v>2.095</c:v>
                </c:pt>
                <c:pt idx="42">
                  <c:v>2.1</c:v>
                </c:pt>
                <c:pt idx="43">
                  <c:v>2.104</c:v>
                </c:pt>
                <c:pt idx="44">
                  <c:v>2.108</c:v>
                </c:pt>
                <c:pt idx="45">
                  <c:v>2.112</c:v>
                </c:pt>
                <c:pt idx="46">
                  <c:v>2.116</c:v>
                </c:pt>
                <c:pt idx="47">
                  <c:v>2.12</c:v>
                </c:pt>
                <c:pt idx="48">
                  <c:v>2.124</c:v>
                </c:pt>
                <c:pt idx="49">
                  <c:v>2.128</c:v>
                </c:pt>
                <c:pt idx="50">
                  <c:v>2.132</c:v>
                </c:pt>
                <c:pt idx="51">
                  <c:v>2.136</c:v>
                </c:pt>
                <c:pt idx="52">
                  <c:v>2.14</c:v>
                </c:pt>
                <c:pt idx="53">
                  <c:v>2.144</c:v>
                </c:pt>
                <c:pt idx="54">
                  <c:v>2.148</c:v>
                </c:pt>
                <c:pt idx="55">
                  <c:v>2.152</c:v>
                </c:pt>
                <c:pt idx="56">
                  <c:v>2.156</c:v>
                </c:pt>
                <c:pt idx="57">
                  <c:v>2.16</c:v>
                </c:pt>
                <c:pt idx="58">
                  <c:v>2.164</c:v>
                </c:pt>
                <c:pt idx="59">
                  <c:v>2.168</c:v>
                </c:pt>
                <c:pt idx="60">
                  <c:v>2.172</c:v>
                </c:pt>
                <c:pt idx="61">
                  <c:v>2.176</c:v>
                </c:pt>
                <c:pt idx="62">
                  <c:v>2.18</c:v>
                </c:pt>
                <c:pt idx="63">
                  <c:v>2.183</c:v>
                </c:pt>
                <c:pt idx="64">
                  <c:v>2.186</c:v>
                </c:pt>
                <c:pt idx="65">
                  <c:v>2.189</c:v>
                </c:pt>
                <c:pt idx="66">
                  <c:v>2.192</c:v>
                </c:pt>
                <c:pt idx="67">
                  <c:v>2.195</c:v>
                </c:pt>
                <c:pt idx="68">
                  <c:v>2.198</c:v>
                </c:pt>
                <c:pt idx="69">
                  <c:v>2.201</c:v>
                </c:pt>
                <c:pt idx="70">
                  <c:v>2.204</c:v>
                </c:pt>
                <c:pt idx="71">
                  <c:v>2.207</c:v>
                </c:pt>
                <c:pt idx="72">
                  <c:v>2.21</c:v>
                </c:pt>
                <c:pt idx="73">
                  <c:v>2.214</c:v>
                </c:pt>
                <c:pt idx="74">
                  <c:v>2.218</c:v>
                </c:pt>
                <c:pt idx="75">
                  <c:v>2.222</c:v>
                </c:pt>
                <c:pt idx="76">
                  <c:v>2.226</c:v>
                </c:pt>
                <c:pt idx="77">
                  <c:v>2.23</c:v>
                </c:pt>
                <c:pt idx="78">
                  <c:v>2.234</c:v>
                </c:pt>
                <c:pt idx="79">
                  <c:v>2.238</c:v>
                </c:pt>
                <c:pt idx="80">
                  <c:v>2.242</c:v>
                </c:pt>
                <c:pt idx="81">
                  <c:v>2.246</c:v>
                </c:pt>
                <c:pt idx="82">
                  <c:v>2.25</c:v>
                </c:pt>
                <c:pt idx="83">
                  <c:v>2.252</c:v>
                </c:pt>
                <c:pt idx="84">
                  <c:v>2.254</c:v>
                </c:pt>
                <c:pt idx="85">
                  <c:v>2.256</c:v>
                </c:pt>
                <c:pt idx="86">
                  <c:v>2.258</c:v>
                </c:pt>
                <c:pt idx="87">
                  <c:v>2.26</c:v>
                </c:pt>
                <c:pt idx="88">
                  <c:v>2.262</c:v>
                </c:pt>
                <c:pt idx="89">
                  <c:v>2.264</c:v>
                </c:pt>
                <c:pt idx="90">
                  <c:v>2.266</c:v>
                </c:pt>
                <c:pt idx="91">
                  <c:v>2.268</c:v>
                </c:pt>
                <c:pt idx="92">
                  <c:v>2.27</c:v>
                </c:pt>
                <c:pt idx="93">
                  <c:v>2.273</c:v>
                </c:pt>
                <c:pt idx="94">
                  <c:v>2.276</c:v>
                </c:pt>
                <c:pt idx="95">
                  <c:v>2.279</c:v>
                </c:pt>
                <c:pt idx="96">
                  <c:v>2.282</c:v>
                </c:pt>
                <c:pt idx="97">
                  <c:v>2.285</c:v>
                </c:pt>
                <c:pt idx="98">
                  <c:v>2.288</c:v>
                </c:pt>
                <c:pt idx="99">
                  <c:v>2.291</c:v>
                </c:pt>
                <c:pt idx="100">
                  <c:v>2.294</c:v>
                </c:pt>
                <c:pt idx="101">
                  <c:v>2.297</c:v>
                </c:pt>
                <c:pt idx="102">
                  <c:v>2.3</c:v>
                </c:pt>
                <c:pt idx="103">
                  <c:v>2.302</c:v>
                </c:pt>
                <c:pt idx="104">
                  <c:v>2.304</c:v>
                </c:pt>
                <c:pt idx="105">
                  <c:v>2.306</c:v>
                </c:pt>
                <c:pt idx="106">
                  <c:v>2.308</c:v>
                </c:pt>
                <c:pt idx="107">
                  <c:v>2.31</c:v>
                </c:pt>
                <c:pt idx="108">
                  <c:v>2.312</c:v>
                </c:pt>
                <c:pt idx="109">
                  <c:v>2.314</c:v>
                </c:pt>
                <c:pt idx="110">
                  <c:v>2.316</c:v>
                </c:pt>
                <c:pt idx="111">
                  <c:v>2.318</c:v>
                </c:pt>
                <c:pt idx="112">
                  <c:v>2.32</c:v>
                </c:pt>
                <c:pt idx="113">
                  <c:v>2.34</c:v>
                </c:pt>
                <c:pt idx="114">
                  <c:v>2.36</c:v>
                </c:pt>
                <c:pt idx="115">
                  <c:v>2.38</c:v>
                </c:pt>
                <c:pt idx="116">
                  <c:v>2.395</c:v>
                </c:pt>
                <c:pt idx="117">
                  <c:v>2.41</c:v>
                </c:pt>
                <c:pt idx="118">
                  <c:v>2.42</c:v>
                </c:pt>
                <c:pt idx="119">
                  <c:v>2.43</c:v>
                </c:pt>
                <c:pt idx="120">
                  <c:v>2.44</c:v>
                </c:pt>
                <c:pt idx="121">
                  <c:v>2.45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84032"/>
        <c:axId val="179885568"/>
      </c:scatterChart>
      <c:valAx>
        <c:axId val="17988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885568"/>
        <c:crosses val="autoZero"/>
        <c:crossBetween val="midCat"/>
      </c:valAx>
      <c:valAx>
        <c:axId val="17988556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88403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2d8eb8-1ffe-48c6-9bd9-65aa091de18d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Пр6!$C$1</c:f>
              <c:strCache>
                <c:ptCount val="1"/>
                <c:pt idx="0">
                  <c:v>H2O,
кДж/(м3*оС)</c:v>
                </c:pt>
              </c:strCache>
            </c:strRef>
          </c:tx>
          <c:dLbls>
            <c:delete val="1"/>
          </c:dLbls>
          <c:xVal>
            <c:numRef>
              <c:f>Пр6!$A$2:$A$123</c:f>
              <c:numCache>
                <c:formatCode>General</c:formatCode>
                <c:ptCount val="122"/>
                <c:pt idx="0">
                  <c:v>0</c:v>
                </c:pt>
                <c:pt idx="1" c:formatCode="0">
                  <c:v>25</c:v>
                </c:pt>
                <c:pt idx="2" c:formatCode="0">
                  <c:v>50</c:v>
                </c:pt>
                <c:pt idx="3" c:formatCode="0">
                  <c:v>75</c:v>
                </c:pt>
                <c:pt idx="4">
                  <c:v>100</c:v>
                </c:pt>
                <c:pt idx="5" c:formatCode="0">
                  <c:v>125</c:v>
                </c:pt>
                <c:pt idx="6" c:formatCode="0">
                  <c:v>150</c:v>
                </c:pt>
                <c:pt idx="7" c:formatCode="0">
                  <c:v>175</c:v>
                </c:pt>
                <c:pt idx="8">
                  <c:v>200</c:v>
                </c:pt>
                <c:pt idx="9" c:formatCode="0">
                  <c:v>250</c:v>
                </c:pt>
                <c:pt idx="10">
                  <c:v>300</c:v>
                </c:pt>
                <c:pt idx="11" c:formatCode="0">
                  <c:v>350</c:v>
                </c:pt>
                <c:pt idx="12" c:formatCode="0">
                  <c:v>400</c:v>
                </c:pt>
                <c:pt idx="13" c:formatCode="0">
                  <c:v>410</c:v>
                </c:pt>
                <c:pt idx="14" c:formatCode="0">
                  <c:v>420</c:v>
                </c:pt>
                <c:pt idx="15" c:formatCode="0">
                  <c:v>430</c:v>
                </c:pt>
                <c:pt idx="16" c:formatCode="0">
                  <c:v>440</c:v>
                </c:pt>
                <c:pt idx="17" c:formatCode="0">
                  <c:v>450</c:v>
                </c:pt>
                <c:pt idx="18" c:formatCode="0">
                  <c:v>460</c:v>
                </c:pt>
                <c:pt idx="19" c:formatCode="0">
                  <c:v>470</c:v>
                </c:pt>
                <c:pt idx="20" c:formatCode="0">
                  <c:v>480</c:v>
                </c:pt>
                <c:pt idx="21" c:formatCode="0">
                  <c:v>490</c:v>
                </c:pt>
                <c:pt idx="22" c:formatCode="0">
                  <c:v>500</c:v>
                </c:pt>
                <c:pt idx="23" c:formatCode="0">
                  <c:v>510</c:v>
                </c:pt>
                <c:pt idx="24" c:formatCode="0">
                  <c:v>520</c:v>
                </c:pt>
                <c:pt idx="25" c:formatCode="0">
                  <c:v>530</c:v>
                </c:pt>
                <c:pt idx="26" c:formatCode="0">
                  <c:v>540</c:v>
                </c:pt>
                <c:pt idx="27" c:formatCode="0">
                  <c:v>550</c:v>
                </c:pt>
                <c:pt idx="28" c:formatCode="0">
                  <c:v>560</c:v>
                </c:pt>
                <c:pt idx="29" c:formatCode="0">
                  <c:v>570</c:v>
                </c:pt>
                <c:pt idx="30" c:formatCode="0">
                  <c:v>580</c:v>
                </c:pt>
                <c:pt idx="31" c:formatCode="0">
                  <c:v>590</c:v>
                </c:pt>
                <c:pt idx="32" c:formatCode="0">
                  <c:v>600</c:v>
                </c:pt>
                <c:pt idx="33" c:formatCode="0">
                  <c:v>610</c:v>
                </c:pt>
                <c:pt idx="34" c:formatCode="0">
                  <c:v>620</c:v>
                </c:pt>
                <c:pt idx="35" c:formatCode="0">
                  <c:v>630</c:v>
                </c:pt>
                <c:pt idx="36" c:formatCode="0">
                  <c:v>640</c:v>
                </c:pt>
                <c:pt idx="37" c:formatCode="0">
                  <c:v>650</c:v>
                </c:pt>
                <c:pt idx="38" c:formatCode="0">
                  <c:v>660</c:v>
                </c:pt>
                <c:pt idx="39" c:formatCode="0">
                  <c:v>670</c:v>
                </c:pt>
                <c:pt idx="40" c:formatCode="0">
                  <c:v>680</c:v>
                </c:pt>
                <c:pt idx="41" c:formatCode="0">
                  <c:v>690</c:v>
                </c:pt>
                <c:pt idx="42" c:formatCode="0">
                  <c:v>700</c:v>
                </c:pt>
                <c:pt idx="43" c:formatCode="0">
                  <c:v>710</c:v>
                </c:pt>
                <c:pt idx="44" c:formatCode="0">
                  <c:v>720</c:v>
                </c:pt>
                <c:pt idx="45" c:formatCode="0">
                  <c:v>730</c:v>
                </c:pt>
                <c:pt idx="46" c:formatCode="0">
                  <c:v>740</c:v>
                </c:pt>
                <c:pt idx="47" c:formatCode="0">
                  <c:v>750</c:v>
                </c:pt>
                <c:pt idx="48" c:formatCode="0">
                  <c:v>760</c:v>
                </c:pt>
                <c:pt idx="49" c:formatCode="0">
                  <c:v>770</c:v>
                </c:pt>
                <c:pt idx="50" c:formatCode="0">
                  <c:v>780</c:v>
                </c:pt>
                <c:pt idx="51" c:formatCode="0">
                  <c:v>790</c:v>
                </c:pt>
                <c:pt idx="52" c:formatCode="0">
                  <c:v>800</c:v>
                </c:pt>
                <c:pt idx="53" c:formatCode="0">
                  <c:v>810</c:v>
                </c:pt>
                <c:pt idx="54" c:formatCode="0">
                  <c:v>820</c:v>
                </c:pt>
                <c:pt idx="55" c:formatCode="0">
                  <c:v>830</c:v>
                </c:pt>
                <c:pt idx="56" c:formatCode="0">
                  <c:v>840</c:v>
                </c:pt>
                <c:pt idx="57" c:formatCode="0">
                  <c:v>850</c:v>
                </c:pt>
                <c:pt idx="58" c:formatCode="0">
                  <c:v>860</c:v>
                </c:pt>
                <c:pt idx="59" c:formatCode="0">
                  <c:v>870</c:v>
                </c:pt>
                <c:pt idx="60" c:formatCode="0">
                  <c:v>880</c:v>
                </c:pt>
                <c:pt idx="61" c:formatCode="0">
                  <c:v>890</c:v>
                </c:pt>
                <c:pt idx="62" c:formatCode="0">
                  <c:v>900</c:v>
                </c:pt>
                <c:pt idx="63" c:formatCode="0">
                  <c:v>910</c:v>
                </c:pt>
                <c:pt idx="64" c:formatCode="0">
                  <c:v>920</c:v>
                </c:pt>
                <c:pt idx="65" c:formatCode="0">
                  <c:v>930</c:v>
                </c:pt>
                <c:pt idx="66" c:formatCode="0">
                  <c:v>940</c:v>
                </c:pt>
                <c:pt idx="67" c:formatCode="0">
                  <c:v>950</c:v>
                </c:pt>
                <c:pt idx="68" c:formatCode="0">
                  <c:v>960</c:v>
                </c:pt>
                <c:pt idx="69" c:formatCode="0">
                  <c:v>970</c:v>
                </c:pt>
                <c:pt idx="70" c:formatCode="0">
                  <c:v>980</c:v>
                </c:pt>
                <c:pt idx="71" c:formatCode="0">
                  <c:v>990</c:v>
                </c:pt>
                <c:pt idx="72" c:formatCode="0">
                  <c:v>1000</c:v>
                </c:pt>
                <c:pt idx="73" c:formatCode="0">
                  <c:v>1010</c:v>
                </c:pt>
                <c:pt idx="74" c:formatCode="0">
                  <c:v>1020</c:v>
                </c:pt>
                <c:pt idx="75" c:formatCode="0">
                  <c:v>1030</c:v>
                </c:pt>
                <c:pt idx="76" c:formatCode="0">
                  <c:v>1040</c:v>
                </c:pt>
                <c:pt idx="77" c:formatCode="0">
                  <c:v>1050</c:v>
                </c:pt>
                <c:pt idx="78" c:formatCode="0">
                  <c:v>1060</c:v>
                </c:pt>
                <c:pt idx="79" c:formatCode="0">
                  <c:v>1070</c:v>
                </c:pt>
                <c:pt idx="80" c:formatCode="0">
                  <c:v>1080</c:v>
                </c:pt>
                <c:pt idx="81" c:formatCode="0">
                  <c:v>1090</c:v>
                </c:pt>
                <c:pt idx="82" c:formatCode="0">
                  <c:v>1100</c:v>
                </c:pt>
                <c:pt idx="83" c:formatCode="0">
                  <c:v>1110</c:v>
                </c:pt>
                <c:pt idx="84" c:formatCode="0">
                  <c:v>1120</c:v>
                </c:pt>
                <c:pt idx="85" c:formatCode="0">
                  <c:v>1130</c:v>
                </c:pt>
                <c:pt idx="86" c:formatCode="0">
                  <c:v>1140</c:v>
                </c:pt>
                <c:pt idx="87" c:formatCode="0">
                  <c:v>1150</c:v>
                </c:pt>
                <c:pt idx="88" c:formatCode="0">
                  <c:v>1160</c:v>
                </c:pt>
                <c:pt idx="89" c:formatCode="0">
                  <c:v>1170</c:v>
                </c:pt>
                <c:pt idx="90" c:formatCode="0">
                  <c:v>1180</c:v>
                </c:pt>
                <c:pt idx="91" c:formatCode="0">
                  <c:v>1190</c:v>
                </c:pt>
                <c:pt idx="92" c:formatCode="0">
                  <c:v>1200</c:v>
                </c:pt>
                <c:pt idx="93" c:formatCode="0">
                  <c:v>1210</c:v>
                </c:pt>
                <c:pt idx="94" c:formatCode="0">
                  <c:v>1220</c:v>
                </c:pt>
                <c:pt idx="95" c:formatCode="0">
                  <c:v>1230</c:v>
                </c:pt>
                <c:pt idx="96" c:formatCode="0">
                  <c:v>1240</c:v>
                </c:pt>
                <c:pt idx="97" c:formatCode="0">
                  <c:v>1250</c:v>
                </c:pt>
                <c:pt idx="98" c:formatCode="0">
                  <c:v>1260</c:v>
                </c:pt>
                <c:pt idx="99" c:formatCode="0">
                  <c:v>1270</c:v>
                </c:pt>
                <c:pt idx="100" c:formatCode="0">
                  <c:v>1280</c:v>
                </c:pt>
                <c:pt idx="101" c:formatCode="0">
                  <c:v>1290</c:v>
                </c:pt>
                <c:pt idx="102" c:formatCode="0">
                  <c:v>1300</c:v>
                </c:pt>
                <c:pt idx="103" c:formatCode="0">
                  <c:v>1310</c:v>
                </c:pt>
                <c:pt idx="104" c:formatCode="0">
                  <c:v>1320</c:v>
                </c:pt>
                <c:pt idx="105" c:formatCode="0">
                  <c:v>1330</c:v>
                </c:pt>
                <c:pt idx="106" c:formatCode="0">
                  <c:v>1340</c:v>
                </c:pt>
                <c:pt idx="107" c:formatCode="0">
                  <c:v>1350</c:v>
                </c:pt>
                <c:pt idx="108" c:formatCode="0">
                  <c:v>1360</c:v>
                </c:pt>
                <c:pt idx="109" c:formatCode="0">
                  <c:v>1370</c:v>
                </c:pt>
                <c:pt idx="110" c:formatCode="0">
                  <c:v>1380</c:v>
                </c:pt>
                <c:pt idx="111" c:formatCode="0">
                  <c:v>1390</c:v>
                </c:pt>
                <c:pt idx="112" c:formatCode="0">
                  <c:v>1400</c:v>
                </c:pt>
                <c:pt idx="113" c:formatCode="0">
                  <c:v>1500</c:v>
                </c:pt>
                <c:pt idx="114" c:formatCode="0">
                  <c:v>1600</c:v>
                </c:pt>
                <c:pt idx="115" c:formatCode="0">
                  <c:v>1700</c:v>
                </c:pt>
                <c:pt idx="116" c:formatCode="0">
                  <c:v>1800</c:v>
                </c:pt>
                <c:pt idx="117" c:formatCode="0">
                  <c:v>1900</c:v>
                </c:pt>
                <c:pt idx="118" c:formatCode="0">
                  <c:v>2000</c:v>
                </c:pt>
                <c:pt idx="119" c:formatCode="0">
                  <c:v>2100</c:v>
                </c:pt>
                <c:pt idx="120" c:formatCode="0">
                  <c:v>2200</c:v>
                </c:pt>
                <c:pt idx="121" c:formatCode="0">
                  <c:v>2300</c:v>
                </c:pt>
              </c:numCache>
            </c:numRef>
          </c:xVal>
          <c:yVal>
            <c:numRef>
              <c:f>Пр6!$C$2:$C$123</c:f>
              <c:numCache>
                <c:formatCode>0.000</c:formatCode>
                <c:ptCount val="122"/>
                <c:pt idx="0">
                  <c:v>1.48</c:v>
                </c:pt>
                <c:pt idx="1">
                  <c:v>1.4825</c:v>
                </c:pt>
                <c:pt idx="2">
                  <c:v>1.485</c:v>
                </c:pt>
                <c:pt idx="3">
                  <c:v>1.4875</c:v>
                </c:pt>
                <c:pt idx="4">
                  <c:v>1.49</c:v>
                </c:pt>
                <c:pt idx="5">
                  <c:v>1.495</c:v>
                </c:pt>
                <c:pt idx="6">
                  <c:v>1.5</c:v>
                </c:pt>
                <c:pt idx="7">
                  <c:v>1.505</c:v>
                </c:pt>
                <c:pt idx="8">
                  <c:v>1.51</c:v>
                </c:pt>
                <c:pt idx="9">
                  <c:v>1.525</c:v>
                </c:pt>
                <c:pt idx="10">
                  <c:v>1.54</c:v>
                </c:pt>
                <c:pt idx="11">
                  <c:v>1.55</c:v>
                </c:pt>
                <c:pt idx="12">
                  <c:v>1.56</c:v>
                </c:pt>
                <c:pt idx="13">
                  <c:v>1.562</c:v>
                </c:pt>
                <c:pt idx="14">
                  <c:v>1.564</c:v>
                </c:pt>
                <c:pt idx="15">
                  <c:v>1.566</c:v>
                </c:pt>
                <c:pt idx="16">
                  <c:v>1.568</c:v>
                </c:pt>
                <c:pt idx="17">
                  <c:v>1.57</c:v>
                </c:pt>
                <c:pt idx="18">
                  <c:v>1.572</c:v>
                </c:pt>
                <c:pt idx="19">
                  <c:v>1.574</c:v>
                </c:pt>
                <c:pt idx="20">
                  <c:v>1.576</c:v>
                </c:pt>
                <c:pt idx="21">
                  <c:v>1.578</c:v>
                </c:pt>
                <c:pt idx="22">
                  <c:v>1.58</c:v>
                </c:pt>
                <c:pt idx="23">
                  <c:v>1.583</c:v>
                </c:pt>
                <c:pt idx="24">
                  <c:v>1.586</c:v>
                </c:pt>
                <c:pt idx="25">
                  <c:v>1.589</c:v>
                </c:pt>
                <c:pt idx="26">
                  <c:v>1.592</c:v>
                </c:pt>
                <c:pt idx="27">
                  <c:v>1.595</c:v>
                </c:pt>
                <c:pt idx="28">
                  <c:v>1.598</c:v>
                </c:pt>
                <c:pt idx="29">
                  <c:v>1.601</c:v>
                </c:pt>
                <c:pt idx="30">
                  <c:v>1.604</c:v>
                </c:pt>
                <c:pt idx="31">
                  <c:v>1.607</c:v>
                </c:pt>
                <c:pt idx="32">
                  <c:v>1.61</c:v>
                </c:pt>
                <c:pt idx="33">
                  <c:v>1.612</c:v>
                </c:pt>
                <c:pt idx="34">
                  <c:v>1.614</c:v>
                </c:pt>
                <c:pt idx="35">
                  <c:v>1.616</c:v>
                </c:pt>
                <c:pt idx="36">
                  <c:v>1.618</c:v>
                </c:pt>
                <c:pt idx="37">
                  <c:v>1.62</c:v>
                </c:pt>
                <c:pt idx="38">
                  <c:v>1.622</c:v>
                </c:pt>
                <c:pt idx="39">
                  <c:v>1.624</c:v>
                </c:pt>
                <c:pt idx="40">
                  <c:v>1.626</c:v>
                </c:pt>
                <c:pt idx="41">
                  <c:v>1.628</c:v>
                </c:pt>
                <c:pt idx="42">
                  <c:v>1.63</c:v>
                </c:pt>
                <c:pt idx="43">
                  <c:v>1.633</c:v>
                </c:pt>
                <c:pt idx="44">
                  <c:v>1.636</c:v>
                </c:pt>
                <c:pt idx="45">
                  <c:v>1.639</c:v>
                </c:pt>
                <c:pt idx="46">
                  <c:v>1.642</c:v>
                </c:pt>
                <c:pt idx="47">
                  <c:v>1.645</c:v>
                </c:pt>
                <c:pt idx="48">
                  <c:v>1.648</c:v>
                </c:pt>
                <c:pt idx="49">
                  <c:v>1.651</c:v>
                </c:pt>
                <c:pt idx="50">
                  <c:v>1.654</c:v>
                </c:pt>
                <c:pt idx="51">
                  <c:v>1.657</c:v>
                </c:pt>
                <c:pt idx="52">
                  <c:v>1.66</c:v>
                </c:pt>
                <c:pt idx="53">
                  <c:v>1.662</c:v>
                </c:pt>
                <c:pt idx="54">
                  <c:v>1.664</c:v>
                </c:pt>
                <c:pt idx="55">
                  <c:v>1.666</c:v>
                </c:pt>
                <c:pt idx="56">
                  <c:v>1.668</c:v>
                </c:pt>
                <c:pt idx="57">
                  <c:v>1.67</c:v>
                </c:pt>
                <c:pt idx="58">
                  <c:v>1.672</c:v>
                </c:pt>
                <c:pt idx="59">
                  <c:v>1.674</c:v>
                </c:pt>
                <c:pt idx="60">
                  <c:v>1.676</c:v>
                </c:pt>
                <c:pt idx="61">
                  <c:v>1.678</c:v>
                </c:pt>
                <c:pt idx="62">
                  <c:v>1.68</c:v>
                </c:pt>
                <c:pt idx="63">
                  <c:v>1.683</c:v>
                </c:pt>
                <c:pt idx="64">
                  <c:v>1.686</c:v>
                </c:pt>
                <c:pt idx="65">
                  <c:v>1.689</c:v>
                </c:pt>
                <c:pt idx="66">
                  <c:v>1.692</c:v>
                </c:pt>
                <c:pt idx="67">
                  <c:v>1.695</c:v>
                </c:pt>
                <c:pt idx="68">
                  <c:v>1.698</c:v>
                </c:pt>
                <c:pt idx="69">
                  <c:v>1.701</c:v>
                </c:pt>
                <c:pt idx="70">
                  <c:v>1.704</c:v>
                </c:pt>
                <c:pt idx="71">
                  <c:v>1.707</c:v>
                </c:pt>
                <c:pt idx="72">
                  <c:v>1.71</c:v>
                </c:pt>
                <c:pt idx="73">
                  <c:v>1.713</c:v>
                </c:pt>
                <c:pt idx="74">
                  <c:v>1.716</c:v>
                </c:pt>
                <c:pt idx="75">
                  <c:v>1.719</c:v>
                </c:pt>
                <c:pt idx="76">
                  <c:v>1.722</c:v>
                </c:pt>
                <c:pt idx="77">
                  <c:v>1.725</c:v>
                </c:pt>
                <c:pt idx="78">
                  <c:v>1.728</c:v>
                </c:pt>
                <c:pt idx="79">
                  <c:v>1.731</c:v>
                </c:pt>
                <c:pt idx="80">
                  <c:v>1.734</c:v>
                </c:pt>
                <c:pt idx="81">
                  <c:v>1.737</c:v>
                </c:pt>
                <c:pt idx="82">
                  <c:v>1.74</c:v>
                </c:pt>
                <c:pt idx="83">
                  <c:v>1.742</c:v>
                </c:pt>
                <c:pt idx="84">
                  <c:v>1.744</c:v>
                </c:pt>
                <c:pt idx="85">
                  <c:v>1.746</c:v>
                </c:pt>
                <c:pt idx="86">
                  <c:v>1.748</c:v>
                </c:pt>
                <c:pt idx="87">
                  <c:v>1.75</c:v>
                </c:pt>
                <c:pt idx="88">
                  <c:v>1.752</c:v>
                </c:pt>
                <c:pt idx="89">
                  <c:v>1.754</c:v>
                </c:pt>
                <c:pt idx="90">
                  <c:v>1.756</c:v>
                </c:pt>
                <c:pt idx="91">
                  <c:v>1.758</c:v>
                </c:pt>
                <c:pt idx="92">
                  <c:v>1.76</c:v>
                </c:pt>
                <c:pt idx="93">
                  <c:v>1.762</c:v>
                </c:pt>
                <c:pt idx="94">
                  <c:v>1.764</c:v>
                </c:pt>
                <c:pt idx="95">
                  <c:v>1.766</c:v>
                </c:pt>
                <c:pt idx="96">
                  <c:v>1.768</c:v>
                </c:pt>
                <c:pt idx="97">
                  <c:v>1.77</c:v>
                </c:pt>
                <c:pt idx="98">
                  <c:v>1.772</c:v>
                </c:pt>
                <c:pt idx="99">
                  <c:v>1.774</c:v>
                </c:pt>
                <c:pt idx="100">
                  <c:v>1.776</c:v>
                </c:pt>
                <c:pt idx="101">
                  <c:v>1.778</c:v>
                </c:pt>
                <c:pt idx="102">
                  <c:v>1.78</c:v>
                </c:pt>
                <c:pt idx="103">
                  <c:v>1.781</c:v>
                </c:pt>
                <c:pt idx="104">
                  <c:v>1.782</c:v>
                </c:pt>
                <c:pt idx="105">
                  <c:v>1.783</c:v>
                </c:pt>
                <c:pt idx="106">
                  <c:v>1.784</c:v>
                </c:pt>
                <c:pt idx="107">
                  <c:v>1.785</c:v>
                </c:pt>
                <c:pt idx="108">
                  <c:v>1.786</c:v>
                </c:pt>
                <c:pt idx="109">
                  <c:v>1.787</c:v>
                </c:pt>
                <c:pt idx="110">
                  <c:v>1.788</c:v>
                </c:pt>
                <c:pt idx="111">
                  <c:v>1.789</c:v>
                </c:pt>
                <c:pt idx="112">
                  <c:v>1.79</c:v>
                </c:pt>
                <c:pt idx="113">
                  <c:v>1.81</c:v>
                </c:pt>
                <c:pt idx="114">
                  <c:v>1.815</c:v>
                </c:pt>
                <c:pt idx="115">
                  <c:v>1.83</c:v>
                </c:pt>
                <c:pt idx="116">
                  <c:v>1.875</c:v>
                </c:pt>
                <c:pt idx="117">
                  <c:v>1.92</c:v>
                </c:pt>
                <c:pt idx="118">
                  <c:v>1.935</c:v>
                </c:pt>
                <c:pt idx="119">
                  <c:v>1.95</c:v>
                </c:pt>
                <c:pt idx="120">
                  <c:v>1.97</c:v>
                </c:pt>
                <c:pt idx="121">
                  <c:v>1.99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71872"/>
        <c:axId val="179473408"/>
      </c:scatterChart>
      <c:valAx>
        <c:axId val="17947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473408"/>
        <c:crosses val="autoZero"/>
        <c:crossBetween val="midCat"/>
      </c:valAx>
      <c:valAx>
        <c:axId val="17947340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47187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5af798-d0c6-452e-b4bb-ef46f3715c6d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Пр6!$D$1</c:f>
              <c:strCache>
                <c:ptCount val="1"/>
                <c:pt idx="0">
                  <c:v>Воздух,
кДж/(м3*оС)</c:v>
                </c:pt>
              </c:strCache>
            </c:strRef>
          </c:tx>
          <c:dLbls>
            <c:delete val="1"/>
          </c:dLbls>
          <c:xVal>
            <c:numRef>
              <c:f>Пр6!$A$2:$A$123</c:f>
              <c:numCache>
                <c:formatCode>General</c:formatCode>
                <c:ptCount val="122"/>
                <c:pt idx="0">
                  <c:v>0</c:v>
                </c:pt>
                <c:pt idx="1" c:formatCode="0">
                  <c:v>25</c:v>
                </c:pt>
                <c:pt idx="2" c:formatCode="0">
                  <c:v>50</c:v>
                </c:pt>
                <c:pt idx="3" c:formatCode="0">
                  <c:v>75</c:v>
                </c:pt>
                <c:pt idx="4">
                  <c:v>100</c:v>
                </c:pt>
                <c:pt idx="5" c:formatCode="0">
                  <c:v>125</c:v>
                </c:pt>
                <c:pt idx="6" c:formatCode="0">
                  <c:v>150</c:v>
                </c:pt>
                <c:pt idx="7" c:formatCode="0">
                  <c:v>175</c:v>
                </c:pt>
                <c:pt idx="8">
                  <c:v>200</c:v>
                </c:pt>
                <c:pt idx="9" c:formatCode="0">
                  <c:v>250</c:v>
                </c:pt>
                <c:pt idx="10">
                  <c:v>300</c:v>
                </c:pt>
                <c:pt idx="11" c:formatCode="0">
                  <c:v>350</c:v>
                </c:pt>
                <c:pt idx="12" c:formatCode="0">
                  <c:v>400</c:v>
                </c:pt>
                <c:pt idx="13" c:formatCode="0">
                  <c:v>410</c:v>
                </c:pt>
                <c:pt idx="14" c:formatCode="0">
                  <c:v>420</c:v>
                </c:pt>
                <c:pt idx="15" c:formatCode="0">
                  <c:v>430</c:v>
                </c:pt>
                <c:pt idx="16" c:formatCode="0">
                  <c:v>440</c:v>
                </c:pt>
                <c:pt idx="17" c:formatCode="0">
                  <c:v>450</c:v>
                </c:pt>
                <c:pt idx="18" c:formatCode="0">
                  <c:v>460</c:v>
                </c:pt>
                <c:pt idx="19" c:formatCode="0">
                  <c:v>470</c:v>
                </c:pt>
                <c:pt idx="20" c:formatCode="0">
                  <c:v>480</c:v>
                </c:pt>
                <c:pt idx="21" c:formatCode="0">
                  <c:v>490</c:v>
                </c:pt>
                <c:pt idx="22" c:formatCode="0">
                  <c:v>500</c:v>
                </c:pt>
                <c:pt idx="23" c:formatCode="0">
                  <c:v>510</c:v>
                </c:pt>
                <c:pt idx="24" c:formatCode="0">
                  <c:v>520</c:v>
                </c:pt>
                <c:pt idx="25" c:formatCode="0">
                  <c:v>530</c:v>
                </c:pt>
                <c:pt idx="26" c:formatCode="0">
                  <c:v>540</c:v>
                </c:pt>
                <c:pt idx="27" c:formatCode="0">
                  <c:v>550</c:v>
                </c:pt>
                <c:pt idx="28" c:formatCode="0">
                  <c:v>560</c:v>
                </c:pt>
                <c:pt idx="29" c:formatCode="0">
                  <c:v>570</c:v>
                </c:pt>
                <c:pt idx="30" c:formatCode="0">
                  <c:v>580</c:v>
                </c:pt>
                <c:pt idx="31" c:formatCode="0">
                  <c:v>590</c:v>
                </c:pt>
                <c:pt idx="32" c:formatCode="0">
                  <c:v>600</c:v>
                </c:pt>
                <c:pt idx="33" c:formatCode="0">
                  <c:v>610</c:v>
                </c:pt>
                <c:pt idx="34" c:formatCode="0">
                  <c:v>620</c:v>
                </c:pt>
                <c:pt idx="35" c:formatCode="0">
                  <c:v>630</c:v>
                </c:pt>
                <c:pt idx="36" c:formatCode="0">
                  <c:v>640</c:v>
                </c:pt>
                <c:pt idx="37" c:formatCode="0">
                  <c:v>650</c:v>
                </c:pt>
                <c:pt idx="38" c:formatCode="0">
                  <c:v>660</c:v>
                </c:pt>
                <c:pt idx="39" c:formatCode="0">
                  <c:v>670</c:v>
                </c:pt>
                <c:pt idx="40" c:formatCode="0">
                  <c:v>680</c:v>
                </c:pt>
                <c:pt idx="41" c:formatCode="0">
                  <c:v>690</c:v>
                </c:pt>
                <c:pt idx="42" c:formatCode="0">
                  <c:v>700</c:v>
                </c:pt>
                <c:pt idx="43" c:formatCode="0">
                  <c:v>710</c:v>
                </c:pt>
                <c:pt idx="44" c:formatCode="0">
                  <c:v>720</c:v>
                </c:pt>
                <c:pt idx="45" c:formatCode="0">
                  <c:v>730</c:v>
                </c:pt>
                <c:pt idx="46" c:formatCode="0">
                  <c:v>740</c:v>
                </c:pt>
                <c:pt idx="47" c:formatCode="0">
                  <c:v>750</c:v>
                </c:pt>
                <c:pt idx="48" c:formatCode="0">
                  <c:v>760</c:v>
                </c:pt>
                <c:pt idx="49" c:formatCode="0">
                  <c:v>770</c:v>
                </c:pt>
                <c:pt idx="50" c:formatCode="0">
                  <c:v>780</c:v>
                </c:pt>
                <c:pt idx="51" c:formatCode="0">
                  <c:v>790</c:v>
                </c:pt>
                <c:pt idx="52" c:formatCode="0">
                  <c:v>800</c:v>
                </c:pt>
                <c:pt idx="53" c:formatCode="0">
                  <c:v>810</c:v>
                </c:pt>
                <c:pt idx="54" c:formatCode="0">
                  <c:v>820</c:v>
                </c:pt>
                <c:pt idx="55" c:formatCode="0">
                  <c:v>830</c:v>
                </c:pt>
                <c:pt idx="56" c:formatCode="0">
                  <c:v>840</c:v>
                </c:pt>
                <c:pt idx="57" c:formatCode="0">
                  <c:v>850</c:v>
                </c:pt>
                <c:pt idx="58" c:formatCode="0">
                  <c:v>860</c:v>
                </c:pt>
                <c:pt idx="59" c:formatCode="0">
                  <c:v>870</c:v>
                </c:pt>
                <c:pt idx="60" c:formatCode="0">
                  <c:v>880</c:v>
                </c:pt>
                <c:pt idx="61" c:formatCode="0">
                  <c:v>890</c:v>
                </c:pt>
                <c:pt idx="62" c:formatCode="0">
                  <c:v>900</c:v>
                </c:pt>
                <c:pt idx="63" c:formatCode="0">
                  <c:v>910</c:v>
                </c:pt>
                <c:pt idx="64" c:formatCode="0">
                  <c:v>920</c:v>
                </c:pt>
                <c:pt idx="65" c:formatCode="0">
                  <c:v>930</c:v>
                </c:pt>
                <c:pt idx="66" c:formatCode="0">
                  <c:v>940</c:v>
                </c:pt>
                <c:pt idx="67" c:formatCode="0">
                  <c:v>950</c:v>
                </c:pt>
                <c:pt idx="68" c:formatCode="0">
                  <c:v>960</c:v>
                </c:pt>
                <c:pt idx="69" c:formatCode="0">
                  <c:v>970</c:v>
                </c:pt>
                <c:pt idx="70" c:formatCode="0">
                  <c:v>980</c:v>
                </c:pt>
                <c:pt idx="71" c:formatCode="0">
                  <c:v>990</c:v>
                </c:pt>
                <c:pt idx="72" c:formatCode="0">
                  <c:v>1000</c:v>
                </c:pt>
                <c:pt idx="73" c:formatCode="0">
                  <c:v>1010</c:v>
                </c:pt>
                <c:pt idx="74" c:formatCode="0">
                  <c:v>1020</c:v>
                </c:pt>
                <c:pt idx="75" c:formatCode="0">
                  <c:v>1030</c:v>
                </c:pt>
                <c:pt idx="76" c:formatCode="0">
                  <c:v>1040</c:v>
                </c:pt>
                <c:pt idx="77" c:formatCode="0">
                  <c:v>1050</c:v>
                </c:pt>
                <c:pt idx="78" c:formatCode="0">
                  <c:v>1060</c:v>
                </c:pt>
                <c:pt idx="79" c:formatCode="0">
                  <c:v>1070</c:v>
                </c:pt>
                <c:pt idx="80" c:formatCode="0">
                  <c:v>1080</c:v>
                </c:pt>
                <c:pt idx="81" c:formatCode="0">
                  <c:v>1090</c:v>
                </c:pt>
                <c:pt idx="82" c:formatCode="0">
                  <c:v>1100</c:v>
                </c:pt>
                <c:pt idx="83" c:formatCode="0">
                  <c:v>1110</c:v>
                </c:pt>
                <c:pt idx="84" c:formatCode="0">
                  <c:v>1120</c:v>
                </c:pt>
                <c:pt idx="85" c:formatCode="0">
                  <c:v>1130</c:v>
                </c:pt>
                <c:pt idx="86" c:formatCode="0">
                  <c:v>1140</c:v>
                </c:pt>
                <c:pt idx="87" c:formatCode="0">
                  <c:v>1150</c:v>
                </c:pt>
                <c:pt idx="88" c:formatCode="0">
                  <c:v>1160</c:v>
                </c:pt>
                <c:pt idx="89" c:formatCode="0">
                  <c:v>1170</c:v>
                </c:pt>
                <c:pt idx="90" c:formatCode="0">
                  <c:v>1180</c:v>
                </c:pt>
                <c:pt idx="91" c:formatCode="0">
                  <c:v>1190</c:v>
                </c:pt>
                <c:pt idx="92" c:formatCode="0">
                  <c:v>1200</c:v>
                </c:pt>
                <c:pt idx="93" c:formatCode="0">
                  <c:v>1210</c:v>
                </c:pt>
                <c:pt idx="94" c:formatCode="0">
                  <c:v>1220</c:v>
                </c:pt>
                <c:pt idx="95" c:formatCode="0">
                  <c:v>1230</c:v>
                </c:pt>
                <c:pt idx="96" c:formatCode="0">
                  <c:v>1240</c:v>
                </c:pt>
                <c:pt idx="97" c:formatCode="0">
                  <c:v>1250</c:v>
                </c:pt>
                <c:pt idx="98" c:formatCode="0">
                  <c:v>1260</c:v>
                </c:pt>
                <c:pt idx="99" c:formatCode="0">
                  <c:v>1270</c:v>
                </c:pt>
                <c:pt idx="100" c:formatCode="0">
                  <c:v>1280</c:v>
                </c:pt>
                <c:pt idx="101" c:formatCode="0">
                  <c:v>1290</c:v>
                </c:pt>
                <c:pt idx="102" c:formatCode="0">
                  <c:v>1300</c:v>
                </c:pt>
                <c:pt idx="103" c:formatCode="0">
                  <c:v>1310</c:v>
                </c:pt>
                <c:pt idx="104" c:formatCode="0">
                  <c:v>1320</c:v>
                </c:pt>
                <c:pt idx="105" c:formatCode="0">
                  <c:v>1330</c:v>
                </c:pt>
                <c:pt idx="106" c:formatCode="0">
                  <c:v>1340</c:v>
                </c:pt>
                <c:pt idx="107" c:formatCode="0">
                  <c:v>1350</c:v>
                </c:pt>
                <c:pt idx="108" c:formatCode="0">
                  <c:v>1360</c:v>
                </c:pt>
                <c:pt idx="109" c:formatCode="0">
                  <c:v>1370</c:v>
                </c:pt>
                <c:pt idx="110" c:formatCode="0">
                  <c:v>1380</c:v>
                </c:pt>
                <c:pt idx="111" c:formatCode="0">
                  <c:v>1390</c:v>
                </c:pt>
                <c:pt idx="112" c:formatCode="0">
                  <c:v>1400</c:v>
                </c:pt>
                <c:pt idx="113" c:formatCode="0">
                  <c:v>1500</c:v>
                </c:pt>
                <c:pt idx="114" c:formatCode="0">
                  <c:v>1600</c:v>
                </c:pt>
                <c:pt idx="115" c:formatCode="0">
                  <c:v>1700</c:v>
                </c:pt>
                <c:pt idx="116" c:formatCode="0">
                  <c:v>1800</c:v>
                </c:pt>
                <c:pt idx="117" c:formatCode="0">
                  <c:v>1900</c:v>
                </c:pt>
                <c:pt idx="118" c:formatCode="0">
                  <c:v>2000</c:v>
                </c:pt>
                <c:pt idx="119" c:formatCode="0">
                  <c:v>2100</c:v>
                </c:pt>
                <c:pt idx="120" c:formatCode="0">
                  <c:v>2200</c:v>
                </c:pt>
                <c:pt idx="121" c:formatCode="0">
                  <c:v>2300</c:v>
                </c:pt>
              </c:numCache>
            </c:numRef>
          </c:xVal>
          <c:yVal>
            <c:numRef>
              <c:f>Пр6!$D$2:$D$123</c:f>
              <c:numCache>
                <c:formatCode>0.000</c:formatCode>
                <c:ptCount val="122"/>
                <c:pt idx="0">
                  <c:v>1.29</c:v>
                </c:pt>
                <c:pt idx="1">
                  <c:v>1.29125</c:v>
                </c:pt>
                <c:pt idx="2">
                  <c:v>1.2925</c:v>
                </c:pt>
                <c:pt idx="3">
                  <c:v>1.29375</c:v>
                </c:pt>
                <c:pt idx="4">
                  <c:v>1.295</c:v>
                </c:pt>
                <c:pt idx="5">
                  <c:v>1.29875</c:v>
                </c:pt>
                <c:pt idx="6">
                  <c:v>1.3025</c:v>
                </c:pt>
                <c:pt idx="7">
                  <c:v>1.30625</c:v>
                </c:pt>
                <c:pt idx="8">
                  <c:v>1.31</c:v>
                </c:pt>
                <c:pt idx="9">
                  <c:v>1.315</c:v>
                </c:pt>
                <c:pt idx="10">
                  <c:v>1.32</c:v>
                </c:pt>
                <c:pt idx="11">
                  <c:v>1.325</c:v>
                </c:pt>
                <c:pt idx="12">
                  <c:v>1.33</c:v>
                </c:pt>
                <c:pt idx="13">
                  <c:v>1.331</c:v>
                </c:pt>
                <c:pt idx="14">
                  <c:v>1.332</c:v>
                </c:pt>
                <c:pt idx="15">
                  <c:v>1.333</c:v>
                </c:pt>
                <c:pt idx="16">
                  <c:v>1.334</c:v>
                </c:pt>
                <c:pt idx="17">
                  <c:v>1.335</c:v>
                </c:pt>
                <c:pt idx="18">
                  <c:v>1.336</c:v>
                </c:pt>
                <c:pt idx="19">
                  <c:v>1.337</c:v>
                </c:pt>
                <c:pt idx="20">
                  <c:v>1.338</c:v>
                </c:pt>
                <c:pt idx="21">
                  <c:v>1.339</c:v>
                </c:pt>
                <c:pt idx="22">
                  <c:v>1.34</c:v>
                </c:pt>
                <c:pt idx="23">
                  <c:v>1.341</c:v>
                </c:pt>
                <c:pt idx="24">
                  <c:v>1.342</c:v>
                </c:pt>
                <c:pt idx="25">
                  <c:v>1.343</c:v>
                </c:pt>
                <c:pt idx="26">
                  <c:v>1.344</c:v>
                </c:pt>
                <c:pt idx="27">
                  <c:v>1.345</c:v>
                </c:pt>
                <c:pt idx="28">
                  <c:v>1.346</c:v>
                </c:pt>
                <c:pt idx="29">
                  <c:v>1.347</c:v>
                </c:pt>
                <c:pt idx="30">
                  <c:v>1.348</c:v>
                </c:pt>
                <c:pt idx="31">
                  <c:v>1.349</c:v>
                </c:pt>
                <c:pt idx="32">
                  <c:v>1.35</c:v>
                </c:pt>
                <c:pt idx="33">
                  <c:v>1.351</c:v>
                </c:pt>
                <c:pt idx="34">
                  <c:v>1.352</c:v>
                </c:pt>
                <c:pt idx="35">
                  <c:v>1.353</c:v>
                </c:pt>
                <c:pt idx="36">
                  <c:v>1.354</c:v>
                </c:pt>
                <c:pt idx="37">
                  <c:v>1.355</c:v>
                </c:pt>
                <c:pt idx="38">
                  <c:v>1.356</c:v>
                </c:pt>
                <c:pt idx="39">
                  <c:v>1.357</c:v>
                </c:pt>
                <c:pt idx="40">
                  <c:v>1.358</c:v>
                </c:pt>
                <c:pt idx="41">
                  <c:v>1.359</c:v>
                </c:pt>
                <c:pt idx="42">
                  <c:v>1.36</c:v>
                </c:pt>
                <c:pt idx="43">
                  <c:v>1.362</c:v>
                </c:pt>
                <c:pt idx="44">
                  <c:v>1.364</c:v>
                </c:pt>
                <c:pt idx="45">
                  <c:v>1.366</c:v>
                </c:pt>
                <c:pt idx="46">
                  <c:v>1.368</c:v>
                </c:pt>
                <c:pt idx="47">
                  <c:v>1.37</c:v>
                </c:pt>
                <c:pt idx="48">
                  <c:v>1.372</c:v>
                </c:pt>
                <c:pt idx="49">
                  <c:v>1.374</c:v>
                </c:pt>
                <c:pt idx="50">
                  <c:v>1.376</c:v>
                </c:pt>
                <c:pt idx="51">
                  <c:v>1.378</c:v>
                </c:pt>
                <c:pt idx="52">
                  <c:v>1.38</c:v>
                </c:pt>
                <c:pt idx="53">
                  <c:v>1.382</c:v>
                </c:pt>
                <c:pt idx="54">
                  <c:v>1.384</c:v>
                </c:pt>
                <c:pt idx="55">
                  <c:v>1.386</c:v>
                </c:pt>
                <c:pt idx="56">
                  <c:v>1.388</c:v>
                </c:pt>
                <c:pt idx="57">
                  <c:v>1.39</c:v>
                </c:pt>
                <c:pt idx="58">
                  <c:v>1.392</c:v>
                </c:pt>
                <c:pt idx="59">
                  <c:v>1.394</c:v>
                </c:pt>
                <c:pt idx="60">
                  <c:v>1.396</c:v>
                </c:pt>
                <c:pt idx="61">
                  <c:v>1.398</c:v>
                </c:pt>
                <c:pt idx="62">
                  <c:v>1.4</c:v>
                </c:pt>
                <c:pt idx="63">
                  <c:v>1.401</c:v>
                </c:pt>
                <c:pt idx="64">
                  <c:v>1.402</c:v>
                </c:pt>
                <c:pt idx="65">
                  <c:v>1.403</c:v>
                </c:pt>
                <c:pt idx="66">
                  <c:v>1.404</c:v>
                </c:pt>
                <c:pt idx="67">
                  <c:v>1.405</c:v>
                </c:pt>
                <c:pt idx="68">
                  <c:v>1.406</c:v>
                </c:pt>
                <c:pt idx="69">
                  <c:v>1.407</c:v>
                </c:pt>
                <c:pt idx="70">
                  <c:v>1.408</c:v>
                </c:pt>
                <c:pt idx="71">
                  <c:v>1.409</c:v>
                </c:pt>
                <c:pt idx="72">
                  <c:v>1.41</c:v>
                </c:pt>
                <c:pt idx="73">
                  <c:v>1.411</c:v>
                </c:pt>
                <c:pt idx="74">
                  <c:v>1.412</c:v>
                </c:pt>
                <c:pt idx="75">
                  <c:v>1.413</c:v>
                </c:pt>
                <c:pt idx="76">
                  <c:v>1.414</c:v>
                </c:pt>
                <c:pt idx="77">
                  <c:v>1.415</c:v>
                </c:pt>
                <c:pt idx="78">
                  <c:v>1.416</c:v>
                </c:pt>
                <c:pt idx="79">
                  <c:v>1.417</c:v>
                </c:pt>
                <c:pt idx="80">
                  <c:v>1.418</c:v>
                </c:pt>
                <c:pt idx="81">
                  <c:v>1.419</c:v>
                </c:pt>
                <c:pt idx="82">
                  <c:v>1.42</c:v>
                </c:pt>
                <c:pt idx="83">
                  <c:v>1.421</c:v>
                </c:pt>
                <c:pt idx="84">
                  <c:v>1.422</c:v>
                </c:pt>
                <c:pt idx="85">
                  <c:v>1.423</c:v>
                </c:pt>
                <c:pt idx="86">
                  <c:v>1.424</c:v>
                </c:pt>
                <c:pt idx="87">
                  <c:v>1.425</c:v>
                </c:pt>
                <c:pt idx="88">
                  <c:v>1.426</c:v>
                </c:pt>
                <c:pt idx="89">
                  <c:v>1.427</c:v>
                </c:pt>
                <c:pt idx="90">
                  <c:v>1.428</c:v>
                </c:pt>
                <c:pt idx="91">
                  <c:v>1.429</c:v>
                </c:pt>
                <c:pt idx="92">
                  <c:v>1.43</c:v>
                </c:pt>
                <c:pt idx="93">
                  <c:v>1.431</c:v>
                </c:pt>
                <c:pt idx="94">
                  <c:v>1.432</c:v>
                </c:pt>
                <c:pt idx="95">
                  <c:v>1.433</c:v>
                </c:pt>
                <c:pt idx="96">
                  <c:v>1.434</c:v>
                </c:pt>
                <c:pt idx="97">
                  <c:v>1.435</c:v>
                </c:pt>
                <c:pt idx="98">
                  <c:v>1.436</c:v>
                </c:pt>
                <c:pt idx="99">
                  <c:v>1.437</c:v>
                </c:pt>
                <c:pt idx="100">
                  <c:v>1.438</c:v>
                </c:pt>
                <c:pt idx="101">
                  <c:v>1.439</c:v>
                </c:pt>
                <c:pt idx="102">
                  <c:v>1.44</c:v>
                </c:pt>
                <c:pt idx="103">
                  <c:v>1.441</c:v>
                </c:pt>
                <c:pt idx="104">
                  <c:v>1.442</c:v>
                </c:pt>
                <c:pt idx="105">
                  <c:v>1.443</c:v>
                </c:pt>
                <c:pt idx="106">
                  <c:v>1.444</c:v>
                </c:pt>
                <c:pt idx="107">
                  <c:v>1.445</c:v>
                </c:pt>
                <c:pt idx="108">
                  <c:v>1.446</c:v>
                </c:pt>
                <c:pt idx="109">
                  <c:v>1.447</c:v>
                </c:pt>
                <c:pt idx="110">
                  <c:v>1.448</c:v>
                </c:pt>
                <c:pt idx="111">
                  <c:v>1.449</c:v>
                </c:pt>
                <c:pt idx="112">
                  <c:v>1.45</c:v>
                </c:pt>
                <c:pt idx="113">
                  <c:v>1.46</c:v>
                </c:pt>
                <c:pt idx="114">
                  <c:v>1.47</c:v>
                </c:pt>
                <c:pt idx="115">
                  <c:v>1.475</c:v>
                </c:pt>
                <c:pt idx="116">
                  <c:v>1.4825</c:v>
                </c:pt>
                <c:pt idx="117">
                  <c:v>1.49</c:v>
                </c:pt>
                <c:pt idx="118">
                  <c:v>1.5</c:v>
                </c:pt>
                <c:pt idx="119">
                  <c:v>1.51</c:v>
                </c:pt>
                <c:pt idx="120">
                  <c:v>1.515</c:v>
                </c:pt>
                <c:pt idx="121">
                  <c:v>1.52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97984"/>
        <c:axId val="179852032"/>
      </c:scatterChart>
      <c:valAx>
        <c:axId val="17949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852032"/>
        <c:crosses val="autoZero"/>
        <c:crossBetween val="midCat"/>
      </c:valAx>
      <c:valAx>
        <c:axId val="17985203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49798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b5a1d7-b637-4f0a-ac3c-a028b2a15912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Пр6!$E$1</c:f>
              <c:strCache>
                <c:ptCount val="1"/>
                <c:pt idx="0">
                  <c:v>N2,
кДж/(м3*оС)</c:v>
                </c:pt>
              </c:strCache>
            </c:strRef>
          </c:tx>
          <c:dLbls>
            <c:delete val="1"/>
          </c:dLbls>
          <c:xVal>
            <c:numRef>
              <c:f>Пр6!$A$2:$A$123</c:f>
              <c:numCache>
                <c:formatCode>General</c:formatCode>
                <c:ptCount val="122"/>
                <c:pt idx="0">
                  <c:v>0</c:v>
                </c:pt>
                <c:pt idx="1" c:formatCode="0">
                  <c:v>25</c:v>
                </c:pt>
                <c:pt idx="2" c:formatCode="0">
                  <c:v>50</c:v>
                </c:pt>
                <c:pt idx="3" c:formatCode="0">
                  <c:v>75</c:v>
                </c:pt>
                <c:pt idx="4">
                  <c:v>100</c:v>
                </c:pt>
                <c:pt idx="5" c:formatCode="0">
                  <c:v>125</c:v>
                </c:pt>
                <c:pt idx="6" c:formatCode="0">
                  <c:v>150</c:v>
                </c:pt>
                <c:pt idx="7" c:formatCode="0">
                  <c:v>175</c:v>
                </c:pt>
                <c:pt idx="8">
                  <c:v>200</c:v>
                </c:pt>
                <c:pt idx="9" c:formatCode="0">
                  <c:v>250</c:v>
                </c:pt>
                <c:pt idx="10">
                  <c:v>300</c:v>
                </c:pt>
                <c:pt idx="11" c:formatCode="0">
                  <c:v>350</c:v>
                </c:pt>
                <c:pt idx="12" c:formatCode="0">
                  <c:v>400</c:v>
                </c:pt>
                <c:pt idx="13" c:formatCode="0">
                  <c:v>410</c:v>
                </c:pt>
                <c:pt idx="14" c:formatCode="0">
                  <c:v>420</c:v>
                </c:pt>
                <c:pt idx="15" c:formatCode="0">
                  <c:v>430</c:v>
                </c:pt>
                <c:pt idx="16" c:formatCode="0">
                  <c:v>440</c:v>
                </c:pt>
                <c:pt idx="17" c:formatCode="0">
                  <c:v>450</c:v>
                </c:pt>
                <c:pt idx="18" c:formatCode="0">
                  <c:v>460</c:v>
                </c:pt>
                <c:pt idx="19" c:formatCode="0">
                  <c:v>470</c:v>
                </c:pt>
                <c:pt idx="20" c:formatCode="0">
                  <c:v>480</c:v>
                </c:pt>
                <c:pt idx="21" c:formatCode="0">
                  <c:v>490</c:v>
                </c:pt>
                <c:pt idx="22" c:formatCode="0">
                  <c:v>500</c:v>
                </c:pt>
                <c:pt idx="23" c:formatCode="0">
                  <c:v>510</c:v>
                </c:pt>
                <c:pt idx="24" c:formatCode="0">
                  <c:v>520</c:v>
                </c:pt>
                <c:pt idx="25" c:formatCode="0">
                  <c:v>530</c:v>
                </c:pt>
                <c:pt idx="26" c:formatCode="0">
                  <c:v>540</c:v>
                </c:pt>
                <c:pt idx="27" c:formatCode="0">
                  <c:v>550</c:v>
                </c:pt>
                <c:pt idx="28" c:formatCode="0">
                  <c:v>560</c:v>
                </c:pt>
                <c:pt idx="29" c:formatCode="0">
                  <c:v>570</c:v>
                </c:pt>
                <c:pt idx="30" c:formatCode="0">
                  <c:v>580</c:v>
                </c:pt>
                <c:pt idx="31" c:formatCode="0">
                  <c:v>590</c:v>
                </c:pt>
                <c:pt idx="32" c:formatCode="0">
                  <c:v>600</c:v>
                </c:pt>
                <c:pt idx="33" c:formatCode="0">
                  <c:v>610</c:v>
                </c:pt>
                <c:pt idx="34" c:formatCode="0">
                  <c:v>620</c:v>
                </c:pt>
                <c:pt idx="35" c:formatCode="0">
                  <c:v>630</c:v>
                </c:pt>
                <c:pt idx="36" c:formatCode="0">
                  <c:v>640</c:v>
                </c:pt>
                <c:pt idx="37" c:formatCode="0">
                  <c:v>650</c:v>
                </c:pt>
                <c:pt idx="38" c:formatCode="0">
                  <c:v>660</c:v>
                </c:pt>
                <c:pt idx="39" c:formatCode="0">
                  <c:v>670</c:v>
                </c:pt>
                <c:pt idx="40" c:formatCode="0">
                  <c:v>680</c:v>
                </c:pt>
                <c:pt idx="41" c:formatCode="0">
                  <c:v>690</c:v>
                </c:pt>
                <c:pt idx="42" c:formatCode="0">
                  <c:v>700</c:v>
                </c:pt>
                <c:pt idx="43" c:formatCode="0">
                  <c:v>710</c:v>
                </c:pt>
                <c:pt idx="44" c:formatCode="0">
                  <c:v>720</c:v>
                </c:pt>
                <c:pt idx="45" c:formatCode="0">
                  <c:v>730</c:v>
                </c:pt>
                <c:pt idx="46" c:formatCode="0">
                  <c:v>740</c:v>
                </c:pt>
                <c:pt idx="47" c:formatCode="0">
                  <c:v>750</c:v>
                </c:pt>
                <c:pt idx="48" c:formatCode="0">
                  <c:v>760</c:v>
                </c:pt>
                <c:pt idx="49" c:formatCode="0">
                  <c:v>770</c:v>
                </c:pt>
                <c:pt idx="50" c:formatCode="0">
                  <c:v>780</c:v>
                </c:pt>
                <c:pt idx="51" c:formatCode="0">
                  <c:v>790</c:v>
                </c:pt>
                <c:pt idx="52" c:formatCode="0">
                  <c:v>800</c:v>
                </c:pt>
                <c:pt idx="53" c:formatCode="0">
                  <c:v>810</c:v>
                </c:pt>
                <c:pt idx="54" c:formatCode="0">
                  <c:v>820</c:v>
                </c:pt>
                <c:pt idx="55" c:formatCode="0">
                  <c:v>830</c:v>
                </c:pt>
                <c:pt idx="56" c:formatCode="0">
                  <c:v>840</c:v>
                </c:pt>
                <c:pt idx="57" c:formatCode="0">
                  <c:v>850</c:v>
                </c:pt>
                <c:pt idx="58" c:formatCode="0">
                  <c:v>860</c:v>
                </c:pt>
                <c:pt idx="59" c:formatCode="0">
                  <c:v>870</c:v>
                </c:pt>
                <c:pt idx="60" c:formatCode="0">
                  <c:v>880</c:v>
                </c:pt>
                <c:pt idx="61" c:formatCode="0">
                  <c:v>890</c:v>
                </c:pt>
                <c:pt idx="62" c:formatCode="0">
                  <c:v>900</c:v>
                </c:pt>
                <c:pt idx="63" c:formatCode="0">
                  <c:v>910</c:v>
                </c:pt>
                <c:pt idx="64" c:formatCode="0">
                  <c:v>920</c:v>
                </c:pt>
                <c:pt idx="65" c:formatCode="0">
                  <c:v>930</c:v>
                </c:pt>
                <c:pt idx="66" c:formatCode="0">
                  <c:v>940</c:v>
                </c:pt>
                <c:pt idx="67" c:formatCode="0">
                  <c:v>950</c:v>
                </c:pt>
                <c:pt idx="68" c:formatCode="0">
                  <c:v>960</c:v>
                </c:pt>
                <c:pt idx="69" c:formatCode="0">
                  <c:v>970</c:v>
                </c:pt>
                <c:pt idx="70" c:formatCode="0">
                  <c:v>980</c:v>
                </c:pt>
                <c:pt idx="71" c:formatCode="0">
                  <c:v>990</c:v>
                </c:pt>
                <c:pt idx="72" c:formatCode="0">
                  <c:v>1000</c:v>
                </c:pt>
                <c:pt idx="73" c:formatCode="0">
                  <c:v>1010</c:v>
                </c:pt>
                <c:pt idx="74" c:formatCode="0">
                  <c:v>1020</c:v>
                </c:pt>
                <c:pt idx="75" c:formatCode="0">
                  <c:v>1030</c:v>
                </c:pt>
                <c:pt idx="76" c:formatCode="0">
                  <c:v>1040</c:v>
                </c:pt>
                <c:pt idx="77" c:formatCode="0">
                  <c:v>1050</c:v>
                </c:pt>
                <c:pt idx="78" c:formatCode="0">
                  <c:v>1060</c:v>
                </c:pt>
                <c:pt idx="79" c:formatCode="0">
                  <c:v>1070</c:v>
                </c:pt>
                <c:pt idx="80" c:formatCode="0">
                  <c:v>1080</c:v>
                </c:pt>
                <c:pt idx="81" c:formatCode="0">
                  <c:v>1090</c:v>
                </c:pt>
                <c:pt idx="82" c:formatCode="0">
                  <c:v>1100</c:v>
                </c:pt>
                <c:pt idx="83" c:formatCode="0">
                  <c:v>1110</c:v>
                </c:pt>
                <c:pt idx="84" c:formatCode="0">
                  <c:v>1120</c:v>
                </c:pt>
                <c:pt idx="85" c:formatCode="0">
                  <c:v>1130</c:v>
                </c:pt>
                <c:pt idx="86" c:formatCode="0">
                  <c:v>1140</c:v>
                </c:pt>
                <c:pt idx="87" c:formatCode="0">
                  <c:v>1150</c:v>
                </c:pt>
                <c:pt idx="88" c:formatCode="0">
                  <c:v>1160</c:v>
                </c:pt>
                <c:pt idx="89" c:formatCode="0">
                  <c:v>1170</c:v>
                </c:pt>
                <c:pt idx="90" c:formatCode="0">
                  <c:v>1180</c:v>
                </c:pt>
                <c:pt idx="91" c:formatCode="0">
                  <c:v>1190</c:v>
                </c:pt>
                <c:pt idx="92" c:formatCode="0">
                  <c:v>1200</c:v>
                </c:pt>
                <c:pt idx="93" c:formatCode="0">
                  <c:v>1210</c:v>
                </c:pt>
                <c:pt idx="94" c:formatCode="0">
                  <c:v>1220</c:v>
                </c:pt>
                <c:pt idx="95" c:formatCode="0">
                  <c:v>1230</c:v>
                </c:pt>
                <c:pt idx="96" c:formatCode="0">
                  <c:v>1240</c:v>
                </c:pt>
                <c:pt idx="97" c:formatCode="0">
                  <c:v>1250</c:v>
                </c:pt>
                <c:pt idx="98" c:formatCode="0">
                  <c:v>1260</c:v>
                </c:pt>
                <c:pt idx="99" c:formatCode="0">
                  <c:v>1270</c:v>
                </c:pt>
                <c:pt idx="100" c:formatCode="0">
                  <c:v>1280</c:v>
                </c:pt>
                <c:pt idx="101" c:formatCode="0">
                  <c:v>1290</c:v>
                </c:pt>
                <c:pt idx="102" c:formatCode="0">
                  <c:v>1300</c:v>
                </c:pt>
                <c:pt idx="103" c:formatCode="0">
                  <c:v>1310</c:v>
                </c:pt>
                <c:pt idx="104" c:formatCode="0">
                  <c:v>1320</c:v>
                </c:pt>
                <c:pt idx="105" c:formatCode="0">
                  <c:v>1330</c:v>
                </c:pt>
                <c:pt idx="106" c:formatCode="0">
                  <c:v>1340</c:v>
                </c:pt>
                <c:pt idx="107" c:formatCode="0">
                  <c:v>1350</c:v>
                </c:pt>
                <c:pt idx="108" c:formatCode="0">
                  <c:v>1360</c:v>
                </c:pt>
                <c:pt idx="109" c:formatCode="0">
                  <c:v>1370</c:v>
                </c:pt>
                <c:pt idx="110" c:formatCode="0">
                  <c:v>1380</c:v>
                </c:pt>
                <c:pt idx="111" c:formatCode="0">
                  <c:v>1390</c:v>
                </c:pt>
                <c:pt idx="112" c:formatCode="0">
                  <c:v>1400</c:v>
                </c:pt>
                <c:pt idx="113" c:formatCode="0">
                  <c:v>1500</c:v>
                </c:pt>
                <c:pt idx="114" c:formatCode="0">
                  <c:v>1600</c:v>
                </c:pt>
                <c:pt idx="115" c:formatCode="0">
                  <c:v>1700</c:v>
                </c:pt>
                <c:pt idx="116" c:formatCode="0">
                  <c:v>1800</c:v>
                </c:pt>
                <c:pt idx="117" c:formatCode="0">
                  <c:v>1900</c:v>
                </c:pt>
                <c:pt idx="118" c:formatCode="0">
                  <c:v>2000</c:v>
                </c:pt>
                <c:pt idx="119" c:formatCode="0">
                  <c:v>2100</c:v>
                </c:pt>
                <c:pt idx="120" c:formatCode="0">
                  <c:v>2200</c:v>
                </c:pt>
                <c:pt idx="121" c:formatCode="0">
                  <c:v>2300</c:v>
                </c:pt>
              </c:numCache>
            </c:numRef>
          </c:xVal>
          <c:yVal>
            <c:numRef>
              <c:f>Пр6!$E$2:$E$123</c:f>
              <c:numCache>
                <c:formatCode>0.000</c:formatCode>
                <c:ptCount val="122"/>
                <c:pt idx="0">
                  <c:v>1.29</c:v>
                </c:pt>
                <c:pt idx="1">
                  <c:v>1.29125</c:v>
                </c:pt>
                <c:pt idx="2">
                  <c:v>1.2925</c:v>
                </c:pt>
                <c:pt idx="3">
                  <c:v>1.29375</c:v>
                </c:pt>
                <c:pt idx="4">
                  <c:v>1.295</c:v>
                </c:pt>
                <c:pt idx="5">
                  <c:v>1.29625</c:v>
                </c:pt>
                <c:pt idx="6">
                  <c:v>1.2975</c:v>
                </c:pt>
                <c:pt idx="7">
                  <c:v>1.29875</c:v>
                </c:pt>
                <c:pt idx="8">
                  <c:v>1.3</c:v>
                </c:pt>
                <c:pt idx="9">
                  <c:v>1.305</c:v>
                </c:pt>
                <c:pt idx="10">
                  <c:v>1.31</c:v>
                </c:pt>
                <c:pt idx="11">
                  <c:v>1.315</c:v>
                </c:pt>
                <c:pt idx="12">
                  <c:v>1.32</c:v>
                </c:pt>
                <c:pt idx="13">
                  <c:v>1.321</c:v>
                </c:pt>
                <c:pt idx="14">
                  <c:v>1.322</c:v>
                </c:pt>
                <c:pt idx="15">
                  <c:v>1.323</c:v>
                </c:pt>
                <c:pt idx="16">
                  <c:v>1.324</c:v>
                </c:pt>
                <c:pt idx="17">
                  <c:v>1.325</c:v>
                </c:pt>
                <c:pt idx="18">
                  <c:v>1.326</c:v>
                </c:pt>
                <c:pt idx="19">
                  <c:v>1.327</c:v>
                </c:pt>
                <c:pt idx="20">
                  <c:v>1.328</c:v>
                </c:pt>
                <c:pt idx="21">
                  <c:v>1.329</c:v>
                </c:pt>
                <c:pt idx="22">
                  <c:v>1.33</c:v>
                </c:pt>
                <c:pt idx="23">
                  <c:v>1.331</c:v>
                </c:pt>
                <c:pt idx="24">
                  <c:v>1.332</c:v>
                </c:pt>
                <c:pt idx="25">
                  <c:v>1.333</c:v>
                </c:pt>
                <c:pt idx="26">
                  <c:v>1.334</c:v>
                </c:pt>
                <c:pt idx="27">
                  <c:v>1.335</c:v>
                </c:pt>
                <c:pt idx="28">
                  <c:v>1.336</c:v>
                </c:pt>
                <c:pt idx="29">
                  <c:v>1.337</c:v>
                </c:pt>
                <c:pt idx="30">
                  <c:v>1.338</c:v>
                </c:pt>
                <c:pt idx="31">
                  <c:v>1.339</c:v>
                </c:pt>
                <c:pt idx="32">
                  <c:v>1.34</c:v>
                </c:pt>
                <c:pt idx="33">
                  <c:v>1.341</c:v>
                </c:pt>
                <c:pt idx="34">
                  <c:v>1.342</c:v>
                </c:pt>
                <c:pt idx="35">
                  <c:v>1.343</c:v>
                </c:pt>
                <c:pt idx="36">
                  <c:v>1.344</c:v>
                </c:pt>
                <c:pt idx="37">
                  <c:v>1.345</c:v>
                </c:pt>
                <c:pt idx="38">
                  <c:v>1.346</c:v>
                </c:pt>
                <c:pt idx="39">
                  <c:v>1.347</c:v>
                </c:pt>
                <c:pt idx="40">
                  <c:v>1.348</c:v>
                </c:pt>
                <c:pt idx="41">
                  <c:v>1.349</c:v>
                </c:pt>
                <c:pt idx="42">
                  <c:v>1.35</c:v>
                </c:pt>
                <c:pt idx="43">
                  <c:v>1.351</c:v>
                </c:pt>
                <c:pt idx="44">
                  <c:v>1.352</c:v>
                </c:pt>
                <c:pt idx="45">
                  <c:v>1.353</c:v>
                </c:pt>
                <c:pt idx="46">
                  <c:v>1.354</c:v>
                </c:pt>
                <c:pt idx="47">
                  <c:v>1.355</c:v>
                </c:pt>
                <c:pt idx="48">
                  <c:v>1.356</c:v>
                </c:pt>
                <c:pt idx="49">
                  <c:v>1.357</c:v>
                </c:pt>
                <c:pt idx="50">
                  <c:v>1.358</c:v>
                </c:pt>
                <c:pt idx="51">
                  <c:v>1.359</c:v>
                </c:pt>
                <c:pt idx="52">
                  <c:v>1.36</c:v>
                </c:pt>
                <c:pt idx="53">
                  <c:v>1.362</c:v>
                </c:pt>
                <c:pt idx="54">
                  <c:v>1.364</c:v>
                </c:pt>
                <c:pt idx="55">
                  <c:v>1.366</c:v>
                </c:pt>
                <c:pt idx="56">
                  <c:v>1.368</c:v>
                </c:pt>
                <c:pt idx="57">
                  <c:v>1.37</c:v>
                </c:pt>
                <c:pt idx="58">
                  <c:v>1.372</c:v>
                </c:pt>
                <c:pt idx="59">
                  <c:v>1.374</c:v>
                </c:pt>
                <c:pt idx="60">
                  <c:v>1.376</c:v>
                </c:pt>
                <c:pt idx="61">
                  <c:v>1.378</c:v>
                </c:pt>
                <c:pt idx="62">
                  <c:v>1.38</c:v>
                </c:pt>
                <c:pt idx="63">
                  <c:v>1.381</c:v>
                </c:pt>
                <c:pt idx="64">
                  <c:v>1.382</c:v>
                </c:pt>
                <c:pt idx="65">
                  <c:v>1.383</c:v>
                </c:pt>
                <c:pt idx="66">
                  <c:v>1.384</c:v>
                </c:pt>
                <c:pt idx="67">
                  <c:v>1.385</c:v>
                </c:pt>
                <c:pt idx="68">
                  <c:v>1.386</c:v>
                </c:pt>
                <c:pt idx="69">
                  <c:v>1.387</c:v>
                </c:pt>
                <c:pt idx="70">
                  <c:v>1.388</c:v>
                </c:pt>
                <c:pt idx="71">
                  <c:v>1.389</c:v>
                </c:pt>
                <c:pt idx="72">
                  <c:v>1.39</c:v>
                </c:pt>
                <c:pt idx="73">
                  <c:v>1.391</c:v>
                </c:pt>
                <c:pt idx="74">
                  <c:v>1.392</c:v>
                </c:pt>
                <c:pt idx="75">
                  <c:v>1.393</c:v>
                </c:pt>
                <c:pt idx="76">
                  <c:v>1.394</c:v>
                </c:pt>
                <c:pt idx="77">
                  <c:v>1.395</c:v>
                </c:pt>
                <c:pt idx="78">
                  <c:v>1.396</c:v>
                </c:pt>
                <c:pt idx="79">
                  <c:v>1.397</c:v>
                </c:pt>
                <c:pt idx="80">
                  <c:v>1.398</c:v>
                </c:pt>
                <c:pt idx="81">
                  <c:v>1.399</c:v>
                </c:pt>
                <c:pt idx="82">
                  <c:v>1.4</c:v>
                </c:pt>
                <c:pt idx="83">
                  <c:v>1.401</c:v>
                </c:pt>
                <c:pt idx="84">
                  <c:v>1.402</c:v>
                </c:pt>
                <c:pt idx="85">
                  <c:v>1.403</c:v>
                </c:pt>
                <c:pt idx="86">
                  <c:v>1.404</c:v>
                </c:pt>
                <c:pt idx="87">
                  <c:v>1.405</c:v>
                </c:pt>
                <c:pt idx="88">
                  <c:v>1.406</c:v>
                </c:pt>
                <c:pt idx="89">
                  <c:v>1.407</c:v>
                </c:pt>
                <c:pt idx="90">
                  <c:v>1.408</c:v>
                </c:pt>
                <c:pt idx="91">
                  <c:v>1.409</c:v>
                </c:pt>
                <c:pt idx="92">
                  <c:v>1.41</c:v>
                </c:pt>
                <c:pt idx="93">
                  <c:v>1.411</c:v>
                </c:pt>
                <c:pt idx="94">
                  <c:v>1.412</c:v>
                </c:pt>
                <c:pt idx="95">
                  <c:v>1.413</c:v>
                </c:pt>
                <c:pt idx="96">
                  <c:v>1.414</c:v>
                </c:pt>
                <c:pt idx="97">
                  <c:v>1.415</c:v>
                </c:pt>
                <c:pt idx="98">
                  <c:v>1.416</c:v>
                </c:pt>
                <c:pt idx="99">
                  <c:v>1.417</c:v>
                </c:pt>
                <c:pt idx="100">
                  <c:v>1.418</c:v>
                </c:pt>
                <c:pt idx="101">
                  <c:v>1.419</c:v>
                </c:pt>
                <c:pt idx="102">
                  <c:v>1.42</c:v>
                </c:pt>
                <c:pt idx="103">
                  <c:v>1.422</c:v>
                </c:pt>
                <c:pt idx="104">
                  <c:v>1.424</c:v>
                </c:pt>
                <c:pt idx="105">
                  <c:v>1.426</c:v>
                </c:pt>
                <c:pt idx="106">
                  <c:v>1.428</c:v>
                </c:pt>
                <c:pt idx="107">
                  <c:v>1.43</c:v>
                </c:pt>
                <c:pt idx="108">
                  <c:v>1.432</c:v>
                </c:pt>
                <c:pt idx="109">
                  <c:v>1.434</c:v>
                </c:pt>
                <c:pt idx="110">
                  <c:v>1.436</c:v>
                </c:pt>
                <c:pt idx="111">
                  <c:v>1.438</c:v>
                </c:pt>
                <c:pt idx="112">
                  <c:v>1.44</c:v>
                </c:pt>
                <c:pt idx="113">
                  <c:v>1.445</c:v>
                </c:pt>
                <c:pt idx="114">
                  <c:v>1.45</c:v>
                </c:pt>
                <c:pt idx="115">
                  <c:v>1.46</c:v>
                </c:pt>
                <c:pt idx="116">
                  <c:v>1.47</c:v>
                </c:pt>
                <c:pt idx="117">
                  <c:v>1.48</c:v>
                </c:pt>
                <c:pt idx="118">
                  <c:v>1.49</c:v>
                </c:pt>
                <c:pt idx="119">
                  <c:v>1.5</c:v>
                </c:pt>
                <c:pt idx="120">
                  <c:v>1.5075</c:v>
                </c:pt>
                <c:pt idx="121">
                  <c:v>1.515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68416"/>
        <c:axId val="179869952"/>
      </c:scatterChart>
      <c:valAx>
        <c:axId val="17986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869952"/>
        <c:crosses val="autoZero"/>
        <c:crossBetween val="midCat"/>
      </c:valAx>
      <c:valAx>
        <c:axId val="17986995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86841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53fcbd-1f14-4f9c-9a0b-b8d9b40adbb3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Пр6!$F$1</c:f>
              <c:strCache>
                <c:ptCount val="1"/>
                <c:pt idx="0">
                  <c:v>О2,
кДж/(м3*оС)</c:v>
                </c:pt>
              </c:strCache>
            </c:strRef>
          </c:tx>
          <c:dLbls>
            <c:delete val="1"/>
          </c:dLbls>
          <c:xVal>
            <c:numRef>
              <c:f>Пр6!$A$2:$A$123</c:f>
              <c:numCache>
                <c:formatCode>General</c:formatCode>
                <c:ptCount val="122"/>
                <c:pt idx="0">
                  <c:v>0</c:v>
                </c:pt>
                <c:pt idx="1" c:formatCode="0">
                  <c:v>25</c:v>
                </c:pt>
                <c:pt idx="2" c:formatCode="0">
                  <c:v>50</c:v>
                </c:pt>
                <c:pt idx="3" c:formatCode="0">
                  <c:v>75</c:v>
                </c:pt>
                <c:pt idx="4">
                  <c:v>100</c:v>
                </c:pt>
                <c:pt idx="5" c:formatCode="0">
                  <c:v>125</c:v>
                </c:pt>
                <c:pt idx="6" c:formatCode="0">
                  <c:v>150</c:v>
                </c:pt>
                <c:pt idx="7" c:formatCode="0">
                  <c:v>175</c:v>
                </c:pt>
                <c:pt idx="8">
                  <c:v>200</c:v>
                </c:pt>
                <c:pt idx="9" c:formatCode="0">
                  <c:v>250</c:v>
                </c:pt>
                <c:pt idx="10">
                  <c:v>300</c:v>
                </c:pt>
                <c:pt idx="11" c:formatCode="0">
                  <c:v>350</c:v>
                </c:pt>
                <c:pt idx="12" c:formatCode="0">
                  <c:v>400</c:v>
                </c:pt>
                <c:pt idx="13" c:formatCode="0">
                  <c:v>410</c:v>
                </c:pt>
                <c:pt idx="14" c:formatCode="0">
                  <c:v>420</c:v>
                </c:pt>
                <c:pt idx="15" c:formatCode="0">
                  <c:v>430</c:v>
                </c:pt>
                <c:pt idx="16" c:formatCode="0">
                  <c:v>440</c:v>
                </c:pt>
                <c:pt idx="17" c:formatCode="0">
                  <c:v>450</c:v>
                </c:pt>
                <c:pt idx="18" c:formatCode="0">
                  <c:v>460</c:v>
                </c:pt>
                <c:pt idx="19" c:formatCode="0">
                  <c:v>470</c:v>
                </c:pt>
                <c:pt idx="20" c:formatCode="0">
                  <c:v>480</c:v>
                </c:pt>
                <c:pt idx="21" c:formatCode="0">
                  <c:v>490</c:v>
                </c:pt>
                <c:pt idx="22" c:formatCode="0">
                  <c:v>500</c:v>
                </c:pt>
                <c:pt idx="23" c:formatCode="0">
                  <c:v>510</c:v>
                </c:pt>
                <c:pt idx="24" c:formatCode="0">
                  <c:v>520</c:v>
                </c:pt>
                <c:pt idx="25" c:formatCode="0">
                  <c:v>530</c:v>
                </c:pt>
                <c:pt idx="26" c:formatCode="0">
                  <c:v>540</c:v>
                </c:pt>
                <c:pt idx="27" c:formatCode="0">
                  <c:v>550</c:v>
                </c:pt>
                <c:pt idx="28" c:formatCode="0">
                  <c:v>560</c:v>
                </c:pt>
                <c:pt idx="29" c:formatCode="0">
                  <c:v>570</c:v>
                </c:pt>
                <c:pt idx="30" c:formatCode="0">
                  <c:v>580</c:v>
                </c:pt>
                <c:pt idx="31" c:formatCode="0">
                  <c:v>590</c:v>
                </c:pt>
                <c:pt idx="32" c:formatCode="0">
                  <c:v>600</c:v>
                </c:pt>
                <c:pt idx="33" c:formatCode="0">
                  <c:v>610</c:v>
                </c:pt>
                <c:pt idx="34" c:formatCode="0">
                  <c:v>620</c:v>
                </c:pt>
                <c:pt idx="35" c:formatCode="0">
                  <c:v>630</c:v>
                </c:pt>
                <c:pt idx="36" c:formatCode="0">
                  <c:v>640</c:v>
                </c:pt>
                <c:pt idx="37" c:formatCode="0">
                  <c:v>650</c:v>
                </c:pt>
                <c:pt idx="38" c:formatCode="0">
                  <c:v>660</c:v>
                </c:pt>
                <c:pt idx="39" c:formatCode="0">
                  <c:v>670</c:v>
                </c:pt>
                <c:pt idx="40" c:formatCode="0">
                  <c:v>680</c:v>
                </c:pt>
                <c:pt idx="41" c:formatCode="0">
                  <c:v>690</c:v>
                </c:pt>
                <c:pt idx="42" c:formatCode="0">
                  <c:v>700</c:v>
                </c:pt>
                <c:pt idx="43" c:formatCode="0">
                  <c:v>710</c:v>
                </c:pt>
                <c:pt idx="44" c:formatCode="0">
                  <c:v>720</c:v>
                </c:pt>
                <c:pt idx="45" c:formatCode="0">
                  <c:v>730</c:v>
                </c:pt>
                <c:pt idx="46" c:formatCode="0">
                  <c:v>740</c:v>
                </c:pt>
                <c:pt idx="47" c:formatCode="0">
                  <c:v>750</c:v>
                </c:pt>
                <c:pt idx="48" c:formatCode="0">
                  <c:v>760</c:v>
                </c:pt>
                <c:pt idx="49" c:formatCode="0">
                  <c:v>770</c:v>
                </c:pt>
                <c:pt idx="50" c:formatCode="0">
                  <c:v>780</c:v>
                </c:pt>
                <c:pt idx="51" c:formatCode="0">
                  <c:v>790</c:v>
                </c:pt>
                <c:pt idx="52" c:formatCode="0">
                  <c:v>800</c:v>
                </c:pt>
                <c:pt idx="53" c:formatCode="0">
                  <c:v>810</c:v>
                </c:pt>
                <c:pt idx="54" c:formatCode="0">
                  <c:v>820</c:v>
                </c:pt>
                <c:pt idx="55" c:formatCode="0">
                  <c:v>830</c:v>
                </c:pt>
                <c:pt idx="56" c:formatCode="0">
                  <c:v>840</c:v>
                </c:pt>
                <c:pt idx="57" c:formatCode="0">
                  <c:v>850</c:v>
                </c:pt>
                <c:pt idx="58" c:formatCode="0">
                  <c:v>860</c:v>
                </c:pt>
                <c:pt idx="59" c:formatCode="0">
                  <c:v>870</c:v>
                </c:pt>
                <c:pt idx="60" c:formatCode="0">
                  <c:v>880</c:v>
                </c:pt>
                <c:pt idx="61" c:formatCode="0">
                  <c:v>890</c:v>
                </c:pt>
                <c:pt idx="62" c:formatCode="0">
                  <c:v>900</c:v>
                </c:pt>
                <c:pt idx="63" c:formatCode="0">
                  <c:v>910</c:v>
                </c:pt>
                <c:pt idx="64" c:formatCode="0">
                  <c:v>920</c:v>
                </c:pt>
                <c:pt idx="65" c:formatCode="0">
                  <c:v>930</c:v>
                </c:pt>
                <c:pt idx="66" c:formatCode="0">
                  <c:v>940</c:v>
                </c:pt>
                <c:pt idx="67" c:formatCode="0">
                  <c:v>950</c:v>
                </c:pt>
                <c:pt idx="68" c:formatCode="0">
                  <c:v>960</c:v>
                </c:pt>
                <c:pt idx="69" c:formatCode="0">
                  <c:v>970</c:v>
                </c:pt>
                <c:pt idx="70" c:formatCode="0">
                  <c:v>980</c:v>
                </c:pt>
                <c:pt idx="71" c:formatCode="0">
                  <c:v>990</c:v>
                </c:pt>
                <c:pt idx="72" c:formatCode="0">
                  <c:v>1000</c:v>
                </c:pt>
                <c:pt idx="73" c:formatCode="0">
                  <c:v>1010</c:v>
                </c:pt>
                <c:pt idx="74" c:formatCode="0">
                  <c:v>1020</c:v>
                </c:pt>
                <c:pt idx="75" c:formatCode="0">
                  <c:v>1030</c:v>
                </c:pt>
                <c:pt idx="76" c:formatCode="0">
                  <c:v>1040</c:v>
                </c:pt>
                <c:pt idx="77" c:formatCode="0">
                  <c:v>1050</c:v>
                </c:pt>
                <c:pt idx="78" c:formatCode="0">
                  <c:v>1060</c:v>
                </c:pt>
                <c:pt idx="79" c:formatCode="0">
                  <c:v>1070</c:v>
                </c:pt>
                <c:pt idx="80" c:formatCode="0">
                  <c:v>1080</c:v>
                </c:pt>
                <c:pt idx="81" c:formatCode="0">
                  <c:v>1090</c:v>
                </c:pt>
                <c:pt idx="82" c:formatCode="0">
                  <c:v>1100</c:v>
                </c:pt>
                <c:pt idx="83" c:formatCode="0">
                  <c:v>1110</c:v>
                </c:pt>
                <c:pt idx="84" c:formatCode="0">
                  <c:v>1120</c:v>
                </c:pt>
                <c:pt idx="85" c:formatCode="0">
                  <c:v>1130</c:v>
                </c:pt>
                <c:pt idx="86" c:formatCode="0">
                  <c:v>1140</c:v>
                </c:pt>
                <c:pt idx="87" c:formatCode="0">
                  <c:v>1150</c:v>
                </c:pt>
                <c:pt idx="88" c:formatCode="0">
                  <c:v>1160</c:v>
                </c:pt>
                <c:pt idx="89" c:formatCode="0">
                  <c:v>1170</c:v>
                </c:pt>
                <c:pt idx="90" c:formatCode="0">
                  <c:v>1180</c:v>
                </c:pt>
                <c:pt idx="91" c:formatCode="0">
                  <c:v>1190</c:v>
                </c:pt>
                <c:pt idx="92" c:formatCode="0">
                  <c:v>1200</c:v>
                </c:pt>
                <c:pt idx="93" c:formatCode="0">
                  <c:v>1210</c:v>
                </c:pt>
                <c:pt idx="94" c:formatCode="0">
                  <c:v>1220</c:v>
                </c:pt>
                <c:pt idx="95" c:formatCode="0">
                  <c:v>1230</c:v>
                </c:pt>
                <c:pt idx="96" c:formatCode="0">
                  <c:v>1240</c:v>
                </c:pt>
                <c:pt idx="97" c:formatCode="0">
                  <c:v>1250</c:v>
                </c:pt>
                <c:pt idx="98" c:formatCode="0">
                  <c:v>1260</c:v>
                </c:pt>
                <c:pt idx="99" c:formatCode="0">
                  <c:v>1270</c:v>
                </c:pt>
                <c:pt idx="100" c:formatCode="0">
                  <c:v>1280</c:v>
                </c:pt>
                <c:pt idx="101" c:formatCode="0">
                  <c:v>1290</c:v>
                </c:pt>
                <c:pt idx="102" c:formatCode="0">
                  <c:v>1300</c:v>
                </c:pt>
                <c:pt idx="103" c:formatCode="0">
                  <c:v>1310</c:v>
                </c:pt>
                <c:pt idx="104" c:formatCode="0">
                  <c:v>1320</c:v>
                </c:pt>
                <c:pt idx="105" c:formatCode="0">
                  <c:v>1330</c:v>
                </c:pt>
                <c:pt idx="106" c:formatCode="0">
                  <c:v>1340</c:v>
                </c:pt>
                <c:pt idx="107" c:formatCode="0">
                  <c:v>1350</c:v>
                </c:pt>
                <c:pt idx="108" c:formatCode="0">
                  <c:v>1360</c:v>
                </c:pt>
                <c:pt idx="109" c:formatCode="0">
                  <c:v>1370</c:v>
                </c:pt>
                <c:pt idx="110" c:formatCode="0">
                  <c:v>1380</c:v>
                </c:pt>
                <c:pt idx="111" c:formatCode="0">
                  <c:v>1390</c:v>
                </c:pt>
                <c:pt idx="112" c:formatCode="0">
                  <c:v>1400</c:v>
                </c:pt>
                <c:pt idx="113" c:formatCode="0">
                  <c:v>1500</c:v>
                </c:pt>
                <c:pt idx="114" c:formatCode="0">
                  <c:v>1600</c:v>
                </c:pt>
                <c:pt idx="115" c:formatCode="0">
                  <c:v>1700</c:v>
                </c:pt>
                <c:pt idx="116" c:formatCode="0">
                  <c:v>1800</c:v>
                </c:pt>
                <c:pt idx="117" c:formatCode="0">
                  <c:v>1900</c:v>
                </c:pt>
                <c:pt idx="118" c:formatCode="0">
                  <c:v>2000</c:v>
                </c:pt>
                <c:pt idx="119" c:formatCode="0">
                  <c:v>2100</c:v>
                </c:pt>
                <c:pt idx="120" c:formatCode="0">
                  <c:v>2200</c:v>
                </c:pt>
                <c:pt idx="121" c:formatCode="0">
                  <c:v>2300</c:v>
                </c:pt>
              </c:numCache>
            </c:numRef>
          </c:xVal>
          <c:yVal>
            <c:numRef>
              <c:f>Пр6!$F$2:$F$123</c:f>
              <c:numCache>
                <c:formatCode>0.000</c:formatCode>
                <c:ptCount val="122"/>
                <c:pt idx="0">
                  <c:v>1.3</c:v>
                </c:pt>
                <c:pt idx="1">
                  <c:v>1.3025</c:v>
                </c:pt>
                <c:pt idx="2">
                  <c:v>1.305</c:v>
                </c:pt>
                <c:pt idx="3">
                  <c:v>1.3075</c:v>
                </c:pt>
                <c:pt idx="4">
                  <c:v>1.31</c:v>
                </c:pt>
                <c:pt idx="5">
                  <c:v>1.315</c:v>
                </c:pt>
                <c:pt idx="6">
                  <c:v>1.32</c:v>
                </c:pt>
                <c:pt idx="7">
                  <c:v>1.325</c:v>
                </c:pt>
                <c:pt idx="8">
                  <c:v>1.33</c:v>
                </c:pt>
                <c:pt idx="9">
                  <c:v>1.34</c:v>
                </c:pt>
                <c:pt idx="10">
                  <c:v>1.35</c:v>
                </c:pt>
                <c:pt idx="11">
                  <c:v>1.36</c:v>
                </c:pt>
                <c:pt idx="12">
                  <c:v>1.37</c:v>
                </c:pt>
                <c:pt idx="13">
                  <c:v>1.372</c:v>
                </c:pt>
                <c:pt idx="14">
                  <c:v>1.374</c:v>
                </c:pt>
                <c:pt idx="15">
                  <c:v>1.376</c:v>
                </c:pt>
                <c:pt idx="16">
                  <c:v>1.378</c:v>
                </c:pt>
                <c:pt idx="17">
                  <c:v>1.38</c:v>
                </c:pt>
                <c:pt idx="18">
                  <c:v>1.382</c:v>
                </c:pt>
                <c:pt idx="19">
                  <c:v>1.384</c:v>
                </c:pt>
                <c:pt idx="20">
                  <c:v>1.386</c:v>
                </c:pt>
                <c:pt idx="21">
                  <c:v>1.388</c:v>
                </c:pt>
                <c:pt idx="22">
                  <c:v>1.39</c:v>
                </c:pt>
                <c:pt idx="23">
                  <c:v>1.392</c:v>
                </c:pt>
                <c:pt idx="24">
                  <c:v>1.394</c:v>
                </c:pt>
                <c:pt idx="25">
                  <c:v>1.396</c:v>
                </c:pt>
                <c:pt idx="26">
                  <c:v>1.398</c:v>
                </c:pt>
                <c:pt idx="27">
                  <c:v>1.4</c:v>
                </c:pt>
                <c:pt idx="28">
                  <c:v>1.402</c:v>
                </c:pt>
                <c:pt idx="29">
                  <c:v>1.404</c:v>
                </c:pt>
                <c:pt idx="30">
                  <c:v>1.406</c:v>
                </c:pt>
                <c:pt idx="31">
                  <c:v>1.408</c:v>
                </c:pt>
                <c:pt idx="32">
                  <c:v>1.41</c:v>
                </c:pt>
                <c:pt idx="33">
                  <c:v>1.411</c:v>
                </c:pt>
                <c:pt idx="34">
                  <c:v>1.412</c:v>
                </c:pt>
                <c:pt idx="35">
                  <c:v>1.413</c:v>
                </c:pt>
                <c:pt idx="36">
                  <c:v>1.414</c:v>
                </c:pt>
                <c:pt idx="37">
                  <c:v>1.415</c:v>
                </c:pt>
                <c:pt idx="38">
                  <c:v>1.416</c:v>
                </c:pt>
                <c:pt idx="39">
                  <c:v>1.417</c:v>
                </c:pt>
                <c:pt idx="40">
                  <c:v>1.418</c:v>
                </c:pt>
                <c:pt idx="41">
                  <c:v>1.419</c:v>
                </c:pt>
                <c:pt idx="42">
                  <c:v>1.42</c:v>
                </c:pt>
                <c:pt idx="43">
                  <c:v>1.421</c:v>
                </c:pt>
                <c:pt idx="44">
                  <c:v>1.422</c:v>
                </c:pt>
                <c:pt idx="45">
                  <c:v>1.423</c:v>
                </c:pt>
                <c:pt idx="46">
                  <c:v>1.424</c:v>
                </c:pt>
                <c:pt idx="47">
                  <c:v>1.425</c:v>
                </c:pt>
                <c:pt idx="48">
                  <c:v>1.426</c:v>
                </c:pt>
                <c:pt idx="49">
                  <c:v>1.427</c:v>
                </c:pt>
                <c:pt idx="50">
                  <c:v>1.428</c:v>
                </c:pt>
                <c:pt idx="51">
                  <c:v>1.429</c:v>
                </c:pt>
                <c:pt idx="52">
                  <c:v>1.43</c:v>
                </c:pt>
                <c:pt idx="53">
                  <c:v>1.431</c:v>
                </c:pt>
                <c:pt idx="54">
                  <c:v>1.432</c:v>
                </c:pt>
                <c:pt idx="55">
                  <c:v>1.433</c:v>
                </c:pt>
                <c:pt idx="56">
                  <c:v>1.434</c:v>
                </c:pt>
                <c:pt idx="57">
                  <c:v>1.435</c:v>
                </c:pt>
                <c:pt idx="58">
                  <c:v>1.436</c:v>
                </c:pt>
                <c:pt idx="59">
                  <c:v>1.437</c:v>
                </c:pt>
                <c:pt idx="60">
                  <c:v>1.438</c:v>
                </c:pt>
                <c:pt idx="61">
                  <c:v>1.439</c:v>
                </c:pt>
                <c:pt idx="62">
                  <c:v>1.44</c:v>
                </c:pt>
                <c:pt idx="63">
                  <c:v>1.441</c:v>
                </c:pt>
                <c:pt idx="64">
                  <c:v>1.442</c:v>
                </c:pt>
                <c:pt idx="65">
                  <c:v>1.443</c:v>
                </c:pt>
                <c:pt idx="66">
                  <c:v>1.444</c:v>
                </c:pt>
                <c:pt idx="67">
                  <c:v>1.445</c:v>
                </c:pt>
                <c:pt idx="68">
                  <c:v>1.446</c:v>
                </c:pt>
                <c:pt idx="69">
                  <c:v>1.447</c:v>
                </c:pt>
                <c:pt idx="70">
                  <c:v>1.448</c:v>
                </c:pt>
                <c:pt idx="71">
                  <c:v>1.449</c:v>
                </c:pt>
                <c:pt idx="72">
                  <c:v>1.45</c:v>
                </c:pt>
                <c:pt idx="73">
                  <c:v>1.451</c:v>
                </c:pt>
                <c:pt idx="74">
                  <c:v>1.452</c:v>
                </c:pt>
                <c:pt idx="75">
                  <c:v>1.453</c:v>
                </c:pt>
                <c:pt idx="76">
                  <c:v>1.454</c:v>
                </c:pt>
                <c:pt idx="77">
                  <c:v>1.455</c:v>
                </c:pt>
                <c:pt idx="78">
                  <c:v>1.456</c:v>
                </c:pt>
                <c:pt idx="79">
                  <c:v>1.457</c:v>
                </c:pt>
                <c:pt idx="80">
                  <c:v>1.458</c:v>
                </c:pt>
                <c:pt idx="81">
                  <c:v>1.459</c:v>
                </c:pt>
                <c:pt idx="82">
                  <c:v>1.46</c:v>
                </c:pt>
                <c:pt idx="83">
                  <c:v>1.461</c:v>
                </c:pt>
                <c:pt idx="84">
                  <c:v>1.462</c:v>
                </c:pt>
                <c:pt idx="85">
                  <c:v>1.463</c:v>
                </c:pt>
                <c:pt idx="86">
                  <c:v>1.464</c:v>
                </c:pt>
                <c:pt idx="87">
                  <c:v>1.465</c:v>
                </c:pt>
                <c:pt idx="88">
                  <c:v>1.466</c:v>
                </c:pt>
                <c:pt idx="89">
                  <c:v>1.467</c:v>
                </c:pt>
                <c:pt idx="90">
                  <c:v>1.468</c:v>
                </c:pt>
                <c:pt idx="91">
                  <c:v>1.469</c:v>
                </c:pt>
                <c:pt idx="92">
                  <c:v>1.47</c:v>
                </c:pt>
                <c:pt idx="93">
                  <c:v>1.4705</c:v>
                </c:pt>
                <c:pt idx="94">
                  <c:v>1.471</c:v>
                </c:pt>
                <c:pt idx="95">
                  <c:v>1.4715</c:v>
                </c:pt>
                <c:pt idx="96">
                  <c:v>1.472</c:v>
                </c:pt>
                <c:pt idx="97">
                  <c:v>1.4725</c:v>
                </c:pt>
                <c:pt idx="98">
                  <c:v>1.473</c:v>
                </c:pt>
                <c:pt idx="99">
                  <c:v>1.4735</c:v>
                </c:pt>
                <c:pt idx="100">
                  <c:v>1.474</c:v>
                </c:pt>
                <c:pt idx="101">
                  <c:v>1.4745</c:v>
                </c:pt>
                <c:pt idx="102">
                  <c:v>1.475</c:v>
                </c:pt>
                <c:pt idx="103">
                  <c:v>1.4755</c:v>
                </c:pt>
                <c:pt idx="104">
                  <c:v>1.476</c:v>
                </c:pt>
                <c:pt idx="105">
                  <c:v>1.4765</c:v>
                </c:pt>
                <c:pt idx="106">
                  <c:v>1.477</c:v>
                </c:pt>
                <c:pt idx="107">
                  <c:v>1.4775</c:v>
                </c:pt>
                <c:pt idx="108">
                  <c:v>1.478</c:v>
                </c:pt>
                <c:pt idx="109">
                  <c:v>1.4785</c:v>
                </c:pt>
                <c:pt idx="110">
                  <c:v>1.479</c:v>
                </c:pt>
                <c:pt idx="111">
                  <c:v>1.4795</c:v>
                </c:pt>
                <c:pt idx="112">
                  <c:v>1.48</c:v>
                </c:pt>
                <c:pt idx="113">
                  <c:v>1.5</c:v>
                </c:pt>
                <c:pt idx="114">
                  <c:v>1.55</c:v>
                </c:pt>
                <c:pt idx="115">
                  <c:v>1.51</c:v>
                </c:pt>
                <c:pt idx="116">
                  <c:v>1.52</c:v>
                </c:pt>
                <c:pt idx="117">
                  <c:v>1.53</c:v>
                </c:pt>
                <c:pt idx="118">
                  <c:v>1.54</c:v>
                </c:pt>
                <c:pt idx="119">
                  <c:v>1.55</c:v>
                </c:pt>
                <c:pt idx="120">
                  <c:v>1.5575</c:v>
                </c:pt>
                <c:pt idx="121">
                  <c:v>1.565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39584"/>
        <c:axId val="179945472"/>
      </c:scatterChart>
      <c:valAx>
        <c:axId val="17993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945472"/>
        <c:crosses val="autoZero"/>
        <c:crossBetween val="midCat"/>
      </c:valAx>
      <c:valAx>
        <c:axId val="17994547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93958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0ab755-f9d3-4a1e-a4f7-494ec5c471ce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Пр6!$G$1</c:f>
              <c:strCache>
                <c:ptCount val="1"/>
                <c:pt idx="0">
                  <c:v>Н2,
кДж/(м3*оС)</c:v>
                </c:pt>
              </c:strCache>
            </c:strRef>
          </c:tx>
          <c:dLbls>
            <c:delete val="1"/>
          </c:dLbls>
          <c:xVal>
            <c:numRef>
              <c:f>Пр6!$A$2:$A$123</c:f>
              <c:numCache>
                <c:formatCode>General</c:formatCode>
                <c:ptCount val="122"/>
                <c:pt idx="0">
                  <c:v>0</c:v>
                </c:pt>
                <c:pt idx="1" c:formatCode="0">
                  <c:v>25</c:v>
                </c:pt>
                <c:pt idx="2" c:formatCode="0">
                  <c:v>50</c:v>
                </c:pt>
                <c:pt idx="3" c:formatCode="0">
                  <c:v>75</c:v>
                </c:pt>
                <c:pt idx="4">
                  <c:v>100</c:v>
                </c:pt>
                <c:pt idx="5" c:formatCode="0">
                  <c:v>125</c:v>
                </c:pt>
                <c:pt idx="6" c:formatCode="0">
                  <c:v>150</c:v>
                </c:pt>
                <c:pt idx="7" c:formatCode="0">
                  <c:v>175</c:v>
                </c:pt>
                <c:pt idx="8">
                  <c:v>200</c:v>
                </c:pt>
                <c:pt idx="9" c:formatCode="0">
                  <c:v>250</c:v>
                </c:pt>
                <c:pt idx="10">
                  <c:v>300</c:v>
                </c:pt>
                <c:pt idx="11" c:formatCode="0">
                  <c:v>350</c:v>
                </c:pt>
                <c:pt idx="12" c:formatCode="0">
                  <c:v>400</c:v>
                </c:pt>
                <c:pt idx="13" c:formatCode="0">
                  <c:v>410</c:v>
                </c:pt>
                <c:pt idx="14" c:formatCode="0">
                  <c:v>420</c:v>
                </c:pt>
                <c:pt idx="15" c:formatCode="0">
                  <c:v>430</c:v>
                </c:pt>
                <c:pt idx="16" c:formatCode="0">
                  <c:v>440</c:v>
                </c:pt>
                <c:pt idx="17" c:formatCode="0">
                  <c:v>450</c:v>
                </c:pt>
                <c:pt idx="18" c:formatCode="0">
                  <c:v>460</c:v>
                </c:pt>
                <c:pt idx="19" c:formatCode="0">
                  <c:v>470</c:v>
                </c:pt>
                <c:pt idx="20" c:formatCode="0">
                  <c:v>480</c:v>
                </c:pt>
                <c:pt idx="21" c:formatCode="0">
                  <c:v>490</c:v>
                </c:pt>
                <c:pt idx="22" c:formatCode="0">
                  <c:v>500</c:v>
                </c:pt>
                <c:pt idx="23" c:formatCode="0">
                  <c:v>510</c:v>
                </c:pt>
                <c:pt idx="24" c:formatCode="0">
                  <c:v>520</c:v>
                </c:pt>
                <c:pt idx="25" c:formatCode="0">
                  <c:v>530</c:v>
                </c:pt>
                <c:pt idx="26" c:formatCode="0">
                  <c:v>540</c:v>
                </c:pt>
                <c:pt idx="27" c:formatCode="0">
                  <c:v>550</c:v>
                </c:pt>
                <c:pt idx="28" c:formatCode="0">
                  <c:v>560</c:v>
                </c:pt>
                <c:pt idx="29" c:formatCode="0">
                  <c:v>570</c:v>
                </c:pt>
                <c:pt idx="30" c:formatCode="0">
                  <c:v>580</c:v>
                </c:pt>
                <c:pt idx="31" c:formatCode="0">
                  <c:v>590</c:v>
                </c:pt>
                <c:pt idx="32" c:formatCode="0">
                  <c:v>600</c:v>
                </c:pt>
                <c:pt idx="33" c:formatCode="0">
                  <c:v>610</c:v>
                </c:pt>
                <c:pt idx="34" c:formatCode="0">
                  <c:v>620</c:v>
                </c:pt>
                <c:pt idx="35" c:formatCode="0">
                  <c:v>630</c:v>
                </c:pt>
                <c:pt idx="36" c:formatCode="0">
                  <c:v>640</c:v>
                </c:pt>
                <c:pt idx="37" c:formatCode="0">
                  <c:v>650</c:v>
                </c:pt>
                <c:pt idx="38" c:formatCode="0">
                  <c:v>660</c:v>
                </c:pt>
                <c:pt idx="39" c:formatCode="0">
                  <c:v>670</c:v>
                </c:pt>
                <c:pt idx="40" c:formatCode="0">
                  <c:v>680</c:v>
                </c:pt>
                <c:pt idx="41" c:formatCode="0">
                  <c:v>690</c:v>
                </c:pt>
                <c:pt idx="42" c:formatCode="0">
                  <c:v>700</c:v>
                </c:pt>
                <c:pt idx="43" c:formatCode="0">
                  <c:v>710</c:v>
                </c:pt>
                <c:pt idx="44" c:formatCode="0">
                  <c:v>720</c:v>
                </c:pt>
                <c:pt idx="45" c:formatCode="0">
                  <c:v>730</c:v>
                </c:pt>
                <c:pt idx="46" c:formatCode="0">
                  <c:v>740</c:v>
                </c:pt>
                <c:pt idx="47" c:formatCode="0">
                  <c:v>750</c:v>
                </c:pt>
                <c:pt idx="48" c:formatCode="0">
                  <c:v>760</c:v>
                </c:pt>
                <c:pt idx="49" c:formatCode="0">
                  <c:v>770</c:v>
                </c:pt>
                <c:pt idx="50" c:formatCode="0">
                  <c:v>780</c:v>
                </c:pt>
                <c:pt idx="51" c:formatCode="0">
                  <c:v>790</c:v>
                </c:pt>
                <c:pt idx="52" c:formatCode="0">
                  <c:v>800</c:v>
                </c:pt>
                <c:pt idx="53" c:formatCode="0">
                  <c:v>810</c:v>
                </c:pt>
                <c:pt idx="54" c:formatCode="0">
                  <c:v>820</c:v>
                </c:pt>
                <c:pt idx="55" c:formatCode="0">
                  <c:v>830</c:v>
                </c:pt>
                <c:pt idx="56" c:formatCode="0">
                  <c:v>840</c:v>
                </c:pt>
                <c:pt idx="57" c:formatCode="0">
                  <c:v>850</c:v>
                </c:pt>
                <c:pt idx="58" c:formatCode="0">
                  <c:v>860</c:v>
                </c:pt>
                <c:pt idx="59" c:formatCode="0">
                  <c:v>870</c:v>
                </c:pt>
                <c:pt idx="60" c:formatCode="0">
                  <c:v>880</c:v>
                </c:pt>
                <c:pt idx="61" c:formatCode="0">
                  <c:v>890</c:v>
                </c:pt>
                <c:pt idx="62" c:formatCode="0">
                  <c:v>900</c:v>
                </c:pt>
                <c:pt idx="63" c:formatCode="0">
                  <c:v>910</c:v>
                </c:pt>
                <c:pt idx="64" c:formatCode="0">
                  <c:v>920</c:v>
                </c:pt>
                <c:pt idx="65" c:formatCode="0">
                  <c:v>930</c:v>
                </c:pt>
                <c:pt idx="66" c:formatCode="0">
                  <c:v>940</c:v>
                </c:pt>
                <c:pt idx="67" c:formatCode="0">
                  <c:v>950</c:v>
                </c:pt>
                <c:pt idx="68" c:formatCode="0">
                  <c:v>960</c:v>
                </c:pt>
                <c:pt idx="69" c:formatCode="0">
                  <c:v>970</c:v>
                </c:pt>
                <c:pt idx="70" c:formatCode="0">
                  <c:v>980</c:v>
                </c:pt>
                <c:pt idx="71" c:formatCode="0">
                  <c:v>990</c:v>
                </c:pt>
                <c:pt idx="72" c:formatCode="0">
                  <c:v>1000</c:v>
                </c:pt>
                <c:pt idx="73" c:formatCode="0">
                  <c:v>1010</c:v>
                </c:pt>
                <c:pt idx="74" c:formatCode="0">
                  <c:v>1020</c:v>
                </c:pt>
                <c:pt idx="75" c:formatCode="0">
                  <c:v>1030</c:v>
                </c:pt>
                <c:pt idx="76" c:formatCode="0">
                  <c:v>1040</c:v>
                </c:pt>
                <c:pt idx="77" c:formatCode="0">
                  <c:v>1050</c:v>
                </c:pt>
                <c:pt idx="78" c:formatCode="0">
                  <c:v>1060</c:v>
                </c:pt>
                <c:pt idx="79" c:formatCode="0">
                  <c:v>1070</c:v>
                </c:pt>
                <c:pt idx="80" c:formatCode="0">
                  <c:v>1080</c:v>
                </c:pt>
                <c:pt idx="81" c:formatCode="0">
                  <c:v>1090</c:v>
                </c:pt>
                <c:pt idx="82" c:formatCode="0">
                  <c:v>1100</c:v>
                </c:pt>
                <c:pt idx="83" c:formatCode="0">
                  <c:v>1110</c:v>
                </c:pt>
                <c:pt idx="84" c:formatCode="0">
                  <c:v>1120</c:v>
                </c:pt>
                <c:pt idx="85" c:formatCode="0">
                  <c:v>1130</c:v>
                </c:pt>
                <c:pt idx="86" c:formatCode="0">
                  <c:v>1140</c:v>
                </c:pt>
                <c:pt idx="87" c:formatCode="0">
                  <c:v>1150</c:v>
                </c:pt>
                <c:pt idx="88" c:formatCode="0">
                  <c:v>1160</c:v>
                </c:pt>
                <c:pt idx="89" c:formatCode="0">
                  <c:v>1170</c:v>
                </c:pt>
                <c:pt idx="90" c:formatCode="0">
                  <c:v>1180</c:v>
                </c:pt>
                <c:pt idx="91" c:formatCode="0">
                  <c:v>1190</c:v>
                </c:pt>
                <c:pt idx="92" c:formatCode="0">
                  <c:v>1200</c:v>
                </c:pt>
                <c:pt idx="93" c:formatCode="0">
                  <c:v>1210</c:v>
                </c:pt>
                <c:pt idx="94" c:formatCode="0">
                  <c:v>1220</c:v>
                </c:pt>
                <c:pt idx="95" c:formatCode="0">
                  <c:v>1230</c:v>
                </c:pt>
                <c:pt idx="96" c:formatCode="0">
                  <c:v>1240</c:v>
                </c:pt>
                <c:pt idx="97" c:formatCode="0">
                  <c:v>1250</c:v>
                </c:pt>
                <c:pt idx="98" c:formatCode="0">
                  <c:v>1260</c:v>
                </c:pt>
                <c:pt idx="99" c:formatCode="0">
                  <c:v>1270</c:v>
                </c:pt>
                <c:pt idx="100" c:formatCode="0">
                  <c:v>1280</c:v>
                </c:pt>
                <c:pt idx="101" c:formatCode="0">
                  <c:v>1290</c:v>
                </c:pt>
                <c:pt idx="102" c:formatCode="0">
                  <c:v>1300</c:v>
                </c:pt>
                <c:pt idx="103" c:formatCode="0">
                  <c:v>1310</c:v>
                </c:pt>
                <c:pt idx="104" c:formatCode="0">
                  <c:v>1320</c:v>
                </c:pt>
                <c:pt idx="105" c:formatCode="0">
                  <c:v>1330</c:v>
                </c:pt>
                <c:pt idx="106" c:formatCode="0">
                  <c:v>1340</c:v>
                </c:pt>
                <c:pt idx="107" c:formatCode="0">
                  <c:v>1350</c:v>
                </c:pt>
                <c:pt idx="108" c:formatCode="0">
                  <c:v>1360</c:v>
                </c:pt>
                <c:pt idx="109" c:formatCode="0">
                  <c:v>1370</c:v>
                </c:pt>
                <c:pt idx="110" c:formatCode="0">
                  <c:v>1380</c:v>
                </c:pt>
                <c:pt idx="111" c:formatCode="0">
                  <c:v>1390</c:v>
                </c:pt>
                <c:pt idx="112" c:formatCode="0">
                  <c:v>1400</c:v>
                </c:pt>
                <c:pt idx="113" c:formatCode="0">
                  <c:v>1500</c:v>
                </c:pt>
                <c:pt idx="114" c:formatCode="0">
                  <c:v>1600</c:v>
                </c:pt>
                <c:pt idx="115" c:formatCode="0">
                  <c:v>1700</c:v>
                </c:pt>
                <c:pt idx="116" c:formatCode="0">
                  <c:v>1800</c:v>
                </c:pt>
                <c:pt idx="117" c:formatCode="0">
                  <c:v>1900</c:v>
                </c:pt>
                <c:pt idx="118" c:formatCode="0">
                  <c:v>2000</c:v>
                </c:pt>
                <c:pt idx="119" c:formatCode="0">
                  <c:v>2100</c:v>
                </c:pt>
                <c:pt idx="120" c:formatCode="0">
                  <c:v>2200</c:v>
                </c:pt>
                <c:pt idx="121" c:formatCode="0">
                  <c:v>2300</c:v>
                </c:pt>
              </c:numCache>
            </c:numRef>
          </c:xVal>
          <c:yVal>
            <c:numRef>
              <c:f>Пр6!$G$2:$G$123</c:f>
              <c:numCache>
                <c:formatCode>0.000</c:formatCode>
                <c:ptCount val="122"/>
                <c:pt idx="0">
                  <c:v>1.27</c:v>
                </c:pt>
                <c:pt idx="1">
                  <c:v>1.275</c:v>
                </c:pt>
                <c:pt idx="2">
                  <c:v>1.28</c:v>
                </c:pt>
                <c:pt idx="3">
                  <c:v>1.285</c:v>
                </c:pt>
                <c:pt idx="4">
                  <c:v>1.29</c:v>
                </c:pt>
                <c:pt idx="5">
                  <c:v>1.29125</c:v>
                </c:pt>
                <c:pt idx="6">
                  <c:v>1.2925</c:v>
                </c:pt>
                <c:pt idx="7">
                  <c:v>1.29375</c:v>
                </c:pt>
                <c:pt idx="8">
                  <c:v>1.295</c:v>
                </c:pt>
                <c:pt idx="9">
                  <c:v>1.2975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  <c:pt idx="13">
                  <c:v>1.3015</c:v>
                </c:pt>
                <c:pt idx="14">
                  <c:v>1.303</c:v>
                </c:pt>
                <c:pt idx="15">
                  <c:v>1.3045</c:v>
                </c:pt>
                <c:pt idx="16">
                  <c:v>1.306</c:v>
                </c:pt>
                <c:pt idx="17">
                  <c:v>1.3075</c:v>
                </c:pt>
                <c:pt idx="18">
                  <c:v>1.309</c:v>
                </c:pt>
                <c:pt idx="19">
                  <c:v>1.3105</c:v>
                </c:pt>
                <c:pt idx="20">
                  <c:v>1.312</c:v>
                </c:pt>
                <c:pt idx="21">
                  <c:v>1.3135</c:v>
                </c:pt>
                <c:pt idx="22">
                  <c:v>1.315</c:v>
                </c:pt>
                <c:pt idx="23">
                  <c:v>1.3155</c:v>
                </c:pt>
                <c:pt idx="24">
                  <c:v>1.316</c:v>
                </c:pt>
                <c:pt idx="25">
                  <c:v>1.3165</c:v>
                </c:pt>
                <c:pt idx="26">
                  <c:v>1.317</c:v>
                </c:pt>
                <c:pt idx="27">
                  <c:v>1.3175</c:v>
                </c:pt>
                <c:pt idx="28">
                  <c:v>1.318</c:v>
                </c:pt>
                <c:pt idx="29">
                  <c:v>1.3185</c:v>
                </c:pt>
                <c:pt idx="30">
                  <c:v>1.319</c:v>
                </c:pt>
                <c:pt idx="31">
                  <c:v>1.3195</c:v>
                </c:pt>
                <c:pt idx="32">
                  <c:v>1.32</c:v>
                </c:pt>
                <c:pt idx="33">
                  <c:v>1.3205</c:v>
                </c:pt>
                <c:pt idx="34">
                  <c:v>1.321</c:v>
                </c:pt>
                <c:pt idx="35">
                  <c:v>1.3215</c:v>
                </c:pt>
                <c:pt idx="36">
                  <c:v>1.322</c:v>
                </c:pt>
                <c:pt idx="37">
                  <c:v>1.3225</c:v>
                </c:pt>
                <c:pt idx="38">
                  <c:v>1.323</c:v>
                </c:pt>
                <c:pt idx="39">
                  <c:v>1.3235</c:v>
                </c:pt>
                <c:pt idx="40">
                  <c:v>1.324</c:v>
                </c:pt>
                <c:pt idx="41">
                  <c:v>1.3245</c:v>
                </c:pt>
                <c:pt idx="42">
                  <c:v>1.325</c:v>
                </c:pt>
                <c:pt idx="43">
                  <c:v>1.3255</c:v>
                </c:pt>
                <c:pt idx="44">
                  <c:v>1.326</c:v>
                </c:pt>
                <c:pt idx="45">
                  <c:v>1.3265</c:v>
                </c:pt>
                <c:pt idx="46">
                  <c:v>1.327</c:v>
                </c:pt>
                <c:pt idx="47">
                  <c:v>1.3275</c:v>
                </c:pt>
                <c:pt idx="48">
                  <c:v>1.328</c:v>
                </c:pt>
                <c:pt idx="49">
                  <c:v>1.3285</c:v>
                </c:pt>
                <c:pt idx="50">
                  <c:v>1.329</c:v>
                </c:pt>
                <c:pt idx="51">
                  <c:v>1.3295</c:v>
                </c:pt>
                <c:pt idx="52">
                  <c:v>1.33</c:v>
                </c:pt>
                <c:pt idx="53">
                  <c:v>1.3305</c:v>
                </c:pt>
                <c:pt idx="54">
                  <c:v>1.331</c:v>
                </c:pt>
                <c:pt idx="55">
                  <c:v>1.3315</c:v>
                </c:pt>
                <c:pt idx="56">
                  <c:v>1.332</c:v>
                </c:pt>
                <c:pt idx="57">
                  <c:v>1.3325</c:v>
                </c:pt>
                <c:pt idx="58">
                  <c:v>1.333</c:v>
                </c:pt>
                <c:pt idx="59">
                  <c:v>1.3335</c:v>
                </c:pt>
                <c:pt idx="60">
                  <c:v>1.334</c:v>
                </c:pt>
                <c:pt idx="61">
                  <c:v>1.3345</c:v>
                </c:pt>
                <c:pt idx="62">
                  <c:v>1.335</c:v>
                </c:pt>
                <c:pt idx="63">
                  <c:v>1.3355</c:v>
                </c:pt>
                <c:pt idx="64">
                  <c:v>1.336</c:v>
                </c:pt>
                <c:pt idx="65">
                  <c:v>1.3365</c:v>
                </c:pt>
                <c:pt idx="66">
                  <c:v>1.337</c:v>
                </c:pt>
                <c:pt idx="67">
                  <c:v>1.3375</c:v>
                </c:pt>
                <c:pt idx="68">
                  <c:v>1.338</c:v>
                </c:pt>
                <c:pt idx="69">
                  <c:v>1.3385</c:v>
                </c:pt>
                <c:pt idx="70">
                  <c:v>1.339</c:v>
                </c:pt>
                <c:pt idx="71">
                  <c:v>1.3395</c:v>
                </c:pt>
                <c:pt idx="72">
                  <c:v>1.34</c:v>
                </c:pt>
                <c:pt idx="73">
                  <c:v>1.3405</c:v>
                </c:pt>
                <c:pt idx="74">
                  <c:v>1.341</c:v>
                </c:pt>
                <c:pt idx="75">
                  <c:v>1.3415</c:v>
                </c:pt>
                <c:pt idx="76">
                  <c:v>1.342</c:v>
                </c:pt>
                <c:pt idx="77">
                  <c:v>1.3425</c:v>
                </c:pt>
                <c:pt idx="78">
                  <c:v>1.343</c:v>
                </c:pt>
                <c:pt idx="79">
                  <c:v>1.3435</c:v>
                </c:pt>
                <c:pt idx="80">
                  <c:v>1.344</c:v>
                </c:pt>
                <c:pt idx="81">
                  <c:v>1.3445</c:v>
                </c:pt>
                <c:pt idx="82">
                  <c:v>1.345</c:v>
                </c:pt>
                <c:pt idx="83">
                  <c:v>1.3455</c:v>
                </c:pt>
                <c:pt idx="84">
                  <c:v>1.346</c:v>
                </c:pt>
                <c:pt idx="85">
                  <c:v>1.3465</c:v>
                </c:pt>
                <c:pt idx="86">
                  <c:v>1.347</c:v>
                </c:pt>
                <c:pt idx="87">
                  <c:v>1.3475</c:v>
                </c:pt>
                <c:pt idx="88">
                  <c:v>1.348</c:v>
                </c:pt>
                <c:pt idx="89">
                  <c:v>1.3485</c:v>
                </c:pt>
                <c:pt idx="90">
                  <c:v>1.349</c:v>
                </c:pt>
                <c:pt idx="91">
                  <c:v>1.3495</c:v>
                </c:pt>
                <c:pt idx="92">
                  <c:v>1.35</c:v>
                </c:pt>
                <c:pt idx="93">
                  <c:v>1.3505</c:v>
                </c:pt>
                <c:pt idx="94">
                  <c:v>1.351</c:v>
                </c:pt>
                <c:pt idx="95">
                  <c:v>1.3515</c:v>
                </c:pt>
                <c:pt idx="96">
                  <c:v>1.352</c:v>
                </c:pt>
                <c:pt idx="97">
                  <c:v>1.3525</c:v>
                </c:pt>
                <c:pt idx="98">
                  <c:v>1.353</c:v>
                </c:pt>
                <c:pt idx="99">
                  <c:v>1.3535</c:v>
                </c:pt>
                <c:pt idx="100">
                  <c:v>1.354</c:v>
                </c:pt>
                <c:pt idx="101">
                  <c:v>1.3545</c:v>
                </c:pt>
                <c:pt idx="102">
                  <c:v>1.355</c:v>
                </c:pt>
                <c:pt idx="103">
                  <c:v>1.3555</c:v>
                </c:pt>
                <c:pt idx="104">
                  <c:v>1.356</c:v>
                </c:pt>
                <c:pt idx="105">
                  <c:v>1.3565</c:v>
                </c:pt>
                <c:pt idx="106">
                  <c:v>1.357</c:v>
                </c:pt>
                <c:pt idx="107">
                  <c:v>1.3575</c:v>
                </c:pt>
                <c:pt idx="108">
                  <c:v>1.358</c:v>
                </c:pt>
                <c:pt idx="109">
                  <c:v>1.3585</c:v>
                </c:pt>
                <c:pt idx="110">
                  <c:v>1.359</c:v>
                </c:pt>
                <c:pt idx="111">
                  <c:v>1.3595</c:v>
                </c:pt>
                <c:pt idx="112">
                  <c:v>1.36</c:v>
                </c:pt>
                <c:pt idx="113">
                  <c:v>1.365</c:v>
                </c:pt>
                <c:pt idx="114">
                  <c:v>1.37</c:v>
                </c:pt>
                <c:pt idx="115">
                  <c:v>1.375</c:v>
                </c:pt>
                <c:pt idx="116">
                  <c:v>1.38</c:v>
                </c:pt>
                <c:pt idx="117">
                  <c:v>1.385</c:v>
                </c:pt>
                <c:pt idx="118">
                  <c:v>1.3905</c:v>
                </c:pt>
                <c:pt idx="119">
                  <c:v>1.396</c:v>
                </c:pt>
                <c:pt idx="120">
                  <c:v>1.4005</c:v>
                </c:pt>
                <c:pt idx="121">
                  <c:v>1.405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42368"/>
        <c:axId val="179643904"/>
      </c:scatterChart>
      <c:valAx>
        <c:axId val="17964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643904"/>
        <c:crosses val="autoZero"/>
        <c:crossBetween val="midCat"/>
      </c:valAx>
      <c:valAx>
        <c:axId val="17964390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642368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049254-ae1e-41c9-9bba-c3d1f4073bbb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Пр6!$H$1</c:f>
              <c:strCache>
                <c:ptCount val="1"/>
                <c:pt idx="0">
                  <c:v>СО,
кДж/(м3*оС)</c:v>
                </c:pt>
              </c:strCache>
            </c:strRef>
          </c:tx>
          <c:dLbls>
            <c:delete val="1"/>
          </c:dLbls>
          <c:xVal>
            <c:numRef>
              <c:f>Пр6!$A$2:$A$123</c:f>
              <c:numCache>
                <c:formatCode>General</c:formatCode>
                <c:ptCount val="122"/>
                <c:pt idx="0">
                  <c:v>0</c:v>
                </c:pt>
                <c:pt idx="1" c:formatCode="0">
                  <c:v>25</c:v>
                </c:pt>
                <c:pt idx="2" c:formatCode="0">
                  <c:v>50</c:v>
                </c:pt>
                <c:pt idx="3" c:formatCode="0">
                  <c:v>75</c:v>
                </c:pt>
                <c:pt idx="4">
                  <c:v>100</c:v>
                </c:pt>
                <c:pt idx="5" c:formatCode="0">
                  <c:v>125</c:v>
                </c:pt>
                <c:pt idx="6" c:formatCode="0">
                  <c:v>150</c:v>
                </c:pt>
                <c:pt idx="7" c:formatCode="0">
                  <c:v>175</c:v>
                </c:pt>
                <c:pt idx="8">
                  <c:v>200</c:v>
                </c:pt>
                <c:pt idx="9" c:formatCode="0">
                  <c:v>250</c:v>
                </c:pt>
                <c:pt idx="10">
                  <c:v>300</c:v>
                </c:pt>
                <c:pt idx="11" c:formatCode="0">
                  <c:v>350</c:v>
                </c:pt>
                <c:pt idx="12" c:formatCode="0">
                  <c:v>400</c:v>
                </c:pt>
                <c:pt idx="13" c:formatCode="0">
                  <c:v>410</c:v>
                </c:pt>
                <c:pt idx="14" c:formatCode="0">
                  <c:v>420</c:v>
                </c:pt>
                <c:pt idx="15" c:formatCode="0">
                  <c:v>430</c:v>
                </c:pt>
                <c:pt idx="16" c:formatCode="0">
                  <c:v>440</c:v>
                </c:pt>
                <c:pt idx="17" c:formatCode="0">
                  <c:v>450</c:v>
                </c:pt>
                <c:pt idx="18" c:formatCode="0">
                  <c:v>460</c:v>
                </c:pt>
                <c:pt idx="19" c:formatCode="0">
                  <c:v>470</c:v>
                </c:pt>
                <c:pt idx="20" c:formatCode="0">
                  <c:v>480</c:v>
                </c:pt>
                <c:pt idx="21" c:formatCode="0">
                  <c:v>490</c:v>
                </c:pt>
                <c:pt idx="22" c:formatCode="0">
                  <c:v>500</c:v>
                </c:pt>
                <c:pt idx="23" c:formatCode="0">
                  <c:v>510</c:v>
                </c:pt>
                <c:pt idx="24" c:formatCode="0">
                  <c:v>520</c:v>
                </c:pt>
                <c:pt idx="25" c:formatCode="0">
                  <c:v>530</c:v>
                </c:pt>
                <c:pt idx="26" c:formatCode="0">
                  <c:v>540</c:v>
                </c:pt>
                <c:pt idx="27" c:formatCode="0">
                  <c:v>550</c:v>
                </c:pt>
                <c:pt idx="28" c:formatCode="0">
                  <c:v>560</c:v>
                </c:pt>
                <c:pt idx="29" c:formatCode="0">
                  <c:v>570</c:v>
                </c:pt>
                <c:pt idx="30" c:formatCode="0">
                  <c:v>580</c:v>
                </c:pt>
                <c:pt idx="31" c:formatCode="0">
                  <c:v>590</c:v>
                </c:pt>
                <c:pt idx="32" c:formatCode="0">
                  <c:v>600</c:v>
                </c:pt>
                <c:pt idx="33" c:formatCode="0">
                  <c:v>610</c:v>
                </c:pt>
                <c:pt idx="34" c:formatCode="0">
                  <c:v>620</c:v>
                </c:pt>
                <c:pt idx="35" c:formatCode="0">
                  <c:v>630</c:v>
                </c:pt>
                <c:pt idx="36" c:formatCode="0">
                  <c:v>640</c:v>
                </c:pt>
                <c:pt idx="37" c:formatCode="0">
                  <c:v>650</c:v>
                </c:pt>
                <c:pt idx="38" c:formatCode="0">
                  <c:v>660</c:v>
                </c:pt>
                <c:pt idx="39" c:formatCode="0">
                  <c:v>670</c:v>
                </c:pt>
                <c:pt idx="40" c:formatCode="0">
                  <c:v>680</c:v>
                </c:pt>
                <c:pt idx="41" c:formatCode="0">
                  <c:v>690</c:v>
                </c:pt>
                <c:pt idx="42" c:formatCode="0">
                  <c:v>700</c:v>
                </c:pt>
                <c:pt idx="43" c:formatCode="0">
                  <c:v>710</c:v>
                </c:pt>
                <c:pt idx="44" c:formatCode="0">
                  <c:v>720</c:v>
                </c:pt>
                <c:pt idx="45" c:formatCode="0">
                  <c:v>730</c:v>
                </c:pt>
                <c:pt idx="46" c:formatCode="0">
                  <c:v>740</c:v>
                </c:pt>
                <c:pt idx="47" c:formatCode="0">
                  <c:v>750</c:v>
                </c:pt>
                <c:pt idx="48" c:formatCode="0">
                  <c:v>760</c:v>
                </c:pt>
                <c:pt idx="49" c:formatCode="0">
                  <c:v>770</c:v>
                </c:pt>
                <c:pt idx="50" c:formatCode="0">
                  <c:v>780</c:v>
                </c:pt>
                <c:pt idx="51" c:formatCode="0">
                  <c:v>790</c:v>
                </c:pt>
                <c:pt idx="52" c:formatCode="0">
                  <c:v>800</c:v>
                </c:pt>
                <c:pt idx="53" c:formatCode="0">
                  <c:v>810</c:v>
                </c:pt>
                <c:pt idx="54" c:formatCode="0">
                  <c:v>820</c:v>
                </c:pt>
                <c:pt idx="55" c:formatCode="0">
                  <c:v>830</c:v>
                </c:pt>
                <c:pt idx="56" c:formatCode="0">
                  <c:v>840</c:v>
                </c:pt>
                <c:pt idx="57" c:formatCode="0">
                  <c:v>850</c:v>
                </c:pt>
                <c:pt idx="58" c:formatCode="0">
                  <c:v>860</c:v>
                </c:pt>
                <c:pt idx="59" c:formatCode="0">
                  <c:v>870</c:v>
                </c:pt>
                <c:pt idx="60" c:formatCode="0">
                  <c:v>880</c:v>
                </c:pt>
                <c:pt idx="61" c:formatCode="0">
                  <c:v>890</c:v>
                </c:pt>
                <c:pt idx="62" c:formatCode="0">
                  <c:v>900</c:v>
                </c:pt>
                <c:pt idx="63" c:formatCode="0">
                  <c:v>910</c:v>
                </c:pt>
                <c:pt idx="64" c:formatCode="0">
                  <c:v>920</c:v>
                </c:pt>
                <c:pt idx="65" c:formatCode="0">
                  <c:v>930</c:v>
                </c:pt>
                <c:pt idx="66" c:formatCode="0">
                  <c:v>940</c:v>
                </c:pt>
                <c:pt idx="67" c:formatCode="0">
                  <c:v>950</c:v>
                </c:pt>
                <c:pt idx="68" c:formatCode="0">
                  <c:v>960</c:v>
                </c:pt>
                <c:pt idx="69" c:formatCode="0">
                  <c:v>970</c:v>
                </c:pt>
                <c:pt idx="70" c:formatCode="0">
                  <c:v>980</c:v>
                </c:pt>
                <c:pt idx="71" c:formatCode="0">
                  <c:v>990</c:v>
                </c:pt>
                <c:pt idx="72" c:formatCode="0">
                  <c:v>1000</c:v>
                </c:pt>
                <c:pt idx="73" c:formatCode="0">
                  <c:v>1010</c:v>
                </c:pt>
                <c:pt idx="74" c:formatCode="0">
                  <c:v>1020</c:v>
                </c:pt>
                <c:pt idx="75" c:formatCode="0">
                  <c:v>1030</c:v>
                </c:pt>
                <c:pt idx="76" c:formatCode="0">
                  <c:v>1040</c:v>
                </c:pt>
                <c:pt idx="77" c:formatCode="0">
                  <c:v>1050</c:v>
                </c:pt>
                <c:pt idx="78" c:formatCode="0">
                  <c:v>1060</c:v>
                </c:pt>
                <c:pt idx="79" c:formatCode="0">
                  <c:v>1070</c:v>
                </c:pt>
                <c:pt idx="80" c:formatCode="0">
                  <c:v>1080</c:v>
                </c:pt>
                <c:pt idx="81" c:formatCode="0">
                  <c:v>1090</c:v>
                </c:pt>
                <c:pt idx="82" c:formatCode="0">
                  <c:v>1100</c:v>
                </c:pt>
                <c:pt idx="83" c:formatCode="0">
                  <c:v>1110</c:v>
                </c:pt>
                <c:pt idx="84" c:formatCode="0">
                  <c:v>1120</c:v>
                </c:pt>
                <c:pt idx="85" c:formatCode="0">
                  <c:v>1130</c:v>
                </c:pt>
                <c:pt idx="86" c:formatCode="0">
                  <c:v>1140</c:v>
                </c:pt>
                <c:pt idx="87" c:formatCode="0">
                  <c:v>1150</c:v>
                </c:pt>
                <c:pt idx="88" c:formatCode="0">
                  <c:v>1160</c:v>
                </c:pt>
                <c:pt idx="89" c:formatCode="0">
                  <c:v>1170</c:v>
                </c:pt>
                <c:pt idx="90" c:formatCode="0">
                  <c:v>1180</c:v>
                </c:pt>
                <c:pt idx="91" c:formatCode="0">
                  <c:v>1190</c:v>
                </c:pt>
                <c:pt idx="92" c:formatCode="0">
                  <c:v>1200</c:v>
                </c:pt>
                <c:pt idx="93" c:formatCode="0">
                  <c:v>1210</c:v>
                </c:pt>
                <c:pt idx="94" c:formatCode="0">
                  <c:v>1220</c:v>
                </c:pt>
                <c:pt idx="95" c:formatCode="0">
                  <c:v>1230</c:v>
                </c:pt>
                <c:pt idx="96" c:formatCode="0">
                  <c:v>1240</c:v>
                </c:pt>
                <c:pt idx="97" c:formatCode="0">
                  <c:v>1250</c:v>
                </c:pt>
                <c:pt idx="98" c:formatCode="0">
                  <c:v>1260</c:v>
                </c:pt>
                <c:pt idx="99" c:formatCode="0">
                  <c:v>1270</c:v>
                </c:pt>
                <c:pt idx="100" c:formatCode="0">
                  <c:v>1280</c:v>
                </c:pt>
                <c:pt idx="101" c:formatCode="0">
                  <c:v>1290</c:v>
                </c:pt>
                <c:pt idx="102" c:formatCode="0">
                  <c:v>1300</c:v>
                </c:pt>
                <c:pt idx="103" c:formatCode="0">
                  <c:v>1310</c:v>
                </c:pt>
                <c:pt idx="104" c:formatCode="0">
                  <c:v>1320</c:v>
                </c:pt>
                <c:pt idx="105" c:formatCode="0">
                  <c:v>1330</c:v>
                </c:pt>
                <c:pt idx="106" c:formatCode="0">
                  <c:v>1340</c:v>
                </c:pt>
                <c:pt idx="107" c:formatCode="0">
                  <c:v>1350</c:v>
                </c:pt>
                <c:pt idx="108" c:formatCode="0">
                  <c:v>1360</c:v>
                </c:pt>
                <c:pt idx="109" c:formatCode="0">
                  <c:v>1370</c:v>
                </c:pt>
                <c:pt idx="110" c:formatCode="0">
                  <c:v>1380</c:v>
                </c:pt>
                <c:pt idx="111" c:formatCode="0">
                  <c:v>1390</c:v>
                </c:pt>
                <c:pt idx="112" c:formatCode="0">
                  <c:v>1400</c:v>
                </c:pt>
                <c:pt idx="113" c:formatCode="0">
                  <c:v>1500</c:v>
                </c:pt>
                <c:pt idx="114" c:formatCode="0">
                  <c:v>1600</c:v>
                </c:pt>
                <c:pt idx="115" c:formatCode="0">
                  <c:v>1700</c:v>
                </c:pt>
                <c:pt idx="116" c:formatCode="0">
                  <c:v>1800</c:v>
                </c:pt>
                <c:pt idx="117" c:formatCode="0">
                  <c:v>1900</c:v>
                </c:pt>
                <c:pt idx="118" c:formatCode="0">
                  <c:v>2000</c:v>
                </c:pt>
                <c:pt idx="119" c:formatCode="0">
                  <c:v>2100</c:v>
                </c:pt>
                <c:pt idx="120" c:formatCode="0">
                  <c:v>2200</c:v>
                </c:pt>
                <c:pt idx="121" c:formatCode="0">
                  <c:v>2300</c:v>
                </c:pt>
              </c:numCache>
            </c:numRef>
          </c:xVal>
          <c:yVal>
            <c:numRef>
              <c:f>Пр6!$H$2:$H$123</c:f>
              <c:numCache>
                <c:formatCode>0.000</c:formatCode>
                <c:ptCount val="122"/>
                <c:pt idx="0">
                  <c:v>1.295</c:v>
                </c:pt>
                <c:pt idx="1">
                  <c:v>1.29625</c:v>
                </c:pt>
                <c:pt idx="2">
                  <c:v>1.2975</c:v>
                </c:pt>
                <c:pt idx="3">
                  <c:v>1.29875</c:v>
                </c:pt>
                <c:pt idx="4">
                  <c:v>1.3</c:v>
                </c:pt>
                <c:pt idx="5">
                  <c:v>1.3025</c:v>
                </c:pt>
                <c:pt idx="6">
                  <c:v>1.305</c:v>
                </c:pt>
                <c:pt idx="7">
                  <c:v>1.3075</c:v>
                </c:pt>
                <c:pt idx="8">
                  <c:v>1.31</c:v>
                </c:pt>
                <c:pt idx="9">
                  <c:v>1.3125</c:v>
                </c:pt>
                <c:pt idx="10">
                  <c:v>1.315</c:v>
                </c:pt>
                <c:pt idx="11">
                  <c:v>1.3225</c:v>
                </c:pt>
                <c:pt idx="12">
                  <c:v>1.33</c:v>
                </c:pt>
                <c:pt idx="13">
                  <c:v>1.3305</c:v>
                </c:pt>
                <c:pt idx="14">
                  <c:v>1.331</c:v>
                </c:pt>
                <c:pt idx="15">
                  <c:v>1.3315</c:v>
                </c:pt>
                <c:pt idx="16">
                  <c:v>1.332</c:v>
                </c:pt>
                <c:pt idx="17">
                  <c:v>1.3325</c:v>
                </c:pt>
                <c:pt idx="18">
                  <c:v>1.333</c:v>
                </c:pt>
                <c:pt idx="19">
                  <c:v>1.3335</c:v>
                </c:pt>
                <c:pt idx="20">
                  <c:v>1.334</c:v>
                </c:pt>
                <c:pt idx="21">
                  <c:v>1.3345</c:v>
                </c:pt>
                <c:pt idx="22">
                  <c:v>1.335</c:v>
                </c:pt>
                <c:pt idx="23">
                  <c:v>1.3355</c:v>
                </c:pt>
                <c:pt idx="24">
                  <c:v>1.336</c:v>
                </c:pt>
                <c:pt idx="25">
                  <c:v>1.3365</c:v>
                </c:pt>
                <c:pt idx="26">
                  <c:v>1.337</c:v>
                </c:pt>
                <c:pt idx="27">
                  <c:v>1.3375</c:v>
                </c:pt>
                <c:pt idx="28">
                  <c:v>1.338</c:v>
                </c:pt>
                <c:pt idx="29">
                  <c:v>1.3385</c:v>
                </c:pt>
                <c:pt idx="30">
                  <c:v>1.339</c:v>
                </c:pt>
                <c:pt idx="31">
                  <c:v>1.3395</c:v>
                </c:pt>
                <c:pt idx="32">
                  <c:v>1.34</c:v>
                </c:pt>
                <c:pt idx="33">
                  <c:v>1.343</c:v>
                </c:pt>
                <c:pt idx="34">
                  <c:v>1.346</c:v>
                </c:pt>
                <c:pt idx="35">
                  <c:v>1.349</c:v>
                </c:pt>
                <c:pt idx="36">
                  <c:v>1.352</c:v>
                </c:pt>
                <c:pt idx="37">
                  <c:v>1.355</c:v>
                </c:pt>
                <c:pt idx="38">
                  <c:v>1.358</c:v>
                </c:pt>
                <c:pt idx="39">
                  <c:v>1.361</c:v>
                </c:pt>
                <c:pt idx="40">
                  <c:v>1.364</c:v>
                </c:pt>
                <c:pt idx="41">
                  <c:v>1.367</c:v>
                </c:pt>
                <c:pt idx="42">
                  <c:v>1.37</c:v>
                </c:pt>
                <c:pt idx="43">
                  <c:v>1.371</c:v>
                </c:pt>
                <c:pt idx="44">
                  <c:v>1.372</c:v>
                </c:pt>
                <c:pt idx="45">
                  <c:v>1.373</c:v>
                </c:pt>
                <c:pt idx="46">
                  <c:v>1.374</c:v>
                </c:pt>
                <c:pt idx="47">
                  <c:v>1.375</c:v>
                </c:pt>
                <c:pt idx="48">
                  <c:v>1.376</c:v>
                </c:pt>
                <c:pt idx="49">
                  <c:v>1.377</c:v>
                </c:pt>
                <c:pt idx="50">
                  <c:v>1.378</c:v>
                </c:pt>
                <c:pt idx="51">
                  <c:v>1.379</c:v>
                </c:pt>
                <c:pt idx="52">
                  <c:v>1.38</c:v>
                </c:pt>
                <c:pt idx="53">
                  <c:v>1.3805</c:v>
                </c:pt>
                <c:pt idx="54">
                  <c:v>1.381</c:v>
                </c:pt>
                <c:pt idx="55">
                  <c:v>1.3815</c:v>
                </c:pt>
                <c:pt idx="56">
                  <c:v>1.382</c:v>
                </c:pt>
                <c:pt idx="57">
                  <c:v>1.3825</c:v>
                </c:pt>
                <c:pt idx="58">
                  <c:v>1.383</c:v>
                </c:pt>
                <c:pt idx="59">
                  <c:v>1.3835</c:v>
                </c:pt>
                <c:pt idx="60">
                  <c:v>1.384</c:v>
                </c:pt>
                <c:pt idx="61">
                  <c:v>1.3845</c:v>
                </c:pt>
                <c:pt idx="62">
                  <c:v>1.385</c:v>
                </c:pt>
                <c:pt idx="63">
                  <c:v>1.3855</c:v>
                </c:pt>
                <c:pt idx="64">
                  <c:v>1.386</c:v>
                </c:pt>
                <c:pt idx="65">
                  <c:v>1.3865</c:v>
                </c:pt>
                <c:pt idx="66">
                  <c:v>1.387</c:v>
                </c:pt>
                <c:pt idx="67">
                  <c:v>1.3875</c:v>
                </c:pt>
                <c:pt idx="68">
                  <c:v>1.388</c:v>
                </c:pt>
                <c:pt idx="69">
                  <c:v>1.3885</c:v>
                </c:pt>
                <c:pt idx="70">
                  <c:v>1.389</c:v>
                </c:pt>
                <c:pt idx="71">
                  <c:v>1.3895</c:v>
                </c:pt>
                <c:pt idx="72">
                  <c:v>1.39</c:v>
                </c:pt>
                <c:pt idx="73">
                  <c:v>1.391</c:v>
                </c:pt>
                <c:pt idx="74">
                  <c:v>1.392</c:v>
                </c:pt>
                <c:pt idx="75">
                  <c:v>1.393</c:v>
                </c:pt>
                <c:pt idx="76">
                  <c:v>1.394</c:v>
                </c:pt>
                <c:pt idx="77">
                  <c:v>1.395</c:v>
                </c:pt>
                <c:pt idx="78">
                  <c:v>1.396</c:v>
                </c:pt>
                <c:pt idx="79">
                  <c:v>1.397</c:v>
                </c:pt>
                <c:pt idx="80">
                  <c:v>1.398</c:v>
                </c:pt>
                <c:pt idx="81">
                  <c:v>1.399</c:v>
                </c:pt>
                <c:pt idx="82">
                  <c:v>1.4</c:v>
                </c:pt>
                <c:pt idx="83">
                  <c:v>1.402</c:v>
                </c:pt>
                <c:pt idx="84">
                  <c:v>1.404</c:v>
                </c:pt>
                <c:pt idx="85">
                  <c:v>1.406</c:v>
                </c:pt>
                <c:pt idx="86">
                  <c:v>1.408</c:v>
                </c:pt>
                <c:pt idx="87">
                  <c:v>1.41</c:v>
                </c:pt>
                <c:pt idx="88">
                  <c:v>1.412</c:v>
                </c:pt>
                <c:pt idx="89">
                  <c:v>1.414</c:v>
                </c:pt>
                <c:pt idx="90">
                  <c:v>1.416</c:v>
                </c:pt>
                <c:pt idx="91">
                  <c:v>1.418</c:v>
                </c:pt>
                <c:pt idx="92">
                  <c:v>1.42</c:v>
                </c:pt>
                <c:pt idx="93">
                  <c:v>1.4205</c:v>
                </c:pt>
                <c:pt idx="94">
                  <c:v>1.421</c:v>
                </c:pt>
                <c:pt idx="95">
                  <c:v>1.4215</c:v>
                </c:pt>
                <c:pt idx="96">
                  <c:v>1.422</c:v>
                </c:pt>
                <c:pt idx="97">
                  <c:v>1.4225</c:v>
                </c:pt>
                <c:pt idx="98">
                  <c:v>1.423</c:v>
                </c:pt>
                <c:pt idx="99">
                  <c:v>1.4235</c:v>
                </c:pt>
                <c:pt idx="100">
                  <c:v>1.424</c:v>
                </c:pt>
                <c:pt idx="101">
                  <c:v>1.4245</c:v>
                </c:pt>
                <c:pt idx="102">
                  <c:v>1.425</c:v>
                </c:pt>
                <c:pt idx="103">
                  <c:v>1.4255</c:v>
                </c:pt>
                <c:pt idx="104">
                  <c:v>1.426</c:v>
                </c:pt>
                <c:pt idx="105">
                  <c:v>1.4265</c:v>
                </c:pt>
                <c:pt idx="106">
                  <c:v>1.427</c:v>
                </c:pt>
                <c:pt idx="107">
                  <c:v>1.4275</c:v>
                </c:pt>
                <c:pt idx="108">
                  <c:v>1.428</c:v>
                </c:pt>
                <c:pt idx="109">
                  <c:v>1.4285</c:v>
                </c:pt>
                <c:pt idx="110">
                  <c:v>1.429</c:v>
                </c:pt>
                <c:pt idx="111">
                  <c:v>1.4295</c:v>
                </c:pt>
                <c:pt idx="112">
                  <c:v>1.43</c:v>
                </c:pt>
                <c:pt idx="113">
                  <c:v>1.46</c:v>
                </c:pt>
                <c:pt idx="114">
                  <c:v>1.47</c:v>
                </c:pt>
                <c:pt idx="115">
                  <c:v>1.475</c:v>
                </c:pt>
                <c:pt idx="116">
                  <c:v>1.4825</c:v>
                </c:pt>
                <c:pt idx="117">
                  <c:v>1.49</c:v>
                </c:pt>
                <c:pt idx="118">
                  <c:v>1.5</c:v>
                </c:pt>
                <c:pt idx="119">
                  <c:v>1.51</c:v>
                </c:pt>
                <c:pt idx="120">
                  <c:v>1.515</c:v>
                </c:pt>
                <c:pt idx="121">
                  <c:v>1.52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72576"/>
        <c:axId val="179674112"/>
      </c:scatterChart>
      <c:valAx>
        <c:axId val="17967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674112"/>
        <c:crosses val="autoZero"/>
        <c:crossBetween val="midCat"/>
      </c:valAx>
      <c:valAx>
        <c:axId val="17967411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67257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c4c3bb-3940-4d8c-b408-f1ad631ec49a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Пр6!$I$1</c:f>
              <c:strCache>
                <c:ptCount val="1"/>
                <c:pt idx="0">
                  <c:v>SO2,
кДж/(м3*оС)</c:v>
                </c:pt>
              </c:strCache>
            </c:strRef>
          </c:tx>
          <c:dLbls>
            <c:delete val="1"/>
          </c:dLbls>
          <c:xVal>
            <c:numRef>
              <c:f>Пр6!$A$2:$A$123</c:f>
              <c:numCache>
                <c:formatCode>General</c:formatCode>
                <c:ptCount val="122"/>
                <c:pt idx="0">
                  <c:v>0</c:v>
                </c:pt>
                <c:pt idx="1" c:formatCode="0">
                  <c:v>25</c:v>
                </c:pt>
                <c:pt idx="2" c:formatCode="0">
                  <c:v>50</c:v>
                </c:pt>
                <c:pt idx="3" c:formatCode="0">
                  <c:v>75</c:v>
                </c:pt>
                <c:pt idx="4">
                  <c:v>100</c:v>
                </c:pt>
                <c:pt idx="5" c:formatCode="0">
                  <c:v>125</c:v>
                </c:pt>
                <c:pt idx="6" c:formatCode="0">
                  <c:v>150</c:v>
                </c:pt>
                <c:pt idx="7" c:formatCode="0">
                  <c:v>175</c:v>
                </c:pt>
                <c:pt idx="8">
                  <c:v>200</c:v>
                </c:pt>
                <c:pt idx="9" c:formatCode="0">
                  <c:v>250</c:v>
                </c:pt>
                <c:pt idx="10">
                  <c:v>300</c:v>
                </c:pt>
                <c:pt idx="11" c:formatCode="0">
                  <c:v>350</c:v>
                </c:pt>
                <c:pt idx="12" c:formatCode="0">
                  <c:v>400</c:v>
                </c:pt>
                <c:pt idx="13" c:formatCode="0">
                  <c:v>410</c:v>
                </c:pt>
                <c:pt idx="14" c:formatCode="0">
                  <c:v>420</c:v>
                </c:pt>
                <c:pt idx="15" c:formatCode="0">
                  <c:v>430</c:v>
                </c:pt>
                <c:pt idx="16" c:formatCode="0">
                  <c:v>440</c:v>
                </c:pt>
                <c:pt idx="17" c:formatCode="0">
                  <c:v>450</c:v>
                </c:pt>
                <c:pt idx="18" c:formatCode="0">
                  <c:v>460</c:v>
                </c:pt>
                <c:pt idx="19" c:formatCode="0">
                  <c:v>470</c:v>
                </c:pt>
                <c:pt idx="20" c:formatCode="0">
                  <c:v>480</c:v>
                </c:pt>
                <c:pt idx="21" c:formatCode="0">
                  <c:v>490</c:v>
                </c:pt>
                <c:pt idx="22" c:formatCode="0">
                  <c:v>500</c:v>
                </c:pt>
                <c:pt idx="23" c:formatCode="0">
                  <c:v>510</c:v>
                </c:pt>
                <c:pt idx="24" c:formatCode="0">
                  <c:v>520</c:v>
                </c:pt>
                <c:pt idx="25" c:formatCode="0">
                  <c:v>530</c:v>
                </c:pt>
                <c:pt idx="26" c:formatCode="0">
                  <c:v>540</c:v>
                </c:pt>
                <c:pt idx="27" c:formatCode="0">
                  <c:v>550</c:v>
                </c:pt>
                <c:pt idx="28" c:formatCode="0">
                  <c:v>560</c:v>
                </c:pt>
                <c:pt idx="29" c:formatCode="0">
                  <c:v>570</c:v>
                </c:pt>
                <c:pt idx="30" c:formatCode="0">
                  <c:v>580</c:v>
                </c:pt>
                <c:pt idx="31" c:formatCode="0">
                  <c:v>590</c:v>
                </c:pt>
                <c:pt idx="32" c:formatCode="0">
                  <c:v>600</c:v>
                </c:pt>
                <c:pt idx="33" c:formatCode="0">
                  <c:v>610</c:v>
                </c:pt>
                <c:pt idx="34" c:formatCode="0">
                  <c:v>620</c:v>
                </c:pt>
                <c:pt idx="35" c:formatCode="0">
                  <c:v>630</c:v>
                </c:pt>
                <c:pt idx="36" c:formatCode="0">
                  <c:v>640</c:v>
                </c:pt>
                <c:pt idx="37" c:formatCode="0">
                  <c:v>650</c:v>
                </c:pt>
                <c:pt idx="38" c:formatCode="0">
                  <c:v>660</c:v>
                </c:pt>
                <c:pt idx="39" c:formatCode="0">
                  <c:v>670</c:v>
                </c:pt>
                <c:pt idx="40" c:formatCode="0">
                  <c:v>680</c:v>
                </c:pt>
                <c:pt idx="41" c:formatCode="0">
                  <c:v>690</c:v>
                </c:pt>
                <c:pt idx="42" c:formatCode="0">
                  <c:v>700</c:v>
                </c:pt>
                <c:pt idx="43" c:formatCode="0">
                  <c:v>710</c:v>
                </c:pt>
                <c:pt idx="44" c:formatCode="0">
                  <c:v>720</c:v>
                </c:pt>
                <c:pt idx="45" c:formatCode="0">
                  <c:v>730</c:v>
                </c:pt>
                <c:pt idx="46" c:formatCode="0">
                  <c:v>740</c:v>
                </c:pt>
                <c:pt idx="47" c:formatCode="0">
                  <c:v>750</c:v>
                </c:pt>
                <c:pt idx="48" c:formatCode="0">
                  <c:v>760</c:v>
                </c:pt>
                <c:pt idx="49" c:formatCode="0">
                  <c:v>770</c:v>
                </c:pt>
                <c:pt idx="50" c:formatCode="0">
                  <c:v>780</c:v>
                </c:pt>
                <c:pt idx="51" c:formatCode="0">
                  <c:v>790</c:v>
                </c:pt>
                <c:pt idx="52" c:formatCode="0">
                  <c:v>800</c:v>
                </c:pt>
                <c:pt idx="53" c:formatCode="0">
                  <c:v>810</c:v>
                </c:pt>
                <c:pt idx="54" c:formatCode="0">
                  <c:v>820</c:v>
                </c:pt>
                <c:pt idx="55" c:formatCode="0">
                  <c:v>830</c:v>
                </c:pt>
                <c:pt idx="56" c:formatCode="0">
                  <c:v>840</c:v>
                </c:pt>
                <c:pt idx="57" c:formatCode="0">
                  <c:v>850</c:v>
                </c:pt>
                <c:pt idx="58" c:formatCode="0">
                  <c:v>860</c:v>
                </c:pt>
                <c:pt idx="59" c:formatCode="0">
                  <c:v>870</c:v>
                </c:pt>
                <c:pt idx="60" c:formatCode="0">
                  <c:v>880</c:v>
                </c:pt>
                <c:pt idx="61" c:formatCode="0">
                  <c:v>890</c:v>
                </c:pt>
                <c:pt idx="62" c:formatCode="0">
                  <c:v>900</c:v>
                </c:pt>
                <c:pt idx="63" c:formatCode="0">
                  <c:v>910</c:v>
                </c:pt>
                <c:pt idx="64" c:formatCode="0">
                  <c:v>920</c:v>
                </c:pt>
                <c:pt idx="65" c:formatCode="0">
                  <c:v>930</c:v>
                </c:pt>
                <c:pt idx="66" c:formatCode="0">
                  <c:v>940</c:v>
                </c:pt>
                <c:pt idx="67" c:formatCode="0">
                  <c:v>950</c:v>
                </c:pt>
                <c:pt idx="68" c:formatCode="0">
                  <c:v>960</c:v>
                </c:pt>
                <c:pt idx="69" c:formatCode="0">
                  <c:v>970</c:v>
                </c:pt>
                <c:pt idx="70" c:formatCode="0">
                  <c:v>980</c:v>
                </c:pt>
                <c:pt idx="71" c:formatCode="0">
                  <c:v>990</c:v>
                </c:pt>
                <c:pt idx="72" c:formatCode="0">
                  <c:v>1000</c:v>
                </c:pt>
                <c:pt idx="73" c:formatCode="0">
                  <c:v>1010</c:v>
                </c:pt>
                <c:pt idx="74" c:formatCode="0">
                  <c:v>1020</c:v>
                </c:pt>
                <c:pt idx="75" c:formatCode="0">
                  <c:v>1030</c:v>
                </c:pt>
                <c:pt idx="76" c:formatCode="0">
                  <c:v>1040</c:v>
                </c:pt>
                <c:pt idx="77" c:formatCode="0">
                  <c:v>1050</c:v>
                </c:pt>
                <c:pt idx="78" c:formatCode="0">
                  <c:v>1060</c:v>
                </c:pt>
                <c:pt idx="79" c:formatCode="0">
                  <c:v>1070</c:v>
                </c:pt>
                <c:pt idx="80" c:formatCode="0">
                  <c:v>1080</c:v>
                </c:pt>
                <c:pt idx="81" c:formatCode="0">
                  <c:v>1090</c:v>
                </c:pt>
                <c:pt idx="82" c:formatCode="0">
                  <c:v>1100</c:v>
                </c:pt>
                <c:pt idx="83" c:formatCode="0">
                  <c:v>1110</c:v>
                </c:pt>
                <c:pt idx="84" c:formatCode="0">
                  <c:v>1120</c:v>
                </c:pt>
                <c:pt idx="85" c:formatCode="0">
                  <c:v>1130</c:v>
                </c:pt>
                <c:pt idx="86" c:formatCode="0">
                  <c:v>1140</c:v>
                </c:pt>
                <c:pt idx="87" c:formatCode="0">
                  <c:v>1150</c:v>
                </c:pt>
                <c:pt idx="88" c:formatCode="0">
                  <c:v>1160</c:v>
                </c:pt>
                <c:pt idx="89" c:formatCode="0">
                  <c:v>1170</c:v>
                </c:pt>
                <c:pt idx="90" c:formatCode="0">
                  <c:v>1180</c:v>
                </c:pt>
                <c:pt idx="91" c:formatCode="0">
                  <c:v>1190</c:v>
                </c:pt>
                <c:pt idx="92" c:formatCode="0">
                  <c:v>1200</c:v>
                </c:pt>
                <c:pt idx="93" c:formatCode="0">
                  <c:v>1210</c:v>
                </c:pt>
                <c:pt idx="94" c:formatCode="0">
                  <c:v>1220</c:v>
                </c:pt>
                <c:pt idx="95" c:formatCode="0">
                  <c:v>1230</c:v>
                </c:pt>
                <c:pt idx="96" c:formatCode="0">
                  <c:v>1240</c:v>
                </c:pt>
                <c:pt idx="97" c:formatCode="0">
                  <c:v>1250</c:v>
                </c:pt>
                <c:pt idx="98" c:formatCode="0">
                  <c:v>1260</c:v>
                </c:pt>
                <c:pt idx="99" c:formatCode="0">
                  <c:v>1270</c:v>
                </c:pt>
                <c:pt idx="100" c:formatCode="0">
                  <c:v>1280</c:v>
                </c:pt>
                <c:pt idx="101" c:formatCode="0">
                  <c:v>1290</c:v>
                </c:pt>
                <c:pt idx="102" c:formatCode="0">
                  <c:v>1300</c:v>
                </c:pt>
                <c:pt idx="103" c:formatCode="0">
                  <c:v>1310</c:v>
                </c:pt>
                <c:pt idx="104" c:formatCode="0">
                  <c:v>1320</c:v>
                </c:pt>
                <c:pt idx="105" c:formatCode="0">
                  <c:v>1330</c:v>
                </c:pt>
                <c:pt idx="106" c:formatCode="0">
                  <c:v>1340</c:v>
                </c:pt>
                <c:pt idx="107" c:formatCode="0">
                  <c:v>1350</c:v>
                </c:pt>
                <c:pt idx="108" c:formatCode="0">
                  <c:v>1360</c:v>
                </c:pt>
                <c:pt idx="109" c:formatCode="0">
                  <c:v>1370</c:v>
                </c:pt>
                <c:pt idx="110" c:formatCode="0">
                  <c:v>1380</c:v>
                </c:pt>
                <c:pt idx="111" c:formatCode="0">
                  <c:v>1390</c:v>
                </c:pt>
                <c:pt idx="112" c:formatCode="0">
                  <c:v>1400</c:v>
                </c:pt>
                <c:pt idx="113" c:formatCode="0">
                  <c:v>1500</c:v>
                </c:pt>
                <c:pt idx="114" c:formatCode="0">
                  <c:v>1600</c:v>
                </c:pt>
                <c:pt idx="115" c:formatCode="0">
                  <c:v>1700</c:v>
                </c:pt>
                <c:pt idx="116" c:formatCode="0">
                  <c:v>1800</c:v>
                </c:pt>
                <c:pt idx="117" c:formatCode="0">
                  <c:v>1900</c:v>
                </c:pt>
                <c:pt idx="118" c:formatCode="0">
                  <c:v>2000</c:v>
                </c:pt>
                <c:pt idx="119" c:formatCode="0">
                  <c:v>2100</c:v>
                </c:pt>
                <c:pt idx="120" c:formatCode="0">
                  <c:v>2200</c:v>
                </c:pt>
                <c:pt idx="121" c:formatCode="0">
                  <c:v>2300</c:v>
                </c:pt>
              </c:numCache>
            </c:numRef>
          </c:xVal>
          <c:yVal>
            <c:numRef>
              <c:f>Пр6!$I$2:$I$123</c:f>
              <c:numCache>
                <c:formatCode>General</c:formatCode>
                <c:ptCount val="122"/>
                <c:pt idx="0">
                  <c:v>1.73</c:v>
                </c:pt>
                <c:pt idx="1" c:formatCode="0.000">
                  <c:v>1.7525</c:v>
                </c:pt>
                <c:pt idx="2" c:formatCode="0.000">
                  <c:v>1.775</c:v>
                </c:pt>
                <c:pt idx="3" c:formatCode="0.000">
                  <c:v>1.7975</c:v>
                </c:pt>
                <c:pt idx="4">
                  <c:v>1.82</c:v>
                </c:pt>
                <c:pt idx="5" c:formatCode="0.000">
                  <c:v>1.8325</c:v>
                </c:pt>
                <c:pt idx="6" c:formatCode="0.000">
                  <c:v>1.845</c:v>
                </c:pt>
                <c:pt idx="7" c:formatCode="0.000">
                  <c:v>1.8575</c:v>
                </c:pt>
                <c:pt idx="8">
                  <c:v>1.87</c:v>
                </c:pt>
                <c:pt idx="9" c:formatCode="0.000">
                  <c:v>1.915</c:v>
                </c:pt>
                <c:pt idx="10">
                  <c:v>1.96</c:v>
                </c:pt>
                <c:pt idx="11" c:formatCode="0.000">
                  <c:v>1.98</c:v>
                </c:pt>
                <c:pt idx="12" c:formatCode="0.000">
                  <c:v>2</c:v>
                </c:pt>
                <c:pt idx="13" c:formatCode="0.000">
                  <c:v>2.01</c:v>
                </c:pt>
                <c:pt idx="14" c:formatCode="0.000">
                  <c:v>2.02</c:v>
                </c:pt>
                <c:pt idx="15" c:formatCode="0.000">
                  <c:v>2.03</c:v>
                </c:pt>
                <c:pt idx="16" c:formatCode="0.000">
                  <c:v>2.04</c:v>
                </c:pt>
                <c:pt idx="17" c:formatCode="0.000">
                  <c:v>2.05</c:v>
                </c:pt>
                <c:pt idx="18" c:formatCode="0.000">
                  <c:v>2.06</c:v>
                </c:pt>
                <c:pt idx="19" c:formatCode="0.000">
                  <c:v>2.07</c:v>
                </c:pt>
                <c:pt idx="20" c:formatCode="0.000">
                  <c:v>2.08</c:v>
                </c:pt>
                <c:pt idx="21" c:formatCode="0.000">
                  <c:v>2.09</c:v>
                </c:pt>
                <c:pt idx="22" c:formatCode="0.000">
                  <c:v>2.1</c:v>
                </c:pt>
                <c:pt idx="23" c:formatCode="0.000">
                  <c:v>2.102</c:v>
                </c:pt>
                <c:pt idx="24" c:formatCode="0.000">
                  <c:v>2.104</c:v>
                </c:pt>
                <c:pt idx="25" c:formatCode="0.000">
                  <c:v>2.106</c:v>
                </c:pt>
                <c:pt idx="26" c:formatCode="0.000">
                  <c:v>2.108</c:v>
                </c:pt>
                <c:pt idx="27" c:formatCode="0.000">
                  <c:v>2.11</c:v>
                </c:pt>
                <c:pt idx="28" c:formatCode="0.000">
                  <c:v>2.112</c:v>
                </c:pt>
                <c:pt idx="29" c:formatCode="0.000">
                  <c:v>2.114</c:v>
                </c:pt>
                <c:pt idx="30" c:formatCode="0.000">
                  <c:v>2.116</c:v>
                </c:pt>
                <c:pt idx="31" c:formatCode="0.000">
                  <c:v>2.118</c:v>
                </c:pt>
                <c:pt idx="32" c:formatCode="0.000">
                  <c:v>2.12</c:v>
                </c:pt>
                <c:pt idx="33" c:formatCode="0.000">
                  <c:v>2.122</c:v>
                </c:pt>
                <c:pt idx="34" c:formatCode="0.000">
                  <c:v>2.124</c:v>
                </c:pt>
                <c:pt idx="35" c:formatCode="0.000">
                  <c:v>2.126</c:v>
                </c:pt>
                <c:pt idx="36" c:formatCode="0.000">
                  <c:v>2.128</c:v>
                </c:pt>
                <c:pt idx="37" c:formatCode="0.000">
                  <c:v>2.13</c:v>
                </c:pt>
                <c:pt idx="38" c:formatCode="0.000">
                  <c:v>2.132</c:v>
                </c:pt>
                <c:pt idx="39" c:formatCode="0.000">
                  <c:v>2.134</c:v>
                </c:pt>
                <c:pt idx="40" c:formatCode="0.000">
                  <c:v>2.136</c:v>
                </c:pt>
                <c:pt idx="41" c:formatCode="0.000">
                  <c:v>2.138</c:v>
                </c:pt>
                <c:pt idx="42" c:formatCode="0.000">
                  <c:v>2.14</c:v>
                </c:pt>
                <c:pt idx="43" c:formatCode="0.000">
                  <c:v>2.143</c:v>
                </c:pt>
                <c:pt idx="44" c:formatCode="0.000">
                  <c:v>2.146</c:v>
                </c:pt>
                <c:pt idx="45" c:formatCode="0.000">
                  <c:v>2.149</c:v>
                </c:pt>
                <c:pt idx="46" c:formatCode="0.000">
                  <c:v>2.152</c:v>
                </c:pt>
                <c:pt idx="47" c:formatCode="0.000">
                  <c:v>2.155</c:v>
                </c:pt>
                <c:pt idx="48" c:formatCode="0.000">
                  <c:v>2.158</c:v>
                </c:pt>
                <c:pt idx="49" c:formatCode="0.000">
                  <c:v>2.161</c:v>
                </c:pt>
                <c:pt idx="50" c:formatCode="0.000">
                  <c:v>2.164</c:v>
                </c:pt>
                <c:pt idx="51" c:formatCode="0.000">
                  <c:v>2.167</c:v>
                </c:pt>
                <c:pt idx="52" c:formatCode="0.000">
                  <c:v>2.17</c:v>
                </c:pt>
                <c:pt idx="53" c:formatCode="0.000">
                  <c:v>2.177</c:v>
                </c:pt>
                <c:pt idx="54" c:formatCode="0.000">
                  <c:v>2.184</c:v>
                </c:pt>
                <c:pt idx="55" c:formatCode="0.000">
                  <c:v>2.191</c:v>
                </c:pt>
                <c:pt idx="56" c:formatCode="0.000">
                  <c:v>2.198</c:v>
                </c:pt>
                <c:pt idx="57" c:formatCode="0.000">
                  <c:v>2.205</c:v>
                </c:pt>
                <c:pt idx="58" c:formatCode="0.000">
                  <c:v>2.212</c:v>
                </c:pt>
                <c:pt idx="59" c:formatCode="0.000">
                  <c:v>2.219</c:v>
                </c:pt>
                <c:pt idx="60" c:formatCode="0.000">
                  <c:v>2.226</c:v>
                </c:pt>
                <c:pt idx="61" c:formatCode="0.000">
                  <c:v>2.233</c:v>
                </c:pt>
                <c:pt idx="62" c:formatCode="0.000">
                  <c:v>2.24</c:v>
                </c:pt>
                <c:pt idx="63" c:formatCode="0.000">
                  <c:v>2.242</c:v>
                </c:pt>
                <c:pt idx="64" c:formatCode="0.000">
                  <c:v>2.244</c:v>
                </c:pt>
                <c:pt idx="65" c:formatCode="0.000">
                  <c:v>2.246</c:v>
                </c:pt>
                <c:pt idx="66" c:formatCode="0.000">
                  <c:v>2.248</c:v>
                </c:pt>
                <c:pt idx="67" c:formatCode="0.000">
                  <c:v>2.25</c:v>
                </c:pt>
                <c:pt idx="68" c:formatCode="0.000">
                  <c:v>2.252</c:v>
                </c:pt>
                <c:pt idx="69" c:formatCode="0.000">
                  <c:v>2.254</c:v>
                </c:pt>
                <c:pt idx="70" c:formatCode="0.000">
                  <c:v>2.256</c:v>
                </c:pt>
                <c:pt idx="71" c:formatCode="0.000">
                  <c:v>2.258</c:v>
                </c:pt>
                <c:pt idx="72" c:formatCode="0.000">
                  <c:v>2.26</c:v>
                </c:pt>
                <c:pt idx="73" c:formatCode="0.000">
                  <c:v>2.263</c:v>
                </c:pt>
                <c:pt idx="74" c:formatCode="0.000">
                  <c:v>2.266</c:v>
                </c:pt>
                <c:pt idx="75" c:formatCode="0.000">
                  <c:v>2.269</c:v>
                </c:pt>
                <c:pt idx="76" c:formatCode="0.000">
                  <c:v>2.272</c:v>
                </c:pt>
                <c:pt idx="77" c:formatCode="0.000">
                  <c:v>2.275</c:v>
                </c:pt>
                <c:pt idx="78" c:formatCode="0.000">
                  <c:v>2.278</c:v>
                </c:pt>
                <c:pt idx="79" c:formatCode="0.000">
                  <c:v>2.281</c:v>
                </c:pt>
                <c:pt idx="80" c:formatCode="0.000">
                  <c:v>2.284</c:v>
                </c:pt>
                <c:pt idx="81" c:formatCode="0.000">
                  <c:v>2.287</c:v>
                </c:pt>
                <c:pt idx="82" c:formatCode="0.000">
                  <c:v>2.29</c:v>
                </c:pt>
                <c:pt idx="83" c:formatCode="0.000">
                  <c:v>2.2905</c:v>
                </c:pt>
                <c:pt idx="84" c:formatCode="0.000">
                  <c:v>2.291</c:v>
                </c:pt>
                <c:pt idx="85" c:formatCode="0.000">
                  <c:v>2.2915</c:v>
                </c:pt>
                <c:pt idx="86" c:formatCode="0.000">
                  <c:v>2.292</c:v>
                </c:pt>
                <c:pt idx="87" c:formatCode="0.000">
                  <c:v>2.2925</c:v>
                </c:pt>
                <c:pt idx="88" c:formatCode="0.000">
                  <c:v>2.293</c:v>
                </c:pt>
                <c:pt idx="89" c:formatCode="0.000">
                  <c:v>2.2935</c:v>
                </c:pt>
                <c:pt idx="90" c:formatCode="0.000">
                  <c:v>2.294</c:v>
                </c:pt>
                <c:pt idx="91" c:formatCode="0.000">
                  <c:v>2.2945</c:v>
                </c:pt>
                <c:pt idx="92" c:formatCode="0.000">
                  <c:v>2.295</c:v>
                </c:pt>
                <c:pt idx="93" c:formatCode="0.000">
                  <c:v>2.2955</c:v>
                </c:pt>
                <c:pt idx="94" c:formatCode="0.000">
                  <c:v>2.296</c:v>
                </c:pt>
                <c:pt idx="95" c:formatCode="0.000">
                  <c:v>2.2965</c:v>
                </c:pt>
                <c:pt idx="96" c:formatCode="0.000">
                  <c:v>2.297</c:v>
                </c:pt>
                <c:pt idx="97" c:formatCode="0.000">
                  <c:v>2.2975</c:v>
                </c:pt>
                <c:pt idx="98" c:formatCode="0.000">
                  <c:v>2.298</c:v>
                </c:pt>
                <c:pt idx="99" c:formatCode="0.000">
                  <c:v>2.2985</c:v>
                </c:pt>
                <c:pt idx="100" c:formatCode="0.000">
                  <c:v>2.299</c:v>
                </c:pt>
                <c:pt idx="101" c:formatCode="0.000">
                  <c:v>2.2995</c:v>
                </c:pt>
                <c:pt idx="102" c:formatCode="0.000">
                  <c:v>2.3</c:v>
                </c:pt>
                <c:pt idx="103" c:formatCode="0.000">
                  <c:v>2.301</c:v>
                </c:pt>
                <c:pt idx="104" c:formatCode="0.000">
                  <c:v>2.302</c:v>
                </c:pt>
                <c:pt idx="105" c:formatCode="0.000">
                  <c:v>2.303</c:v>
                </c:pt>
                <c:pt idx="106" c:formatCode="0.000">
                  <c:v>2.304</c:v>
                </c:pt>
                <c:pt idx="107" c:formatCode="0.000">
                  <c:v>2.305</c:v>
                </c:pt>
                <c:pt idx="108" c:formatCode="0.000">
                  <c:v>2.306</c:v>
                </c:pt>
                <c:pt idx="109" c:formatCode="0.000">
                  <c:v>2.307</c:v>
                </c:pt>
                <c:pt idx="110" c:formatCode="0.000">
                  <c:v>2.308</c:v>
                </c:pt>
                <c:pt idx="111" c:formatCode="0.000">
                  <c:v>2.309</c:v>
                </c:pt>
                <c:pt idx="112" c:formatCode="0.000">
                  <c:v>2.31</c:v>
                </c:pt>
                <c:pt idx="113" c:formatCode="0.000">
                  <c:v>2.315</c:v>
                </c:pt>
                <c:pt idx="114" c:formatCode="0.000">
                  <c:v>2.32</c:v>
                </c:pt>
                <c:pt idx="115" c:formatCode="0.000">
                  <c:v>2.325</c:v>
                </c:pt>
                <c:pt idx="116" c:formatCode="0.000">
                  <c:v>2.33</c:v>
                </c:pt>
                <c:pt idx="117" c:formatCode="0.000">
                  <c:v>2.335</c:v>
                </c:pt>
                <c:pt idx="118" c:formatCode="0.000">
                  <c:v>2.3725</c:v>
                </c:pt>
                <c:pt idx="119" c:formatCode="0.000">
                  <c:v>2.41</c:v>
                </c:pt>
                <c:pt idx="120" c:formatCode="0.000">
                  <c:v>2.415</c:v>
                </c:pt>
                <c:pt idx="121" c:formatCode="0.000">
                  <c:v>2.42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72416"/>
        <c:axId val="179778304"/>
      </c:scatterChart>
      <c:valAx>
        <c:axId val="17977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778304"/>
        <c:crosses val="autoZero"/>
        <c:crossBetween val="midCat"/>
      </c:valAx>
      <c:valAx>
        <c:axId val="17977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77241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020e49-9538-4467-ad72-d8e904dbe786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Пр6!$J$1</c:f>
              <c:strCache>
                <c:ptCount val="1"/>
                <c:pt idx="0">
                  <c:v>CH4,
кДж/(м3*оС)</c:v>
                </c:pt>
              </c:strCache>
            </c:strRef>
          </c:tx>
          <c:dLbls>
            <c:delete val="1"/>
          </c:dLbls>
          <c:xVal>
            <c:numRef>
              <c:f>Пр6!$A$2:$A$123</c:f>
              <c:numCache>
                <c:formatCode>General</c:formatCode>
                <c:ptCount val="122"/>
                <c:pt idx="0">
                  <c:v>0</c:v>
                </c:pt>
                <c:pt idx="1" c:formatCode="0">
                  <c:v>25</c:v>
                </c:pt>
                <c:pt idx="2" c:formatCode="0">
                  <c:v>50</c:v>
                </c:pt>
                <c:pt idx="3" c:formatCode="0">
                  <c:v>75</c:v>
                </c:pt>
                <c:pt idx="4">
                  <c:v>100</c:v>
                </c:pt>
                <c:pt idx="5" c:formatCode="0">
                  <c:v>125</c:v>
                </c:pt>
                <c:pt idx="6" c:formatCode="0">
                  <c:v>150</c:v>
                </c:pt>
                <c:pt idx="7" c:formatCode="0">
                  <c:v>175</c:v>
                </c:pt>
                <c:pt idx="8">
                  <c:v>200</c:v>
                </c:pt>
                <c:pt idx="9" c:formatCode="0">
                  <c:v>250</c:v>
                </c:pt>
                <c:pt idx="10">
                  <c:v>300</c:v>
                </c:pt>
                <c:pt idx="11" c:formatCode="0">
                  <c:v>350</c:v>
                </c:pt>
                <c:pt idx="12" c:formatCode="0">
                  <c:v>400</c:v>
                </c:pt>
                <c:pt idx="13" c:formatCode="0">
                  <c:v>410</c:v>
                </c:pt>
                <c:pt idx="14" c:formatCode="0">
                  <c:v>420</c:v>
                </c:pt>
                <c:pt idx="15" c:formatCode="0">
                  <c:v>430</c:v>
                </c:pt>
                <c:pt idx="16" c:formatCode="0">
                  <c:v>440</c:v>
                </c:pt>
                <c:pt idx="17" c:formatCode="0">
                  <c:v>450</c:v>
                </c:pt>
                <c:pt idx="18" c:formatCode="0">
                  <c:v>460</c:v>
                </c:pt>
                <c:pt idx="19" c:formatCode="0">
                  <c:v>470</c:v>
                </c:pt>
                <c:pt idx="20" c:formatCode="0">
                  <c:v>480</c:v>
                </c:pt>
                <c:pt idx="21" c:formatCode="0">
                  <c:v>490</c:v>
                </c:pt>
                <c:pt idx="22" c:formatCode="0">
                  <c:v>500</c:v>
                </c:pt>
                <c:pt idx="23" c:formatCode="0">
                  <c:v>510</c:v>
                </c:pt>
                <c:pt idx="24" c:formatCode="0">
                  <c:v>520</c:v>
                </c:pt>
                <c:pt idx="25" c:formatCode="0">
                  <c:v>530</c:v>
                </c:pt>
                <c:pt idx="26" c:formatCode="0">
                  <c:v>540</c:v>
                </c:pt>
                <c:pt idx="27" c:formatCode="0">
                  <c:v>550</c:v>
                </c:pt>
                <c:pt idx="28" c:formatCode="0">
                  <c:v>560</c:v>
                </c:pt>
                <c:pt idx="29" c:formatCode="0">
                  <c:v>570</c:v>
                </c:pt>
                <c:pt idx="30" c:formatCode="0">
                  <c:v>580</c:v>
                </c:pt>
                <c:pt idx="31" c:formatCode="0">
                  <c:v>590</c:v>
                </c:pt>
                <c:pt idx="32" c:formatCode="0">
                  <c:v>600</c:v>
                </c:pt>
                <c:pt idx="33" c:formatCode="0">
                  <c:v>610</c:v>
                </c:pt>
                <c:pt idx="34" c:formatCode="0">
                  <c:v>620</c:v>
                </c:pt>
                <c:pt idx="35" c:formatCode="0">
                  <c:v>630</c:v>
                </c:pt>
                <c:pt idx="36" c:formatCode="0">
                  <c:v>640</c:v>
                </c:pt>
                <c:pt idx="37" c:formatCode="0">
                  <c:v>650</c:v>
                </c:pt>
                <c:pt idx="38" c:formatCode="0">
                  <c:v>660</c:v>
                </c:pt>
                <c:pt idx="39" c:formatCode="0">
                  <c:v>670</c:v>
                </c:pt>
                <c:pt idx="40" c:formatCode="0">
                  <c:v>680</c:v>
                </c:pt>
                <c:pt idx="41" c:formatCode="0">
                  <c:v>690</c:v>
                </c:pt>
                <c:pt idx="42" c:formatCode="0">
                  <c:v>700</c:v>
                </c:pt>
                <c:pt idx="43" c:formatCode="0">
                  <c:v>710</c:v>
                </c:pt>
                <c:pt idx="44" c:formatCode="0">
                  <c:v>720</c:v>
                </c:pt>
                <c:pt idx="45" c:formatCode="0">
                  <c:v>730</c:v>
                </c:pt>
                <c:pt idx="46" c:formatCode="0">
                  <c:v>740</c:v>
                </c:pt>
                <c:pt idx="47" c:formatCode="0">
                  <c:v>750</c:v>
                </c:pt>
                <c:pt idx="48" c:formatCode="0">
                  <c:v>760</c:v>
                </c:pt>
                <c:pt idx="49" c:formatCode="0">
                  <c:v>770</c:v>
                </c:pt>
                <c:pt idx="50" c:formatCode="0">
                  <c:v>780</c:v>
                </c:pt>
                <c:pt idx="51" c:formatCode="0">
                  <c:v>790</c:v>
                </c:pt>
                <c:pt idx="52" c:formatCode="0">
                  <c:v>800</c:v>
                </c:pt>
                <c:pt idx="53" c:formatCode="0">
                  <c:v>810</c:v>
                </c:pt>
                <c:pt idx="54" c:formatCode="0">
                  <c:v>820</c:v>
                </c:pt>
                <c:pt idx="55" c:formatCode="0">
                  <c:v>830</c:v>
                </c:pt>
                <c:pt idx="56" c:formatCode="0">
                  <c:v>840</c:v>
                </c:pt>
                <c:pt idx="57" c:formatCode="0">
                  <c:v>850</c:v>
                </c:pt>
                <c:pt idx="58" c:formatCode="0">
                  <c:v>860</c:v>
                </c:pt>
                <c:pt idx="59" c:formatCode="0">
                  <c:v>870</c:v>
                </c:pt>
                <c:pt idx="60" c:formatCode="0">
                  <c:v>880</c:v>
                </c:pt>
                <c:pt idx="61" c:formatCode="0">
                  <c:v>890</c:v>
                </c:pt>
                <c:pt idx="62" c:formatCode="0">
                  <c:v>900</c:v>
                </c:pt>
                <c:pt idx="63" c:formatCode="0">
                  <c:v>910</c:v>
                </c:pt>
                <c:pt idx="64" c:formatCode="0">
                  <c:v>920</c:v>
                </c:pt>
                <c:pt idx="65" c:formatCode="0">
                  <c:v>930</c:v>
                </c:pt>
                <c:pt idx="66" c:formatCode="0">
                  <c:v>940</c:v>
                </c:pt>
                <c:pt idx="67" c:formatCode="0">
                  <c:v>950</c:v>
                </c:pt>
                <c:pt idx="68" c:formatCode="0">
                  <c:v>960</c:v>
                </c:pt>
                <c:pt idx="69" c:formatCode="0">
                  <c:v>970</c:v>
                </c:pt>
                <c:pt idx="70" c:formatCode="0">
                  <c:v>980</c:v>
                </c:pt>
                <c:pt idx="71" c:formatCode="0">
                  <c:v>990</c:v>
                </c:pt>
                <c:pt idx="72" c:formatCode="0">
                  <c:v>1000</c:v>
                </c:pt>
                <c:pt idx="73" c:formatCode="0">
                  <c:v>1010</c:v>
                </c:pt>
                <c:pt idx="74" c:formatCode="0">
                  <c:v>1020</c:v>
                </c:pt>
                <c:pt idx="75" c:formatCode="0">
                  <c:v>1030</c:v>
                </c:pt>
                <c:pt idx="76" c:formatCode="0">
                  <c:v>1040</c:v>
                </c:pt>
                <c:pt idx="77" c:formatCode="0">
                  <c:v>1050</c:v>
                </c:pt>
                <c:pt idx="78" c:formatCode="0">
                  <c:v>1060</c:v>
                </c:pt>
                <c:pt idx="79" c:formatCode="0">
                  <c:v>1070</c:v>
                </c:pt>
                <c:pt idx="80" c:formatCode="0">
                  <c:v>1080</c:v>
                </c:pt>
                <c:pt idx="81" c:formatCode="0">
                  <c:v>1090</c:v>
                </c:pt>
                <c:pt idx="82" c:formatCode="0">
                  <c:v>1100</c:v>
                </c:pt>
                <c:pt idx="83" c:formatCode="0">
                  <c:v>1110</c:v>
                </c:pt>
                <c:pt idx="84" c:formatCode="0">
                  <c:v>1120</c:v>
                </c:pt>
                <c:pt idx="85" c:formatCode="0">
                  <c:v>1130</c:v>
                </c:pt>
                <c:pt idx="86" c:formatCode="0">
                  <c:v>1140</c:v>
                </c:pt>
                <c:pt idx="87" c:formatCode="0">
                  <c:v>1150</c:v>
                </c:pt>
                <c:pt idx="88" c:formatCode="0">
                  <c:v>1160</c:v>
                </c:pt>
                <c:pt idx="89" c:formatCode="0">
                  <c:v>1170</c:v>
                </c:pt>
                <c:pt idx="90" c:formatCode="0">
                  <c:v>1180</c:v>
                </c:pt>
                <c:pt idx="91" c:formatCode="0">
                  <c:v>1190</c:v>
                </c:pt>
                <c:pt idx="92" c:formatCode="0">
                  <c:v>1200</c:v>
                </c:pt>
                <c:pt idx="93" c:formatCode="0">
                  <c:v>1210</c:v>
                </c:pt>
                <c:pt idx="94" c:formatCode="0">
                  <c:v>1220</c:v>
                </c:pt>
                <c:pt idx="95" c:formatCode="0">
                  <c:v>1230</c:v>
                </c:pt>
                <c:pt idx="96" c:formatCode="0">
                  <c:v>1240</c:v>
                </c:pt>
                <c:pt idx="97" c:formatCode="0">
                  <c:v>1250</c:v>
                </c:pt>
                <c:pt idx="98" c:formatCode="0">
                  <c:v>1260</c:v>
                </c:pt>
                <c:pt idx="99" c:formatCode="0">
                  <c:v>1270</c:v>
                </c:pt>
                <c:pt idx="100" c:formatCode="0">
                  <c:v>1280</c:v>
                </c:pt>
                <c:pt idx="101" c:formatCode="0">
                  <c:v>1290</c:v>
                </c:pt>
                <c:pt idx="102" c:formatCode="0">
                  <c:v>1300</c:v>
                </c:pt>
                <c:pt idx="103" c:formatCode="0">
                  <c:v>1310</c:v>
                </c:pt>
                <c:pt idx="104" c:formatCode="0">
                  <c:v>1320</c:v>
                </c:pt>
                <c:pt idx="105" c:formatCode="0">
                  <c:v>1330</c:v>
                </c:pt>
                <c:pt idx="106" c:formatCode="0">
                  <c:v>1340</c:v>
                </c:pt>
                <c:pt idx="107" c:formatCode="0">
                  <c:v>1350</c:v>
                </c:pt>
                <c:pt idx="108" c:formatCode="0">
                  <c:v>1360</c:v>
                </c:pt>
                <c:pt idx="109" c:formatCode="0">
                  <c:v>1370</c:v>
                </c:pt>
                <c:pt idx="110" c:formatCode="0">
                  <c:v>1380</c:v>
                </c:pt>
                <c:pt idx="111" c:formatCode="0">
                  <c:v>1390</c:v>
                </c:pt>
                <c:pt idx="112" c:formatCode="0">
                  <c:v>1400</c:v>
                </c:pt>
                <c:pt idx="113" c:formatCode="0">
                  <c:v>1500</c:v>
                </c:pt>
                <c:pt idx="114" c:formatCode="0">
                  <c:v>1600</c:v>
                </c:pt>
                <c:pt idx="115" c:formatCode="0">
                  <c:v>1700</c:v>
                </c:pt>
                <c:pt idx="116" c:formatCode="0">
                  <c:v>1800</c:v>
                </c:pt>
                <c:pt idx="117" c:formatCode="0">
                  <c:v>1900</c:v>
                </c:pt>
                <c:pt idx="118" c:formatCode="0">
                  <c:v>2000</c:v>
                </c:pt>
                <c:pt idx="119" c:formatCode="0">
                  <c:v>2100</c:v>
                </c:pt>
                <c:pt idx="120" c:formatCode="0">
                  <c:v>2200</c:v>
                </c:pt>
                <c:pt idx="121" c:formatCode="0">
                  <c:v>2300</c:v>
                </c:pt>
              </c:numCache>
            </c:numRef>
          </c:xVal>
          <c:yVal>
            <c:numRef>
              <c:f>Пр6!$J$2:$J$123</c:f>
              <c:numCache>
                <c:formatCode>General</c:formatCode>
                <c:ptCount val="122"/>
                <c:pt idx="0">
                  <c:v>1.54</c:v>
                </c:pt>
                <c:pt idx="1" c:formatCode="0.000">
                  <c:v>1.5575</c:v>
                </c:pt>
                <c:pt idx="2" c:formatCode="0.000">
                  <c:v>1.575</c:v>
                </c:pt>
                <c:pt idx="3" c:formatCode="0.000">
                  <c:v>1.5925</c:v>
                </c:pt>
                <c:pt idx="4">
                  <c:v>1.61</c:v>
                </c:pt>
                <c:pt idx="5" c:formatCode="0.000">
                  <c:v>1.6425</c:v>
                </c:pt>
                <c:pt idx="6" c:formatCode="0.000">
                  <c:v>1.675</c:v>
                </c:pt>
                <c:pt idx="7" c:formatCode="0.000">
                  <c:v>1.7075</c:v>
                </c:pt>
                <c:pt idx="8">
                  <c:v>1.74</c:v>
                </c:pt>
                <c:pt idx="9" c:formatCode="0.000">
                  <c:v>1.81</c:v>
                </c:pt>
                <c:pt idx="10">
                  <c:v>1.88</c:v>
                </c:pt>
                <c:pt idx="11" c:formatCode="0.000">
                  <c:v>1.94</c:v>
                </c:pt>
                <c:pt idx="12" c:formatCode="0.000">
                  <c:v>2</c:v>
                </c:pt>
                <c:pt idx="13" c:formatCode="0.000">
                  <c:v>2.012</c:v>
                </c:pt>
                <c:pt idx="14" c:formatCode="0.000">
                  <c:v>2.024</c:v>
                </c:pt>
                <c:pt idx="15" c:formatCode="0.000">
                  <c:v>2.036</c:v>
                </c:pt>
                <c:pt idx="16" c:formatCode="0.000">
                  <c:v>2.048</c:v>
                </c:pt>
                <c:pt idx="17" c:formatCode="0.000">
                  <c:v>2.06</c:v>
                </c:pt>
                <c:pt idx="18" c:formatCode="0.000">
                  <c:v>2.072</c:v>
                </c:pt>
                <c:pt idx="19" c:formatCode="0.000">
                  <c:v>2.084</c:v>
                </c:pt>
                <c:pt idx="20" c:formatCode="0.000">
                  <c:v>2.096</c:v>
                </c:pt>
                <c:pt idx="21" c:formatCode="0.000">
                  <c:v>2.108</c:v>
                </c:pt>
                <c:pt idx="22" c:formatCode="0.000">
                  <c:v>2.12</c:v>
                </c:pt>
                <c:pt idx="23" c:formatCode="0.000">
                  <c:v>2.132</c:v>
                </c:pt>
                <c:pt idx="24" c:formatCode="0.000">
                  <c:v>2.144</c:v>
                </c:pt>
                <c:pt idx="25" c:formatCode="0.000">
                  <c:v>2.156</c:v>
                </c:pt>
                <c:pt idx="26" c:formatCode="0.000">
                  <c:v>2.168</c:v>
                </c:pt>
                <c:pt idx="27" c:formatCode="0.000">
                  <c:v>2.18</c:v>
                </c:pt>
                <c:pt idx="28" c:formatCode="0.000">
                  <c:v>2.192</c:v>
                </c:pt>
                <c:pt idx="29" c:formatCode="0.000">
                  <c:v>2.204</c:v>
                </c:pt>
                <c:pt idx="30" c:formatCode="0.000">
                  <c:v>2.216</c:v>
                </c:pt>
                <c:pt idx="31" c:formatCode="0.000">
                  <c:v>2.228</c:v>
                </c:pt>
                <c:pt idx="32" c:formatCode="0.000">
                  <c:v>2.24</c:v>
                </c:pt>
                <c:pt idx="33" c:formatCode="0.000">
                  <c:v>2.25</c:v>
                </c:pt>
                <c:pt idx="34" c:formatCode="0.000">
                  <c:v>2.26</c:v>
                </c:pt>
                <c:pt idx="35" c:formatCode="0.000">
                  <c:v>2.27</c:v>
                </c:pt>
                <c:pt idx="36" c:formatCode="0.000">
                  <c:v>2.28</c:v>
                </c:pt>
                <c:pt idx="37" c:formatCode="0.000">
                  <c:v>2.29</c:v>
                </c:pt>
                <c:pt idx="38" c:formatCode="0.000">
                  <c:v>2.3</c:v>
                </c:pt>
                <c:pt idx="39" c:formatCode="0.000">
                  <c:v>2.31</c:v>
                </c:pt>
                <c:pt idx="40" c:formatCode="0.000">
                  <c:v>2.32</c:v>
                </c:pt>
                <c:pt idx="41" c:formatCode="0.000">
                  <c:v>2.33</c:v>
                </c:pt>
                <c:pt idx="42" c:formatCode="0.000">
                  <c:v>2.34</c:v>
                </c:pt>
                <c:pt idx="43" c:formatCode="0.000">
                  <c:v>2.348</c:v>
                </c:pt>
                <c:pt idx="44" c:formatCode="0.000">
                  <c:v>2.356</c:v>
                </c:pt>
                <c:pt idx="45" c:formatCode="0.000">
                  <c:v>2.364</c:v>
                </c:pt>
                <c:pt idx="46" c:formatCode="0.000">
                  <c:v>2.372</c:v>
                </c:pt>
                <c:pt idx="47" c:formatCode="0.000">
                  <c:v>2.38</c:v>
                </c:pt>
                <c:pt idx="48" c:formatCode="0.000">
                  <c:v>2.388</c:v>
                </c:pt>
                <c:pt idx="49" c:formatCode="0.000">
                  <c:v>2.396</c:v>
                </c:pt>
                <c:pt idx="50" c:formatCode="0.000">
                  <c:v>2.404</c:v>
                </c:pt>
                <c:pt idx="51" c:formatCode="0.000">
                  <c:v>2.412</c:v>
                </c:pt>
                <c:pt idx="52" c:formatCode="0.000">
                  <c:v>2.42</c:v>
                </c:pt>
                <c:pt idx="53" c:formatCode="0.000">
                  <c:v>2.432</c:v>
                </c:pt>
                <c:pt idx="54" c:formatCode="0.000">
                  <c:v>2.444</c:v>
                </c:pt>
                <c:pt idx="55" c:formatCode="0.000">
                  <c:v>2.456</c:v>
                </c:pt>
                <c:pt idx="56" c:formatCode="0.000">
                  <c:v>2.468</c:v>
                </c:pt>
                <c:pt idx="57" c:formatCode="0.000">
                  <c:v>2.48</c:v>
                </c:pt>
                <c:pt idx="58" c:formatCode="0.000">
                  <c:v>2.492</c:v>
                </c:pt>
                <c:pt idx="59" c:formatCode="0.000">
                  <c:v>2.504</c:v>
                </c:pt>
                <c:pt idx="60" c:formatCode="0.000">
                  <c:v>2.516</c:v>
                </c:pt>
                <c:pt idx="61" c:formatCode="0.000">
                  <c:v>2.528</c:v>
                </c:pt>
                <c:pt idx="62" c:formatCode="0.000">
                  <c:v>2.54</c:v>
                </c:pt>
                <c:pt idx="63" c:formatCode="0.000">
                  <c:v>2.55</c:v>
                </c:pt>
                <c:pt idx="64" c:formatCode="0.000">
                  <c:v>2.56</c:v>
                </c:pt>
                <c:pt idx="65" c:formatCode="0.000">
                  <c:v>2.57</c:v>
                </c:pt>
                <c:pt idx="66" c:formatCode="0.000">
                  <c:v>2.58</c:v>
                </c:pt>
                <c:pt idx="67" c:formatCode="0.000">
                  <c:v>2.59</c:v>
                </c:pt>
                <c:pt idx="68" c:formatCode="0.000">
                  <c:v>2.6</c:v>
                </c:pt>
                <c:pt idx="69" c:formatCode="0.000">
                  <c:v>2.61</c:v>
                </c:pt>
                <c:pt idx="70" c:formatCode="0.000">
                  <c:v>2.62</c:v>
                </c:pt>
                <c:pt idx="71" c:formatCode="0.000">
                  <c:v>2.63</c:v>
                </c:pt>
                <c:pt idx="72" c:formatCode="0.000">
                  <c:v>2.64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06976"/>
        <c:axId val="179808512"/>
      </c:scatterChart>
      <c:valAx>
        <c:axId val="17980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808512"/>
        <c:crosses val="autoZero"/>
        <c:crossBetween val="midCat"/>
      </c:valAx>
      <c:valAx>
        <c:axId val="179808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80697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d00a10-63db-45d6-95a9-f20cf537eca3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Пр6!$K$1</c:f>
              <c:strCache>
                <c:ptCount val="1"/>
                <c:pt idx="0">
                  <c:v>C2H6,
кДж/(м3*оС)</c:v>
                </c:pt>
              </c:strCache>
            </c:strRef>
          </c:tx>
          <c:dLbls>
            <c:delete val="1"/>
          </c:dLbls>
          <c:xVal>
            <c:numRef>
              <c:f>Пр6!$A$2:$A$123</c:f>
              <c:numCache>
                <c:formatCode>General</c:formatCode>
                <c:ptCount val="122"/>
                <c:pt idx="0">
                  <c:v>0</c:v>
                </c:pt>
                <c:pt idx="1" c:formatCode="0">
                  <c:v>25</c:v>
                </c:pt>
                <c:pt idx="2" c:formatCode="0">
                  <c:v>50</c:v>
                </c:pt>
                <c:pt idx="3" c:formatCode="0">
                  <c:v>75</c:v>
                </c:pt>
                <c:pt idx="4">
                  <c:v>100</c:v>
                </c:pt>
                <c:pt idx="5" c:formatCode="0">
                  <c:v>125</c:v>
                </c:pt>
                <c:pt idx="6" c:formatCode="0">
                  <c:v>150</c:v>
                </c:pt>
                <c:pt idx="7" c:formatCode="0">
                  <c:v>175</c:v>
                </c:pt>
                <c:pt idx="8">
                  <c:v>200</c:v>
                </c:pt>
                <c:pt idx="9" c:formatCode="0">
                  <c:v>250</c:v>
                </c:pt>
                <c:pt idx="10">
                  <c:v>300</c:v>
                </c:pt>
                <c:pt idx="11" c:formatCode="0">
                  <c:v>350</c:v>
                </c:pt>
                <c:pt idx="12" c:formatCode="0">
                  <c:v>400</c:v>
                </c:pt>
                <c:pt idx="13" c:formatCode="0">
                  <c:v>410</c:v>
                </c:pt>
                <c:pt idx="14" c:formatCode="0">
                  <c:v>420</c:v>
                </c:pt>
                <c:pt idx="15" c:formatCode="0">
                  <c:v>430</c:v>
                </c:pt>
                <c:pt idx="16" c:formatCode="0">
                  <c:v>440</c:v>
                </c:pt>
                <c:pt idx="17" c:formatCode="0">
                  <c:v>450</c:v>
                </c:pt>
                <c:pt idx="18" c:formatCode="0">
                  <c:v>460</c:v>
                </c:pt>
                <c:pt idx="19" c:formatCode="0">
                  <c:v>470</c:v>
                </c:pt>
                <c:pt idx="20" c:formatCode="0">
                  <c:v>480</c:v>
                </c:pt>
                <c:pt idx="21" c:formatCode="0">
                  <c:v>490</c:v>
                </c:pt>
                <c:pt idx="22" c:formatCode="0">
                  <c:v>500</c:v>
                </c:pt>
                <c:pt idx="23" c:formatCode="0">
                  <c:v>510</c:v>
                </c:pt>
                <c:pt idx="24" c:formatCode="0">
                  <c:v>520</c:v>
                </c:pt>
                <c:pt idx="25" c:formatCode="0">
                  <c:v>530</c:v>
                </c:pt>
                <c:pt idx="26" c:formatCode="0">
                  <c:v>540</c:v>
                </c:pt>
                <c:pt idx="27" c:formatCode="0">
                  <c:v>550</c:v>
                </c:pt>
                <c:pt idx="28" c:formatCode="0">
                  <c:v>560</c:v>
                </c:pt>
                <c:pt idx="29" c:formatCode="0">
                  <c:v>570</c:v>
                </c:pt>
                <c:pt idx="30" c:formatCode="0">
                  <c:v>580</c:v>
                </c:pt>
                <c:pt idx="31" c:formatCode="0">
                  <c:v>590</c:v>
                </c:pt>
                <c:pt idx="32" c:formatCode="0">
                  <c:v>600</c:v>
                </c:pt>
                <c:pt idx="33" c:formatCode="0">
                  <c:v>610</c:v>
                </c:pt>
                <c:pt idx="34" c:formatCode="0">
                  <c:v>620</c:v>
                </c:pt>
                <c:pt idx="35" c:formatCode="0">
                  <c:v>630</c:v>
                </c:pt>
                <c:pt idx="36" c:formatCode="0">
                  <c:v>640</c:v>
                </c:pt>
                <c:pt idx="37" c:formatCode="0">
                  <c:v>650</c:v>
                </c:pt>
                <c:pt idx="38" c:formatCode="0">
                  <c:v>660</c:v>
                </c:pt>
                <c:pt idx="39" c:formatCode="0">
                  <c:v>670</c:v>
                </c:pt>
                <c:pt idx="40" c:formatCode="0">
                  <c:v>680</c:v>
                </c:pt>
                <c:pt idx="41" c:formatCode="0">
                  <c:v>690</c:v>
                </c:pt>
                <c:pt idx="42" c:formatCode="0">
                  <c:v>700</c:v>
                </c:pt>
                <c:pt idx="43" c:formatCode="0">
                  <c:v>710</c:v>
                </c:pt>
                <c:pt idx="44" c:formatCode="0">
                  <c:v>720</c:v>
                </c:pt>
                <c:pt idx="45" c:formatCode="0">
                  <c:v>730</c:v>
                </c:pt>
                <c:pt idx="46" c:formatCode="0">
                  <c:v>740</c:v>
                </c:pt>
                <c:pt idx="47" c:formatCode="0">
                  <c:v>750</c:v>
                </c:pt>
                <c:pt idx="48" c:formatCode="0">
                  <c:v>760</c:v>
                </c:pt>
                <c:pt idx="49" c:formatCode="0">
                  <c:v>770</c:v>
                </c:pt>
                <c:pt idx="50" c:formatCode="0">
                  <c:v>780</c:v>
                </c:pt>
                <c:pt idx="51" c:formatCode="0">
                  <c:v>790</c:v>
                </c:pt>
                <c:pt idx="52" c:formatCode="0">
                  <c:v>800</c:v>
                </c:pt>
                <c:pt idx="53" c:formatCode="0">
                  <c:v>810</c:v>
                </c:pt>
                <c:pt idx="54" c:formatCode="0">
                  <c:v>820</c:v>
                </c:pt>
                <c:pt idx="55" c:formatCode="0">
                  <c:v>830</c:v>
                </c:pt>
                <c:pt idx="56" c:formatCode="0">
                  <c:v>840</c:v>
                </c:pt>
                <c:pt idx="57" c:formatCode="0">
                  <c:v>850</c:v>
                </c:pt>
                <c:pt idx="58" c:formatCode="0">
                  <c:v>860</c:v>
                </c:pt>
                <c:pt idx="59" c:formatCode="0">
                  <c:v>870</c:v>
                </c:pt>
                <c:pt idx="60" c:formatCode="0">
                  <c:v>880</c:v>
                </c:pt>
                <c:pt idx="61" c:formatCode="0">
                  <c:v>890</c:v>
                </c:pt>
                <c:pt idx="62" c:formatCode="0">
                  <c:v>900</c:v>
                </c:pt>
                <c:pt idx="63" c:formatCode="0">
                  <c:v>910</c:v>
                </c:pt>
                <c:pt idx="64" c:formatCode="0">
                  <c:v>920</c:v>
                </c:pt>
                <c:pt idx="65" c:formatCode="0">
                  <c:v>930</c:v>
                </c:pt>
                <c:pt idx="66" c:formatCode="0">
                  <c:v>940</c:v>
                </c:pt>
                <c:pt idx="67" c:formatCode="0">
                  <c:v>950</c:v>
                </c:pt>
                <c:pt idx="68" c:formatCode="0">
                  <c:v>960</c:v>
                </c:pt>
                <c:pt idx="69" c:formatCode="0">
                  <c:v>970</c:v>
                </c:pt>
                <c:pt idx="70" c:formatCode="0">
                  <c:v>980</c:v>
                </c:pt>
                <c:pt idx="71" c:formatCode="0">
                  <c:v>990</c:v>
                </c:pt>
                <c:pt idx="72" c:formatCode="0">
                  <c:v>1000</c:v>
                </c:pt>
                <c:pt idx="73" c:formatCode="0">
                  <c:v>1010</c:v>
                </c:pt>
                <c:pt idx="74" c:formatCode="0">
                  <c:v>1020</c:v>
                </c:pt>
                <c:pt idx="75" c:formatCode="0">
                  <c:v>1030</c:v>
                </c:pt>
                <c:pt idx="76" c:formatCode="0">
                  <c:v>1040</c:v>
                </c:pt>
                <c:pt idx="77" c:formatCode="0">
                  <c:v>1050</c:v>
                </c:pt>
                <c:pt idx="78" c:formatCode="0">
                  <c:v>1060</c:v>
                </c:pt>
                <c:pt idx="79" c:formatCode="0">
                  <c:v>1070</c:v>
                </c:pt>
                <c:pt idx="80" c:formatCode="0">
                  <c:v>1080</c:v>
                </c:pt>
                <c:pt idx="81" c:formatCode="0">
                  <c:v>1090</c:v>
                </c:pt>
                <c:pt idx="82" c:formatCode="0">
                  <c:v>1100</c:v>
                </c:pt>
                <c:pt idx="83" c:formatCode="0">
                  <c:v>1110</c:v>
                </c:pt>
                <c:pt idx="84" c:formatCode="0">
                  <c:v>1120</c:v>
                </c:pt>
                <c:pt idx="85" c:formatCode="0">
                  <c:v>1130</c:v>
                </c:pt>
                <c:pt idx="86" c:formatCode="0">
                  <c:v>1140</c:v>
                </c:pt>
                <c:pt idx="87" c:formatCode="0">
                  <c:v>1150</c:v>
                </c:pt>
                <c:pt idx="88" c:formatCode="0">
                  <c:v>1160</c:v>
                </c:pt>
                <c:pt idx="89" c:formatCode="0">
                  <c:v>1170</c:v>
                </c:pt>
                <c:pt idx="90" c:formatCode="0">
                  <c:v>1180</c:v>
                </c:pt>
                <c:pt idx="91" c:formatCode="0">
                  <c:v>1190</c:v>
                </c:pt>
                <c:pt idx="92" c:formatCode="0">
                  <c:v>1200</c:v>
                </c:pt>
                <c:pt idx="93" c:formatCode="0">
                  <c:v>1210</c:v>
                </c:pt>
                <c:pt idx="94" c:formatCode="0">
                  <c:v>1220</c:v>
                </c:pt>
                <c:pt idx="95" c:formatCode="0">
                  <c:v>1230</c:v>
                </c:pt>
                <c:pt idx="96" c:formatCode="0">
                  <c:v>1240</c:v>
                </c:pt>
                <c:pt idx="97" c:formatCode="0">
                  <c:v>1250</c:v>
                </c:pt>
                <c:pt idx="98" c:formatCode="0">
                  <c:v>1260</c:v>
                </c:pt>
                <c:pt idx="99" c:formatCode="0">
                  <c:v>1270</c:v>
                </c:pt>
                <c:pt idx="100" c:formatCode="0">
                  <c:v>1280</c:v>
                </c:pt>
                <c:pt idx="101" c:formatCode="0">
                  <c:v>1290</c:v>
                </c:pt>
                <c:pt idx="102" c:formatCode="0">
                  <c:v>1300</c:v>
                </c:pt>
                <c:pt idx="103" c:formatCode="0">
                  <c:v>1310</c:v>
                </c:pt>
                <c:pt idx="104" c:formatCode="0">
                  <c:v>1320</c:v>
                </c:pt>
                <c:pt idx="105" c:formatCode="0">
                  <c:v>1330</c:v>
                </c:pt>
                <c:pt idx="106" c:formatCode="0">
                  <c:v>1340</c:v>
                </c:pt>
                <c:pt idx="107" c:formatCode="0">
                  <c:v>1350</c:v>
                </c:pt>
                <c:pt idx="108" c:formatCode="0">
                  <c:v>1360</c:v>
                </c:pt>
                <c:pt idx="109" c:formatCode="0">
                  <c:v>1370</c:v>
                </c:pt>
                <c:pt idx="110" c:formatCode="0">
                  <c:v>1380</c:v>
                </c:pt>
                <c:pt idx="111" c:formatCode="0">
                  <c:v>1390</c:v>
                </c:pt>
                <c:pt idx="112" c:formatCode="0">
                  <c:v>1400</c:v>
                </c:pt>
                <c:pt idx="113" c:formatCode="0">
                  <c:v>1500</c:v>
                </c:pt>
                <c:pt idx="114" c:formatCode="0">
                  <c:v>1600</c:v>
                </c:pt>
                <c:pt idx="115" c:formatCode="0">
                  <c:v>1700</c:v>
                </c:pt>
                <c:pt idx="116" c:formatCode="0">
                  <c:v>1800</c:v>
                </c:pt>
                <c:pt idx="117" c:formatCode="0">
                  <c:v>1900</c:v>
                </c:pt>
                <c:pt idx="118" c:formatCode="0">
                  <c:v>2000</c:v>
                </c:pt>
                <c:pt idx="119" c:formatCode="0">
                  <c:v>2100</c:v>
                </c:pt>
                <c:pt idx="120" c:formatCode="0">
                  <c:v>2200</c:v>
                </c:pt>
                <c:pt idx="121" c:formatCode="0">
                  <c:v>2300</c:v>
                </c:pt>
              </c:numCache>
            </c:numRef>
          </c:xVal>
          <c:yVal>
            <c:numRef>
              <c:f>Пр6!$K$2:$K$123</c:f>
              <c:numCache>
                <c:formatCode>General</c:formatCode>
                <c:ptCount val="122"/>
                <c:pt idx="0">
                  <c:v>1.87</c:v>
                </c:pt>
                <c:pt idx="1" c:formatCode="0.000">
                  <c:v>1.9275</c:v>
                </c:pt>
                <c:pt idx="2" c:formatCode="0.000">
                  <c:v>1.985</c:v>
                </c:pt>
                <c:pt idx="3" c:formatCode="0.000">
                  <c:v>2.0425</c:v>
                </c:pt>
                <c:pt idx="4">
                  <c:v>2.1</c:v>
                </c:pt>
                <c:pt idx="5" c:formatCode="0.000">
                  <c:v>2.155</c:v>
                </c:pt>
                <c:pt idx="6" c:formatCode="0.000">
                  <c:v>2.21</c:v>
                </c:pt>
                <c:pt idx="7" c:formatCode="0.000">
                  <c:v>2.265</c:v>
                </c:pt>
                <c:pt idx="8">
                  <c:v>2.32</c:v>
                </c:pt>
                <c:pt idx="9" c:formatCode="0.000">
                  <c:v>2.42</c:v>
                </c:pt>
                <c:pt idx="10">
                  <c:v>2.52</c:v>
                </c:pt>
                <c:pt idx="11" c:formatCode="0.000">
                  <c:v>2.62</c:v>
                </c:pt>
                <c:pt idx="12" c:formatCode="0.000">
                  <c:v>2.72</c:v>
                </c:pt>
                <c:pt idx="13" c:formatCode="0.000">
                  <c:v>2.738</c:v>
                </c:pt>
                <c:pt idx="14" c:formatCode="0.000">
                  <c:v>2.756</c:v>
                </c:pt>
                <c:pt idx="15" c:formatCode="0.000">
                  <c:v>2.774</c:v>
                </c:pt>
                <c:pt idx="16" c:formatCode="0.000">
                  <c:v>2.792</c:v>
                </c:pt>
                <c:pt idx="17" c:formatCode="0.000">
                  <c:v>2.81</c:v>
                </c:pt>
                <c:pt idx="18" c:formatCode="0.000">
                  <c:v>2.828</c:v>
                </c:pt>
                <c:pt idx="19" c:formatCode="0.000">
                  <c:v>2.846</c:v>
                </c:pt>
                <c:pt idx="20" c:formatCode="0.000">
                  <c:v>2.864</c:v>
                </c:pt>
                <c:pt idx="21" c:formatCode="0.000">
                  <c:v>2.882</c:v>
                </c:pt>
                <c:pt idx="22" c:formatCode="0.000">
                  <c:v>2.9</c:v>
                </c:pt>
                <c:pt idx="23" c:formatCode="0.000">
                  <c:v>2.912</c:v>
                </c:pt>
                <c:pt idx="24" c:formatCode="0.000">
                  <c:v>2.924</c:v>
                </c:pt>
                <c:pt idx="25" c:formatCode="0.000">
                  <c:v>2.936</c:v>
                </c:pt>
                <c:pt idx="26" c:formatCode="0.000">
                  <c:v>2.948</c:v>
                </c:pt>
                <c:pt idx="27" c:formatCode="0.000">
                  <c:v>2.96</c:v>
                </c:pt>
                <c:pt idx="28" c:formatCode="0.000">
                  <c:v>2.972</c:v>
                </c:pt>
                <c:pt idx="29" c:formatCode="0.000">
                  <c:v>2.984</c:v>
                </c:pt>
                <c:pt idx="30" c:formatCode="0.000">
                  <c:v>2.996</c:v>
                </c:pt>
                <c:pt idx="31" c:formatCode="0.000">
                  <c:v>3.008</c:v>
                </c:pt>
                <c:pt idx="32" c:formatCode="0.000">
                  <c:v>3.02</c:v>
                </c:pt>
                <c:pt idx="33" c:formatCode="0.000">
                  <c:v>3.036</c:v>
                </c:pt>
                <c:pt idx="34" c:formatCode="0.000">
                  <c:v>3.052</c:v>
                </c:pt>
                <c:pt idx="35" c:formatCode="0.000">
                  <c:v>3.068</c:v>
                </c:pt>
                <c:pt idx="36" c:formatCode="0.000">
                  <c:v>3.084</c:v>
                </c:pt>
                <c:pt idx="37" c:formatCode="0.000">
                  <c:v>3.1</c:v>
                </c:pt>
                <c:pt idx="38" c:formatCode="0.000">
                  <c:v>3.116</c:v>
                </c:pt>
                <c:pt idx="39" c:formatCode="0.000">
                  <c:v>3.132</c:v>
                </c:pt>
                <c:pt idx="40" c:formatCode="0.000">
                  <c:v>3.148</c:v>
                </c:pt>
                <c:pt idx="41" c:formatCode="0.000">
                  <c:v>3.164</c:v>
                </c:pt>
                <c:pt idx="42" c:formatCode="0.000">
                  <c:v>3.18</c:v>
                </c:pt>
                <c:pt idx="43" c:formatCode="0.000">
                  <c:v>3.193</c:v>
                </c:pt>
                <c:pt idx="44" c:formatCode="0.000">
                  <c:v>3.206</c:v>
                </c:pt>
                <c:pt idx="45" c:formatCode="0.000">
                  <c:v>3.219</c:v>
                </c:pt>
                <c:pt idx="46" c:formatCode="0.000">
                  <c:v>3.232</c:v>
                </c:pt>
                <c:pt idx="47" c:formatCode="0.000">
                  <c:v>3.245</c:v>
                </c:pt>
                <c:pt idx="48" c:formatCode="0.000">
                  <c:v>3.258</c:v>
                </c:pt>
                <c:pt idx="49" c:formatCode="0.000">
                  <c:v>3.271</c:v>
                </c:pt>
                <c:pt idx="50" c:formatCode="0.000">
                  <c:v>3.284</c:v>
                </c:pt>
                <c:pt idx="51" c:formatCode="0.000">
                  <c:v>3.297</c:v>
                </c:pt>
                <c:pt idx="52" c:formatCode="0.000">
                  <c:v>3.31</c:v>
                </c:pt>
                <c:pt idx="53" c:formatCode="0.000">
                  <c:v>3.321</c:v>
                </c:pt>
                <c:pt idx="54" c:formatCode="0.000">
                  <c:v>3.332</c:v>
                </c:pt>
                <c:pt idx="55" c:formatCode="0.000">
                  <c:v>3.343</c:v>
                </c:pt>
                <c:pt idx="56" c:formatCode="0.000">
                  <c:v>3.354</c:v>
                </c:pt>
                <c:pt idx="57" c:formatCode="0.000">
                  <c:v>3.365</c:v>
                </c:pt>
                <c:pt idx="58" c:formatCode="0.000">
                  <c:v>3.376</c:v>
                </c:pt>
                <c:pt idx="59" c:formatCode="0.000">
                  <c:v>3.387</c:v>
                </c:pt>
                <c:pt idx="60" c:formatCode="0.000">
                  <c:v>3.398</c:v>
                </c:pt>
                <c:pt idx="61" c:formatCode="0.000">
                  <c:v>3.409</c:v>
                </c:pt>
                <c:pt idx="62" c:formatCode="0.000">
                  <c:v>3.42</c:v>
                </c:pt>
                <c:pt idx="63" c:formatCode="0.000">
                  <c:v>3.431</c:v>
                </c:pt>
                <c:pt idx="64" c:formatCode="0.000">
                  <c:v>3.442</c:v>
                </c:pt>
                <c:pt idx="65" c:formatCode="0.000">
                  <c:v>3.453</c:v>
                </c:pt>
                <c:pt idx="66" c:formatCode="0.000">
                  <c:v>3.464</c:v>
                </c:pt>
                <c:pt idx="67" c:formatCode="0.000">
                  <c:v>3.475</c:v>
                </c:pt>
                <c:pt idx="68" c:formatCode="0.000">
                  <c:v>3.486</c:v>
                </c:pt>
                <c:pt idx="69" c:formatCode="0.000">
                  <c:v>3.497</c:v>
                </c:pt>
                <c:pt idx="70" c:formatCode="0.000">
                  <c:v>3.508</c:v>
                </c:pt>
                <c:pt idx="71" c:formatCode="0.000">
                  <c:v>3.519</c:v>
                </c:pt>
                <c:pt idx="72" c:formatCode="0.000">
                  <c:v>3.53</c:v>
                </c:pt>
                <c:pt idx="73" c:formatCode="0.000">
                  <c:v>0</c:v>
                </c:pt>
                <c:pt idx="74" c:formatCode="0.000">
                  <c:v>0</c:v>
                </c:pt>
                <c:pt idx="75" c:formatCode="0.000">
                  <c:v>0</c:v>
                </c:pt>
                <c:pt idx="76" c:formatCode="0.000">
                  <c:v>0</c:v>
                </c:pt>
                <c:pt idx="77" c:formatCode="0.000">
                  <c:v>0</c:v>
                </c:pt>
                <c:pt idx="78" c:formatCode="0.000">
                  <c:v>0</c:v>
                </c:pt>
                <c:pt idx="79" c:formatCode="0.000">
                  <c:v>0</c:v>
                </c:pt>
                <c:pt idx="80" c:formatCode="0.000">
                  <c:v>0</c:v>
                </c:pt>
                <c:pt idx="81" c:formatCode="0.000">
                  <c:v>0</c:v>
                </c:pt>
                <c:pt idx="82" c:formatCode="0.000">
                  <c:v>0</c:v>
                </c:pt>
                <c:pt idx="83" c:formatCode="0.000">
                  <c:v>0</c:v>
                </c:pt>
                <c:pt idx="84" c:formatCode="0.000">
                  <c:v>0</c:v>
                </c:pt>
                <c:pt idx="85" c:formatCode="0.000">
                  <c:v>0</c:v>
                </c:pt>
                <c:pt idx="86" c:formatCode="0.000">
                  <c:v>0</c:v>
                </c:pt>
                <c:pt idx="87" c:formatCode="0.000">
                  <c:v>0</c:v>
                </c:pt>
                <c:pt idx="88" c:formatCode="0.000">
                  <c:v>0</c:v>
                </c:pt>
                <c:pt idx="89" c:formatCode="0.000">
                  <c:v>0</c:v>
                </c:pt>
                <c:pt idx="90" c:formatCode="0.000">
                  <c:v>0</c:v>
                </c:pt>
                <c:pt idx="91" c:formatCode="0.000">
                  <c:v>0</c:v>
                </c:pt>
                <c:pt idx="92" c:formatCode="0.000">
                  <c:v>0</c:v>
                </c:pt>
                <c:pt idx="93" c:formatCode="0.000">
                  <c:v>0</c:v>
                </c:pt>
                <c:pt idx="94" c:formatCode="0.000">
                  <c:v>0</c:v>
                </c:pt>
                <c:pt idx="95" c:formatCode="0.000">
                  <c:v>0</c:v>
                </c:pt>
                <c:pt idx="96" c:formatCode="0.000">
                  <c:v>0</c:v>
                </c:pt>
                <c:pt idx="97" c:formatCode="0.000">
                  <c:v>0</c:v>
                </c:pt>
                <c:pt idx="98" c:formatCode="0.000">
                  <c:v>0</c:v>
                </c:pt>
                <c:pt idx="99" c:formatCode="0.000">
                  <c:v>0</c:v>
                </c:pt>
                <c:pt idx="100" c:formatCode="0.000">
                  <c:v>0</c:v>
                </c:pt>
                <c:pt idx="101" c:formatCode="0.000">
                  <c:v>0</c:v>
                </c:pt>
                <c:pt idx="102" c:formatCode="0.000">
                  <c:v>0</c:v>
                </c:pt>
                <c:pt idx="103" c:formatCode="0.000">
                  <c:v>0</c:v>
                </c:pt>
                <c:pt idx="104" c:formatCode="0.000">
                  <c:v>0</c:v>
                </c:pt>
                <c:pt idx="105" c:formatCode="0.000">
                  <c:v>0</c:v>
                </c:pt>
                <c:pt idx="106" c:formatCode="0.000">
                  <c:v>0</c:v>
                </c:pt>
                <c:pt idx="107" c:formatCode="0.000">
                  <c:v>0</c:v>
                </c:pt>
                <c:pt idx="108" c:formatCode="0.000">
                  <c:v>0</c:v>
                </c:pt>
                <c:pt idx="109" c:formatCode="0.000">
                  <c:v>0</c:v>
                </c:pt>
                <c:pt idx="110" c:formatCode="0.000">
                  <c:v>0</c:v>
                </c:pt>
                <c:pt idx="111" c:formatCode="0.000">
                  <c:v>0</c:v>
                </c:pt>
                <c:pt idx="112" c:formatCode="0.000">
                  <c:v>0</c:v>
                </c:pt>
                <c:pt idx="113" c:formatCode="0.000">
                  <c:v>0</c:v>
                </c:pt>
                <c:pt idx="114" c:formatCode="0.000">
                  <c:v>0</c:v>
                </c:pt>
                <c:pt idx="115" c:formatCode="0.000">
                  <c:v>0</c:v>
                </c:pt>
                <c:pt idx="116" c:formatCode="0.000">
                  <c:v>0</c:v>
                </c:pt>
                <c:pt idx="117" c:formatCode="0.000">
                  <c:v>0</c:v>
                </c:pt>
                <c:pt idx="118" c:formatCode="0.000">
                  <c:v>0</c:v>
                </c:pt>
                <c:pt idx="119" c:formatCode="0.000">
                  <c:v>0</c:v>
                </c:pt>
                <c:pt idx="120" c:formatCode="0.000">
                  <c:v>0</c:v>
                </c:pt>
                <c:pt idx="121" c:formatCode="0.00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30400"/>
        <c:axId val="180232192"/>
      </c:scatterChart>
      <c:valAx>
        <c:axId val="18023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232192"/>
        <c:crosses val="autoZero"/>
        <c:crossBetween val="midCat"/>
      </c:valAx>
      <c:valAx>
        <c:axId val="18023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23040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59e2ee-ccda-40fd-9a32-10709ea6187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Пр6!$L$1</c:f>
              <c:strCache>
                <c:ptCount val="1"/>
                <c:pt idx="0">
                  <c:v>Прод.сгор.,
кДж/(м3*оС)</c:v>
                </c:pt>
              </c:strCache>
            </c:strRef>
          </c:tx>
          <c:dLbls>
            <c:delete val="1"/>
          </c:dLbls>
          <c:xVal>
            <c:numRef>
              <c:f>Пр6!$A$2:$A$123</c:f>
              <c:numCache>
                <c:formatCode>General</c:formatCode>
                <c:ptCount val="122"/>
                <c:pt idx="0">
                  <c:v>0</c:v>
                </c:pt>
                <c:pt idx="1" c:formatCode="0">
                  <c:v>25</c:v>
                </c:pt>
                <c:pt idx="2" c:formatCode="0">
                  <c:v>50</c:v>
                </c:pt>
                <c:pt idx="3" c:formatCode="0">
                  <c:v>75</c:v>
                </c:pt>
                <c:pt idx="4">
                  <c:v>100</c:v>
                </c:pt>
                <c:pt idx="5" c:formatCode="0">
                  <c:v>125</c:v>
                </c:pt>
                <c:pt idx="6" c:formatCode="0">
                  <c:v>150</c:v>
                </c:pt>
                <c:pt idx="7" c:formatCode="0">
                  <c:v>175</c:v>
                </c:pt>
                <c:pt idx="8">
                  <c:v>200</c:v>
                </c:pt>
                <c:pt idx="9" c:formatCode="0">
                  <c:v>250</c:v>
                </c:pt>
                <c:pt idx="10">
                  <c:v>300</c:v>
                </c:pt>
                <c:pt idx="11" c:formatCode="0">
                  <c:v>350</c:v>
                </c:pt>
                <c:pt idx="12" c:formatCode="0">
                  <c:v>400</c:v>
                </c:pt>
                <c:pt idx="13" c:formatCode="0">
                  <c:v>410</c:v>
                </c:pt>
                <c:pt idx="14" c:formatCode="0">
                  <c:v>420</c:v>
                </c:pt>
                <c:pt idx="15" c:formatCode="0">
                  <c:v>430</c:v>
                </c:pt>
                <c:pt idx="16" c:formatCode="0">
                  <c:v>440</c:v>
                </c:pt>
                <c:pt idx="17" c:formatCode="0">
                  <c:v>450</c:v>
                </c:pt>
                <c:pt idx="18" c:formatCode="0">
                  <c:v>460</c:v>
                </c:pt>
                <c:pt idx="19" c:formatCode="0">
                  <c:v>470</c:v>
                </c:pt>
                <c:pt idx="20" c:formatCode="0">
                  <c:v>480</c:v>
                </c:pt>
                <c:pt idx="21" c:formatCode="0">
                  <c:v>490</c:v>
                </c:pt>
                <c:pt idx="22" c:formatCode="0">
                  <c:v>500</c:v>
                </c:pt>
                <c:pt idx="23" c:formatCode="0">
                  <c:v>510</c:v>
                </c:pt>
                <c:pt idx="24" c:formatCode="0">
                  <c:v>520</c:v>
                </c:pt>
                <c:pt idx="25" c:formatCode="0">
                  <c:v>530</c:v>
                </c:pt>
                <c:pt idx="26" c:formatCode="0">
                  <c:v>540</c:v>
                </c:pt>
                <c:pt idx="27" c:formatCode="0">
                  <c:v>550</c:v>
                </c:pt>
                <c:pt idx="28" c:formatCode="0">
                  <c:v>560</c:v>
                </c:pt>
                <c:pt idx="29" c:formatCode="0">
                  <c:v>570</c:v>
                </c:pt>
                <c:pt idx="30" c:formatCode="0">
                  <c:v>580</c:v>
                </c:pt>
                <c:pt idx="31" c:formatCode="0">
                  <c:v>590</c:v>
                </c:pt>
                <c:pt idx="32" c:formatCode="0">
                  <c:v>600</c:v>
                </c:pt>
                <c:pt idx="33" c:formatCode="0">
                  <c:v>610</c:v>
                </c:pt>
                <c:pt idx="34" c:formatCode="0">
                  <c:v>620</c:v>
                </c:pt>
                <c:pt idx="35" c:formatCode="0">
                  <c:v>630</c:v>
                </c:pt>
                <c:pt idx="36" c:formatCode="0">
                  <c:v>640</c:v>
                </c:pt>
                <c:pt idx="37" c:formatCode="0">
                  <c:v>650</c:v>
                </c:pt>
                <c:pt idx="38" c:formatCode="0">
                  <c:v>660</c:v>
                </c:pt>
                <c:pt idx="39" c:formatCode="0">
                  <c:v>670</c:v>
                </c:pt>
                <c:pt idx="40" c:formatCode="0">
                  <c:v>680</c:v>
                </c:pt>
                <c:pt idx="41" c:formatCode="0">
                  <c:v>690</c:v>
                </c:pt>
                <c:pt idx="42" c:formatCode="0">
                  <c:v>700</c:v>
                </c:pt>
                <c:pt idx="43" c:formatCode="0">
                  <c:v>710</c:v>
                </c:pt>
                <c:pt idx="44" c:formatCode="0">
                  <c:v>720</c:v>
                </c:pt>
                <c:pt idx="45" c:formatCode="0">
                  <c:v>730</c:v>
                </c:pt>
                <c:pt idx="46" c:formatCode="0">
                  <c:v>740</c:v>
                </c:pt>
                <c:pt idx="47" c:formatCode="0">
                  <c:v>750</c:v>
                </c:pt>
                <c:pt idx="48" c:formatCode="0">
                  <c:v>760</c:v>
                </c:pt>
                <c:pt idx="49" c:formatCode="0">
                  <c:v>770</c:v>
                </c:pt>
                <c:pt idx="50" c:formatCode="0">
                  <c:v>780</c:v>
                </c:pt>
                <c:pt idx="51" c:formatCode="0">
                  <c:v>790</c:v>
                </c:pt>
                <c:pt idx="52" c:formatCode="0">
                  <c:v>800</c:v>
                </c:pt>
                <c:pt idx="53" c:formatCode="0">
                  <c:v>810</c:v>
                </c:pt>
                <c:pt idx="54" c:formatCode="0">
                  <c:v>820</c:v>
                </c:pt>
                <c:pt idx="55" c:formatCode="0">
                  <c:v>830</c:v>
                </c:pt>
                <c:pt idx="56" c:formatCode="0">
                  <c:v>840</c:v>
                </c:pt>
                <c:pt idx="57" c:formatCode="0">
                  <c:v>850</c:v>
                </c:pt>
                <c:pt idx="58" c:formatCode="0">
                  <c:v>860</c:v>
                </c:pt>
                <c:pt idx="59" c:formatCode="0">
                  <c:v>870</c:v>
                </c:pt>
                <c:pt idx="60" c:formatCode="0">
                  <c:v>880</c:v>
                </c:pt>
                <c:pt idx="61" c:formatCode="0">
                  <c:v>890</c:v>
                </c:pt>
                <c:pt idx="62" c:formatCode="0">
                  <c:v>900</c:v>
                </c:pt>
                <c:pt idx="63" c:formatCode="0">
                  <c:v>910</c:v>
                </c:pt>
                <c:pt idx="64" c:formatCode="0">
                  <c:v>920</c:v>
                </c:pt>
                <c:pt idx="65" c:formatCode="0">
                  <c:v>930</c:v>
                </c:pt>
                <c:pt idx="66" c:formatCode="0">
                  <c:v>940</c:v>
                </c:pt>
                <c:pt idx="67" c:formatCode="0">
                  <c:v>950</c:v>
                </c:pt>
                <c:pt idx="68" c:formatCode="0">
                  <c:v>960</c:v>
                </c:pt>
                <c:pt idx="69" c:formatCode="0">
                  <c:v>970</c:v>
                </c:pt>
                <c:pt idx="70" c:formatCode="0">
                  <c:v>980</c:v>
                </c:pt>
                <c:pt idx="71" c:formatCode="0">
                  <c:v>990</c:v>
                </c:pt>
                <c:pt idx="72" c:formatCode="0">
                  <c:v>1000</c:v>
                </c:pt>
                <c:pt idx="73" c:formatCode="0">
                  <c:v>1010</c:v>
                </c:pt>
                <c:pt idx="74" c:formatCode="0">
                  <c:v>1020</c:v>
                </c:pt>
                <c:pt idx="75" c:formatCode="0">
                  <c:v>1030</c:v>
                </c:pt>
                <c:pt idx="76" c:formatCode="0">
                  <c:v>1040</c:v>
                </c:pt>
                <c:pt idx="77" c:formatCode="0">
                  <c:v>1050</c:v>
                </c:pt>
                <c:pt idx="78" c:formatCode="0">
                  <c:v>1060</c:v>
                </c:pt>
                <c:pt idx="79" c:formatCode="0">
                  <c:v>1070</c:v>
                </c:pt>
                <c:pt idx="80" c:formatCode="0">
                  <c:v>1080</c:v>
                </c:pt>
                <c:pt idx="81" c:formatCode="0">
                  <c:v>1090</c:v>
                </c:pt>
                <c:pt idx="82" c:formatCode="0">
                  <c:v>1100</c:v>
                </c:pt>
                <c:pt idx="83" c:formatCode="0">
                  <c:v>1110</c:v>
                </c:pt>
                <c:pt idx="84" c:formatCode="0">
                  <c:v>1120</c:v>
                </c:pt>
                <c:pt idx="85" c:formatCode="0">
                  <c:v>1130</c:v>
                </c:pt>
                <c:pt idx="86" c:formatCode="0">
                  <c:v>1140</c:v>
                </c:pt>
                <c:pt idx="87" c:formatCode="0">
                  <c:v>1150</c:v>
                </c:pt>
                <c:pt idx="88" c:formatCode="0">
                  <c:v>1160</c:v>
                </c:pt>
                <c:pt idx="89" c:formatCode="0">
                  <c:v>1170</c:v>
                </c:pt>
                <c:pt idx="90" c:formatCode="0">
                  <c:v>1180</c:v>
                </c:pt>
                <c:pt idx="91" c:formatCode="0">
                  <c:v>1190</c:v>
                </c:pt>
                <c:pt idx="92" c:formatCode="0">
                  <c:v>1200</c:v>
                </c:pt>
                <c:pt idx="93" c:formatCode="0">
                  <c:v>1210</c:v>
                </c:pt>
                <c:pt idx="94" c:formatCode="0">
                  <c:v>1220</c:v>
                </c:pt>
                <c:pt idx="95" c:formatCode="0">
                  <c:v>1230</c:v>
                </c:pt>
                <c:pt idx="96" c:formatCode="0">
                  <c:v>1240</c:v>
                </c:pt>
                <c:pt idx="97" c:formatCode="0">
                  <c:v>1250</c:v>
                </c:pt>
                <c:pt idx="98" c:formatCode="0">
                  <c:v>1260</c:v>
                </c:pt>
                <c:pt idx="99" c:formatCode="0">
                  <c:v>1270</c:v>
                </c:pt>
                <c:pt idx="100" c:formatCode="0">
                  <c:v>1280</c:v>
                </c:pt>
                <c:pt idx="101" c:formatCode="0">
                  <c:v>1290</c:v>
                </c:pt>
                <c:pt idx="102" c:formatCode="0">
                  <c:v>1300</c:v>
                </c:pt>
                <c:pt idx="103" c:formatCode="0">
                  <c:v>1310</c:v>
                </c:pt>
                <c:pt idx="104" c:formatCode="0">
                  <c:v>1320</c:v>
                </c:pt>
                <c:pt idx="105" c:formatCode="0">
                  <c:v>1330</c:v>
                </c:pt>
                <c:pt idx="106" c:formatCode="0">
                  <c:v>1340</c:v>
                </c:pt>
                <c:pt idx="107" c:formatCode="0">
                  <c:v>1350</c:v>
                </c:pt>
                <c:pt idx="108" c:formatCode="0">
                  <c:v>1360</c:v>
                </c:pt>
                <c:pt idx="109" c:formatCode="0">
                  <c:v>1370</c:v>
                </c:pt>
                <c:pt idx="110" c:formatCode="0">
                  <c:v>1380</c:v>
                </c:pt>
                <c:pt idx="111" c:formatCode="0">
                  <c:v>1390</c:v>
                </c:pt>
                <c:pt idx="112" c:formatCode="0">
                  <c:v>1400</c:v>
                </c:pt>
                <c:pt idx="113" c:formatCode="0">
                  <c:v>1500</c:v>
                </c:pt>
                <c:pt idx="114" c:formatCode="0">
                  <c:v>1600</c:v>
                </c:pt>
                <c:pt idx="115" c:formatCode="0">
                  <c:v>1700</c:v>
                </c:pt>
                <c:pt idx="116" c:formatCode="0">
                  <c:v>1800</c:v>
                </c:pt>
                <c:pt idx="117" c:formatCode="0">
                  <c:v>1900</c:v>
                </c:pt>
                <c:pt idx="118" c:formatCode="0">
                  <c:v>2000</c:v>
                </c:pt>
                <c:pt idx="119" c:formatCode="0">
                  <c:v>2100</c:v>
                </c:pt>
                <c:pt idx="120" c:formatCode="0">
                  <c:v>2200</c:v>
                </c:pt>
                <c:pt idx="121" c:formatCode="0">
                  <c:v>2300</c:v>
                </c:pt>
              </c:numCache>
            </c:numRef>
          </c:xVal>
          <c:yVal>
            <c:numRef>
              <c:f>Пр6!$L$2:$L$123</c:f>
              <c:numCache>
                <c:formatCode>0.000</c:formatCode>
                <c:ptCount val="122"/>
                <c:pt idx="0">
                  <c:v>1.423</c:v>
                </c:pt>
                <c:pt idx="1">
                  <c:v>1.423</c:v>
                </c:pt>
                <c:pt idx="2">
                  <c:v>1.423</c:v>
                </c:pt>
                <c:pt idx="3">
                  <c:v>1.423</c:v>
                </c:pt>
                <c:pt idx="4">
                  <c:v>1.423</c:v>
                </c:pt>
                <c:pt idx="5">
                  <c:v>1.423</c:v>
                </c:pt>
                <c:pt idx="6">
                  <c:v>1.423</c:v>
                </c:pt>
                <c:pt idx="7">
                  <c:v>1.423</c:v>
                </c:pt>
                <c:pt idx="8">
                  <c:v>1.423</c:v>
                </c:pt>
                <c:pt idx="9">
                  <c:v>1.43225</c:v>
                </c:pt>
                <c:pt idx="10">
                  <c:v>1.4415</c:v>
                </c:pt>
                <c:pt idx="11">
                  <c:v>1.45075</c:v>
                </c:pt>
                <c:pt idx="12">
                  <c:v>1.46</c:v>
                </c:pt>
                <c:pt idx="13">
                  <c:v>1.4615</c:v>
                </c:pt>
                <c:pt idx="14">
                  <c:v>1.463</c:v>
                </c:pt>
                <c:pt idx="15">
                  <c:v>1.4645</c:v>
                </c:pt>
                <c:pt idx="16">
                  <c:v>1.466</c:v>
                </c:pt>
                <c:pt idx="17">
                  <c:v>1.4675</c:v>
                </c:pt>
                <c:pt idx="18">
                  <c:v>1.469</c:v>
                </c:pt>
                <c:pt idx="19">
                  <c:v>1.4705</c:v>
                </c:pt>
                <c:pt idx="20">
                  <c:v>1.472</c:v>
                </c:pt>
                <c:pt idx="21">
                  <c:v>1.4735</c:v>
                </c:pt>
                <c:pt idx="22">
                  <c:v>1.475</c:v>
                </c:pt>
                <c:pt idx="23">
                  <c:v>1.4765</c:v>
                </c:pt>
                <c:pt idx="24">
                  <c:v>1.478</c:v>
                </c:pt>
                <c:pt idx="25">
                  <c:v>1.4795</c:v>
                </c:pt>
                <c:pt idx="26">
                  <c:v>1.481</c:v>
                </c:pt>
                <c:pt idx="27">
                  <c:v>1.4825</c:v>
                </c:pt>
                <c:pt idx="28">
                  <c:v>1.484</c:v>
                </c:pt>
                <c:pt idx="29">
                  <c:v>1.4855</c:v>
                </c:pt>
                <c:pt idx="30">
                  <c:v>1.487</c:v>
                </c:pt>
                <c:pt idx="31">
                  <c:v>1.4885</c:v>
                </c:pt>
                <c:pt idx="32">
                  <c:v>1.49</c:v>
                </c:pt>
                <c:pt idx="33">
                  <c:v>1.4915</c:v>
                </c:pt>
                <c:pt idx="34">
                  <c:v>1.493</c:v>
                </c:pt>
                <c:pt idx="35">
                  <c:v>1.4945</c:v>
                </c:pt>
                <c:pt idx="36">
                  <c:v>1.496</c:v>
                </c:pt>
                <c:pt idx="37">
                  <c:v>1.4975</c:v>
                </c:pt>
                <c:pt idx="38">
                  <c:v>1.499</c:v>
                </c:pt>
                <c:pt idx="39">
                  <c:v>1.5005</c:v>
                </c:pt>
                <c:pt idx="40">
                  <c:v>1.502</c:v>
                </c:pt>
                <c:pt idx="41">
                  <c:v>1.5035</c:v>
                </c:pt>
                <c:pt idx="42">
                  <c:v>1.505</c:v>
                </c:pt>
                <c:pt idx="43">
                  <c:v>1.5065</c:v>
                </c:pt>
                <c:pt idx="44">
                  <c:v>1.508</c:v>
                </c:pt>
                <c:pt idx="45">
                  <c:v>1.5095</c:v>
                </c:pt>
                <c:pt idx="46">
                  <c:v>1.511</c:v>
                </c:pt>
                <c:pt idx="47">
                  <c:v>1.5125</c:v>
                </c:pt>
                <c:pt idx="48">
                  <c:v>1.514</c:v>
                </c:pt>
                <c:pt idx="49">
                  <c:v>1.5155</c:v>
                </c:pt>
                <c:pt idx="50">
                  <c:v>1.517</c:v>
                </c:pt>
                <c:pt idx="51">
                  <c:v>1.5185</c:v>
                </c:pt>
                <c:pt idx="52">
                  <c:v>1.52</c:v>
                </c:pt>
                <c:pt idx="53">
                  <c:v>1.52125</c:v>
                </c:pt>
                <c:pt idx="54">
                  <c:v>1.5225</c:v>
                </c:pt>
                <c:pt idx="55">
                  <c:v>1.52375</c:v>
                </c:pt>
                <c:pt idx="56">
                  <c:v>1.525</c:v>
                </c:pt>
                <c:pt idx="57">
                  <c:v>1.52625</c:v>
                </c:pt>
                <c:pt idx="58">
                  <c:v>1.5275</c:v>
                </c:pt>
                <c:pt idx="59">
                  <c:v>1.52875</c:v>
                </c:pt>
                <c:pt idx="60">
                  <c:v>1.53</c:v>
                </c:pt>
                <c:pt idx="61">
                  <c:v>1.53125</c:v>
                </c:pt>
                <c:pt idx="62">
                  <c:v>1.5325</c:v>
                </c:pt>
                <c:pt idx="63">
                  <c:v>1.53375</c:v>
                </c:pt>
                <c:pt idx="64">
                  <c:v>1.535</c:v>
                </c:pt>
                <c:pt idx="65">
                  <c:v>1.53625</c:v>
                </c:pt>
                <c:pt idx="66">
                  <c:v>1.5375</c:v>
                </c:pt>
                <c:pt idx="67">
                  <c:v>1.53875</c:v>
                </c:pt>
                <c:pt idx="68">
                  <c:v>1.54</c:v>
                </c:pt>
                <c:pt idx="69">
                  <c:v>1.54125</c:v>
                </c:pt>
                <c:pt idx="70">
                  <c:v>1.5425</c:v>
                </c:pt>
                <c:pt idx="71">
                  <c:v>1.54375</c:v>
                </c:pt>
                <c:pt idx="72">
                  <c:v>1.545</c:v>
                </c:pt>
                <c:pt idx="73">
                  <c:v>1.5461</c:v>
                </c:pt>
                <c:pt idx="74">
                  <c:v>1.5472</c:v>
                </c:pt>
                <c:pt idx="75">
                  <c:v>1.5483</c:v>
                </c:pt>
                <c:pt idx="76">
                  <c:v>1.5494</c:v>
                </c:pt>
                <c:pt idx="77">
                  <c:v>1.5505</c:v>
                </c:pt>
                <c:pt idx="78">
                  <c:v>1.5516</c:v>
                </c:pt>
                <c:pt idx="79">
                  <c:v>1.5527</c:v>
                </c:pt>
                <c:pt idx="80">
                  <c:v>1.5538</c:v>
                </c:pt>
                <c:pt idx="81">
                  <c:v>1.5549</c:v>
                </c:pt>
                <c:pt idx="82">
                  <c:v>1.556</c:v>
                </c:pt>
                <c:pt idx="83">
                  <c:v>1.5571</c:v>
                </c:pt>
                <c:pt idx="84">
                  <c:v>1.5582</c:v>
                </c:pt>
                <c:pt idx="85">
                  <c:v>1.5593</c:v>
                </c:pt>
                <c:pt idx="86">
                  <c:v>1.5604</c:v>
                </c:pt>
                <c:pt idx="87">
                  <c:v>1.5615</c:v>
                </c:pt>
                <c:pt idx="88">
                  <c:v>1.5626</c:v>
                </c:pt>
                <c:pt idx="89">
                  <c:v>1.5637</c:v>
                </c:pt>
                <c:pt idx="90">
                  <c:v>1.5648</c:v>
                </c:pt>
                <c:pt idx="91">
                  <c:v>1.5659</c:v>
                </c:pt>
                <c:pt idx="92">
                  <c:v>1.567</c:v>
                </c:pt>
                <c:pt idx="93">
                  <c:v>1.56815</c:v>
                </c:pt>
                <c:pt idx="94">
                  <c:v>1.5693</c:v>
                </c:pt>
                <c:pt idx="95">
                  <c:v>1.57045</c:v>
                </c:pt>
                <c:pt idx="96">
                  <c:v>1.5716</c:v>
                </c:pt>
                <c:pt idx="97">
                  <c:v>1.57275</c:v>
                </c:pt>
                <c:pt idx="98">
                  <c:v>1.5739</c:v>
                </c:pt>
                <c:pt idx="99">
                  <c:v>1.57505</c:v>
                </c:pt>
                <c:pt idx="100">
                  <c:v>1.5762</c:v>
                </c:pt>
                <c:pt idx="101">
                  <c:v>1.57735</c:v>
                </c:pt>
                <c:pt idx="102">
                  <c:v>1.5785</c:v>
                </c:pt>
                <c:pt idx="103">
                  <c:v>1.57965</c:v>
                </c:pt>
                <c:pt idx="104">
                  <c:v>1.5808</c:v>
                </c:pt>
                <c:pt idx="105">
                  <c:v>1.58195</c:v>
                </c:pt>
                <c:pt idx="106">
                  <c:v>1.5831</c:v>
                </c:pt>
                <c:pt idx="107">
                  <c:v>1.58425</c:v>
                </c:pt>
                <c:pt idx="108">
                  <c:v>1.5854</c:v>
                </c:pt>
                <c:pt idx="109">
                  <c:v>1.58655</c:v>
                </c:pt>
                <c:pt idx="110">
                  <c:v>1.5877</c:v>
                </c:pt>
                <c:pt idx="111">
                  <c:v>1.58885</c:v>
                </c:pt>
                <c:pt idx="112">
                  <c:v>1.59</c:v>
                </c:pt>
                <c:pt idx="113">
                  <c:v>1.604</c:v>
                </c:pt>
                <c:pt idx="114">
                  <c:v>1.618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60864"/>
        <c:axId val="180262400"/>
      </c:scatterChart>
      <c:valAx>
        <c:axId val="180260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262400"/>
        <c:crosses val="autoZero"/>
        <c:crossBetween val="midCat"/>
      </c:valAx>
      <c:valAx>
        <c:axId val="18026240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26086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fa895e-d6d9-4ebc-910f-0bc8051099f5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Пр7!$A$3</c:f>
              <c:strCache>
                <c:ptCount val="1"/>
                <c:pt idx="0">
                  <c:v>Обжиг кольчедана в кипящем слое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log"/>
            <c:dispRSqr val="1"/>
            <c:dispEq val="1"/>
            <c:trendlineLbl>
              <c:layout>
                <c:manualLayout>
                  <c:x val="-0.256942089445215"/>
                  <c:y val="-0.118795141067368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Пр7!$AE$2:$AL$2</c:f>
              <c:numCache>
                <c:formatCode>0</c:formatCode>
                <c:ptCount val="8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  <c:pt idx="6">
                  <c:v>1800</c:v>
                </c:pt>
                <c:pt idx="7">
                  <c:v>2000</c:v>
                </c:pt>
              </c:numCache>
            </c:numRef>
          </c:xVal>
          <c:yVal>
            <c:numRef>
              <c:f>Пр7!$AE$3:$AL$3</c:f>
              <c:numCache>
                <c:formatCode>0.00</c:formatCode>
                <c:ptCount val="8"/>
                <c:pt idx="0">
                  <c:v>0.87</c:v>
                </c:pt>
                <c:pt idx="1">
                  <c:v>0.93</c:v>
                </c:pt>
                <c:pt idx="2">
                  <c:v>1</c:v>
                </c:pt>
                <c:pt idx="3">
                  <c:v>1.04</c:v>
                </c:pt>
                <c:pt idx="4">
                  <c:v>1.08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Пр7!$A$13</c:f>
              <c:strCache>
                <c:ptCount val="1"/>
                <c:pt idx="0">
                  <c:v>Кислородные сталеплавильные конвертеры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log"/>
            <c:dispRSqr val="1"/>
            <c:dispEq val="1"/>
            <c:trendlineLbl>
              <c:layout>
                <c:manualLayout>
                  <c:x val="0.261413892226173"/>
                  <c:y val="-0.0696797706622161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Пр7!$AE$2:$AL$2</c:f>
              <c:numCache>
                <c:formatCode>0</c:formatCode>
                <c:ptCount val="8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  <c:pt idx="6">
                  <c:v>1800</c:v>
                </c:pt>
                <c:pt idx="7">
                  <c:v>2000</c:v>
                </c:pt>
              </c:numCache>
            </c:numRef>
          </c:xVal>
          <c:yVal>
            <c:numRef>
              <c:f>Пр7!$AE$13:$AL$13</c:f>
              <c:numCache>
                <c:formatCode>0.00</c:formatCode>
                <c:ptCount val="8"/>
                <c:pt idx="3">
                  <c:v>0.87</c:v>
                </c:pt>
                <c:pt idx="4">
                  <c:v>1.04</c:v>
                </c:pt>
                <c:pt idx="5">
                  <c:v>1.23</c:v>
                </c:pt>
                <c:pt idx="6">
                  <c:v>1.39</c:v>
                </c:pt>
                <c:pt idx="7">
                  <c:v>1.52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Пр7!$A$7</c:f>
              <c:strCache>
                <c:ptCount val="1"/>
                <c:pt idx="0">
                  <c:v>Конвертеры медных штейнов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log"/>
            <c:dispRSqr val="1"/>
            <c:dispEq val="1"/>
            <c:trendlineLbl>
              <c:layout>
                <c:manualLayout>
                  <c:x val="0.178822388193481"/>
                  <c:y val="0.133009956692185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Пр7!$AE$2:$AL$2</c:f>
              <c:numCache>
                <c:formatCode>0</c:formatCode>
                <c:ptCount val="8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  <c:pt idx="6">
                  <c:v>1800</c:v>
                </c:pt>
                <c:pt idx="7">
                  <c:v>2000</c:v>
                </c:pt>
              </c:numCache>
            </c:numRef>
          </c:xVal>
          <c:yVal>
            <c:numRef>
              <c:f>Пр7!$AE$7:$AL$7</c:f>
              <c:numCache>
                <c:formatCode>0.00</c:formatCode>
                <c:ptCount val="8"/>
                <c:pt idx="0">
                  <c:v>0.74</c:v>
                </c:pt>
                <c:pt idx="1">
                  <c:v>0.82</c:v>
                </c:pt>
                <c:pt idx="2">
                  <c:v>0.88</c:v>
                </c:pt>
                <c:pt idx="3">
                  <c:v>0.95</c:v>
                </c:pt>
                <c:pt idx="4">
                  <c:v>1.01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69600"/>
        <c:axId val="179983104"/>
      </c:scatterChart>
      <c:valAx>
        <c:axId val="178969600"/>
        <c:scaling>
          <c:orientation val="minMax"/>
        </c:scaling>
        <c:delete val="0"/>
        <c:axPos val="b"/>
        <c:majorGridlines/>
        <c:numFmt formatCode="#\ ##0.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983104"/>
        <c:crosses val="autoZero"/>
        <c:crossBetween val="midCat"/>
      </c:valAx>
      <c:valAx>
        <c:axId val="179983104"/>
        <c:scaling>
          <c:orientation val="minMax"/>
          <c:min val="0.6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969600"/>
        <c:crossesAt val="0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7de280-d8b0-410e-acf2-d6bb782db695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Теплопроводность </a:t>
            </a:r>
            <a:r>
              <a:rPr lang="en-US"/>
              <a:t>SO2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Пр13!$A$4</c:f>
              <c:strCache>
                <c:ptCount val="1"/>
                <c:pt idx="0">
                  <c:v>SO2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Пр13!$J$3:$N$3</c:f>
              <c:numCache>
                <c:formatCode>General</c:formatCode>
                <c:ptCount val="5"/>
                <c:pt idx="0">
                  <c:v>0</c:v>
                </c:pt>
                <c:pt idx="1">
                  <c:v>127</c:v>
                </c:pt>
                <c:pt idx="2">
                  <c:v>327</c:v>
                </c:pt>
                <c:pt idx="3">
                  <c:v>527</c:v>
                </c:pt>
                <c:pt idx="4">
                  <c:v>927</c:v>
                </c:pt>
              </c:numCache>
            </c:numRef>
          </c:xVal>
          <c:yVal>
            <c:numRef>
              <c:f>Пр13!$J$4:$N$4</c:f>
              <c:numCache>
                <c:formatCode>0.00E+00</c:formatCode>
                <c:ptCount val="5"/>
                <c:pt idx="0">
                  <c:v>0.0084</c:v>
                </c:pt>
                <c:pt idx="1">
                  <c:v>0.0148</c:v>
                </c:pt>
                <c:pt idx="2">
                  <c:v>0.0253</c:v>
                </c:pt>
                <c:pt idx="3">
                  <c:v>0.0357</c:v>
                </c:pt>
                <c:pt idx="4">
                  <c:v>0.0548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38560"/>
        <c:axId val="179140096"/>
      </c:scatterChart>
      <c:valAx>
        <c:axId val="17913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140096"/>
        <c:crosses val="autoZero"/>
        <c:crossBetween val="midCat"/>
      </c:valAx>
      <c:valAx>
        <c:axId val="179140096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9138560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7f75a6-a331-436f-8481-c29d0f01c15b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Теплопроводность</a:t>
            </a:r>
            <a:r>
              <a:rPr lang="ru-RU"/>
              <a:t> </a:t>
            </a:r>
            <a:r>
              <a:rPr lang="en-US"/>
              <a:t>H2O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Пр13!$A$5</c:f>
              <c:strCache>
                <c:ptCount val="1"/>
                <c:pt idx="0">
                  <c:v>H2O 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Пр13!$J$3:$N$3</c:f>
              <c:numCache>
                <c:formatCode>General</c:formatCode>
                <c:ptCount val="5"/>
                <c:pt idx="0">
                  <c:v>0</c:v>
                </c:pt>
                <c:pt idx="1">
                  <c:v>127</c:v>
                </c:pt>
                <c:pt idx="2">
                  <c:v>327</c:v>
                </c:pt>
                <c:pt idx="3">
                  <c:v>527</c:v>
                </c:pt>
                <c:pt idx="4">
                  <c:v>927</c:v>
                </c:pt>
              </c:numCache>
            </c:numRef>
          </c:xVal>
          <c:yVal>
            <c:numRef>
              <c:f>Пр13!$J$5:$N$5</c:f>
              <c:numCache>
                <c:formatCode>0.00E+00</c:formatCode>
                <c:ptCount val="5"/>
                <c:pt idx="0">
                  <c:v>0.0171</c:v>
                </c:pt>
                <c:pt idx="1">
                  <c:v>0.0548</c:v>
                </c:pt>
                <c:pt idx="2">
                  <c:v>0.0799</c:v>
                </c:pt>
                <c:pt idx="3">
                  <c:v>0.107</c:v>
                </c:pt>
                <c:pt idx="4">
                  <c:v>0.1588667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95936"/>
        <c:axId val="180305920"/>
      </c:scatterChart>
      <c:valAx>
        <c:axId val="18029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305920"/>
        <c:crosses val="autoZero"/>
        <c:crossBetween val="midCat"/>
      </c:valAx>
      <c:valAx>
        <c:axId val="180305920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295936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c84f16-12ec-486d-857a-22ff7c9e115f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Теплопроводность </a:t>
            </a:r>
            <a:r>
              <a:rPr lang="en-US"/>
              <a:t>O2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Пр13!$A$6</c:f>
              <c:strCache>
                <c:ptCount val="1"/>
                <c:pt idx="0">
                  <c:v>O2 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Пр13!$J$3:$N$3</c:f>
              <c:numCache>
                <c:formatCode>General</c:formatCode>
                <c:ptCount val="5"/>
                <c:pt idx="0">
                  <c:v>0</c:v>
                </c:pt>
                <c:pt idx="1">
                  <c:v>127</c:v>
                </c:pt>
                <c:pt idx="2">
                  <c:v>327</c:v>
                </c:pt>
                <c:pt idx="3">
                  <c:v>527</c:v>
                </c:pt>
                <c:pt idx="4">
                  <c:v>927</c:v>
                </c:pt>
              </c:numCache>
            </c:numRef>
          </c:xVal>
          <c:yVal>
            <c:numRef>
              <c:f>Пр13!$J$6:$N$6</c:f>
              <c:numCache>
                <c:formatCode>0.00E+00</c:formatCode>
                <c:ptCount val="5"/>
                <c:pt idx="0">
                  <c:v>0.0243</c:v>
                </c:pt>
                <c:pt idx="1">
                  <c:v>0.034</c:v>
                </c:pt>
                <c:pt idx="2">
                  <c:v>0.047</c:v>
                </c:pt>
                <c:pt idx="3">
                  <c:v>0.058</c:v>
                </c:pt>
                <c:pt idx="4">
                  <c:v>0.06622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31264"/>
        <c:axId val="180332800"/>
      </c:scatterChart>
      <c:valAx>
        <c:axId val="1803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332800"/>
        <c:crosses val="autoZero"/>
        <c:crossBetween val="midCat"/>
      </c:valAx>
      <c:valAx>
        <c:axId val="180332800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331264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4d40a5-2ac4-4771-987c-fe593bd24010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Теплопроводность </a:t>
            </a:r>
            <a:r>
              <a:rPr lang="en-US"/>
              <a:t>N2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Пр13!$A$7</c:f>
              <c:strCache>
                <c:ptCount val="1"/>
                <c:pt idx="0">
                  <c:v>N2 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Пр13!$J$3:$N$3</c:f>
              <c:numCache>
                <c:formatCode>General</c:formatCode>
                <c:ptCount val="5"/>
                <c:pt idx="0">
                  <c:v>0</c:v>
                </c:pt>
                <c:pt idx="1">
                  <c:v>127</c:v>
                </c:pt>
                <c:pt idx="2">
                  <c:v>327</c:v>
                </c:pt>
                <c:pt idx="3">
                  <c:v>527</c:v>
                </c:pt>
                <c:pt idx="4">
                  <c:v>927</c:v>
                </c:pt>
              </c:numCache>
            </c:numRef>
          </c:xVal>
          <c:yVal>
            <c:numRef>
              <c:f>Пр13!$J$7:$N$7</c:f>
              <c:numCache>
                <c:formatCode>0.00E+00</c:formatCode>
                <c:ptCount val="5"/>
                <c:pt idx="0">
                  <c:v>0.0239</c:v>
                </c:pt>
                <c:pt idx="1">
                  <c:v>0.0324</c:v>
                </c:pt>
                <c:pt idx="2">
                  <c:v>0.0446</c:v>
                </c:pt>
                <c:pt idx="3">
                  <c:v>0.0554</c:v>
                </c:pt>
                <c:pt idx="4">
                  <c:v>0.05765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41760"/>
        <c:axId val="180351744"/>
      </c:scatterChart>
      <c:valAx>
        <c:axId val="18034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351744"/>
        <c:crosses val="autoZero"/>
        <c:crossBetween val="midCat"/>
      </c:valAx>
      <c:valAx>
        <c:axId val="180351744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341760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b05938-d601-473e-bea4-d47168154d10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Теплопроводность </a:t>
            </a:r>
            <a:r>
              <a:rPr lang="en-US"/>
              <a:t>CO2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Пр13!$A$8</c:f>
              <c:strCache>
                <c:ptCount val="1"/>
                <c:pt idx="0">
                  <c:v>CO2 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Пр13!$J$3:$N$3</c:f>
              <c:numCache>
                <c:formatCode>General</c:formatCode>
                <c:ptCount val="5"/>
                <c:pt idx="0">
                  <c:v>0</c:v>
                </c:pt>
                <c:pt idx="1">
                  <c:v>127</c:v>
                </c:pt>
                <c:pt idx="2">
                  <c:v>327</c:v>
                </c:pt>
                <c:pt idx="3">
                  <c:v>527</c:v>
                </c:pt>
                <c:pt idx="4">
                  <c:v>927</c:v>
                </c:pt>
              </c:numCache>
            </c:numRef>
          </c:xVal>
          <c:yVal>
            <c:numRef>
              <c:f>Пр13!$J$8:$N$8</c:f>
              <c:numCache>
                <c:formatCode>0.00E+00</c:formatCode>
                <c:ptCount val="5"/>
                <c:pt idx="0">
                  <c:v>0.0149</c:v>
                </c:pt>
                <c:pt idx="1">
                  <c:v>0.0243</c:v>
                </c:pt>
                <c:pt idx="2">
                  <c:v>0.0407</c:v>
                </c:pt>
                <c:pt idx="3">
                  <c:v>0.0551</c:v>
                </c:pt>
                <c:pt idx="4">
                  <c:v>0.0803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01664"/>
        <c:axId val="180403200"/>
      </c:scatterChart>
      <c:valAx>
        <c:axId val="18040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403200"/>
        <c:crosses val="autoZero"/>
        <c:crossBetween val="midCat"/>
      </c:valAx>
      <c:valAx>
        <c:axId val="180403200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401664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481d46-b3ca-4cb9-8544-d3b513d39632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Теплопроводность </a:t>
            </a:r>
            <a:r>
              <a:rPr lang="ru-RU"/>
              <a:t>СО</a:t>
            </a:r>
            <a:endParaRPr lang="ru-RU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Пр13!$A$9</c:f>
              <c:strCache>
                <c:ptCount val="1"/>
                <c:pt idx="0">
                  <c:v>СО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Пр13!$J$3:$N$3</c:f>
              <c:numCache>
                <c:formatCode>General</c:formatCode>
                <c:ptCount val="5"/>
                <c:pt idx="0">
                  <c:v>0</c:v>
                </c:pt>
                <c:pt idx="1">
                  <c:v>127</c:v>
                </c:pt>
                <c:pt idx="2">
                  <c:v>327</c:v>
                </c:pt>
                <c:pt idx="3">
                  <c:v>527</c:v>
                </c:pt>
                <c:pt idx="4">
                  <c:v>927</c:v>
                </c:pt>
              </c:numCache>
            </c:numRef>
          </c:xVal>
          <c:yVal>
            <c:numRef>
              <c:f>Пр13!$J$9:$N$9</c:f>
              <c:numCache>
                <c:formatCode>0.00E+00</c:formatCode>
                <c:ptCount val="5"/>
                <c:pt idx="0">
                  <c:v>0.0233</c:v>
                </c:pt>
                <c:pt idx="1">
                  <c:v>0.0319</c:v>
                </c:pt>
                <c:pt idx="2">
                  <c:v>0.045</c:v>
                </c:pt>
                <c:pt idx="3">
                  <c:v>0.057</c:v>
                </c:pt>
                <c:pt idx="4">
                  <c:v>0.0792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92352"/>
        <c:axId val="181093888"/>
      </c:scatterChart>
      <c:valAx>
        <c:axId val="18109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1093888"/>
        <c:crosses val="autoZero"/>
        <c:crossBetween val="midCat"/>
      </c:valAx>
      <c:valAx>
        <c:axId val="181093888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1092352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1e7873-c384-44fc-9a34-82d651bb5d2c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Теплопроводность </a:t>
            </a:r>
            <a:r>
              <a:rPr lang="ru-RU"/>
              <a:t>Воздух</a:t>
            </a:r>
            <a:endParaRPr lang="ru-RU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Пр13!$A$10</c:f>
              <c:strCache>
                <c:ptCount val="1"/>
                <c:pt idx="0">
                  <c:v>Воздух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Пр13!$J$3:$N$3</c:f>
              <c:numCache>
                <c:formatCode>General</c:formatCode>
                <c:ptCount val="5"/>
                <c:pt idx="0">
                  <c:v>0</c:v>
                </c:pt>
                <c:pt idx="1">
                  <c:v>127</c:v>
                </c:pt>
                <c:pt idx="2">
                  <c:v>327</c:v>
                </c:pt>
                <c:pt idx="3">
                  <c:v>527</c:v>
                </c:pt>
                <c:pt idx="4">
                  <c:v>927</c:v>
                </c:pt>
              </c:numCache>
            </c:numRef>
          </c:xVal>
          <c:yVal>
            <c:numRef>
              <c:f>Пр13!$J$10:$N$10</c:f>
              <c:numCache>
                <c:formatCode>0.00E+00</c:formatCode>
                <c:ptCount val="5"/>
                <c:pt idx="0">
                  <c:v>0.0242</c:v>
                </c:pt>
                <c:pt idx="1">
                  <c:v>0.0338</c:v>
                </c:pt>
                <c:pt idx="2">
                  <c:v>0.0469</c:v>
                </c:pt>
                <c:pt idx="3">
                  <c:v>0.0573</c:v>
                </c:pt>
                <c:pt idx="4">
                  <c:v>0.0763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19232"/>
        <c:axId val="181121024"/>
      </c:scatterChart>
      <c:valAx>
        <c:axId val="18111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1121024"/>
        <c:crosses val="autoZero"/>
        <c:crossBetween val="midCat"/>
      </c:valAx>
      <c:valAx>
        <c:axId val="181121024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1119232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90c5c5-f1b2-4118-b081-0d4d40bd0736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Динамическая</a:t>
            </a:r>
            <a:r>
              <a:rPr lang="ru-RU" baseline="0"/>
              <a:t> вязкость</a:t>
            </a:r>
            <a:r>
              <a:rPr lang="ru-RU"/>
              <a:t> </a:t>
            </a:r>
            <a:r>
              <a:rPr lang="en-US"/>
              <a:t>SO2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Пр13!$A$4</c:f>
              <c:strCache>
                <c:ptCount val="1"/>
                <c:pt idx="0">
                  <c:v>SO2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Пр13!$F$3:$I$3</c:f>
              <c:numCache>
                <c:formatCode>General</c:formatCode>
                <c:ptCount val="4"/>
                <c:pt idx="0">
                  <c:v>0</c:v>
                </c:pt>
                <c:pt idx="1">
                  <c:v>400</c:v>
                </c:pt>
                <c:pt idx="2">
                  <c:v>600</c:v>
                </c:pt>
                <c:pt idx="3">
                  <c:v>1000</c:v>
                </c:pt>
              </c:numCache>
            </c:numRef>
          </c:xVal>
          <c:yVal>
            <c:numRef>
              <c:f>Пр13!$F$4:$I$4</c:f>
              <c:numCache>
                <c:formatCode>0.00E+00</c:formatCode>
                <c:ptCount val="4"/>
                <c:pt idx="0">
                  <c:v>1.158e-5</c:v>
                </c:pt>
                <c:pt idx="1">
                  <c:v>2.82e-5</c:v>
                </c:pt>
                <c:pt idx="2">
                  <c:v>3.465e-5</c:v>
                </c:pt>
                <c:pt idx="3">
                  <c:v>4.54e-5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69536"/>
        <c:axId val="180771072"/>
      </c:scatterChart>
      <c:valAx>
        <c:axId val="18076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771072"/>
        <c:crosses val="autoZero"/>
        <c:crossBetween val="midCat"/>
      </c:valAx>
      <c:valAx>
        <c:axId val="180771072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769536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3918c2-1120-4961-9697-a0fc365d4dbd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Динамическая вязкость </a:t>
            </a:r>
            <a:r>
              <a:rPr lang="en-US"/>
              <a:t>H2O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Пр13!$A$5</c:f>
              <c:strCache>
                <c:ptCount val="1"/>
                <c:pt idx="0">
                  <c:v>H2O 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Пр13!$F$3:$I$3</c:f>
              <c:numCache>
                <c:formatCode>General</c:formatCode>
                <c:ptCount val="4"/>
                <c:pt idx="0">
                  <c:v>0</c:v>
                </c:pt>
                <c:pt idx="1">
                  <c:v>400</c:v>
                </c:pt>
                <c:pt idx="2">
                  <c:v>600</c:v>
                </c:pt>
                <c:pt idx="3">
                  <c:v>1000</c:v>
                </c:pt>
              </c:numCache>
            </c:numRef>
          </c:xVal>
          <c:yVal>
            <c:numRef>
              <c:f>Пр13!$F$5:$I$5</c:f>
              <c:numCache>
                <c:formatCode>0.00E+00</c:formatCode>
                <c:ptCount val="4"/>
                <c:pt idx="0">
                  <c:v>8.83e-6</c:v>
                </c:pt>
                <c:pt idx="1">
                  <c:v>2.35e-5</c:v>
                </c:pt>
                <c:pt idx="2">
                  <c:v>3.09e-5</c:v>
                </c:pt>
                <c:pt idx="3">
                  <c:v>4.56e-5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92320"/>
        <c:axId val="180814592"/>
      </c:scatterChart>
      <c:valAx>
        <c:axId val="18079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814592"/>
        <c:crosses val="autoZero"/>
        <c:crossBetween val="midCat"/>
      </c:valAx>
      <c:valAx>
        <c:axId val="180814592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792320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c949e7-48db-49a2-b7b4-9e8fca2739c4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Динамическая вязкость </a:t>
            </a:r>
            <a:r>
              <a:rPr lang="en-US"/>
              <a:t>O2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Пр13!$A$6</c:f>
              <c:strCache>
                <c:ptCount val="1"/>
                <c:pt idx="0">
                  <c:v>O2 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Пр13!$F$3:$I$3</c:f>
              <c:numCache>
                <c:formatCode>General</c:formatCode>
                <c:ptCount val="4"/>
                <c:pt idx="0">
                  <c:v>0</c:v>
                </c:pt>
                <c:pt idx="1">
                  <c:v>400</c:v>
                </c:pt>
                <c:pt idx="2">
                  <c:v>600</c:v>
                </c:pt>
                <c:pt idx="3">
                  <c:v>1000</c:v>
                </c:pt>
              </c:numCache>
            </c:numRef>
          </c:xVal>
          <c:yVal>
            <c:numRef>
              <c:f>Пр13!$F$6:$I$6</c:f>
              <c:numCache>
                <c:formatCode>0.00E+00</c:formatCode>
                <c:ptCount val="4"/>
                <c:pt idx="0">
                  <c:v>1.91e-5</c:v>
                </c:pt>
                <c:pt idx="1">
                  <c:v>3.686e-5</c:v>
                </c:pt>
                <c:pt idx="2">
                  <c:v>4.35e-5</c:v>
                </c:pt>
                <c:pt idx="3">
                  <c:v>5.47e-5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39936"/>
        <c:axId val="180841472"/>
      </c:scatterChart>
      <c:valAx>
        <c:axId val="18083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841472"/>
        <c:crosses val="autoZero"/>
        <c:crossBetween val="midCat"/>
      </c:valAx>
      <c:valAx>
        <c:axId val="180841472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839936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7727f5-5189-499f-82a7-8c00907d0267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Динамическая вязкость </a:t>
            </a:r>
            <a:r>
              <a:rPr lang="en-US"/>
              <a:t>N2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Пр13!$A$7</c:f>
              <c:strCache>
                <c:ptCount val="1"/>
                <c:pt idx="0">
                  <c:v>N2 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Пр13!$F$3:$I$3</c:f>
              <c:numCache>
                <c:formatCode>General</c:formatCode>
                <c:ptCount val="4"/>
                <c:pt idx="0">
                  <c:v>0</c:v>
                </c:pt>
                <c:pt idx="1">
                  <c:v>400</c:v>
                </c:pt>
                <c:pt idx="2">
                  <c:v>600</c:v>
                </c:pt>
                <c:pt idx="3">
                  <c:v>1000</c:v>
                </c:pt>
              </c:numCache>
            </c:numRef>
          </c:xVal>
          <c:yVal>
            <c:numRef>
              <c:f>Пр13!$F$7:$I$7</c:f>
              <c:numCache>
                <c:formatCode>0.00E+00</c:formatCode>
                <c:ptCount val="4"/>
                <c:pt idx="0">
                  <c:v>1.665e-5</c:v>
                </c:pt>
                <c:pt idx="1">
                  <c:v>3.118e-5</c:v>
                </c:pt>
                <c:pt idx="2">
                  <c:v>3.665e-5</c:v>
                </c:pt>
                <c:pt idx="3">
                  <c:v>4.6e-5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67072"/>
        <c:axId val="180868608"/>
      </c:scatterChart>
      <c:valAx>
        <c:axId val="18086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868608"/>
        <c:crosses val="autoZero"/>
        <c:crossBetween val="midCat"/>
      </c:valAx>
      <c:valAx>
        <c:axId val="180868608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867072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9516c2-45a2-414d-a971-762038d68274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Динамическая вязкость </a:t>
            </a:r>
            <a:r>
              <a:rPr lang="en-US"/>
              <a:t>CO2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Пр13!$A$8</c:f>
              <c:strCache>
                <c:ptCount val="1"/>
                <c:pt idx="0">
                  <c:v>CO2 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Пр13!$F$3:$I$3</c:f>
              <c:numCache>
                <c:formatCode>General</c:formatCode>
                <c:ptCount val="4"/>
                <c:pt idx="0">
                  <c:v>0</c:v>
                </c:pt>
                <c:pt idx="1">
                  <c:v>400</c:v>
                </c:pt>
                <c:pt idx="2">
                  <c:v>600</c:v>
                </c:pt>
                <c:pt idx="3">
                  <c:v>1000</c:v>
                </c:pt>
              </c:numCache>
            </c:numRef>
          </c:xVal>
          <c:yVal>
            <c:numRef>
              <c:f>Пр13!$F$8:$I$8</c:f>
              <c:numCache>
                <c:formatCode>0.00E+00</c:formatCode>
                <c:ptCount val="4"/>
                <c:pt idx="0">
                  <c:v>1.367e-5</c:v>
                </c:pt>
                <c:pt idx="1">
                  <c:v>2.994e-5</c:v>
                </c:pt>
                <c:pt idx="2">
                  <c:v>3.605e-5</c:v>
                </c:pt>
                <c:pt idx="3">
                  <c:v>4.658e-5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89856"/>
        <c:axId val="180920320"/>
      </c:scatterChart>
      <c:valAx>
        <c:axId val="18088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920320"/>
        <c:crosses val="autoZero"/>
        <c:crossBetween val="midCat"/>
      </c:valAx>
      <c:valAx>
        <c:axId val="180920320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889856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753c05-dddc-4502-80aa-07047042e477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Динамическая вязкость </a:t>
            </a:r>
            <a:r>
              <a:rPr lang="ru-RU"/>
              <a:t>СО</a:t>
            </a:r>
            <a:endParaRPr lang="ru-RU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Пр13!$A$9</c:f>
              <c:strCache>
                <c:ptCount val="1"/>
                <c:pt idx="0">
                  <c:v>СО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Пр13!$F$3:$I$3</c:f>
              <c:numCache>
                <c:formatCode>General</c:formatCode>
                <c:ptCount val="4"/>
                <c:pt idx="0">
                  <c:v>0</c:v>
                </c:pt>
                <c:pt idx="1">
                  <c:v>400</c:v>
                </c:pt>
                <c:pt idx="2">
                  <c:v>600</c:v>
                </c:pt>
                <c:pt idx="3">
                  <c:v>1000</c:v>
                </c:pt>
              </c:numCache>
            </c:numRef>
          </c:xVal>
          <c:yVal>
            <c:numRef>
              <c:f>Пр13!$F$9:$I$9</c:f>
              <c:numCache>
                <c:formatCode>0.00E+00</c:formatCode>
                <c:ptCount val="4"/>
                <c:pt idx="0">
                  <c:v>1.662e-5</c:v>
                </c:pt>
                <c:pt idx="1">
                  <c:v>3.09e-5</c:v>
                </c:pt>
                <c:pt idx="2">
                  <c:v>3.63e-5</c:v>
                </c:pt>
                <c:pt idx="3">
                  <c:v>4.53e-5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41568"/>
        <c:axId val="180943104"/>
      </c:scatterChart>
      <c:valAx>
        <c:axId val="18094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943104"/>
        <c:crosses val="autoZero"/>
        <c:crossBetween val="midCat"/>
      </c:valAx>
      <c:valAx>
        <c:axId val="180943104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941568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1bc437-c144-4cfb-8588-c35fd096c71a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effectLst/>
              </a:rPr>
              <a:t>Динамическая вязкость </a:t>
            </a:r>
            <a:r>
              <a:rPr lang="ru-RU"/>
              <a:t>Воздух</a:t>
            </a:r>
            <a:endParaRPr lang="ru-RU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Пр13!$A$10</c:f>
              <c:strCache>
                <c:ptCount val="1"/>
                <c:pt idx="0">
                  <c:v>Воздух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199903324584427"/>
                  <c:y val="-0.040948527267424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Пр13!$F$3:$I$3</c:f>
              <c:numCache>
                <c:formatCode>General</c:formatCode>
                <c:ptCount val="4"/>
                <c:pt idx="0">
                  <c:v>0</c:v>
                </c:pt>
                <c:pt idx="1">
                  <c:v>400</c:v>
                </c:pt>
                <c:pt idx="2">
                  <c:v>600</c:v>
                </c:pt>
                <c:pt idx="3">
                  <c:v>1000</c:v>
                </c:pt>
              </c:numCache>
            </c:numRef>
          </c:xVal>
          <c:yVal>
            <c:numRef>
              <c:f>Пр13!$F$10:$I$10</c:f>
              <c:numCache>
                <c:formatCode>0.00E+00</c:formatCode>
                <c:ptCount val="4"/>
                <c:pt idx="0">
                  <c:v>1.708e-5</c:v>
                </c:pt>
                <c:pt idx="1">
                  <c:v>3.275e-5</c:v>
                </c:pt>
                <c:pt idx="2">
                  <c:v>3.842e-5</c:v>
                </c:pt>
                <c:pt idx="3">
                  <c:v>4.85e-5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72544"/>
        <c:axId val="180982528"/>
      </c:scatterChart>
      <c:valAx>
        <c:axId val="18097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982528"/>
        <c:crosses val="autoZero"/>
        <c:crossBetween val="midCat"/>
      </c:valAx>
      <c:valAx>
        <c:axId val="180982528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0972544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dd7898-c192-4327-b258-85f3580a101e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6.xml"/><Relationship Id="rId8" Type="http://schemas.openxmlformats.org/officeDocument/2006/relationships/chart" Target="../charts/chart15.xml"/><Relationship Id="rId7" Type="http://schemas.openxmlformats.org/officeDocument/2006/relationships/chart" Target="../charts/chart14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1" Type="http://schemas.openxmlformats.org/officeDocument/2006/relationships/chart" Target="../charts/chart18.xml"/><Relationship Id="rId10" Type="http://schemas.openxmlformats.org/officeDocument/2006/relationships/chart" Target="../charts/chart17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2.xml"/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7" Type="http://schemas.openxmlformats.org/officeDocument/2006/relationships/chart" Target="../charts/chart29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9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9.xml"/><Relationship Id="rId8" Type="http://schemas.openxmlformats.org/officeDocument/2006/relationships/chart" Target="../charts/chart38.xml"/><Relationship Id="rId7" Type="http://schemas.openxmlformats.org/officeDocument/2006/relationships/chart" Target="../charts/chart37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1" Type="http://schemas.openxmlformats.org/officeDocument/2006/relationships/chart" Target="../charts/chart41.xml"/><Relationship Id="rId10" Type="http://schemas.openxmlformats.org/officeDocument/2006/relationships/chart" Target="../charts/chart40.xml"/><Relationship Id="rId1" Type="http://schemas.openxmlformats.org/officeDocument/2006/relationships/chart" Target="../charts/chart3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1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51.xml"/><Relationship Id="rId8" Type="http://schemas.openxmlformats.org/officeDocument/2006/relationships/chart" Target="../charts/chart50.xml"/><Relationship Id="rId7" Type="http://schemas.openxmlformats.org/officeDocument/2006/relationships/chart" Target="../charts/chart49.xml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4" Type="http://schemas.openxmlformats.org/officeDocument/2006/relationships/chart" Target="../charts/chart56.xml"/><Relationship Id="rId13" Type="http://schemas.openxmlformats.org/officeDocument/2006/relationships/chart" Target="../charts/chart55.xml"/><Relationship Id="rId12" Type="http://schemas.openxmlformats.org/officeDocument/2006/relationships/chart" Target="../charts/chart54.xml"/><Relationship Id="rId11" Type="http://schemas.openxmlformats.org/officeDocument/2006/relationships/chart" Target="../charts/chart53.xml"/><Relationship Id="rId10" Type="http://schemas.openxmlformats.org/officeDocument/2006/relationships/chart" Target="../charts/chart52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72</xdr:row>
      <xdr:rowOff>781050</xdr:rowOff>
    </xdr:from>
    <xdr:to>
      <xdr:col>3</xdr:col>
      <xdr:colOff>0</xdr:colOff>
      <xdr:row>72</xdr:row>
      <xdr:rowOff>1333500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04260" y="44108370"/>
          <a:ext cx="0" cy="43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20340" y="4419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33</xdr:row>
      <xdr:rowOff>73024</xdr:rowOff>
    </xdr:from>
    <xdr:to>
      <xdr:col>10</xdr:col>
      <xdr:colOff>377140</xdr:colOff>
      <xdr:row>81</xdr:row>
      <xdr:rowOff>31749</xdr:rowOff>
    </xdr:to>
    <xdr:graphicFrame>
      <xdr:nvGraphicFramePr>
        <xdr:cNvPr id="2" name="Диаграмма 1"/>
        <xdr:cNvGraphicFramePr/>
      </xdr:nvGraphicFramePr>
      <xdr:xfrm>
        <a:off x="0" y="22509480"/>
        <a:ext cx="14625955" cy="8736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</xdr:row>
      <xdr:rowOff>-1</xdr:rowOff>
    </xdr:from>
    <xdr:to>
      <xdr:col>2</xdr:col>
      <xdr:colOff>-1</xdr:colOff>
      <xdr:row>11</xdr:row>
      <xdr:rowOff>265544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379220" y="8497570"/>
              <a:ext cx="2460625" cy="2660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ru-RU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𝛿</m:t>
                    </m:r>
                    <m:r>
                      <a:rPr lang="ru-RU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=∓</m:t>
                    </m:r>
                    <m:r>
                      <a:rPr lang="ru-RU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ru-RU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ru-RU" sz="14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379220" y="8497570"/>
              <a:ext cx="2460625" cy="2660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ru-RU" sz="1400">
                  <a:latin typeface="Cambria Math" panose="02040503050406030204" pitchFamily="18" charset="0"/>
                  <a:ea typeface="Cambria Math" panose="02040503050406030204" pitchFamily="18" charset="0"/>
                </a:rPr>
                <a:t>𝛿</a:t>
              </a:r>
              <a:r>
                <a:rPr lang="ru-RU" sz="1400" b="0">
                  <a:latin typeface="Cambria Math" panose="02040503050406030204" pitchFamily="18" charset="0"/>
                  <a:ea typeface="Cambria Math" panose="02040503050406030204" pitchFamily="18" charset="0"/>
                </a:rPr>
                <a:t>=∓</a:t>
              </a:r>
              <a:r>
                <a:rPr lang="ru-RU" sz="1400" b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ru-RU" sz="1400" b="0">
                  <a:latin typeface="Cambria Math" panose="02040503050406030204" pitchFamily="18" charset="0"/>
                  <a:ea typeface="Cambria Math" panose="02040503050406030204" pitchFamily="18" charset="0"/>
                </a:rPr>
                <a:t>%</a:t>
              </a:r>
              <a:endParaRPr lang="ru-RU" sz="14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317913</xdr:colOff>
      <xdr:row>12</xdr:row>
      <xdr:rowOff>76200</xdr:rowOff>
    </xdr:to>
    <xdr:graphicFrame>
      <xdr:nvGraphicFramePr>
        <xdr:cNvPr id="2" name="Диаграмма 1"/>
        <xdr:cNvGraphicFramePr/>
      </xdr:nvGraphicFramePr>
      <xdr:xfrm>
        <a:off x="8823960" y="685800"/>
        <a:ext cx="4638040" cy="25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13</xdr:col>
      <xdr:colOff>317913</xdr:colOff>
      <xdr:row>25</xdr:row>
      <xdr:rowOff>76200</xdr:rowOff>
    </xdr:to>
    <xdr:graphicFrame>
      <xdr:nvGraphicFramePr>
        <xdr:cNvPr id="3" name="Диаграмма 2"/>
        <xdr:cNvGraphicFramePr/>
      </xdr:nvGraphicFramePr>
      <xdr:xfrm>
        <a:off x="8823960" y="3657600"/>
        <a:ext cx="4638040" cy="25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13</xdr:col>
      <xdr:colOff>317913</xdr:colOff>
      <xdr:row>41</xdr:row>
      <xdr:rowOff>76200</xdr:rowOff>
    </xdr:to>
    <xdr:graphicFrame>
      <xdr:nvGraphicFramePr>
        <xdr:cNvPr id="4" name="Диаграмма 3"/>
        <xdr:cNvGraphicFramePr/>
      </xdr:nvGraphicFramePr>
      <xdr:xfrm>
        <a:off x="8823960" y="6537960"/>
        <a:ext cx="46380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274617</xdr:colOff>
      <xdr:row>12</xdr:row>
      <xdr:rowOff>48986</xdr:rowOff>
    </xdr:to>
    <xdr:graphicFrame>
      <xdr:nvGraphicFramePr>
        <xdr:cNvPr id="2" name="Диаграмма 1"/>
        <xdr:cNvGraphicFramePr/>
      </xdr:nvGraphicFramePr>
      <xdr:xfrm>
        <a:off x="6172200" y="914400"/>
        <a:ext cx="4594860" cy="2563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13</xdr:col>
      <xdr:colOff>274617</xdr:colOff>
      <xdr:row>24</xdr:row>
      <xdr:rowOff>48986</xdr:rowOff>
    </xdr:to>
    <xdr:graphicFrame>
      <xdr:nvGraphicFramePr>
        <xdr:cNvPr id="3" name="Диаграмма 2"/>
        <xdr:cNvGraphicFramePr/>
      </xdr:nvGraphicFramePr>
      <xdr:xfrm>
        <a:off x="6172200" y="3657600"/>
        <a:ext cx="4594860" cy="2563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13</xdr:col>
      <xdr:colOff>274617</xdr:colOff>
      <xdr:row>37</xdr:row>
      <xdr:rowOff>185057</xdr:rowOff>
    </xdr:to>
    <xdr:graphicFrame>
      <xdr:nvGraphicFramePr>
        <xdr:cNvPr id="4" name="Диаграмма 3"/>
        <xdr:cNvGraphicFramePr/>
      </xdr:nvGraphicFramePr>
      <xdr:xfrm>
        <a:off x="6172200" y="6400800"/>
        <a:ext cx="4594860" cy="260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400</xdr:row>
      <xdr:rowOff>0</xdr:rowOff>
    </xdr:from>
    <xdr:to>
      <xdr:col>2</xdr:col>
      <xdr:colOff>1287731</xdr:colOff>
      <xdr:row>414</xdr:row>
      <xdr:rowOff>76200</xdr:rowOff>
    </xdr:to>
    <xdr:graphicFrame>
      <xdr:nvGraphicFramePr>
        <xdr:cNvPr id="2" name="Диаграмма 1"/>
        <xdr:cNvGraphicFramePr/>
      </xdr:nvGraphicFramePr>
      <xdr:xfrm>
        <a:off x="0" y="91350465"/>
        <a:ext cx="464756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416</xdr:row>
      <xdr:rowOff>0</xdr:rowOff>
    </xdr:from>
    <xdr:to>
      <xdr:col>2</xdr:col>
      <xdr:colOff>1287731</xdr:colOff>
      <xdr:row>430</xdr:row>
      <xdr:rowOff>76200</xdr:rowOff>
    </xdr:to>
    <xdr:graphicFrame>
      <xdr:nvGraphicFramePr>
        <xdr:cNvPr id="3" name="Диаграмма 2"/>
        <xdr:cNvGraphicFramePr/>
      </xdr:nvGraphicFramePr>
      <xdr:xfrm>
        <a:off x="0" y="94276545"/>
        <a:ext cx="464756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432</xdr:row>
      <xdr:rowOff>0</xdr:rowOff>
    </xdr:from>
    <xdr:to>
      <xdr:col>2</xdr:col>
      <xdr:colOff>1287731</xdr:colOff>
      <xdr:row>446</xdr:row>
      <xdr:rowOff>76200</xdr:rowOff>
    </xdr:to>
    <xdr:graphicFrame>
      <xdr:nvGraphicFramePr>
        <xdr:cNvPr id="4" name="Диаграмма 3"/>
        <xdr:cNvGraphicFramePr/>
      </xdr:nvGraphicFramePr>
      <xdr:xfrm>
        <a:off x="0" y="97202625"/>
        <a:ext cx="464756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448</xdr:row>
      <xdr:rowOff>0</xdr:rowOff>
    </xdr:from>
    <xdr:to>
      <xdr:col>2</xdr:col>
      <xdr:colOff>1287731</xdr:colOff>
      <xdr:row>462</xdr:row>
      <xdr:rowOff>76200</xdr:rowOff>
    </xdr:to>
    <xdr:graphicFrame>
      <xdr:nvGraphicFramePr>
        <xdr:cNvPr id="5" name="Диаграмма 4"/>
        <xdr:cNvGraphicFramePr/>
      </xdr:nvGraphicFramePr>
      <xdr:xfrm>
        <a:off x="0" y="100128705"/>
        <a:ext cx="464756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400</xdr:row>
      <xdr:rowOff>0</xdr:rowOff>
    </xdr:from>
    <xdr:to>
      <xdr:col>4</xdr:col>
      <xdr:colOff>1516331</xdr:colOff>
      <xdr:row>414</xdr:row>
      <xdr:rowOff>76200</xdr:rowOff>
    </xdr:to>
    <xdr:graphicFrame>
      <xdr:nvGraphicFramePr>
        <xdr:cNvPr id="6" name="Диаграмма 5"/>
        <xdr:cNvGraphicFramePr/>
      </xdr:nvGraphicFramePr>
      <xdr:xfrm>
        <a:off x="5760720" y="91350465"/>
        <a:ext cx="463994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416</xdr:row>
      <xdr:rowOff>0</xdr:rowOff>
    </xdr:from>
    <xdr:to>
      <xdr:col>4</xdr:col>
      <xdr:colOff>1516331</xdr:colOff>
      <xdr:row>430</xdr:row>
      <xdr:rowOff>76200</xdr:rowOff>
    </xdr:to>
    <xdr:graphicFrame>
      <xdr:nvGraphicFramePr>
        <xdr:cNvPr id="7" name="Диаграмма 6"/>
        <xdr:cNvGraphicFramePr/>
      </xdr:nvGraphicFramePr>
      <xdr:xfrm>
        <a:off x="5760720" y="94276545"/>
        <a:ext cx="463994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432</xdr:row>
      <xdr:rowOff>0</xdr:rowOff>
    </xdr:from>
    <xdr:to>
      <xdr:col>4</xdr:col>
      <xdr:colOff>1516331</xdr:colOff>
      <xdr:row>446</xdr:row>
      <xdr:rowOff>76200</xdr:rowOff>
    </xdr:to>
    <xdr:graphicFrame>
      <xdr:nvGraphicFramePr>
        <xdr:cNvPr id="8" name="Диаграмма 7"/>
        <xdr:cNvGraphicFramePr/>
      </xdr:nvGraphicFramePr>
      <xdr:xfrm>
        <a:off x="5760720" y="97202625"/>
        <a:ext cx="463994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448</xdr:row>
      <xdr:rowOff>0</xdr:rowOff>
    </xdr:from>
    <xdr:to>
      <xdr:col>4</xdr:col>
      <xdr:colOff>1516331</xdr:colOff>
      <xdr:row>462</xdr:row>
      <xdr:rowOff>76200</xdr:rowOff>
    </xdr:to>
    <xdr:graphicFrame>
      <xdr:nvGraphicFramePr>
        <xdr:cNvPr id="9" name="Диаграмма 8"/>
        <xdr:cNvGraphicFramePr/>
      </xdr:nvGraphicFramePr>
      <xdr:xfrm>
        <a:off x="5760720" y="100128705"/>
        <a:ext cx="463994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400</xdr:row>
      <xdr:rowOff>0</xdr:rowOff>
    </xdr:from>
    <xdr:to>
      <xdr:col>6</xdr:col>
      <xdr:colOff>996786</xdr:colOff>
      <xdr:row>414</xdr:row>
      <xdr:rowOff>76200</xdr:rowOff>
    </xdr:to>
    <xdr:graphicFrame>
      <xdr:nvGraphicFramePr>
        <xdr:cNvPr id="10" name="Диаграмма 9"/>
        <xdr:cNvGraphicFramePr/>
      </xdr:nvGraphicFramePr>
      <xdr:xfrm>
        <a:off x="12443460" y="91350465"/>
        <a:ext cx="463867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416</xdr:row>
      <xdr:rowOff>0</xdr:rowOff>
    </xdr:from>
    <xdr:to>
      <xdr:col>6</xdr:col>
      <xdr:colOff>996786</xdr:colOff>
      <xdr:row>430</xdr:row>
      <xdr:rowOff>76200</xdr:rowOff>
    </xdr:to>
    <xdr:graphicFrame>
      <xdr:nvGraphicFramePr>
        <xdr:cNvPr id="11" name="Диаграмма 10"/>
        <xdr:cNvGraphicFramePr/>
      </xdr:nvGraphicFramePr>
      <xdr:xfrm>
        <a:off x="12443460" y="94276545"/>
        <a:ext cx="463867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432</xdr:row>
      <xdr:rowOff>0</xdr:rowOff>
    </xdr:from>
    <xdr:to>
      <xdr:col>6</xdr:col>
      <xdr:colOff>996786</xdr:colOff>
      <xdr:row>446</xdr:row>
      <xdr:rowOff>76200</xdr:rowOff>
    </xdr:to>
    <xdr:graphicFrame>
      <xdr:nvGraphicFramePr>
        <xdr:cNvPr id="12" name="Диаграмма 11"/>
        <xdr:cNvGraphicFramePr/>
      </xdr:nvGraphicFramePr>
      <xdr:xfrm>
        <a:off x="12443460" y="97202625"/>
        <a:ext cx="463867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45</xdr:row>
      <xdr:rowOff>0</xdr:rowOff>
    </xdr:from>
    <xdr:to>
      <xdr:col>3</xdr:col>
      <xdr:colOff>675409</xdr:colOff>
      <xdr:row>59</xdr:row>
      <xdr:rowOff>76200</xdr:rowOff>
    </xdr:to>
    <xdr:graphicFrame>
      <xdr:nvGraphicFramePr>
        <xdr:cNvPr id="2" name="Диаграмма 1"/>
        <xdr:cNvGraphicFramePr/>
      </xdr:nvGraphicFramePr>
      <xdr:xfrm>
        <a:off x="0" y="10652760"/>
        <a:ext cx="467550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3</xdr:col>
      <xdr:colOff>675409</xdr:colOff>
      <xdr:row>75</xdr:row>
      <xdr:rowOff>76200</xdr:rowOff>
    </xdr:to>
    <xdr:graphicFrame>
      <xdr:nvGraphicFramePr>
        <xdr:cNvPr id="3" name="Диаграмма 2"/>
        <xdr:cNvGraphicFramePr/>
      </xdr:nvGraphicFramePr>
      <xdr:xfrm>
        <a:off x="0" y="13578840"/>
        <a:ext cx="467550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3</xdr:col>
      <xdr:colOff>675409</xdr:colOff>
      <xdr:row>91</xdr:row>
      <xdr:rowOff>76200</xdr:rowOff>
    </xdr:to>
    <xdr:graphicFrame>
      <xdr:nvGraphicFramePr>
        <xdr:cNvPr id="4" name="Диаграмма 3"/>
        <xdr:cNvGraphicFramePr/>
      </xdr:nvGraphicFramePr>
      <xdr:xfrm>
        <a:off x="0" y="16504920"/>
        <a:ext cx="467550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93</xdr:row>
      <xdr:rowOff>0</xdr:rowOff>
    </xdr:from>
    <xdr:to>
      <xdr:col>3</xdr:col>
      <xdr:colOff>675409</xdr:colOff>
      <xdr:row>107</xdr:row>
      <xdr:rowOff>76200</xdr:rowOff>
    </xdr:to>
    <xdr:graphicFrame>
      <xdr:nvGraphicFramePr>
        <xdr:cNvPr id="5" name="Диаграмма 4"/>
        <xdr:cNvGraphicFramePr/>
      </xdr:nvGraphicFramePr>
      <xdr:xfrm>
        <a:off x="0" y="19431000"/>
        <a:ext cx="467550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45</xdr:row>
      <xdr:rowOff>0</xdr:rowOff>
    </xdr:from>
    <xdr:to>
      <xdr:col>3</xdr:col>
      <xdr:colOff>938893</xdr:colOff>
      <xdr:row>59</xdr:row>
      <xdr:rowOff>76200</xdr:rowOff>
    </xdr:to>
    <xdr:graphicFrame>
      <xdr:nvGraphicFramePr>
        <xdr:cNvPr id="2" name="Диаграмма 1"/>
        <xdr:cNvGraphicFramePr/>
      </xdr:nvGraphicFramePr>
      <xdr:xfrm>
        <a:off x="0" y="10652760"/>
        <a:ext cx="466471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3</xdr:col>
      <xdr:colOff>938893</xdr:colOff>
      <xdr:row>75</xdr:row>
      <xdr:rowOff>76200</xdr:rowOff>
    </xdr:to>
    <xdr:graphicFrame>
      <xdr:nvGraphicFramePr>
        <xdr:cNvPr id="4" name="Диаграмма 3"/>
        <xdr:cNvGraphicFramePr/>
      </xdr:nvGraphicFramePr>
      <xdr:xfrm>
        <a:off x="0" y="13578840"/>
        <a:ext cx="466471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3</xdr:col>
      <xdr:colOff>938893</xdr:colOff>
      <xdr:row>91</xdr:row>
      <xdr:rowOff>76200</xdr:rowOff>
    </xdr:to>
    <xdr:graphicFrame>
      <xdr:nvGraphicFramePr>
        <xdr:cNvPr id="5" name="Диаграмма 4"/>
        <xdr:cNvGraphicFramePr/>
      </xdr:nvGraphicFramePr>
      <xdr:xfrm>
        <a:off x="0" y="16504920"/>
        <a:ext cx="466471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93</xdr:row>
      <xdr:rowOff>0</xdr:rowOff>
    </xdr:from>
    <xdr:to>
      <xdr:col>3</xdr:col>
      <xdr:colOff>938893</xdr:colOff>
      <xdr:row>107</xdr:row>
      <xdr:rowOff>76200</xdr:rowOff>
    </xdr:to>
    <xdr:graphicFrame>
      <xdr:nvGraphicFramePr>
        <xdr:cNvPr id="6" name="Диаграмма 5"/>
        <xdr:cNvGraphicFramePr/>
      </xdr:nvGraphicFramePr>
      <xdr:xfrm>
        <a:off x="0" y="19431000"/>
        <a:ext cx="466471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7</xdr:col>
      <xdr:colOff>938893</xdr:colOff>
      <xdr:row>59</xdr:row>
      <xdr:rowOff>76200</xdr:rowOff>
    </xdr:to>
    <xdr:graphicFrame>
      <xdr:nvGraphicFramePr>
        <xdr:cNvPr id="7" name="Диаграмма 6"/>
        <xdr:cNvGraphicFramePr/>
      </xdr:nvGraphicFramePr>
      <xdr:xfrm>
        <a:off x="4968240" y="10652760"/>
        <a:ext cx="466471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61</xdr:row>
      <xdr:rowOff>0</xdr:rowOff>
    </xdr:from>
    <xdr:to>
      <xdr:col>7</xdr:col>
      <xdr:colOff>938893</xdr:colOff>
      <xdr:row>75</xdr:row>
      <xdr:rowOff>76200</xdr:rowOff>
    </xdr:to>
    <xdr:graphicFrame>
      <xdr:nvGraphicFramePr>
        <xdr:cNvPr id="8" name="Диаграмма 7"/>
        <xdr:cNvGraphicFramePr/>
      </xdr:nvGraphicFramePr>
      <xdr:xfrm>
        <a:off x="4968240" y="13578840"/>
        <a:ext cx="466471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77</xdr:row>
      <xdr:rowOff>0</xdr:rowOff>
    </xdr:from>
    <xdr:to>
      <xdr:col>7</xdr:col>
      <xdr:colOff>938893</xdr:colOff>
      <xdr:row>91</xdr:row>
      <xdr:rowOff>76200</xdr:rowOff>
    </xdr:to>
    <xdr:graphicFrame>
      <xdr:nvGraphicFramePr>
        <xdr:cNvPr id="9" name="Диаграмма 8"/>
        <xdr:cNvGraphicFramePr/>
      </xdr:nvGraphicFramePr>
      <xdr:xfrm>
        <a:off x="4968240" y="16504920"/>
        <a:ext cx="466471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93</xdr:row>
      <xdr:rowOff>0</xdr:rowOff>
    </xdr:from>
    <xdr:to>
      <xdr:col>7</xdr:col>
      <xdr:colOff>938893</xdr:colOff>
      <xdr:row>107</xdr:row>
      <xdr:rowOff>76200</xdr:rowOff>
    </xdr:to>
    <xdr:graphicFrame>
      <xdr:nvGraphicFramePr>
        <xdr:cNvPr id="10" name="Диаграмма 9"/>
        <xdr:cNvGraphicFramePr/>
      </xdr:nvGraphicFramePr>
      <xdr:xfrm>
        <a:off x="4968240" y="19431000"/>
        <a:ext cx="466471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125</xdr:row>
      <xdr:rowOff>12325</xdr:rowOff>
    </xdr:from>
    <xdr:to>
      <xdr:col>5</xdr:col>
      <xdr:colOff>593912</xdr:colOff>
      <xdr:row>139</xdr:row>
      <xdr:rowOff>88525</xdr:rowOff>
    </xdr:to>
    <xdr:graphicFrame>
      <xdr:nvGraphicFramePr>
        <xdr:cNvPr id="2" name="Диаграмма 1"/>
        <xdr:cNvGraphicFramePr/>
      </xdr:nvGraphicFramePr>
      <xdr:xfrm>
        <a:off x="0" y="28975685"/>
        <a:ext cx="470852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140</xdr:row>
      <xdr:rowOff>179295</xdr:rowOff>
    </xdr:from>
    <xdr:to>
      <xdr:col>5</xdr:col>
      <xdr:colOff>593912</xdr:colOff>
      <xdr:row>155</xdr:row>
      <xdr:rowOff>64995</xdr:rowOff>
    </xdr:to>
    <xdr:graphicFrame>
      <xdr:nvGraphicFramePr>
        <xdr:cNvPr id="3" name="Диаграмма 2"/>
        <xdr:cNvGraphicFramePr/>
      </xdr:nvGraphicFramePr>
      <xdr:xfrm>
        <a:off x="0" y="31885890"/>
        <a:ext cx="4708525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157</xdr:row>
      <xdr:rowOff>0</xdr:rowOff>
    </xdr:from>
    <xdr:to>
      <xdr:col>5</xdr:col>
      <xdr:colOff>593912</xdr:colOff>
      <xdr:row>171</xdr:row>
      <xdr:rowOff>76200</xdr:rowOff>
    </xdr:to>
    <xdr:graphicFrame>
      <xdr:nvGraphicFramePr>
        <xdr:cNvPr id="4" name="Диаграмма 3"/>
        <xdr:cNvGraphicFramePr/>
      </xdr:nvGraphicFramePr>
      <xdr:xfrm>
        <a:off x="0" y="34815780"/>
        <a:ext cx="470852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173</xdr:row>
      <xdr:rowOff>0</xdr:rowOff>
    </xdr:from>
    <xdr:to>
      <xdr:col>5</xdr:col>
      <xdr:colOff>593912</xdr:colOff>
      <xdr:row>187</xdr:row>
      <xdr:rowOff>76200</xdr:rowOff>
    </xdr:to>
    <xdr:graphicFrame>
      <xdr:nvGraphicFramePr>
        <xdr:cNvPr id="5" name="Диаграмма 4"/>
        <xdr:cNvGraphicFramePr/>
      </xdr:nvGraphicFramePr>
      <xdr:xfrm>
        <a:off x="0" y="37741860"/>
        <a:ext cx="470852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125</xdr:row>
      <xdr:rowOff>0</xdr:rowOff>
    </xdr:from>
    <xdr:to>
      <xdr:col>11</xdr:col>
      <xdr:colOff>593912</xdr:colOff>
      <xdr:row>139</xdr:row>
      <xdr:rowOff>76200</xdr:rowOff>
    </xdr:to>
    <xdr:graphicFrame>
      <xdr:nvGraphicFramePr>
        <xdr:cNvPr id="6" name="Диаграмма 5"/>
        <xdr:cNvGraphicFramePr/>
      </xdr:nvGraphicFramePr>
      <xdr:xfrm>
        <a:off x="4937760" y="28963620"/>
        <a:ext cx="470852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140</xdr:row>
      <xdr:rowOff>166970</xdr:rowOff>
    </xdr:from>
    <xdr:to>
      <xdr:col>11</xdr:col>
      <xdr:colOff>593912</xdr:colOff>
      <xdr:row>155</xdr:row>
      <xdr:rowOff>52670</xdr:rowOff>
    </xdr:to>
    <xdr:graphicFrame>
      <xdr:nvGraphicFramePr>
        <xdr:cNvPr id="7" name="Диаграмма 6"/>
        <xdr:cNvGraphicFramePr/>
      </xdr:nvGraphicFramePr>
      <xdr:xfrm>
        <a:off x="4937760" y="31873190"/>
        <a:ext cx="4708525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156</xdr:row>
      <xdr:rowOff>178175</xdr:rowOff>
    </xdr:from>
    <xdr:to>
      <xdr:col>11</xdr:col>
      <xdr:colOff>593912</xdr:colOff>
      <xdr:row>171</xdr:row>
      <xdr:rowOff>63875</xdr:rowOff>
    </xdr:to>
    <xdr:graphicFrame>
      <xdr:nvGraphicFramePr>
        <xdr:cNvPr id="8" name="Диаграмма 7"/>
        <xdr:cNvGraphicFramePr/>
      </xdr:nvGraphicFramePr>
      <xdr:xfrm>
        <a:off x="4937760" y="34810700"/>
        <a:ext cx="4708525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172</xdr:row>
      <xdr:rowOff>178175</xdr:rowOff>
    </xdr:from>
    <xdr:to>
      <xdr:col>11</xdr:col>
      <xdr:colOff>593912</xdr:colOff>
      <xdr:row>187</xdr:row>
      <xdr:rowOff>63875</xdr:rowOff>
    </xdr:to>
    <xdr:graphicFrame>
      <xdr:nvGraphicFramePr>
        <xdr:cNvPr id="9" name="Диаграмма 8"/>
        <xdr:cNvGraphicFramePr/>
      </xdr:nvGraphicFramePr>
      <xdr:xfrm>
        <a:off x="4937760" y="37736780"/>
        <a:ext cx="4708525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125</xdr:row>
      <xdr:rowOff>0</xdr:rowOff>
    </xdr:from>
    <xdr:to>
      <xdr:col>19</xdr:col>
      <xdr:colOff>336176</xdr:colOff>
      <xdr:row>139</xdr:row>
      <xdr:rowOff>76200</xdr:rowOff>
    </xdr:to>
    <xdr:graphicFrame>
      <xdr:nvGraphicFramePr>
        <xdr:cNvPr id="10" name="Диаграмма 9"/>
        <xdr:cNvGraphicFramePr/>
      </xdr:nvGraphicFramePr>
      <xdr:xfrm>
        <a:off x="10111740" y="28963620"/>
        <a:ext cx="465645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141</xdr:row>
      <xdr:rowOff>0</xdr:rowOff>
    </xdr:from>
    <xdr:to>
      <xdr:col>19</xdr:col>
      <xdr:colOff>336176</xdr:colOff>
      <xdr:row>155</xdr:row>
      <xdr:rowOff>76200</xdr:rowOff>
    </xdr:to>
    <xdr:graphicFrame>
      <xdr:nvGraphicFramePr>
        <xdr:cNvPr id="11" name="Диаграмма 10"/>
        <xdr:cNvGraphicFramePr/>
      </xdr:nvGraphicFramePr>
      <xdr:xfrm>
        <a:off x="10111740" y="31889700"/>
        <a:ext cx="465645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157</xdr:row>
      <xdr:rowOff>0</xdr:rowOff>
    </xdr:from>
    <xdr:to>
      <xdr:col>19</xdr:col>
      <xdr:colOff>336176</xdr:colOff>
      <xdr:row>171</xdr:row>
      <xdr:rowOff>76200</xdr:rowOff>
    </xdr:to>
    <xdr:graphicFrame>
      <xdr:nvGraphicFramePr>
        <xdr:cNvPr id="12" name="Диаграмма 11"/>
        <xdr:cNvGraphicFramePr/>
      </xdr:nvGraphicFramePr>
      <xdr:xfrm>
        <a:off x="10111740" y="34815780"/>
        <a:ext cx="465645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29</xdr:col>
      <xdr:colOff>435429</xdr:colOff>
      <xdr:row>24</xdr:row>
      <xdr:rowOff>0</xdr:rowOff>
    </xdr:from>
    <xdr:to>
      <xdr:col>37</xdr:col>
      <xdr:colOff>141307</xdr:colOff>
      <xdr:row>38</xdr:row>
      <xdr:rowOff>85621</xdr:rowOff>
    </xdr:to>
    <xdr:graphicFrame>
      <xdr:nvGraphicFramePr>
        <xdr:cNvPr id="4" name="Диаграмма 3"/>
        <xdr:cNvGraphicFramePr/>
      </xdr:nvGraphicFramePr>
      <xdr:xfrm>
        <a:off x="24887555" y="8686800"/>
        <a:ext cx="3752215" cy="2645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12</xdr:row>
      <xdr:rowOff>0</xdr:rowOff>
    </xdr:from>
    <xdr:to>
      <xdr:col>12</xdr:col>
      <xdr:colOff>918881</xdr:colOff>
      <xdr:row>27</xdr:row>
      <xdr:rowOff>22500</xdr:rowOff>
    </xdr:to>
    <xdr:graphicFrame>
      <xdr:nvGraphicFramePr>
        <xdr:cNvPr id="21" name="Диаграмма 20"/>
        <xdr:cNvGraphicFramePr/>
      </xdr:nvGraphicFramePr>
      <xdr:xfrm>
        <a:off x="9052560" y="2623185"/>
        <a:ext cx="459930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12</xdr:col>
      <xdr:colOff>918881</xdr:colOff>
      <xdr:row>43</xdr:row>
      <xdr:rowOff>22500</xdr:rowOff>
    </xdr:to>
    <xdr:graphicFrame>
      <xdr:nvGraphicFramePr>
        <xdr:cNvPr id="22" name="Диаграмма 21"/>
        <xdr:cNvGraphicFramePr/>
      </xdr:nvGraphicFramePr>
      <xdr:xfrm>
        <a:off x="9052560" y="5549265"/>
        <a:ext cx="459930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12</xdr:col>
      <xdr:colOff>918881</xdr:colOff>
      <xdr:row>59</xdr:row>
      <xdr:rowOff>22500</xdr:rowOff>
    </xdr:to>
    <xdr:graphicFrame>
      <xdr:nvGraphicFramePr>
        <xdr:cNvPr id="23" name="Диаграмма 22"/>
        <xdr:cNvGraphicFramePr/>
      </xdr:nvGraphicFramePr>
      <xdr:xfrm>
        <a:off x="9052560" y="8475345"/>
        <a:ext cx="459930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60</xdr:row>
      <xdr:rowOff>0</xdr:rowOff>
    </xdr:from>
    <xdr:to>
      <xdr:col>12</xdr:col>
      <xdr:colOff>918881</xdr:colOff>
      <xdr:row>75</xdr:row>
      <xdr:rowOff>22500</xdr:rowOff>
    </xdr:to>
    <xdr:graphicFrame>
      <xdr:nvGraphicFramePr>
        <xdr:cNvPr id="24" name="Диаграмма 23"/>
        <xdr:cNvGraphicFramePr/>
      </xdr:nvGraphicFramePr>
      <xdr:xfrm>
        <a:off x="9052560" y="11401425"/>
        <a:ext cx="459930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76</xdr:row>
      <xdr:rowOff>0</xdr:rowOff>
    </xdr:from>
    <xdr:to>
      <xdr:col>12</xdr:col>
      <xdr:colOff>918881</xdr:colOff>
      <xdr:row>91</xdr:row>
      <xdr:rowOff>22500</xdr:rowOff>
    </xdr:to>
    <xdr:graphicFrame>
      <xdr:nvGraphicFramePr>
        <xdr:cNvPr id="25" name="Диаграмма 24"/>
        <xdr:cNvGraphicFramePr/>
      </xdr:nvGraphicFramePr>
      <xdr:xfrm>
        <a:off x="9052560" y="14327505"/>
        <a:ext cx="459930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92</xdr:row>
      <xdr:rowOff>0</xdr:rowOff>
    </xdr:from>
    <xdr:to>
      <xdr:col>12</xdr:col>
      <xdr:colOff>918881</xdr:colOff>
      <xdr:row>107</xdr:row>
      <xdr:rowOff>22500</xdr:rowOff>
    </xdr:to>
    <xdr:graphicFrame>
      <xdr:nvGraphicFramePr>
        <xdr:cNvPr id="26" name="Диаграмма 25"/>
        <xdr:cNvGraphicFramePr/>
      </xdr:nvGraphicFramePr>
      <xdr:xfrm>
        <a:off x="9052560" y="17253585"/>
        <a:ext cx="459930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108</xdr:row>
      <xdr:rowOff>0</xdr:rowOff>
    </xdr:from>
    <xdr:to>
      <xdr:col>12</xdr:col>
      <xdr:colOff>918881</xdr:colOff>
      <xdr:row>123</xdr:row>
      <xdr:rowOff>22500</xdr:rowOff>
    </xdr:to>
    <xdr:graphicFrame>
      <xdr:nvGraphicFramePr>
        <xdr:cNvPr id="27" name="Диаграмма 26"/>
        <xdr:cNvGraphicFramePr/>
      </xdr:nvGraphicFramePr>
      <xdr:xfrm>
        <a:off x="9052560" y="20179665"/>
        <a:ext cx="459930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728381</xdr:colOff>
      <xdr:row>27</xdr:row>
      <xdr:rowOff>22500</xdr:rowOff>
    </xdr:to>
    <xdr:graphicFrame>
      <xdr:nvGraphicFramePr>
        <xdr:cNvPr id="28" name="Диаграмма 27"/>
        <xdr:cNvGraphicFramePr/>
      </xdr:nvGraphicFramePr>
      <xdr:xfrm>
        <a:off x="4206240" y="2623185"/>
        <a:ext cx="456882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8</xdr:col>
      <xdr:colOff>728381</xdr:colOff>
      <xdr:row>43</xdr:row>
      <xdr:rowOff>22500</xdr:rowOff>
    </xdr:to>
    <xdr:graphicFrame>
      <xdr:nvGraphicFramePr>
        <xdr:cNvPr id="29" name="Диаграмма 28"/>
        <xdr:cNvGraphicFramePr/>
      </xdr:nvGraphicFramePr>
      <xdr:xfrm>
        <a:off x="4206240" y="5549265"/>
        <a:ext cx="456882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44</xdr:row>
      <xdr:rowOff>0</xdr:rowOff>
    </xdr:from>
    <xdr:to>
      <xdr:col>8</xdr:col>
      <xdr:colOff>728381</xdr:colOff>
      <xdr:row>59</xdr:row>
      <xdr:rowOff>22500</xdr:rowOff>
    </xdr:to>
    <xdr:graphicFrame>
      <xdr:nvGraphicFramePr>
        <xdr:cNvPr id="30" name="Диаграмма 29"/>
        <xdr:cNvGraphicFramePr/>
      </xdr:nvGraphicFramePr>
      <xdr:xfrm>
        <a:off x="4206240" y="8475345"/>
        <a:ext cx="456882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60</xdr:row>
      <xdr:rowOff>0</xdr:rowOff>
    </xdr:from>
    <xdr:to>
      <xdr:col>8</xdr:col>
      <xdr:colOff>728381</xdr:colOff>
      <xdr:row>75</xdr:row>
      <xdr:rowOff>22500</xdr:rowOff>
    </xdr:to>
    <xdr:graphicFrame>
      <xdr:nvGraphicFramePr>
        <xdr:cNvPr id="31" name="Диаграмма 30"/>
        <xdr:cNvGraphicFramePr/>
      </xdr:nvGraphicFramePr>
      <xdr:xfrm>
        <a:off x="4206240" y="11401425"/>
        <a:ext cx="456882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76</xdr:row>
      <xdr:rowOff>0</xdr:rowOff>
    </xdr:from>
    <xdr:to>
      <xdr:col>8</xdr:col>
      <xdr:colOff>728381</xdr:colOff>
      <xdr:row>91</xdr:row>
      <xdr:rowOff>22500</xdr:rowOff>
    </xdr:to>
    <xdr:graphicFrame>
      <xdr:nvGraphicFramePr>
        <xdr:cNvPr id="32" name="Диаграмма 31"/>
        <xdr:cNvGraphicFramePr/>
      </xdr:nvGraphicFramePr>
      <xdr:xfrm>
        <a:off x="4206240" y="14327505"/>
        <a:ext cx="456882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92</xdr:row>
      <xdr:rowOff>0</xdr:rowOff>
    </xdr:from>
    <xdr:to>
      <xdr:col>8</xdr:col>
      <xdr:colOff>728381</xdr:colOff>
      <xdr:row>107</xdr:row>
      <xdr:rowOff>22500</xdr:rowOff>
    </xdr:to>
    <xdr:graphicFrame>
      <xdr:nvGraphicFramePr>
        <xdr:cNvPr id="33" name="Диаграмма 32"/>
        <xdr:cNvGraphicFramePr/>
      </xdr:nvGraphicFramePr>
      <xdr:xfrm>
        <a:off x="4206240" y="17253585"/>
        <a:ext cx="456882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108</xdr:row>
      <xdr:rowOff>0</xdr:rowOff>
    </xdr:from>
    <xdr:to>
      <xdr:col>8</xdr:col>
      <xdr:colOff>728381</xdr:colOff>
      <xdr:row>123</xdr:row>
      <xdr:rowOff>22500</xdr:rowOff>
    </xdr:to>
    <xdr:graphicFrame>
      <xdr:nvGraphicFramePr>
        <xdr:cNvPr id="34" name="Диаграмма 33"/>
        <xdr:cNvGraphicFramePr/>
      </xdr:nvGraphicFramePr>
      <xdr:xfrm>
        <a:off x="4206240" y="20179665"/>
        <a:ext cx="456882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1;&#1080;&#1089;&#1090;2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4-&#1101;&#1090;&#1072;&#1087; &#1058;&#1077;&#1087;&#1083;&#1086;&#1090;&#1077;&#1093;&#1085;&#1080;&#1095;&#1077;&#1089;&#1082;&#1080;&#1081; &#1088;&#1072;&#1089;&#1095;&#1077;&#1090; &#1050;&#1059; 15.05.22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4696.7989253472" refreshedBy="Автор" recordCount="7">
  <cacheSource type="worksheet">
    <worksheetSource name="УТ_РезультатыРасчетов" r:id="rId2"/>
  </cacheSource>
  <cacheFields count="16">
    <cacheField name="Зоны нагрева" numFmtId="0">
      <sharedItems count="7">
        <s v="Зона_1"/>
        <s v="Зона_2"/>
        <s v="Зона_3"/>
        <s v="Зона_4"/>
        <s v="Зона_5"/>
        <s v="Зона_6"/>
        <s v="Зона_7"/>
      </sharedItems>
    </cacheField>
    <cacheField name="Наименование тепловой зоны" numFmtId="0">
      <sharedItems count="7">
        <s v="Аптейк"/>
        <s v="Воротник"/>
        <s v="Радиационная_x000a_шахта"/>
        <s v="Холодная_x000a_воронка"/>
        <s v="Конвективная_x000a_шахта"/>
        <s v="Газоохладитель-1_x000a_с ширмой"/>
        <s v="Газоохладитель-2"/>
      </sharedItems>
    </cacheField>
    <cacheField name="Количество тепла газов на входе в зону с учетом подсоса воздуха, Гкал/ч" numFmtId="180"/>
    <cacheField name="Температура газов на выходе из КУ, оC" numFmtId="1"/>
    <cacheField name="Температура охлаждающей среды, оC" numFmtId="1"/>
    <cacheField name="Температурный напор, оС" numFmtId="1"/>
    <cacheField name="Коэффициент теплопередачи, ккал/(м2*ч*К)" numFmtId="180"/>
    <cacheField name="Площадь поверхности нагрева, м2" numFmtId="1"/>
    <cacheField name="Доля поверхности стен, %" numFmtId="9"/>
    <cacheField name="Доля поверхности ширм, %" numFmtId="9"/>
    <cacheField name="Количество полезного тепла, Гкал/ч" numFmtId="180"/>
    <cacheField name="Проверка теплового баланса" numFmtId="181"/>
    <cacheField name="Коэффициент использования тепла, %" numFmtId="9"/>
    <cacheField name="Выработка насыщенного пара, т/ч" numFmtId="1"/>
    <cacheField name="Удельный тепловой поток от газов к паро-водяной смеси, Мкал/(м2*ч)" numFmtId="180"/>
    <cacheField name="Удельная поверхность нагрева на 1 т выработки пара, (м2*ч)/т" numFmtId="18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  <n v="25.66882938869983"/>
    <n v="1160"/>
    <n v="251"/>
    <n v="965.35863894239105"/>
    <n v="44.711454757411076"/>
    <n v="132.68"/>
    <n v="1"/>
    <n v="0"/>
    <n v="2.004384313078508"/>
    <s v="Правильно!"/>
    <n v="7.8086315613632801E-2"/>
    <n v="3.2878970103270175"/>
    <n v="15.106906188412028"/>
    <n v="40.354062059505786"/>
  </r>
  <r>
    <x v="1"/>
    <x v="1"/>
    <n v="23.600540253306697"/>
    <n v="1114"/>
    <n v="251"/>
    <n v="885.80094240149913"/>
    <n v="43.035835767501474"/>
    <n v="65"/>
    <n v="1"/>
    <n v="0"/>
    <n v="0.86725693326747355"/>
    <s v="Правильно!"/>
    <n v="3.3786384261421186E-2"/>
    <n v="1.4226071614459985"/>
    <n v="13.342414357961133"/>
    <n v="45.690758321454837"/>
  </r>
  <r>
    <x v="2"/>
    <x v="2"/>
    <n v="22.691090856402209"/>
    <n v="884"/>
    <n v="251"/>
    <n v="742.06889124663678"/>
    <n v="37.686076492934511"/>
    <n v="487.5"/>
    <n v="1"/>
    <n v="0"/>
    <n v="4.7716415903772269"/>
    <s v="Меньше!"/>
    <n v="0.18589245026023055"/>
    <n v="7.8271746675453269"/>
    <n v="9.7879827494917482"/>
    <n v="62.2830102439613"/>
  </r>
  <r>
    <x v="3"/>
    <x v="3"/>
    <n v="17.866596388697502"/>
    <n v="816"/>
    <n v="251"/>
    <n v="598.35615199442179"/>
    <n v="36.200595711945333"/>
    <n v="143"/>
    <n v="1"/>
    <n v="0"/>
    <n v="1.0841254999627739"/>
    <s v="Правильно!"/>
    <n v="4.2235097033292743E-2"/>
    <n v="1.7783480777058309"/>
    <n v="7.5812972025368808"/>
    <n v="80.411704431045948"/>
  </r>
  <r>
    <x v="4"/>
    <x v="4"/>
    <n v="16.737577169297417"/>
    <n v="716"/>
    <n v="251"/>
    <n v="513.37778952089843"/>
    <n v="33.144507851590475"/>
    <n v="312"/>
    <n v="1"/>
    <n v="0"/>
    <n v="1.8581094359763477"/>
    <s v="Больше!"/>
    <n v="7.2387774597712742E-2"/>
    <n v="3.0479546360168328"/>
    <n v="5.9554789614626538"/>
    <n v="102.36372822389897"/>
  </r>
  <r>
    <x v="5"/>
    <x v="5"/>
    <n v="14.553084529636607"/>
    <n v="591"/>
    <n v="251"/>
    <n v="399.24394315038063"/>
    <n v="24.832111084338955"/>
    <n v="302.5"/>
    <n v="0.51570247933884295"/>
    <n v="0.484297520661157"/>
    <n v="1.9210989037977295"/>
    <s v="Больше!"/>
    <n v="7.4841702934978938E-2"/>
    <n v="3.1512795730464616"/>
    <n v="6.3507401778437345"/>
    <n v="95.992752463902079"/>
  </r>
  <r>
    <x v="6"/>
    <x v="6"/>
    <n v="11.892931326721612"/>
    <n v="570"/>
    <n v="251"/>
    <n v="329.38843715654599"/>
    <n v="27.599587307568868"/>
    <n v="144"/>
    <n v="1"/>
    <n v="0"/>
    <n v="0.45818564044204985"/>
    <s v="Меньше!"/>
    <n v="1.7849884523513042E-2"/>
    <n v="0.75158600451747792"/>
    <n v="3.181844725292013"/>
    <n v="191.594839625105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Т_РезультатыРасчетов" cacheId="0" autoFormatId="1" applyNumberFormats="0" applyBorderFormats="0" applyFontFormats="0" applyPatternFormats="0" applyAlignmentFormats="0" applyWidthHeightFormats="1" dataCaption="Значения" updatedVersion="6" minRefreshableVersion="3" createdVersion="6" useAutoFormatting="1" rowGrandTotals="0" colGrandTotals="0" indent="0" outline="1" outlineData="1" showDrill="1" multipleFieldFilters="0">
  <location ref="A26:E33" firstHeaderRow="0" firstDataRow="1" firstDataCol="1"/>
  <pivotFields count="16"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axis="axisRow" showAll="0">
      <items count="8">
        <item x="0"/>
        <item x="1"/>
        <item x="5"/>
        <item x="6"/>
        <item x="4"/>
        <item x="2"/>
        <item x="3"/>
        <item t="default"/>
      </items>
    </pivotField>
    <pivotField numFmtId="180" showAll="0"/>
    <pivotField dataField="1" numFmtId="1" showAll="0"/>
    <pivotField numFmtId="1" showAll="0"/>
    <pivotField numFmtId="1" showAll="0"/>
    <pivotField numFmtId="180" showAll="0"/>
    <pivotField dataField="1" numFmtId="1" showAll="0"/>
    <pivotField numFmtId="9" showAll="0"/>
    <pivotField numFmtId="9" showAll="0"/>
    <pivotField dataField="1" numFmtId="180" showAll="0"/>
    <pivotField showAll="0"/>
    <pivotField numFmtId="9" showAll="0"/>
    <pivotField dataField="1" numFmtId="1" showAll="0"/>
    <pivotField numFmtId="180" showAll="0"/>
    <pivotField numFmtId="180" showAll="0"/>
  </pivotFields>
  <rowFields count="2">
    <field x="0"/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Температура газов на выходе из КУ, оC " fld="3" baseField="0" baseItem="0"/>
    <dataField name="Площадь поверхности нагрева, м2 " fld="7" baseField="0" baseItem="0" numFmtId="180"/>
    <dataField name="Выработка насыщенного пара, т/ч " fld="13" baseField="0" baseItem="0" numFmtId="180"/>
    <dataField name="Количество полезного тепла, Гкал/ч " fld="10" baseField="0" baseItem="0" numFmtId="180"/>
  </dataFields>
  <formats count="44">
    <format dxfId="0">
      <pivotArea outline="0" collapsedLevelsAreSubtotals="1" fieldPosition="0"/>
    </format>
    <format dxfId="1">
      <pivotArea outline="0" collapsedLevelsAreSubtotals="1" fieldPosition="0"/>
    </format>
    <format dxfId="2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3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4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0" type="button" dataOnly="0" labelOnly="1" outline="0" fieldPosition="0"/>
    </format>
    <format dxfId="9">
      <pivotArea dataOnly="0" labelOnly="1" fieldPosition="0">
        <references count="1">
          <reference field="0" count="0"/>
        </references>
      </pivotArea>
    </format>
    <format dxfId="10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1">
      <pivotArea dataOnly="0" labelOnly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12">
      <pivotArea dataOnly="0" labelOnly="1" fieldPosition="0">
        <references count="2">
          <reference field="0" count="1" selected="0">
            <x v="2"/>
          </reference>
          <reference field="1" count="1">
            <x v="5"/>
          </reference>
        </references>
      </pivotArea>
    </format>
    <format dxfId="13">
      <pivotArea dataOnly="0" labelOnly="1" fieldPosition="0">
        <references count="2">
          <reference field="0" count="1" selected="0">
            <x v="3"/>
          </reference>
          <reference field="1" count="1">
            <x v="6"/>
          </reference>
        </references>
      </pivotArea>
    </format>
    <format dxfId="14">
      <pivotArea dataOnly="0" labelOnly="1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15">
      <pivotArea dataOnly="0" labelOnly="1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16">
      <pivotArea dataOnly="0" labelOnly="1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0" type="button" dataOnly="0" labelOnly="1" outline="0" fieldPosition="0"/>
    </format>
    <format dxfId="21">
      <pivotArea dataOnly="0" labelOnly="1" fieldPosition="0">
        <references count="1">
          <reference field="0" count="0"/>
        </references>
      </pivotArea>
    </format>
    <format dxfId="22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3">
      <pivotArea dataOnly="0" labelOnly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24">
      <pivotArea dataOnly="0" labelOnly="1" fieldPosition="0">
        <references count="2">
          <reference field="0" count="1" selected="0">
            <x v="2"/>
          </reference>
          <reference field="1" count="1">
            <x v="5"/>
          </reference>
        </references>
      </pivotArea>
    </format>
    <format dxfId="25">
      <pivotArea dataOnly="0" labelOnly="1" fieldPosition="0">
        <references count="2">
          <reference field="0" count="1" selected="0">
            <x v="3"/>
          </reference>
          <reference field="1" count="1">
            <x v="6"/>
          </reference>
        </references>
      </pivotArea>
    </format>
    <format dxfId="26">
      <pivotArea dataOnly="0" labelOnly="1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27">
      <pivotArea dataOnly="0" labelOnly="1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28">
      <pivotArea dataOnly="0" labelOnly="1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0" type="button" dataOnly="0" labelOnly="1" outline="0" fieldPosition="0"/>
    </format>
    <format dxfId="33">
      <pivotArea dataOnly="0" labelOnly="1" fieldPosition="0">
        <references count="1">
          <reference field="0" count="0"/>
        </references>
      </pivotArea>
    </format>
    <format dxfId="34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5">
      <pivotArea dataOnly="0" labelOnly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36">
      <pivotArea dataOnly="0" labelOnly="1" fieldPosition="0">
        <references count="2">
          <reference field="0" count="1" selected="0">
            <x v="2"/>
          </reference>
          <reference field="1" count="1">
            <x v="5"/>
          </reference>
        </references>
      </pivotArea>
    </format>
    <format dxfId="37">
      <pivotArea dataOnly="0" labelOnly="1" fieldPosition="0">
        <references count="2">
          <reference field="0" count="1" selected="0">
            <x v="3"/>
          </reference>
          <reference field="1" count="1">
            <x v="6"/>
          </reference>
        </references>
      </pivotArea>
    </format>
    <format dxfId="38">
      <pivotArea dataOnly="0" labelOnly="1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39">
      <pivotArea dataOnly="0" labelOnly="1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40">
      <pivotArea dataOnly="0" labelOnly="1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4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2">
      <pivotArea outline="0" collapsedLevelsAreSubtotals="1" fieldPosition="0"/>
    </format>
    <format dxfId="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Таб1_Исходные_данные" displayName="Таб1_Исходные_данные" ref="A1:C27" totalsRowShown="0">
  <tableColumns count="3">
    <tableColumn id="1" name="Параметры уходящих из печи технологических газов и воздуха" dataDxfId="44"/>
    <tableColumn id="2" name="Единица" dataDxfId="45"/>
    <tableColumn id="3" name="Значение" dataDxfId="46"/>
  </tableColumns>
  <tableStyleInfo name="PivotStyleLight6" showFirstColumn="0" showLastColumn="0" showRowStripes="1" showColumnStripes="0"/>
</table>
</file>

<file path=xl/tables/table2.xml><?xml version="1.0" encoding="utf-8"?>
<table xmlns="http://schemas.openxmlformats.org/spreadsheetml/2006/main" id="5" name="Таб2_Конструкция_КУ" displayName="Таб2_Конструкция_КУ" ref="A1:M20" totalsRowShown="0">
  <tableColumns count="13">
    <tableColumn id="1" name="Конструктивные характеристики КУ" dataDxfId="49"/>
    <tableColumn id="2" name="Единица" dataDxfId="50"/>
    <tableColumn id="11" name="Зона 1" dataDxfId="51"/>
    <tableColumn id="10" name="Зона 2" dataDxfId="52"/>
    <tableColumn id="9" name="Зона 3" dataDxfId="53"/>
    <tableColumn id="8" name="Зона 4" dataDxfId="54"/>
    <tableColumn id="7" name="Зона 5" dataDxfId="55"/>
    <tableColumn id="6" name="Зона 6" dataDxfId="56"/>
    <tableColumn id="5" name="Зона 7" dataDxfId="57"/>
    <tableColumn id="13" name="Зона 8"/>
    <tableColumn id="12" name="Зона 9"/>
    <tableColumn id="4" name="Зона 10"/>
    <tableColumn id="3" name="Зона XX" dataDxfId="58"/>
  </tableColumns>
  <tableStyleInfo name="Стиль УТ" showFirstColumn="0" showLastColumn="0" showRowStripes="1" showColumnStripes="0"/>
</table>
</file>

<file path=xl/tables/table3.xml><?xml version="1.0" encoding="utf-8"?>
<table xmlns="http://schemas.openxmlformats.org/spreadsheetml/2006/main" id="79" name="Таб8_Расчет_коэффициента_теплопередачи" displayName="Таб8_Расчет_коэффициента_теплопередачи" ref="A1:N96" totalsRowShown="0">
  <tableColumns count="14">
    <tableColumn id="1" name="Наименование" dataDxfId="59"/>
    <tableColumn id="8" name="Обозначение" dataDxfId="60"/>
    <tableColumn id="2" name="Единица измерения" dataDxfId="61"/>
    <tableColumn id="3" name="Зона 1" dataDxfId="62"/>
    <tableColumn id="10" name="Зона 2" dataDxfId="63"/>
    <tableColumn id="9" name="Зона 3" dataDxfId="64"/>
    <tableColumn id="7" name="Зона 4" dataDxfId="65"/>
    <tableColumn id="6" name="Зона 5" dataDxfId="66"/>
    <tableColumn id="5" name="Зона 6" dataDxfId="67"/>
    <tableColumn id="11" name="Зона 7" dataDxfId="68"/>
    <tableColumn id="13" name="Зона 8" dataDxfId="69"/>
    <tableColumn id="14" name="Зона 9" dataDxfId="70"/>
    <tableColumn id="15" name="Зона 10" dataDxfId="71"/>
    <tableColumn id="4" name="Зона XX" dataDxfId="72"/>
  </tableColumns>
  <tableStyleInfo name="TableStyleLight15" showFirstColumn="0" showLastColumn="0" showRowStripes="0" showColumnStripes="0"/>
</table>
</file>

<file path=xl/tables/table4.xml><?xml version="1.0" encoding="utf-8"?>
<table xmlns="http://schemas.openxmlformats.org/spreadsheetml/2006/main" id="74" name="Таб3_Свойства_газов" displayName="Таб3_Свойства_газов" ref="A1:K6" totalsRowShown="0">
  <tableColumns count="11">
    <tableColumn id="1" name="Наименование" dataDxfId="73"/>
    <tableColumn id="2" name="Единица измерения" dataDxfId="74"/>
    <tableColumn id="3" name="SO2" dataDxfId="75"/>
    <tableColumn id="4" name="SO3" dataDxfId="76"/>
    <tableColumn id="5" name="H2O" dataDxfId="77"/>
    <tableColumn id="6" name="O2" dataDxfId="78"/>
    <tableColumn id="7" name="N2" dataDxfId="79"/>
    <tableColumn id="8" name="CO2" dataDxfId="80"/>
    <tableColumn id="9" name="СО" dataDxfId="81"/>
    <tableColumn id="10" name="S" dataDxfId="82"/>
    <tableColumn id="12" name="Всего" dataDxfId="83"/>
  </tableColumns>
  <tableStyleInfo name="TableStyleLight15" showFirstColumn="0" showLastColumn="0" showRowStripes="0" showColumnStripes="0"/>
</table>
</file>

<file path=xl/tables/table5.xml><?xml version="1.0" encoding="utf-8"?>
<table xmlns="http://schemas.openxmlformats.org/spreadsheetml/2006/main" id="73" name="Таб4_Свойства_теплоносителя" displayName="Таб4_Свойства_теплоносителя" ref="A1:G3" totalsRowShown="0">
  <tableColumns count="7">
    <tableColumn id="1" name="Наименование" dataDxfId="84"/>
    <tableColumn id="3" name="Скрытая теплота парообразования" dataDxfId="85"/>
    <tableColumn id="4" name="Энтальпия насыщенного пара" dataDxfId="86"/>
    <tableColumn id="5" name="Температура пара на линии насыщения" dataDxfId="87"/>
    <tableColumn id="6" name="Энтальпия воды на линии насыщения" dataDxfId="88"/>
    <tableColumn id="8" name="Энтальпия питательной воды" dataDxfId="89">
      <calculatedColumnFormula array="1">IFERROR(INDEX(Пр3!$F$2:$F$398,MATCH(MIN(IF(Пр3!$A$2:$A$398&gt;=#REF!,Пр3!$A$2:$A$398,"")),Пр3!$A$2:$A$398,0),0),"Ошибка")/4.187</calculatedColumnFormula>
    </tableColumn>
    <tableColumn id="9" name="Энтальпия пара при Тгаз" dataDxfId="90">
      <calculatedColumnFormula array="1">IFERROR(INDEX(Пр3!$G$2:$G$398,MATCH(MIN(IF(Пр3!$A$2:$A$398&gt;=Таб1!C5,Пр3!$A$2:$A$398,"")),Пр3!$A$2:$A$398,0),0),"Ошибка")/4.187</calculatedColumnFormula>
    </tableColumn>
  </tableColumns>
  <tableStyleInfo name="TableStyleLight15" showFirstColumn="1" showLastColumn="0" showRowStripes="0" showColumnStripes="0"/>
</table>
</file>

<file path=xl/tables/table6.xml><?xml version="1.0" encoding="utf-8"?>
<table xmlns="http://schemas.openxmlformats.org/spreadsheetml/2006/main" id="76" name="Таб5_Конструкция_КУ" displayName="Таб5_Конструкция_КУ" ref="A1:M10" totalsRowShown="0">
  <tableColumns count="13">
    <tableColumn id="1" name="Наименование" dataDxfId="91"/>
    <tableColumn id="2" name="Единица измерения" dataDxfId="92"/>
    <tableColumn id="3" name="Зона 1" dataDxfId="93"/>
    <tableColumn id="9" name="Зона 2" dataDxfId="94"/>
    <tableColumn id="7" name="Зона 3" dataDxfId="95"/>
    <tableColumn id="6" name="Зона 4" dataDxfId="96"/>
    <tableColumn id="5" name="Зона 5" dataDxfId="97"/>
    <tableColumn id="4" name="Зона 6" dataDxfId="98"/>
    <tableColumn id="11" name="Зона 7" dataDxfId="99"/>
    <tableColumn id="10" name="Зона 8" dataDxfId="100"/>
    <tableColumn id="12" name="Зона 9" dataDxfId="101"/>
    <tableColumn id="13" name="Зона 10" dataDxfId="102"/>
    <tableColumn id="8" name="Зона XX" dataDxfId="103"/>
  </tableColumns>
  <tableStyleInfo name="TableStyleLight15" showFirstColumn="0" showLastColumn="0" showRowStripes="0" showColumnStripes="0"/>
</table>
</file>

<file path=xl/tables/table7.xml><?xml version="1.0" encoding="utf-8"?>
<table xmlns="http://schemas.openxmlformats.org/spreadsheetml/2006/main" id="77" name="Таб6_Расчет_выхода_ВЭР" displayName="Таб6_Расчет_выхода_ВЭР" ref="A1:M38" totalsRowShown="0">
  <tableColumns count="13">
    <tableColumn id="1" name="Наименование" dataDxfId="104"/>
    <tableColumn id="2" name="Единица измерения" dataDxfId="105"/>
    <tableColumn id="3" name="Зона 1" dataDxfId="106"/>
    <tableColumn id="10" name="Зона 2" dataDxfId="107"/>
    <tableColumn id="9" name="Зона 3" dataDxfId="108"/>
    <tableColumn id="7" name="Зона 4" dataDxfId="109"/>
    <tableColumn id="6" name="Зона 5" dataDxfId="110"/>
    <tableColumn id="5" name="Зона 6" dataDxfId="111"/>
    <tableColumn id="11" name="Зона 7" dataDxfId="112"/>
    <tableColumn id="8" name="Зона 8"/>
    <tableColumn id="12" name="Зона 9"/>
    <tableColumn id="13" name="Зона 10"/>
    <tableColumn id="4" name="Зона XX" dataDxfId="113"/>
  </tableColumns>
  <tableStyleInfo name="TableStyleLight15" showFirstColumn="0" showLastColumn="0" showRowStripes="0" showColumnStripes="0"/>
</table>
</file>

<file path=xl/tables/table8.xml><?xml version="1.0" encoding="utf-8"?>
<table xmlns="http://schemas.openxmlformats.org/spreadsheetml/2006/main" id="78" name="Таб7_Расчет_потерь_в_окружающую_среду" displayName="Таб7_Расчет_потерь_в_окружающую_среду" ref="A1:M21" totalsRowShown="0">
  <tableColumns count="13">
    <tableColumn id="1" name="Наименование" dataDxfId="114"/>
    <tableColumn id="2" name="Единица измерения" dataDxfId="115"/>
    <tableColumn id="3" name="Зона 1" dataDxfId="116"/>
    <tableColumn id="10" name="Зона 2" dataDxfId="117"/>
    <tableColumn id="9" name="Зона 3" dataDxfId="118"/>
    <tableColumn id="7" name="Зона 4" dataDxfId="119"/>
    <tableColumn id="6" name="Зона 5" dataDxfId="120"/>
    <tableColumn id="5" name="Зона 6" dataDxfId="121"/>
    <tableColumn id="11" name="Зона 7" dataDxfId="122"/>
    <tableColumn id="8" name="Зона 8"/>
    <tableColumn id="12" name="Зона 9"/>
    <tableColumn id="13" name="Зона 10"/>
    <tableColumn id="4" name="Зона XX" dataDxfId="123"/>
  </tableColumns>
  <tableStyleInfo name="TableStyleLight15" showFirstColumn="0" showLastColumn="0" showRowStripes="0" showColumnStripes="0"/>
</table>
</file>

<file path=xl/tables/table9.xml><?xml version="1.0" encoding="utf-8"?>
<table xmlns="http://schemas.openxmlformats.org/spreadsheetml/2006/main" id="14" name="Таблица14" displayName="Таблица14" ref="G26:N33" totalsRowShown="0">
  <autoFilter xmlns:etc="http://www.wps.cn/officeDocument/2017/etCustomData" ref="G26:N33" etc:filterBottomFollowUsedRange="0"/>
  <tableColumns count="8">
    <tableColumn id="1" name="Зона нагрева" dataDxfId="124"/>
    <tableColumn id="2" name="X" dataDxfId="125"/>
    <tableColumn id="3" name="Y" dataDxfId="126"/>
    <tableColumn id="4" name="Температура газов на выходе из КУ, оC " dataDxfId="127">
      <calculatedColumnFormula>SUMIF($A:$A,Таблица14[[#This Row],[Зона нагрева]],B:B)</calculatedColumnFormula>
    </tableColumn>
    <tableColumn id="7" name="Площадь поверхности нагрева, м2 " dataDxfId="128">
      <calculatedColumnFormula>SUMIF($A:$A,Таблица14[[#This Row],[Зона нагрева]],C:C)</calculatedColumnFormula>
    </tableColumn>
    <tableColumn id="6" name="Выработка насыщенного пара, т/ч " dataDxfId="129">
      <calculatedColumnFormula>SUMIF($A:$A,Таблица14[[#This Row],[Зона нагрева]],D:D)</calculatedColumnFormula>
    </tableColumn>
    <tableColumn id="8" name="Количество полезного тепла, Гкал/ч " dataDxfId="130">
      <calculatedColumnFormula>SUMIF($A:$A,Таблица14[[#This Row],[Зона нагрева]],E:E)</calculatedColumnFormula>
    </tableColumn>
    <tableColumn id="5" name="Подписи" dataDxfId="131">
      <calculatedColumnFormula>Таблица14[[#This Row],[Зона нагрева]]&amp;CHAR(10)&amp;TEXT(Таблица14[[#This Row],[Температура газов на выходе из КУ, оC ]],"0")&amp;"оС"&amp;CHAR(10)&amp;TEXT(Таблица14[[#This Row],[Площадь поверхности нагрева, м2 ]],"0,0")&amp;"м2"&amp;CHAR(10)&amp;TEXT(Таблица14[[#This Row],[Выработка насыщенного пара, т/ч ]],"0,0")&amp;"т/ч"&amp;CHAR(10)&amp;TEXT(Таблица14[[#This Row],[Количество полезного тепла, Гкал/ч ]],"0,0")&amp;"Гкал/ч"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4" name="УТ_СводРезультатов" displayName="УТ_СводРезультатов" ref="A1:I16" totalsRowShown="0">
  <tableColumns count="9">
    <tableColumn id="1" name="Наименование параметра" dataDxfId="132"/>
    <tableColumn id="3" name="Единица" dataDxfId="133"/>
    <tableColumn id="10" name="Зона 1" dataDxfId="134"/>
    <tableColumn id="9" name="Зона 2" dataDxfId="135"/>
    <tableColumn id="8" name="Зона 3" dataDxfId="136"/>
    <tableColumn id="7" name="Зона 4" dataDxfId="137"/>
    <tableColumn id="6" name="Зона 5" dataDxfId="138"/>
    <tableColumn id="5" name="Зона 6" dataDxfId="139"/>
    <tableColumn id="12" name="Зона 7" dataDxfId="140"/>
  </tableColumns>
  <tableStyleInfo name="Стиль УТ" showFirstColumn="0" showLastColumn="0" showRowStripes="1" showColumnStripes="0"/>
</table>
</file>

<file path=xl/tables/table11.xml><?xml version="1.0" encoding="utf-8"?>
<table xmlns="http://schemas.openxmlformats.org/spreadsheetml/2006/main" id="13" name="УТ_РезультатыРасчетов" displayName="УТ_РезультатыРасчетов" ref="A84:I91" totalsRowShown="0">
  <tableColumns count="9">
    <tableColumn id="1" name="Зоны нагрева" dataDxfId="141"/>
    <tableColumn id="2" name="Наименование тепловой зоны" dataDxfId="142"/>
    <tableColumn id="3" name="Количество тепла газов на входе в зону с учетом подсоса воздуха, Гкал/ч" dataDxfId="143"/>
    <tableColumn id="4" name="Температура газов на выходе из КУ, оC" dataDxfId="144"/>
    <tableColumn id="5" name="Температура охлаждающей среды, оC" dataDxfId="145">
      <calculatedColumnFormula>Таб4!$D$3</calculatedColumnFormula>
    </tableColumn>
    <tableColumn id="6" name="Температурный напор, оС" dataDxfId="146"/>
    <tableColumn id="7" name="Коэффициент теплопередачи, ккал/(м2*ч*К)" dataDxfId="147"/>
    <tableColumn id="8" name="Площадь поверхности нагрева, м2" dataDxfId="148"/>
    <tableColumn id="9" name="Доля поверхности стен, %" dataDxfId="149"/>
  </tableColumns>
  <tableStyleInfo name="Стиль УТ" showFirstColumn="0" showLastColumn="0" showRowStripes="1" showColumnStripes="0"/>
</table>
</file>

<file path=xl/tables/table12.xml><?xml version="1.0" encoding="utf-8"?>
<table xmlns="http://schemas.openxmlformats.org/spreadsheetml/2006/main" id="12" name="УТ_РезультатыРасчетов2" displayName="УТ_РезультатыРасчетов2" ref="A93:M100" totalsRowShown="0">
  <tableColumns count="13">
    <tableColumn id="1" name="Зоны нагрева" dataDxfId="150"/>
    <tableColumn id="2" name="Доля поверхности ширм, %" dataDxfId="151"/>
    <tableColumn id="3" name="Количество полезного тепла, Гкал/ч" dataDxfId="152"/>
    <tableColumn id="5" name="Коэффициент использования тепла, %" dataDxfId="153"/>
    <tableColumn id="6" name="Выработка насыщенного пара, т/ч" dataDxfId="154"/>
    <tableColumn id="7" name="Удельный тепловой поток от газов к паро-водяной смеси, Мкал/(м2*ч)" dataDxfId="155"/>
    <tableColumn id="8" name="Удельная поверхность нагрева на 1 т выработки пара, (м2*ч)/т" dataDxfId="156"/>
    <tableColumn id="13" name="Средняя скорость потоков газов по зонам, м/с" dataDxfId="157"/>
    <tableColumn id="9" name="Средняя скорость потоков газов по зонам, м/с2" dataDxfId="158"/>
    <tableColumn id="14" name="Потери тепла в окружающую среду" dataDxfId="159"/>
    <tableColumn id="10" name="Потери тепла в окружающую среду2" dataDxfId="160"/>
    <tableColumn id="12" name="Проверка теплового баланса" dataDxfId="161"/>
    <tableColumn id="11" name="Проверка теплового баланса2" dataDxfId="162"/>
  </tableColumns>
  <tableStyleInfo name="Стиль УТ" showFirstColumn="0" showLastColumn="0" showRowStripes="0" showColumnStripes="0"/>
</table>
</file>

<file path=xl/tables/table13.xml><?xml version="1.0" encoding="utf-8"?>
<table xmlns="http://schemas.openxmlformats.org/spreadsheetml/2006/main" id="30" name="Пр1_Физические_характеристики_дымовых_газов_среднего_состава" displayName="Пр1_Физические_характеристики_дымовых_газов_среднего_состава" ref="A1:D25" totalsRowShown="0">
  <tableColumns count="4">
    <tableColumn id="1" name="Температура, °С" dataDxfId="163"/>
    <tableColumn id="2" name="Кинематическая вязкость,&#10;ν*10-6, м2/сек" dataDxfId="164"/>
    <tableColumn id="3" name="Температуропроводность,&#10;λ*10-2, ккал/(м*ч*оС)" dataDxfId="165"/>
    <tableColumn id="4" name="Критерий Прандтля Pr" dataDxfId="166"/>
  </tableColumns>
  <tableStyleInfo name="TableStyleLight15" showFirstColumn="0" showLastColumn="0" showRowStripes="0" showColumnStripes="0"/>
</table>
</file>

<file path=xl/tables/table14.xml><?xml version="1.0" encoding="utf-8"?>
<table xmlns="http://schemas.openxmlformats.org/spreadsheetml/2006/main" id="29" name="Пр2_Физические_характеристики_воздуха" displayName="Пр2_Физические_характеристики_воздуха" ref="A1:D30" totalsRowShown="0">
  <tableColumns count="4">
    <tableColumn id="1" name="Температура, °С" dataDxfId="167"/>
    <tableColumn id="2" name="Кинематическая вязкость,&#10;ν*10-6, м2/сек" dataDxfId="168"/>
    <tableColumn id="3" name="Температуропроводность,&#10;λ*10-2, ккал/(м*ч*оС)" dataDxfId="169"/>
    <tableColumn id="4" name="Критерий Прандтля Pr" dataDxfId="170"/>
  </tableColumns>
  <tableStyleInfo name="TableStyleLight15" showFirstColumn="0" showLastColumn="0" showRowStripes="0" showColumnStripes="0"/>
</table>
</file>

<file path=xl/tables/table15.xml><?xml version="1.0" encoding="utf-8"?>
<table xmlns="http://schemas.openxmlformats.org/spreadsheetml/2006/main" id="2" name="Пр3_Термодинамические_свойства_воды_и_пара_на_линии_насыщения" displayName="Пр3_Термодинамические_свойства_воды_и_пара_на_линии_насыщения" ref="A1:K398" totalsRowShown="0">
  <tableColumns count="11">
    <tableColumn id="1" name="Температура t, оС" dataDxfId="171"/>
    <tableColumn id="2" name="Давление P, бар" dataDxfId="172"/>
    <tableColumn id="3" name="Термодинамическая Т, К" dataDxfId="173"/>
    <tableColumn id="4" name="Уд. объём кипящей воды v', м3/кг" dataDxfId="174"/>
    <tableColumn id="5" name="Уд. объём насыщенного пара v&quot;, м3/кг" dataDxfId="175"/>
    <tableColumn id="6" name="Уд. энтальпия кипящей воды h', кДж/кг" dataDxfId="176"/>
    <tableColumn id="7" name="Уд. энтальпия насыщенного пара h&quot;, кДж/кг" dataDxfId="177"/>
    <tableColumn id="8" name="Удельная теплота испарения r, кДж/кг" dataDxfId="178"/>
    <tableColumn id="9" name="Уд. энтропия кипящей воды s', кДж/(кг*К)" dataDxfId="179"/>
    <tableColumn id="10" name="Уд. энтропия насыщенного пара s&quot;, кДж/(кг*К)" dataDxfId="180"/>
    <tableColumn id="11" name="Приращение энтропии s&quot;-s', кДж/(кг*К)" dataDxfId="181"/>
  </tableColumns>
  <tableStyleInfo name="Стиль УТ" showFirstColumn="0" showLastColumn="0" showRowStripes="1" showColumnStripes="0"/>
</table>
</file>

<file path=xl/tables/table16.xml><?xml version="1.0" encoding="utf-8"?>
<table xmlns="http://schemas.openxmlformats.org/spreadsheetml/2006/main" id="28" name="Пр4_Физические_свойства_водяного_пара" displayName="Пр4_Физические_свойства_водяного_пара" ref="A1:E43" totalsRowShown="0">
  <tableColumns count="5">
    <tableColumn id="1" name="Температура, оС" dataDxfId="182"/>
    <tableColumn id="2" name="Теплоёмкость Ср, кДж/(кг*К)" dataDxfId="183"/>
    <tableColumn id="3" name="Теплопроводность λ,&#10;мВт/(м*К)" dataDxfId="184"/>
    <tableColumn id="4" name="Динамическая вязкость μ,&#10;мкПа*с" dataDxfId="185"/>
    <tableColumn id="5" name="Критерий Прандтля Pr" dataDxfId="186"/>
  </tableColumns>
  <tableStyleInfo showFirstColumn="0" showLastColumn="0" showRowStripes="0" showColumnStripes="0"/>
</table>
</file>

<file path=xl/tables/table17.xml><?xml version="1.0" encoding="utf-8"?>
<table xmlns="http://schemas.openxmlformats.org/spreadsheetml/2006/main" id="26" name="Пр5_Физические_свойства_воды" displayName="Пр5_Физические_свойства_воды" ref="A1:I43" totalsRowShown="0">
  <tableColumns count="9">
    <tableColumn id="1" name="Температура, оС" dataDxfId="187"/>
    <tableColumn id="2" name="Теплоёмкость Ср, кДж/(кг*К)" dataDxfId="188"/>
    <tableColumn id="3" name="Теплопроводность λ,&#10;мВт/(м*К)" dataDxfId="189"/>
    <tableColumn id="7" name="Температурапроводность, мкм2/с" dataDxfId="190"/>
    <tableColumn id="4" name="Динамическая вязкость μ,&#10;мкПа*с" dataDxfId="191"/>
    <tableColumn id="5" name="критерий Прандтля Pr" dataDxfId="192"/>
    <tableColumn id="6" name="Поверхностное натяжение σ, мН/м" dataDxfId="193"/>
    <tableColumn id="8" name="Кинематическая вязкость, мкм2/с" dataDxfId="194">
      <calculatedColumnFormula>Пр5_Физические_свойства_воды[[#This Row],[Динамическая вязкость μ,
мкПа*с]]*Пр5_Физические_свойства_воды[[#This Row],[Удельный объём,
м3/кг]]</calculatedColumnFormula>
    </tableColumn>
    <tableColumn id="9" name="Удельный объём,&#10;м3/кг" dataDxfId="195"/>
  </tableColumns>
  <tableStyleInfo showFirstColumn="0" showLastColumn="0" showRowStripes="0" showColumnStripes="0"/>
</table>
</file>

<file path=xl/tables/table18.xml><?xml version="1.0" encoding="utf-8"?>
<table xmlns="http://schemas.openxmlformats.org/spreadsheetml/2006/main" id="10" name="Пр6_Теплоёмкость_различных_газов" displayName="Пр6_Теплоёмкость_различных_газов" ref="A1:L123" totalsRowShown="0">
  <tableColumns count="12">
    <tableColumn id="1" name="Температура, 0С" dataDxfId="196"/>
    <tableColumn id="2" name="СО2,&#10;кДж/(м3*оС)" dataDxfId="197"/>
    <tableColumn id="3" name="H2O,&#10;кДж/(м3*оС)" dataDxfId="198"/>
    <tableColumn id="4" name="Воздух,&#10;кДж/(м3*оС)" dataDxfId="199"/>
    <tableColumn id="5" name="N2,&#10;кДж/(м3*оС)" dataDxfId="200"/>
    <tableColumn id="6" name="О2,&#10;кДж/(м3*оС)" dataDxfId="201"/>
    <tableColumn id="7" name="Н2,&#10;кДж/(м3*оС)" dataDxfId="202"/>
    <tableColumn id="8" name="СО,&#10;кДж/(м3*оС)" dataDxfId="203"/>
    <tableColumn id="9" name="SO2,&#10;кДж/(м3*оС)" dataDxfId="204"/>
    <tableColumn id="10" name="CH4,&#10;кДж/(м3*оС)" dataDxfId="205"/>
    <tableColumn id="11" name="C2H6,&#10;кДж/(м3*оС)" dataDxfId="206"/>
    <tableColumn id="12" name="Прод.сгор.,&#10;кДж/(м3*оС)" dataDxfId="207"/>
  </tableColumns>
  <tableStyleInfo name="Стиль УТ" showFirstColumn="0" showLastColumn="0" showRowStripes="0" showColumnStripes="0"/>
</table>
</file>

<file path=xl/tables/table19.xml><?xml version="1.0" encoding="utf-8"?>
<table xmlns="http://schemas.openxmlformats.org/spreadsheetml/2006/main" id="17" name="Пр7_Характеристики_сбросных_газов_различных_технопроцессов" displayName="Пр7_Характеристики_сбросных_газов_различных_технопроцессов" ref="A1:AL14" totalsRowShown="0">
  <tableColumns count="38">
    <tableColumn id="1" name="Агрегаты или процесс" dataDxfId="208"/>
    <tableColumn id="17" name="Расход газов, мин, м3/ч" dataDxfId="209"/>
    <tableColumn id="24" name="Расход газов, макс, м3/ч" dataDxfId="210"/>
    <tableColumn id="23" name="CO2 мин" dataDxfId="211"/>
    <tableColumn id="27" name="CO2 макс" dataDxfId="212"/>
    <tableColumn id="22" name="CO мин" dataDxfId="213"/>
    <tableColumn id="28" name="CO макс" dataDxfId="214"/>
    <tableColumn id="21" name="SO2 мин" dataDxfId="215"/>
    <tableColumn id="29" name="SO2 макс" dataDxfId="216"/>
    <tableColumn id="20" name="SO3 мин" dataDxfId="217"/>
    <tableColumn id="30" name="SO3 макс" dataDxfId="218"/>
    <tableColumn id="35" name="H2 мин" dataDxfId="219"/>
    <tableColumn id="34" name="H2 макс" dataDxfId="220"/>
    <tableColumn id="19" name="H2O мин" dataDxfId="221"/>
    <tableColumn id="31" name="H2O макс" dataDxfId="222"/>
    <tableColumn id="18" name="O2 мин" dataDxfId="223"/>
    <tableColumn id="32" name="O2 макс" dataDxfId="224"/>
    <tableColumn id="16" name="N2 мин" dataDxfId="225"/>
    <tableColumn id="33" name="N2 макс" dataDxfId="226"/>
    <tableColumn id="26" name="Температура газов,&#10;мин, оС" dataDxfId="227"/>
    <tableColumn id="25" name="Температура газов,&#10;макс, оС" dataDxfId="228"/>
    <tableColumn id="36" name="Запыленность, мин,&#10;μун., г/м3" dataDxfId="229"/>
    <tableColumn id="2" name="Запыленность, макс,&#10;μун., г/м3" dataDxfId="230"/>
    <tableColumn id="3" name="Фракционный состав, мин, dун., мкм" dataDxfId="231"/>
    <tableColumn id="37" name="Фракционный состав, макс, dун., мкм" dataDxfId="232"/>
    <tableColumn id="4" name="Фракционный состав мин, %" dataDxfId="233"/>
    <tableColumn id="38" name="Фракционный состав макс, %" dataDxfId="234"/>
    <tableColumn id="5" name="Агрегатное состояние" dataDxfId="235"/>
    <tableColumn id="6" name="Коэффициент загрязнения ε, м2*К/Вт" dataDxfId="236"/>
    <tableColumn id="7" name="Теплоёмкость технологического уноса" dataDxfId="237"/>
    <tableColumn id="8" name="600" dataDxfId="238"/>
    <tableColumn id="9" name="800" dataDxfId="239"/>
    <tableColumn id="10" name="1000" dataDxfId="240"/>
    <tableColumn id="11" name="1200" dataDxfId="241"/>
    <tableColumn id="12" name="1400" dataDxfId="242"/>
    <tableColumn id="13" name="1600" dataDxfId="243"/>
    <tableColumn id="14" name="1800" dataDxfId="244"/>
    <tableColumn id="15" name="2000" dataDxfId="245"/>
  </tableColumns>
  <tableStyleInfo name="Стиль УТ" showFirstColumn="0" showLastColumn="0" showRowStripes="1" showColumnStripes="0"/>
</table>
</file>

<file path=xl/tables/table20.xml><?xml version="1.0" encoding="utf-8"?>
<table xmlns="http://schemas.openxmlformats.org/spreadsheetml/2006/main" id="16" name="Пр8_Расположение_зоны" displayName="Пр8_Расположение_зоны" ref="A1:A4" totalsRowShown="0">
  <autoFilter xmlns:etc="http://www.wps.cn/officeDocument/2017/etCustomData" ref="A1:A4" etc:filterBottomFollowUsedRange="0"/>
  <tableColumns count="1">
    <tableColumn id="1" name="Расположение зоны" dataDxfId="246"/>
  </tableColumns>
  <tableStyleInfo name="Стиль УТ" showFirstColumn="0" showLastColumn="0" showRowStripes="1" showColumnStripes="0"/>
</table>
</file>

<file path=xl/tables/table21.xml><?xml version="1.0" encoding="utf-8"?>
<table xmlns="http://schemas.openxmlformats.org/spreadsheetml/2006/main" id="11" name="Пр9_Толщина_пылевых_отложений" displayName="Пр9_Толщина_пылевых_отложений" ref="A1:A9" totalsRowShown="0">
  <autoFilter xmlns:etc="http://www.wps.cn/officeDocument/2017/etCustomData" ref="A1:A9" etc:filterBottomFollowUsedRange="0"/>
  <tableColumns count="1">
    <tableColumn id="1" name="Толщина пылевых отложений,_мм" dataDxfId="247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9" name="Пр10_Коэффициент_загрязнения" displayName="Пр10_Коэффициент_загрязнения" ref="A1:A9" totalsRowShown="0">
  <autoFilter xmlns:etc="http://www.wps.cn/officeDocument/2017/etCustomData" ref="A1:A9" etc:filterBottomFollowUsedRange="0"/>
  <tableColumns count="1">
    <tableColumn id="1" name="Коэффициент загрязнения" dataDxfId="248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8" name="Пр11_Температура_наружных_поверхностей" displayName="Пр11_Температура_наружных_поверхностей" ref="A1:A10" totalsRowShown="0">
  <autoFilter xmlns:etc="http://www.wps.cn/officeDocument/2017/etCustomData" ref="A1:A10" etc:filterBottomFollowUsedRange="0"/>
  <tableColumns count="1">
    <tableColumn id="1" name="Температура ограждений,_оС" dataDxfId="249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1" name="Пр12_Зоны_охлаждения" displayName="Пр12_Зоны_охлаждения" ref="A1:A11" totalsRowShown="0">
  <autoFilter xmlns:etc="http://www.wps.cn/officeDocument/2017/etCustomData" ref="A1:A11" etc:filterBottomFollowUsedRange="0"/>
  <tableColumns count="1">
    <tableColumn id="1" name="Зоны охлаждения" dataDxfId="250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6" name="Пр13_Свойства_газов" displayName="Пр13_Свойства_газов" ref="A1:O10" totalsRowShown="0">
  <autoFilter xmlns:etc="http://www.wps.cn/officeDocument/2017/etCustomData" ref="A1:O10" etc:filterBottomFollowUsedRange="0"/>
  <tableColumns count="15">
    <tableColumn id="1" name="Столбец1" dataDxfId="251"/>
    <tableColumn id="4" name="Молярная масса" dataDxfId="252"/>
    <tableColumn id="21" name="Удельный объём" dataDxfId="253">
      <calculatedColumnFormula>22.4/Пр13_Свойства_газов[[#This Row],[Молярная масса]]</calculatedColumnFormula>
    </tableColumn>
    <tableColumn id="7" name="Показатель адиабаты при 0 оС" dataDxfId="254"/>
    <tableColumn id="8" name="Показатель адиабаты при 1200 оС" dataDxfId="255"/>
    <tableColumn id="9" name="Динамическая вязкость &#10;при 0 оС" dataDxfId="256"/>
    <tableColumn id="20" name="Динамическая вязкость &#10;при 400 оС" dataDxfId="257"/>
    <tableColumn id="19" name="Динамическая вязкость &#10;при 600 оС" dataDxfId="258"/>
    <tableColumn id="10" name="Динамическая вязкость &#10;при 1000 оС" dataDxfId="259"/>
    <tableColumn id="11" name="Теплопроводность, при 0 оС" dataDxfId="260"/>
    <tableColumn id="12" name="Теплопроводность, при 127 оС" dataDxfId="261"/>
    <tableColumn id="13" name="Теплопроводность, при 327 оС" dataDxfId="262"/>
    <tableColumn id="14" name="Теплопроводность, при 527 оС" dataDxfId="263"/>
    <tableColumn id="16" name="Теплопроводность, при 927 оС" dataDxfId="264"/>
    <tableColumn id="17" name="Теплопроводность, при 1127 оС" dataDxfId="26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Relationship Id="rId3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5.xm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3"/>
  <dimension ref="A1:BS1048576"/>
  <sheetViews>
    <sheetView showGridLines="0" zoomScale="85" zoomScaleNormal="85" topLeftCell="A4" workbookViewId="0">
      <selection activeCell="C25" sqref="C25"/>
    </sheetView>
  </sheetViews>
  <sheetFormatPr defaultColWidth="35.4444444444444" defaultRowHeight="18" zeroHeight="1"/>
  <cols>
    <col min="1" max="1" width="81.5555555555556" style="257" customWidth="1"/>
    <col min="2" max="2" width="23.4444444444444" style="258" customWidth="1"/>
    <col min="3" max="4" width="23.4444444444444" style="177" customWidth="1"/>
    <col min="5" max="9" width="23.4444444444444" style="236" customWidth="1"/>
    <col min="10" max="11" width="23.8888888888889" style="236" customWidth="1"/>
    <col min="12" max="12" width="24.5555555555556" style="236" customWidth="1"/>
    <col min="13" max="13" width="27.1111111111111" style="236" customWidth="1"/>
    <col min="14" max="14" width="25.1111111111111" style="236" customWidth="1"/>
    <col min="15" max="21" width="24.4444444444444" style="236" customWidth="1"/>
    <col min="22" max="39" width="25.1111111111111" style="236" customWidth="1"/>
    <col min="40" max="16384" width="35.4444444444444" style="236"/>
  </cols>
  <sheetData>
    <row r="1" s="116" customFormat="1" ht="18.75" spans="1:3">
      <c r="A1" s="259" t="s">
        <v>0</v>
      </c>
      <c r="B1" s="260" t="s">
        <v>1</v>
      </c>
      <c r="C1" s="261" t="s">
        <v>2</v>
      </c>
    </row>
    <row r="2" s="116" customFormat="1" ht="19.5" spans="1:3">
      <c r="A2" s="259" t="s">
        <v>3</v>
      </c>
      <c r="B2" s="260"/>
      <c r="C2" s="240" t="s">
        <v>4</v>
      </c>
    </row>
    <row r="3" s="116" customFormat="1" ht="19.5" spans="1:3">
      <c r="A3" s="259" t="s">
        <v>5</v>
      </c>
      <c r="B3" s="262"/>
      <c r="C3" s="240"/>
    </row>
    <row r="4" s="116" customFormat="1" ht="21.3" spans="1:3">
      <c r="A4" s="263" t="s">
        <v>6</v>
      </c>
      <c r="B4" s="238" t="s">
        <v>7</v>
      </c>
      <c r="C4" s="240">
        <v>34000</v>
      </c>
    </row>
    <row r="5" s="116" customFormat="1" ht="21.3" spans="1:3">
      <c r="A5" s="263" t="s">
        <v>8</v>
      </c>
      <c r="B5" s="238" t="s">
        <v>9</v>
      </c>
      <c r="C5" s="240">
        <v>1250</v>
      </c>
    </row>
    <row r="6" s="116" customFormat="1" ht="21.3" spans="1:3">
      <c r="A6" s="263" t="s">
        <v>10</v>
      </c>
      <c r="B6" s="238" t="s">
        <v>9</v>
      </c>
      <c r="C6" s="240">
        <v>400</v>
      </c>
    </row>
    <row r="7" s="116" customFormat="1" ht="37.5" spans="1:3">
      <c r="A7" s="263" t="s">
        <v>11</v>
      </c>
      <c r="B7" s="238" t="s">
        <v>12</v>
      </c>
      <c r="C7" s="240" t="str">
        <f>IF(C2=Пр7!A14,"Введите данные в следующую ячейку",SUMIF(Пр7!A:A,Таб1!$C$2,Пр7!X:X))</f>
        <v>Введите данные в следующую ячейку</v>
      </c>
    </row>
    <row r="8" s="116" customFormat="1" ht="19.5" spans="1:3">
      <c r="A8" s="263" t="s">
        <v>13</v>
      </c>
      <c r="B8" s="238" t="s">
        <v>12</v>
      </c>
      <c r="C8" s="240">
        <v>30</v>
      </c>
    </row>
    <row r="9" s="116" customFormat="1" ht="21.3" spans="1:3">
      <c r="A9" s="263" t="s">
        <v>14</v>
      </c>
      <c r="B9" s="238" t="s">
        <v>15</v>
      </c>
      <c r="C9" s="264">
        <v>9999.80950323974</v>
      </c>
    </row>
    <row r="10" s="116" customFormat="1" ht="21.3" spans="1:3">
      <c r="A10" s="263" t="s">
        <v>16</v>
      </c>
      <c r="B10" s="238" t="s">
        <v>15</v>
      </c>
      <c r="C10" s="265">
        <v>9500</v>
      </c>
    </row>
    <row r="11" s="116" customFormat="1" ht="21.3" spans="1:3">
      <c r="A11" s="263" t="s">
        <v>17</v>
      </c>
      <c r="B11" s="238" t="s">
        <v>18</v>
      </c>
      <c r="C11" s="266">
        <v>35</v>
      </c>
    </row>
    <row r="12" s="116" customFormat="1" ht="19.5" spans="1:3">
      <c r="A12" s="263" t="s">
        <v>19</v>
      </c>
      <c r="B12" s="238" t="s">
        <v>20</v>
      </c>
      <c r="C12" s="267">
        <v>0.05</v>
      </c>
    </row>
    <row r="13" s="116" customFormat="1" ht="19.5" spans="1:3">
      <c r="A13" s="263" t="s">
        <v>21</v>
      </c>
      <c r="B13" s="238" t="s">
        <v>20</v>
      </c>
      <c r="C13" s="267">
        <v>0.1</v>
      </c>
    </row>
    <row r="14" s="116" customFormat="1" ht="21.3" spans="1:7">
      <c r="A14" s="263" t="s">
        <v>22</v>
      </c>
      <c r="B14" s="246" t="s">
        <v>9</v>
      </c>
      <c r="C14" s="268">
        <v>16.7</v>
      </c>
      <c r="D14" s="269"/>
      <c r="E14" s="269"/>
      <c r="F14" s="269"/>
      <c r="G14" s="269"/>
    </row>
    <row r="15" s="116" customFormat="1" ht="19.5" spans="1:7">
      <c r="A15" s="263" t="s">
        <v>23</v>
      </c>
      <c r="B15" s="246" t="s">
        <v>20</v>
      </c>
      <c r="C15" s="270">
        <v>0.2342</v>
      </c>
      <c r="D15" s="269"/>
      <c r="E15" s="271"/>
      <c r="F15" s="269"/>
      <c r="G15" s="269"/>
    </row>
    <row r="16" s="116" customFormat="1" ht="19.5" spans="1:7">
      <c r="A16" s="263" t="s">
        <v>24</v>
      </c>
      <c r="B16" s="246" t="s">
        <v>20</v>
      </c>
      <c r="C16" s="270">
        <v>0</v>
      </c>
      <c r="D16" s="269"/>
      <c r="E16" s="271"/>
      <c r="F16" s="269"/>
      <c r="G16" s="269"/>
    </row>
    <row r="17" s="116" customFormat="1" ht="19.5" spans="1:7">
      <c r="A17" s="263" t="s">
        <v>25</v>
      </c>
      <c r="B17" s="246" t="s">
        <v>20</v>
      </c>
      <c r="C17" s="270">
        <v>0.3476</v>
      </c>
      <c r="D17" s="269"/>
      <c r="E17" s="271"/>
      <c r="F17" s="269"/>
      <c r="G17" s="269"/>
    </row>
    <row r="18" s="116" customFormat="1" ht="19.5" spans="1:7">
      <c r="A18" s="263" t="s">
        <v>26</v>
      </c>
      <c r="B18" s="246" t="s">
        <v>20</v>
      </c>
      <c r="C18" s="272">
        <v>0.05</v>
      </c>
      <c r="D18" s="269"/>
      <c r="E18" s="271"/>
      <c r="F18" s="269"/>
      <c r="G18" s="269"/>
    </row>
    <row r="19" s="116" customFormat="1" ht="19.5" spans="1:7">
      <c r="A19" s="263" t="s">
        <v>27</v>
      </c>
      <c r="B19" s="246" t="s">
        <v>20</v>
      </c>
      <c r="C19" s="272">
        <v>0.2546</v>
      </c>
      <c r="D19" s="269"/>
      <c r="E19" s="271"/>
      <c r="F19" s="269"/>
      <c r="G19" s="269"/>
    </row>
    <row r="20" s="116" customFormat="1" ht="19.5" spans="1:7">
      <c r="A20" s="263" t="s">
        <v>28</v>
      </c>
      <c r="B20" s="246" t="s">
        <v>20</v>
      </c>
      <c r="C20" s="270">
        <v>0.1136</v>
      </c>
      <c r="D20" s="269"/>
      <c r="E20" s="271"/>
      <c r="F20" s="269"/>
      <c r="G20" s="269"/>
    </row>
    <row r="21" s="116" customFormat="1" ht="19.5" spans="1:7">
      <c r="A21" s="263" t="s">
        <v>29</v>
      </c>
      <c r="B21" s="246" t="s">
        <v>20</v>
      </c>
      <c r="C21" s="270">
        <v>0</v>
      </c>
      <c r="D21" s="269"/>
      <c r="E21" s="271"/>
      <c r="F21" s="269"/>
      <c r="G21" s="269"/>
    </row>
    <row r="22" s="116" customFormat="1" ht="19.5" spans="1:3">
      <c r="A22" s="263" t="s">
        <v>30</v>
      </c>
      <c r="B22" s="246" t="s">
        <v>20</v>
      </c>
      <c r="C22" s="270">
        <v>0</v>
      </c>
    </row>
    <row r="23" s="116" customFormat="1" ht="19.5" spans="1:3">
      <c r="A23" s="263" t="s">
        <v>31</v>
      </c>
      <c r="B23" s="246" t="s">
        <v>32</v>
      </c>
      <c r="C23" s="265">
        <v>40</v>
      </c>
    </row>
    <row r="24" s="116" customFormat="1" ht="19.5" spans="1:3">
      <c r="A24" s="263" t="s">
        <v>33</v>
      </c>
      <c r="B24" s="246" t="s">
        <v>34</v>
      </c>
      <c r="C24" s="265">
        <v>105</v>
      </c>
    </row>
    <row r="25" s="116" customFormat="1" ht="19.5" spans="1:3">
      <c r="A25" s="263" t="s">
        <v>35</v>
      </c>
      <c r="B25" s="246" t="s">
        <v>36</v>
      </c>
      <c r="C25" s="265">
        <v>1.5</v>
      </c>
    </row>
    <row r="26" s="116" customFormat="1" ht="19.5" spans="1:3">
      <c r="A26" s="263" t="s">
        <v>37</v>
      </c>
      <c r="B26" s="246" t="s">
        <v>20</v>
      </c>
      <c r="C26" s="272">
        <v>0.1</v>
      </c>
    </row>
    <row r="27" s="116" customFormat="1" ht="19.5" spans="1:3">
      <c r="A27" s="263" t="s">
        <v>38</v>
      </c>
      <c r="B27" s="246" t="s">
        <v>20</v>
      </c>
      <c r="C27" s="273">
        <v>0.025</v>
      </c>
    </row>
    <row r="28" s="116" customFormat="1" ht="18.75" spans="1:1">
      <c r="A28" s="274"/>
    </row>
    <row r="29" s="256" customFormat="1" spans="1:3">
      <c r="A29" s="274"/>
      <c r="B29" s="116"/>
      <c r="C29" s="116"/>
    </row>
    <row r="30" s="116" customFormat="1" spans="1:3">
      <c r="A30" s="256"/>
      <c r="B30" s="256"/>
      <c r="C30" s="256"/>
    </row>
    <row r="31" s="116" customFormat="1"/>
    <row r="32" s="116" customFormat="1"/>
    <row r="33" s="116" customFormat="1"/>
    <row r="34" s="116" customFormat="1"/>
    <row r="35" spans="1:3">
      <c r="A35" s="116"/>
      <c r="B35" s="116"/>
      <c r="C35" s="116"/>
    </row>
    <row r="36"/>
    <row r="37"/>
    <row r="38"/>
    <row r="39"/>
    <row r="40"/>
    <row r="41"/>
    <row r="42" s="116" customFormat="1" spans="1:3">
      <c r="A42" s="257"/>
      <c r="B42" s="258"/>
      <c r="C42" s="177"/>
    </row>
    <row r="43" s="116" customFormat="1"/>
    <row r="44" s="116" customFormat="1"/>
    <row r="45" spans="1:3">
      <c r="A45" s="116"/>
      <c r="B45" s="116"/>
      <c r="C45" s="116"/>
    </row>
    <row r="46"/>
    <row r="47"/>
    <row r="48"/>
    <row r="49"/>
    <row r="50"/>
    <row r="51"/>
    <row r="52"/>
    <row r="53"/>
    <row r="54"/>
    <row r="55" spans="4:4">
      <c r="D55" s="236"/>
    </row>
    <row r="56" spans="1:4">
      <c r="A56" s="236"/>
      <c r="B56" s="236"/>
      <c r="C56" s="236"/>
      <c r="D56" s="236"/>
    </row>
    <row r="57" s="237" customFormat="1" spans="1:3">
      <c r="A57" s="236"/>
      <c r="B57" s="236"/>
      <c r="C57" s="236"/>
    </row>
    <row r="58" s="237" customFormat="1" spans="2:2">
      <c r="B58" s="165"/>
    </row>
    <row r="59" s="237" customFormat="1"/>
    <row r="60" s="237" customFormat="1" spans="4:18"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</row>
    <row r="61" spans="1:4">
      <c r="A61" s="275"/>
      <c r="B61" s="237"/>
      <c r="C61" s="236"/>
      <c r="D61" s="236"/>
    </row>
    <row r="62" spans="1:4">
      <c r="A62" s="164"/>
      <c r="B62" s="164"/>
      <c r="C62" s="276"/>
      <c r="D62" s="236"/>
    </row>
    <row r="63" spans="1:4">
      <c r="A63" s="236"/>
      <c r="B63" s="236"/>
      <c r="C63" s="276"/>
      <c r="D63" s="236"/>
    </row>
    <row r="64" spans="1:4">
      <c r="A64" s="236"/>
      <c r="B64" s="236"/>
      <c r="C64" s="276"/>
      <c r="D64" s="236"/>
    </row>
    <row r="65" spans="1:4">
      <c r="A65" s="277"/>
      <c r="B65" s="277"/>
      <c r="C65" s="276"/>
      <c r="D65" s="236"/>
    </row>
    <row r="66" spans="1:4">
      <c r="A66" s="277"/>
      <c r="B66" s="277"/>
      <c r="C66" s="276"/>
      <c r="D66" s="236"/>
    </row>
    <row r="67" spans="1:4">
      <c r="A67" s="277"/>
      <c r="B67" s="277"/>
      <c r="C67" s="276"/>
      <c r="D67" s="236"/>
    </row>
    <row r="68" spans="1:4">
      <c r="A68" s="277"/>
      <c r="B68" s="277"/>
      <c r="C68" s="276"/>
      <c r="D68" s="236"/>
    </row>
    <row r="69" spans="1:18">
      <c r="A69" s="236"/>
      <c r="B69" s="276"/>
      <c r="C69" s="236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</row>
    <row r="70" s="220" customFormat="1" spans="1:5">
      <c r="A70" s="177"/>
      <c r="B70" s="236"/>
      <c r="D70" s="278"/>
      <c r="E70" s="278"/>
    </row>
    <row r="71" s="220" customFormat="1" spans="1:5">
      <c r="A71" s="188"/>
      <c r="B71" s="221"/>
      <c r="C71" s="278"/>
      <c r="D71" s="278"/>
      <c r="E71" s="278"/>
    </row>
    <row r="72" s="220" customFormat="1" spans="1:18">
      <c r="A72" s="188"/>
      <c r="B72" s="221"/>
      <c r="C72" s="278"/>
      <c r="D72" s="177"/>
      <c r="E72" s="236"/>
      <c r="F72" s="236"/>
      <c r="G72" s="236"/>
      <c r="H72" s="236"/>
      <c r="I72" s="236"/>
      <c r="J72" s="236"/>
      <c r="K72" s="236"/>
      <c r="L72" s="236"/>
      <c r="M72" s="236"/>
      <c r="N72" s="236"/>
      <c r="O72" s="236"/>
      <c r="P72" s="236"/>
      <c r="Q72" s="236"/>
      <c r="R72" s="236"/>
    </row>
    <row r="73" spans="1:18">
      <c r="A73" s="188"/>
      <c r="B73" s="221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</row>
    <row r="74" s="220" customFormat="1" spans="1:28">
      <c r="A74" s="176"/>
      <c r="B74" s="177"/>
      <c r="K74" s="191"/>
      <c r="L74" s="223"/>
      <c r="M74" s="236"/>
      <c r="N74" s="236"/>
      <c r="O74" s="236"/>
      <c r="P74" s="236"/>
      <c r="Q74" s="236"/>
      <c r="R74" s="236"/>
      <c r="S74" s="236"/>
      <c r="T74" s="236"/>
      <c r="U74" s="236"/>
      <c r="V74" s="236"/>
      <c r="W74" s="236"/>
      <c r="X74" s="236"/>
      <c r="Y74" s="236"/>
      <c r="Z74" s="236"/>
      <c r="AA74" s="236"/>
      <c r="AB74" s="236"/>
    </row>
    <row r="75" spans="1:13">
      <c r="A75" s="220"/>
      <c r="B75" s="220"/>
      <c r="C75" s="220"/>
      <c r="K75" s="222"/>
      <c r="L75" s="177"/>
      <c r="M75" s="177"/>
    </row>
    <row r="76" spans="11:13">
      <c r="K76" s="222"/>
      <c r="L76" s="223"/>
      <c r="M76" s="177"/>
    </row>
    <row r="77" spans="11:12">
      <c r="K77" s="176"/>
      <c r="L77" s="177"/>
    </row>
    <row r="78" spans="11:11">
      <c r="K78" s="207"/>
    </row>
    <row r="79" spans="11:11">
      <c r="K79" s="207"/>
    </row>
    <row r="80" spans="11:11">
      <c r="K80" s="207"/>
    </row>
    <row r="81" spans="11:11">
      <c r="K81" s="203"/>
    </row>
    <row r="82" spans="11:11">
      <c r="K82" s="207"/>
    </row>
    <row r="83" spans="11:15">
      <c r="K83" s="191"/>
      <c r="L83" s="222"/>
      <c r="M83" s="175"/>
      <c r="N83" s="175"/>
      <c r="O83" s="175"/>
    </row>
    <row r="84" spans="11:15">
      <c r="K84" s="191"/>
      <c r="L84" s="222"/>
      <c r="M84" s="175"/>
      <c r="N84" s="175"/>
      <c r="O84" s="175"/>
    </row>
    <row r="85" spans="11:15">
      <c r="K85" s="191"/>
      <c r="L85" s="222"/>
      <c r="M85" s="175"/>
      <c r="N85" s="175"/>
      <c r="O85" s="175"/>
    </row>
    <row r="86" spans="11:12">
      <c r="K86" s="203"/>
      <c r="L86" s="177"/>
    </row>
    <row r="87" spans="11:12">
      <c r="K87" s="203"/>
      <c r="L87" s="177"/>
    </row>
    <row r="88" spans="11:12">
      <c r="K88" s="203"/>
      <c r="L88" s="175"/>
    </row>
    <row r="89" spans="66:67">
      <c r="BN89" s="177"/>
      <c r="BO89" s="177"/>
    </row>
    <row r="90" spans="66:67">
      <c r="BN90" s="177"/>
      <c r="BO90" s="177"/>
    </row>
    <row r="91" spans="66:71">
      <c r="BN91" s="177"/>
      <c r="BO91" s="177"/>
      <c r="BP91" s="177"/>
      <c r="BQ91" s="177"/>
      <c r="BR91" s="177"/>
      <c r="BS91" s="177"/>
    </row>
    <row r="92" spans="66:71">
      <c r="BN92" s="177"/>
      <c r="BO92" s="177"/>
      <c r="BP92" s="177"/>
      <c r="BQ92" s="177"/>
      <c r="BR92" s="177"/>
      <c r="BS92" s="177"/>
    </row>
    <row r="93" spans="66:71">
      <c r="BN93" s="177"/>
      <c r="BO93" s="177"/>
      <c r="BP93" s="177"/>
      <c r="BQ93" s="177"/>
      <c r="BR93" s="177"/>
      <c r="BS93" s="177"/>
    </row>
    <row r="94" spans="66:71">
      <c r="BN94" s="177"/>
      <c r="BO94" s="177"/>
      <c r="BP94" s="177"/>
      <c r="BQ94" s="177"/>
      <c r="BR94" s="177"/>
      <c r="BS94" s="177"/>
    </row>
    <row r="95" spans="66:71">
      <c r="BN95" s="177"/>
      <c r="BO95" s="177"/>
      <c r="BP95" s="177"/>
      <c r="BQ95" s="177"/>
      <c r="BR95" s="177"/>
      <c r="BS95" s="177"/>
    </row>
    <row r="96" spans="66:71">
      <c r="BN96" s="177"/>
      <c r="BO96" s="177"/>
      <c r="BP96" s="177"/>
      <c r="BQ96" s="177"/>
      <c r="BR96" s="177"/>
      <c r="BS96" s="177"/>
    </row>
    <row r="97" spans="62:71">
      <c r="BJ97" s="177"/>
      <c r="BK97" s="177"/>
      <c r="BL97" s="177"/>
      <c r="BM97" s="177"/>
      <c r="BN97" s="177"/>
      <c r="BO97" s="177"/>
      <c r="BP97" s="177"/>
      <c r="BQ97" s="177"/>
      <c r="BR97" s="177"/>
      <c r="BS97" s="177"/>
    </row>
    <row r="98" spans="62:71">
      <c r="BJ98" s="177"/>
      <c r="BK98" s="177"/>
      <c r="BL98" s="177"/>
      <c r="BM98" s="177"/>
      <c r="BN98" s="177"/>
      <c r="BO98" s="177"/>
      <c r="BP98" s="177"/>
      <c r="BQ98" s="177"/>
      <c r="BR98" s="177"/>
      <c r="BS98" s="177"/>
    </row>
    <row r="99" spans="62:71">
      <c r="BJ99" s="177"/>
      <c r="BK99" s="177"/>
      <c r="BL99" s="177"/>
      <c r="BM99" s="177"/>
      <c r="BN99" s="177"/>
      <c r="BO99" s="177"/>
      <c r="BP99" s="177"/>
      <c r="BQ99" s="177"/>
      <c r="BR99" s="177"/>
      <c r="BS99" s="177"/>
    </row>
    <row r="100" spans="62:71">
      <c r="BJ100" s="177"/>
      <c r="BK100" s="177"/>
      <c r="BL100" s="177"/>
      <c r="BM100" s="177"/>
      <c r="BN100" s="177"/>
      <c r="BO100" s="177"/>
      <c r="BP100" s="177"/>
      <c r="BQ100" s="177"/>
      <c r="BR100" s="177"/>
      <c r="BS100" s="177"/>
    </row>
    <row r="101" spans="62:71">
      <c r="BJ101" s="177"/>
      <c r="BK101" s="177"/>
      <c r="BL101" s="177"/>
      <c r="BM101" s="177"/>
      <c r="BN101" s="177"/>
      <c r="BO101" s="177"/>
      <c r="BP101" s="177"/>
      <c r="BQ101" s="177"/>
      <c r="BR101" s="177"/>
      <c r="BS101" s="177"/>
    </row>
    <row r="102" spans="66:67">
      <c r="BN102" s="177"/>
      <c r="BO102" s="177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 spans="14:15">
      <c r="N189" s="177"/>
      <c r="O189" s="177"/>
    </row>
    <row r="190" spans="14:15">
      <c r="N190" s="177"/>
      <c r="O190" s="177"/>
    </row>
    <row r="191" spans="14:15">
      <c r="N191" s="177"/>
      <c r="O191" s="177"/>
    </row>
    <row r="192" spans="14:15">
      <c r="N192" s="177"/>
      <c r="O192" s="177"/>
    </row>
    <row r="193"/>
    <row r="194"/>
    <row r="195"/>
    <row r="196"/>
    <row r="197" spans="14:14">
      <c r="N197" s="279"/>
    </row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 spans="1:2">
      <c r="A214" s="279"/>
      <c r="B214" s="177"/>
    </row>
    <row r="215" spans="1:2">
      <c r="A215" s="279"/>
      <c r="B215" s="177"/>
    </row>
    <row r="216" spans="2:2">
      <c r="B216" s="177"/>
    </row>
    <row r="217" spans="2:2">
      <c r="B217" s="177"/>
    </row>
    <row r="218" spans="2:2">
      <c r="B218" s="177"/>
    </row>
    <row r="219" spans="2:2">
      <c r="B219" s="177"/>
    </row>
    <row r="220" spans="2:2">
      <c r="B220" s="177"/>
    </row>
    <row r="221" spans="2:2">
      <c r="B221" s="177"/>
    </row>
    <row r="222" spans="2:2">
      <c r="B222" s="177"/>
    </row>
    <row r="223" spans="2:2">
      <c r="B223" s="177"/>
    </row>
    <row r="224" spans="2:2">
      <c r="B224" s="177"/>
    </row>
    <row r="225" spans="2:2">
      <c r="B225" s="177"/>
    </row>
    <row r="226" spans="2:2">
      <c r="B226" s="177"/>
    </row>
    <row r="227" spans="2:2">
      <c r="B227" s="177"/>
    </row>
    <row r="228" spans="2:2">
      <c r="B228" s="177"/>
    </row>
    <row r="229" spans="2:2">
      <c r="B229" s="177"/>
    </row>
    <row r="230" spans="2:2">
      <c r="B230" s="177"/>
    </row>
    <row r="231" spans="2:2">
      <c r="B231" s="177"/>
    </row>
    <row r="232" spans="2:2">
      <c r="B232" s="177"/>
    </row>
    <row r="233" spans="2:2">
      <c r="B233" s="177"/>
    </row>
    <row r="234" spans="2:2">
      <c r="B234" s="177"/>
    </row>
    <row r="235" spans="2:2">
      <c r="B235" s="177"/>
    </row>
    <row r="236" spans="2:2">
      <c r="B236" s="177"/>
    </row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sheetProtection formatColumns="0" formatRows="0" insertRows="0" insertColumns="0" deleteColumns="0" deleteRows="0" autoFilter="0" pivotTables="0"/>
  <conditionalFormatting sqref="C7">
    <cfRule type="expression" dxfId="47" priority="1">
      <formula>IF(C2=Пр7!A14,TRUE,FALSE)</formula>
    </cfRule>
  </conditionalFormatting>
  <conditionalFormatting sqref="C8">
    <cfRule type="expression" dxfId="48" priority="3">
      <formula>IF(C2=Пр7!A14,TRUE,FALSE)</formula>
    </cfRule>
  </conditionalFormatting>
  <dataValidations count="2">
    <dataValidation type="list" allowBlank="1" showInputMessage="1" showErrorMessage="1" sqref="C2">
      <formula1>Пр7!$A$3:$A$14</formula1>
    </dataValidation>
    <dataValidation type="list" allowBlank="1" showInputMessage="1" showErrorMessage="1" sqref="C3">
      <formula1>Пр7!$A$11:$A$11</formula1>
    </dataValidation>
  </dataValidations>
  <pageMargins left="0.7" right="0.7" top="0.75" bottom="0.75" header="0.3" footer="0.3"/>
  <pageSetup paperSize="9" orientation="portrait" horizont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="40" zoomScaleNormal="40" topLeftCell="A13" workbookViewId="0">
      <selection activeCell="C20" sqref="C20:H20"/>
    </sheetView>
  </sheetViews>
  <sheetFormatPr defaultColWidth="9" defaultRowHeight="14.4"/>
  <cols>
    <col min="1" max="1" width="33.3333333333333" customWidth="1"/>
    <col min="2" max="2" width="16.5555555555556" customWidth="1"/>
    <col min="3" max="8" width="23" customWidth="1"/>
    <col min="9" max="13" width="22.7777777777778" customWidth="1"/>
  </cols>
  <sheetData>
    <row r="1" ht="36.3" spans="1:13">
      <c r="A1" s="238" t="s">
        <v>39</v>
      </c>
      <c r="B1" s="239" t="s">
        <v>1</v>
      </c>
      <c r="C1" s="239" t="s">
        <v>40</v>
      </c>
      <c r="D1" s="238" t="s">
        <v>41</v>
      </c>
      <c r="E1" s="239" t="s">
        <v>42</v>
      </c>
      <c r="F1" s="239" t="s">
        <v>43</v>
      </c>
      <c r="G1" s="238" t="s">
        <v>44</v>
      </c>
      <c r="H1" s="239" t="s">
        <v>45</v>
      </c>
      <c r="I1" s="239" t="s">
        <v>46</v>
      </c>
      <c r="J1" s="239" t="s">
        <v>47</v>
      </c>
      <c r="K1" s="239" t="s">
        <v>48</v>
      </c>
      <c r="L1" s="239" t="s">
        <v>49</v>
      </c>
      <c r="M1" s="239" t="s">
        <v>50</v>
      </c>
    </row>
    <row r="2" ht="37.5" spans="1:13">
      <c r="A2" s="238" t="s">
        <v>51</v>
      </c>
      <c r="B2" s="238" t="s">
        <v>52</v>
      </c>
      <c r="C2" s="240" t="s">
        <v>53</v>
      </c>
      <c r="D2" s="240" t="s">
        <v>54</v>
      </c>
      <c r="E2" s="240" t="s">
        <v>55</v>
      </c>
      <c r="F2" s="240" t="s">
        <v>56</v>
      </c>
      <c r="G2" s="240" t="s">
        <v>57</v>
      </c>
      <c r="H2" s="240" t="s">
        <v>58</v>
      </c>
      <c r="I2" s="240"/>
      <c r="J2" s="251"/>
      <c r="K2" s="251"/>
      <c r="L2" s="251"/>
      <c r="M2" s="252"/>
    </row>
    <row r="3" ht="19.5" spans="1:13">
      <c r="A3" s="238" t="s">
        <v>59</v>
      </c>
      <c r="B3" s="238"/>
      <c r="C3" s="240" t="s">
        <v>60</v>
      </c>
      <c r="D3" s="240" t="s">
        <v>61</v>
      </c>
      <c r="E3" s="240" t="s">
        <v>60</v>
      </c>
      <c r="F3" s="240" t="s">
        <v>61</v>
      </c>
      <c r="G3" s="240" t="s">
        <v>60</v>
      </c>
      <c r="H3" s="240" t="s">
        <v>61</v>
      </c>
      <c r="I3" s="240"/>
      <c r="J3" s="240"/>
      <c r="K3" s="240"/>
      <c r="L3" s="240"/>
      <c r="M3" s="244"/>
    </row>
    <row r="4" ht="36.3" spans="1:13">
      <c r="A4" s="238" t="s">
        <v>62</v>
      </c>
      <c r="B4" s="238" t="s">
        <v>63</v>
      </c>
      <c r="C4" s="241">
        <v>2.5</v>
      </c>
      <c r="D4" s="241">
        <v>12.28</v>
      </c>
      <c r="E4" s="241">
        <f>(8.5+6.703)*0.5</f>
        <v>7.6015</v>
      </c>
      <c r="F4" s="241">
        <v>13.8</v>
      </c>
      <c r="G4" s="241">
        <v>1.4</v>
      </c>
      <c r="H4" s="241">
        <f>Таб2_Конструкция_КУ[[#This Row],[Зона 4]]</f>
        <v>13.8</v>
      </c>
      <c r="I4" s="241"/>
      <c r="J4" s="241"/>
      <c r="K4" s="241"/>
      <c r="L4" s="241"/>
      <c r="M4" s="244"/>
    </row>
    <row r="5" ht="36.3" spans="1:13">
      <c r="A5" s="238" t="s">
        <v>64</v>
      </c>
      <c r="B5" s="238" t="s">
        <v>63</v>
      </c>
      <c r="C5" s="241">
        <f>(8.8+4.488)*0.5</f>
        <v>6.644</v>
      </c>
      <c r="D5" s="241">
        <v>10.5</v>
      </c>
      <c r="E5" s="241">
        <f>0.5*((Таб2_Конструкция_КУ[[#This Row],[Зона 2]]-2)/2+1)</f>
        <v>2.625</v>
      </c>
      <c r="F5" s="241">
        <v>4.25</v>
      </c>
      <c r="G5" s="241">
        <f>Таб2_Конструкция_КУ[[#This Row],[Зона 4]]</f>
        <v>4.25</v>
      </c>
      <c r="H5" s="241">
        <f>Таб2_Конструкция_КУ[[#This Row],[Зона 4]]</f>
        <v>4.25</v>
      </c>
      <c r="I5" s="241"/>
      <c r="J5" s="241"/>
      <c r="K5" s="241"/>
      <c r="L5" s="241"/>
      <c r="M5" s="244"/>
    </row>
    <row r="6" ht="36.3" spans="1:13">
      <c r="A6" s="238" t="s">
        <v>65</v>
      </c>
      <c r="B6" s="238" t="s">
        <v>63</v>
      </c>
      <c r="C6" s="241">
        <f>(6.918+3.525)*0.5</f>
        <v>5.2215</v>
      </c>
      <c r="D6" s="241">
        <v>7</v>
      </c>
      <c r="E6" s="241">
        <v>3.3</v>
      </c>
      <c r="F6" s="241">
        <v>2.5</v>
      </c>
      <c r="G6" s="241">
        <v>3.7</v>
      </c>
      <c r="H6" s="241">
        <f>Таб2_Конструкция_КУ[[#This Row],[Зона 4]]</f>
        <v>2.5</v>
      </c>
      <c r="I6" s="241"/>
      <c r="J6" s="241"/>
      <c r="K6" s="241"/>
      <c r="L6" s="241"/>
      <c r="M6" s="244"/>
    </row>
    <row r="7" ht="36.3" spans="1:13">
      <c r="A7" s="238" t="s">
        <v>66</v>
      </c>
      <c r="B7" s="242"/>
      <c r="C7" s="243"/>
      <c r="D7" s="244"/>
      <c r="E7" s="244"/>
      <c r="F7" s="240"/>
      <c r="G7" s="245">
        <f>(11600-8600)/1000</f>
        <v>3</v>
      </c>
      <c r="H7" s="244"/>
      <c r="I7" s="240"/>
      <c r="J7" s="240"/>
      <c r="K7" s="240"/>
      <c r="L7" s="240"/>
      <c r="M7" s="244"/>
    </row>
    <row r="8" ht="36.3" spans="1:13">
      <c r="A8" s="238" t="s">
        <v>67</v>
      </c>
      <c r="B8" s="238" t="s">
        <v>68</v>
      </c>
      <c r="C8" s="240">
        <f>2*(C5+C6)*C4</f>
        <v>59.3275</v>
      </c>
      <c r="D8" s="240">
        <f>2*(D5+D6)*D4+D5*D6-C5*C6</f>
        <v>468.608354</v>
      </c>
      <c r="E8" s="240">
        <f>2*2*(E5+E6)*E4-D5*D6-2*F5*F6</f>
        <v>85.40555</v>
      </c>
      <c r="F8" s="240">
        <f>2*(2*(F5+F6)*F4+F5*F6-G5*G6)</f>
        <v>362.4</v>
      </c>
      <c r="G8" s="240">
        <f>2*(2*(G5+G6)*G4)</f>
        <v>44.52</v>
      </c>
      <c r="H8" s="240">
        <f>2*(2*(H5+H6)*H4+H5*H6-G5*G6)</f>
        <v>362.4</v>
      </c>
      <c r="I8" s="240"/>
      <c r="J8" s="240"/>
      <c r="K8" s="240"/>
      <c r="L8" s="240"/>
      <c r="M8" s="244"/>
    </row>
    <row r="9" ht="36.3" spans="1:13">
      <c r="A9" s="238" t="s">
        <v>69</v>
      </c>
      <c r="B9" s="239" t="s">
        <v>68</v>
      </c>
      <c r="C9" s="240">
        <v>0</v>
      </c>
      <c r="D9" s="240">
        <v>0</v>
      </c>
      <c r="E9" s="240">
        <v>0</v>
      </c>
      <c r="F9" s="240">
        <v>0</v>
      </c>
      <c r="G9" s="241">
        <f t="shared" ref="G9:H9" si="0">G10*G13</f>
        <v>0</v>
      </c>
      <c r="H9" s="241">
        <f t="shared" si="0"/>
        <v>0</v>
      </c>
      <c r="I9" s="241"/>
      <c r="J9" s="241"/>
      <c r="K9" s="241"/>
      <c r="L9" s="241"/>
      <c r="M9" s="244"/>
    </row>
    <row r="10" ht="36.3" spans="1:13">
      <c r="A10" s="238" t="s">
        <v>70</v>
      </c>
      <c r="B10" s="239" t="s">
        <v>68</v>
      </c>
      <c r="C10" s="241">
        <v>0</v>
      </c>
      <c r="D10" s="241">
        <v>0</v>
      </c>
      <c r="E10" s="241">
        <v>0</v>
      </c>
      <c r="F10" s="241">
        <v>0</v>
      </c>
      <c r="G10" s="241">
        <v>39</v>
      </c>
      <c r="H10" s="241">
        <v>39</v>
      </c>
      <c r="I10" s="241"/>
      <c r="J10" s="241"/>
      <c r="K10" s="241"/>
      <c r="L10" s="241"/>
      <c r="M10" s="244"/>
    </row>
    <row r="11" ht="19.5" spans="1:13">
      <c r="A11" s="246" t="s">
        <v>71</v>
      </c>
      <c r="B11" s="238" t="s">
        <v>63</v>
      </c>
      <c r="C11" s="241">
        <v>0</v>
      </c>
      <c r="D11" s="241">
        <v>0</v>
      </c>
      <c r="E11" s="241">
        <v>0</v>
      </c>
      <c r="F11" s="241">
        <v>0</v>
      </c>
      <c r="G11" s="241">
        <v>1.9</v>
      </c>
      <c r="H11" s="241">
        <v>1.9</v>
      </c>
      <c r="I11" s="241"/>
      <c r="J11" s="241"/>
      <c r="K11" s="241"/>
      <c r="L11" s="241"/>
      <c r="M11" s="244"/>
    </row>
    <row r="12" ht="19.5" spans="1:13">
      <c r="A12" s="246" t="s">
        <v>72</v>
      </c>
      <c r="B12" s="238" t="s">
        <v>63</v>
      </c>
      <c r="C12" s="243">
        <v>0.032</v>
      </c>
      <c r="D12" s="243">
        <v>0.032</v>
      </c>
      <c r="E12" s="243">
        <v>0.032</v>
      </c>
      <c r="F12" s="243">
        <v>0.032</v>
      </c>
      <c r="G12" s="243">
        <v>0.032</v>
      </c>
      <c r="H12" s="243">
        <v>0.032</v>
      </c>
      <c r="I12" s="243"/>
      <c r="J12" s="243"/>
      <c r="K12" s="243"/>
      <c r="L12" s="243"/>
      <c r="M12" s="244"/>
    </row>
    <row r="13" ht="19.5" spans="1:13">
      <c r="A13" s="238" t="s">
        <v>73</v>
      </c>
      <c r="B13" s="239" t="s">
        <v>74</v>
      </c>
      <c r="C13" s="240">
        <v>0</v>
      </c>
      <c r="D13" s="240">
        <v>0</v>
      </c>
      <c r="E13" s="240">
        <v>0</v>
      </c>
      <c r="F13" s="240">
        <v>0</v>
      </c>
      <c r="G13" s="240">
        <v>0</v>
      </c>
      <c r="H13" s="240">
        <v>0</v>
      </c>
      <c r="I13" s="240"/>
      <c r="J13" s="240"/>
      <c r="K13" s="240"/>
      <c r="L13" s="240"/>
      <c r="M13" s="244"/>
    </row>
    <row r="14" ht="19.5" spans="1:13">
      <c r="A14" s="238" t="s">
        <v>75</v>
      </c>
      <c r="B14" s="239" t="s">
        <v>63</v>
      </c>
      <c r="C14" s="241">
        <f t="shared" ref="C14:G14" si="1">IF(C13&gt;0,C5/C13,0)</f>
        <v>0</v>
      </c>
      <c r="D14" s="241">
        <f t="shared" si="1"/>
        <v>0</v>
      </c>
      <c r="E14" s="241">
        <f t="shared" si="1"/>
        <v>0</v>
      </c>
      <c r="F14" s="241">
        <f t="shared" si="1"/>
        <v>0</v>
      </c>
      <c r="G14" s="241">
        <f t="shared" si="1"/>
        <v>0</v>
      </c>
      <c r="H14" s="241">
        <f t="shared" ref="H14" si="2">IF(H13&gt;0,H5/H13,0)</f>
        <v>0</v>
      </c>
      <c r="I14" s="241"/>
      <c r="J14" s="241"/>
      <c r="K14" s="241"/>
      <c r="L14" s="241"/>
      <c r="M14" s="244"/>
    </row>
    <row r="15" ht="36.3" spans="1:13">
      <c r="A15" s="238" t="s">
        <v>76</v>
      </c>
      <c r="B15" s="238" t="s">
        <v>63</v>
      </c>
      <c r="C15" s="243">
        <v>0.013</v>
      </c>
      <c r="D15" s="243">
        <v>0.013</v>
      </c>
      <c r="E15" s="243">
        <v>0.013</v>
      </c>
      <c r="F15" s="243">
        <v>0.013</v>
      </c>
      <c r="G15" s="243">
        <v>0.013</v>
      </c>
      <c r="H15" s="243">
        <v>0.013</v>
      </c>
      <c r="I15" s="243"/>
      <c r="J15" s="243"/>
      <c r="K15" s="243"/>
      <c r="L15" s="243"/>
      <c r="M15" s="244"/>
    </row>
    <row r="16" ht="53.7" spans="1:13">
      <c r="A16" s="238" t="s">
        <v>77</v>
      </c>
      <c r="B16" s="238" t="s">
        <v>78</v>
      </c>
      <c r="C16" s="243">
        <v>0.005</v>
      </c>
      <c r="D16" s="243">
        <v>0.005</v>
      </c>
      <c r="E16" s="243">
        <v>0.005</v>
      </c>
      <c r="F16" s="243">
        <v>0.005</v>
      </c>
      <c r="G16" s="243">
        <v>0.005</v>
      </c>
      <c r="H16" s="243">
        <v>0.005</v>
      </c>
      <c r="I16" s="243"/>
      <c r="J16" s="243"/>
      <c r="K16" s="243"/>
      <c r="L16" s="243"/>
      <c r="M16" s="253" t="s">
        <v>79</v>
      </c>
    </row>
    <row r="17" ht="53.7" spans="1:13">
      <c r="A17" s="238" t="s">
        <v>80</v>
      </c>
      <c r="B17" s="238" t="s">
        <v>81</v>
      </c>
      <c r="C17" s="247">
        <v>0.8</v>
      </c>
      <c r="D17" s="247">
        <v>0.8</v>
      </c>
      <c r="E17" s="247">
        <v>0.8</v>
      </c>
      <c r="F17" s="247">
        <v>0.8</v>
      </c>
      <c r="G17" s="247">
        <v>0.8</v>
      </c>
      <c r="H17" s="247">
        <v>0.8</v>
      </c>
      <c r="I17" s="247"/>
      <c r="J17" s="247"/>
      <c r="K17" s="247"/>
      <c r="L17" s="247"/>
      <c r="M17" s="244"/>
    </row>
    <row r="18" ht="53.7" spans="1:13">
      <c r="A18" s="238" t="s">
        <v>82</v>
      </c>
      <c r="B18" s="238" t="s">
        <v>9</v>
      </c>
      <c r="C18" s="240">
        <f>IF(100*Таб6!C34/Таб6!$C$34&lt;60,60,100*Таб6!C34/Таб6!$C$34)</f>
        <v>100</v>
      </c>
      <c r="D18" s="240">
        <f>IF(100*Таб6!D34/Таб6!$C$34&lt;60,60,100*Таб6!D34/Таб6!$C$34)</f>
        <v>79.7520661157025</v>
      </c>
      <c r="E18" s="240">
        <f>IF(100*Таб6!E34/Таб6!$C$34&lt;60,60,100*Таб6!E34/Таб6!$C$34)</f>
        <v>66.900826446281</v>
      </c>
      <c r="F18" s="240">
        <f>IF(100*Таб6!F34/Таб6!$C$34&lt;60,60,100*Таб6!F34/Таб6!$C$34)</f>
        <v>60</v>
      </c>
      <c r="G18" s="240">
        <f>IF(100*Таб6!G34/Таб6!$C$34&lt;60,60,100*Таб6!G34/Таб6!$C$34)</f>
        <v>60</v>
      </c>
      <c r="H18" s="240">
        <f>IF(100*Таб6!H34/Таб6!$C$34&lt;60,60,100*Таб6!H34/Таб6!$C$34)</f>
        <v>60</v>
      </c>
      <c r="I18" s="240"/>
      <c r="J18" s="240"/>
      <c r="K18" s="240"/>
      <c r="L18" s="240"/>
      <c r="M18" s="244"/>
    </row>
    <row r="19" ht="53.7" spans="1:13">
      <c r="A19" s="238" t="s">
        <v>83</v>
      </c>
      <c r="B19" s="239" t="s">
        <v>9</v>
      </c>
      <c r="C19" s="240">
        <v>80</v>
      </c>
      <c r="D19" s="240">
        <v>450</v>
      </c>
      <c r="E19" s="240">
        <v>66</v>
      </c>
      <c r="F19" s="240">
        <v>141</v>
      </c>
      <c r="G19" s="240">
        <v>11</v>
      </c>
      <c r="H19" s="240">
        <v>71</v>
      </c>
      <c r="I19" s="240"/>
      <c r="J19" s="240"/>
      <c r="K19" s="240"/>
      <c r="L19" s="240"/>
      <c r="M19" s="254"/>
    </row>
    <row r="20" ht="19.5" spans="1:13">
      <c r="A20" s="248"/>
      <c r="B20" s="248"/>
      <c r="C20" s="249">
        <f>Таб1!C5-Таб2!C19</f>
        <v>1170</v>
      </c>
      <c r="D20" s="250">
        <f>Таб2_Конструкция_КУ[[#This Row],[Зона 1]]-D19</f>
        <v>720</v>
      </c>
      <c r="E20" s="250">
        <f>Таб2_Конструкция_КУ[[#This Row],[Зона 2]]-E19</f>
        <v>654</v>
      </c>
      <c r="F20" s="250">
        <f>Таб2_Конструкция_КУ[[#This Row],[Зона 3]]-F19</f>
        <v>513</v>
      </c>
      <c r="G20" s="250">
        <f>Таб2_Конструкция_КУ[[#This Row],[Зона 4]]-G19</f>
        <v>502</v>
      </c>
      <c r="H20" s="250">
        <f>Таб2_Конструкция_КУ[[#This Row],[Зона 5]]-H19</f>
        <v>431</v>
      </c>
      <c r="I20" s="249"/>
      <c r="J20" s="255"/>
      <c r="K20" s="255"/>
      <c r="L20" s="255"/>
      <c r="M20" s="250"/>
    </row>
    <row r="21" ht="15.15"/>
  </sheetData>
  <dataValidations count="3">
    <dataValidation type="list" allowBlank="1" showInputMessage="1" showErrorMessage="1" sqref="C2:L2">
      <formula1>Пр12!$A$2:$A$11</formula1>
    </dataValidation>
    <dataValidation type="list" allowBlank="1" showInputMessage="1" showErrorMessage="1" sqref="C3:L3">
      <formula1>Пр8!$A$2:$A$4</formula1>
    </dataValidation>
    <dataValidation type="list" allowBlank="1" showInputMessage="1" showErrorMessage="1" sqref="C16:L16">
      <formula1>Пр10!$A$2:$A$9</formula1>
    </dataValidation>
  </dataValidations>
  <pageMargins left="0.7" right="0.7" top="0.75" bottom="0.75" header="0.3" footer="0.3"/>
  <pageSetup paperSize="9" orientation="portrait" horizont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9"/>
  <sheetViews>
    <sheetView zoomScale="50" zoomScaleNormal="50" topLeftCell="A88" workbookViewId="0">
      <selection activeCell="D7" sqref="D7"/>
    </sheetView>
  </sheetViews>
  <sheetFormatPr defaultColWidth="9" defaultRowHeight="14.4"/>
  <cols>
    <col min="1" max="1" width="24.8888888888889" customWidth="1"/>
    <col min="2" max="2" width="16.3333333333333" customWidth="1"/>
    <col min="3" max="3" width="11.3333333333333" customWidth="1"/>
    <col min="4" max="14" width="17.1111111111111" customWidth="1"/>
  </cols>
  <sheetData>
    <row r="1" ht="52.2" spans="1:20">
      <c r="A1" s="173" t="s">
        <v>84</v>
      </c>
      <c r="B1" s="164" t="s">
        <v>85</v>
      </c>
      <c r="C1" s="164" t="s">
        <v>86</v>
      </c>
      <c r="D1" s="164" t="s">
        <v>40</v>
      </c>
      <c r="E1" s="164" t="s">
        <v>41</v>
      </c>
      <c r="F1" s="164" t="s">
        <v>42</v>
      </c>
      <c r="G1" s="164" t="s">
        <v>43</v>
      </c>
      <c r="H1" s="164" t="s">
        <v>44</v>
      </c>
      <c r="I1" s="164" t="s">
        <v>45</v>
      </c>
      <c r="J1" s="164" t="s">
        <v>46</v>
      </c>
      <c r="K1" s="164" t="s">
        <v>47</v>
      </c>
      <c r="L1" s="164" t="s">
        <v>48</v>
      </c>
      <c r="M1" s="164" t="s">
        <v>49</v>
      </c>
      <c r="N1" s="164" t="s">
        <v>50</v>
      </c>
      <c r="Q1" s="220"/>
      <c r="R1" s="220"/>
      <c r="S1" s="164"/>
      <c r="T1" s="221"/>
    </row>
    <row r="2" ht="36" spans="1:20">
      <c r="A2" s="173" t="s">
        <v>87</v>
      </c>
      <c r="B2" s="173"/>
      <c r="C2" s="165" t="s">
        <v>36</v>
      </c>
      <c r="D2" s="188">
        <f>Таб6!C7*Таб6!C35/273/(3600*Таб5!C10)</f>
        <v>1.5565107291369</v>
      </c>
      <c r="E2" s="188">
        <f>Таб6!D7*Таб6!D35/273/(3600*Таб5!D10)</f>
        <v>0.616208168248985</v>
      </c>
      <c r="F2" s="188">
        <f>Таб6!E7*Таб6!E35/273/(3600*Таб5!E10)</f>
        <v>2.3290869917854</v>
      </c>
      <c r="G2" s="188">
        <f>Таб6!F7*Таб6!F35/273/(3600*Таб5!F10)</f>
        <v>1.68826617826618</v>
      </c>
      <c r="H2" s="188">
        <f>Таб6!G7*Таб6!G35/273/(3600*(Таб5!G10+Таб5!H10))</f>
        <v>0.631148085785183</v>
      </c>
      <c r="I2" s="188">
        <f>Таб6!H7*Таб6!H35/273/(3600*Таб5!H10)</f>
        <v>1.43365588115588</v>
      </c>
      <c r="J2" s="188" t="e">
        <f>Таб6!I7*Таб6!I35/273/(3600*Таб5!I10)</f>
        <v>#DIV/0!</v>
      </c>
      <c r="K2" s="188" t="e">
        <f>Таб6!J7*Таб6!J35/273/(3600*Таб5!J10)</f>
        <v>#DIV/0!</v>
      </c>
      <c r="L2" s="188" t="e">
        <f>Таб6!K7*Таб6!K35/273/(3600*Таб5!K10)</f>
        <v>#DIV/0!</v>
      </c>
      <c r="M2" s="188" t="e">
        <f>Таб6!L7*Таб6!L35/273/(3600*Таб5!L10)</f>
        <v>#DIV/0!</v>
      </c>
      <c r="N2" s="207"/>
      <c r="Q2" s="220"/>
      <c r="R2" s="220"/>
      <c r="S2" s="222"/>
      <c r="T2" s="221"/>
    </row>
    <row r="3" ht="36" spans="1:20">
      <c r="A3" s="173" t="s">
        <v>87</v>
      </c>
      <c r="B3" s="173"/>
      <c r="C3" s="165" t="s">
        <v>36</v>
      </c>
      <c r="D3" s="174" t="str">
        <f>IF(D2&gt;=3,"МНОГО!",IF(D2&lt;1.5,"МАЛО!","ПРАВИЛЬНО!"))</f>
        <v>ПРАВИЛЬНО!</v>
      </c>
      <c r="E3" s="174" t="str">
        <f>IF(E2&gt;=3,"МНОГО!",IF(E2&lt;1.5,"МАЛО!","ПРАВИЛЬНО!"))</f>
        <v>МАЛО!</v>
      </c>
      <c r="F3" s="174" t="str">
        <f>IF(F2&gt;=1.5,"МНОГО!",IF(F2&lt;0.5,"МАЛО!","ПРАВИЛЬНО!"))</f>
        <v>МНОГО!</v>
      </c>
      <c r="G3" s="174" t="str">
        <f>IF(G2&gt;=2,"МНОГО!",IF(G2&lt;0.5,"МАЛО!","ПРАВИЛЬНО!"))</f>
        <v>ПРАВИЛЬНО!</v>
      </c>
      <c r="H3" s="174" t="str">
        <f>IF(H2&gt;=5,"МНОГО!",IF(H2&lt;2,"МАЛО!","ПРАВИЛЬНО!"))</f>
        <v>МАЛО!</v>
      </c>
      <c r="I3" s="174" t="str">
        <f>IF(I2&gt;=5,"МНОГО!",IF(I2&lt;2,"МАЛО!","ПРАВИЛЬНО!"))</f>
        <v>МАЛО!</v>
      </c>
      <c r="J3" s="174" t="e">
        <f>IF(J2&gt;=5,"МНОГО!",IF(J2&lt;2,"МАЛО!","ПРАВИЛЬНО!"))</f>
        <v>#DIV/0!</v>
      </c>
      <c r="K3" s="174" t="e">
        <f t="shared" ref="K3:M3" si="0">IF(K2&gt;=5,"МНОГО!",IF(K2&lt;2,"МАЛО!","ПРАВИЛЬНО!"))</f>
        <v>#DIV/0!</v>
      </c>
      <c r="L3" s="174" t="e">
        <f t="shared" si="0"/>
        <v>#DIV/0!</v>
      </c>
      <c r="M3" s="174" t="e">
        <f t="shared" si="0"/>
        <v>#DIV/0!</v>
      </c>
      <c r="N3" s="207"/>
      <c r="Q3" s="220"/>
      <c r="R3" s="220"/>
      <c r="S3" s="222"/>
      <c r="T3" s="221"/>
    </row>
    <row r="4" ht="36" spans="1:20">
      <c r="A4" s="173" t="s">
        <v>88</v>
      </c>
      <c r="B4" s="173"/>
      <c r="C4" s="165" t="s">
        <v>36</v>
      </c>
      <c r="D4" s="174" t="s">
        <v>89</v>
      </c>
      <c r="E4" s="174" t="s">
        <v>89</v>
      </c>
      <c r="F4" s="174" t="s">
        <v>90</v>
      </c>
      <c r="G4" s="174" t="s">
        <v>90</v>
      </c>
      <c r="H4" s="174" t="s">
        <v>91</v>
      </c>
      <c r="I4" s="174" t="s">
        <v>91</v>
      </c>
      <c r="J4" s="174" t="s">
        <v>91</v>
      </c>
      <c r="K4" s="174" t="s">
        <v>91</v>
      </c>
      <c r="L4" s="174" t="s">
        <v>91</v>
      </c>
      <c r="M4" s="174" t="s">
        <v>91</v>
      </c>
      <c r="N4" s="207"/>
      <c r="Q4" s="220"/>
      <c r="R4" s="220"/>
      <c r="S4" s="222"/>
      <c r="T4" s="221"/>
    </row>
    <row r="5" ht="36" spans="1:20">
      <c r="A5" s="173" t="s">
        <v>92</v>
      </c>
      <c r="B5" s="173"/>
      <c r="C5" s="165" t="s">
        <v>93</v>
      </c>
      <c r="D5" s="191">
        <f>Таб2!C4*Таб5!C10</f>
        <v>86.729115</v>
      </c>
      <c r="E5" s="191">
        <f>Таб2!D4*Таб5!D10</f>
        <v>902.58</v>
      </c>
      <c r="F5" s="191">
        <f>Таб2!E4*Таб5!E10</f>
        <v>131.6959875</v>
      </c>
      <c r="G5" s="191">
        <f>Таб2!F4*Таб5!F10</f>
        <v>293.25</v>
      </c>
      <c r="H5" s="191">
        <f>Таб2!G4*Таб5!G10</f>
        <v>44.03</v>
      </c>
      <c r="I5" s="191">
        <f>Таб2!H4*Таб5!H10</f>
        <v>293.25</v>
      </c>
      <c r="J5" s="191">
        <f>Таб2!I4*Таб5!I10</f>
        <v>0</v>
      </c>
      <c r="K5" s="191">
        <f>Таб2!J4*Таб5!J10</f>
        <v>0</v>
      </c>
      <c r="L5" s="191">
        <f>Таб2!K4*Таб5!K10</f>
        <v>0</v>
      </c>
      <c r="M5" s="191">
        <f>Таб2!L4*Таб5!L10</f>
        <v>0</v>
      </c>
      <c r="N5" s="207"/>
      <c r="Q5" s="220"/>
      <c r="R5" s="220"/>
      <c r="S5" s="207"/>
      <c r="T5" s="221"/>
    </row>
    <row r="6" ht="54" spans="1:20">
      <c r="A6" s="173" t="s">
        <v>94</v>
      </c>
      <c r="B6" s="173"/>
      <c r="C6" s="165" t="s">
        <v>63</v>
      </c>
      <c r="D6" s="188">
        <f>3.6*D5/Таб5!C7</f>
        <v>5.26273336985378</v>
      </c>
      <c r="E6" s="188">
        <f>3.6*E5/Таб5!D7</f>
        <v>6.93390967588256</v>
      </c>
      <c r="F6" s="188">
        <f>3.6*F5/Таб5!E7</f>
        <v>5.55122653036015</v>
      </c>
      <c r="G6" s="188">
        <f>3.6*G5/Таб5!F7</f>
        <v>2.91307947019868</v>
      </c>
      <c r="H6" s="188">
        <f>3.6*H5/Таб5!G5</f>
        <v>3.56037735849057</v>
      </c>
      <c r="I6" s="188">
        <f>3.6*I5/Таб5!H7</f>
        <v>2.91307947019868</v>
      </c>
      <c r="J6" s="188" t="e">
        <f>3.6*J5/Таб5!I7</f>
        <v>#DIV/0!</v>
      </c>
      <c r="K6" s="188" t="e">
        <f>3.6*K5/Таб5!J7</f>
        <v>#DIV/0!</v>
      </c>
      <c r="L6" s="188" t="e">
        <f>3.6*L5/Таб5!K7</f>
        <v>#DIV/0!</v>
      </c>
      <c r="M6" s="188" t="e">
        <f>3.6*M5/Таб5!L7</f>
        <v>#DIV/0!</v>
      </c>
      <c r="N6" s="206" t="s">
        <v>95</v>
      </c>
      <c r="Q6" s="220"/>
      <c r="R6" s="220"/>
      <c r="S6" s="222"/>
      <c r="T6" s="223"/>
    </row>
    <row r="7" ht="54" spans="1:20">
      <c r="A7" s="173" t="s">
        <v>96</v>
      </c>
      <c r="B7" s="173"/>
      <c r="C7" s="177" t="s">
        <v>63</v>
      </c>
      <c r="D7" s="175">
        <f>4*Таб5!C10/D8</f>
        <v>5.84748152205975</v>
      </c>
      <c r="E7" s="175">
        <f>4*Таб5!D10/E8</f>
        <v>7.70434408431396</v>
      </c>
      <c r="F7" s="175">
        <f>4*Таб5!E10/F8</f>
        <v>6.16802947817794</v>
      </c>
      <c r="G7" s="175">
        <f>4*Таб5!F10/G8</f>
        <v>3.23675496688742</v>
      </c>
      <c r="H7" s="175">
        <f>4*Таб5!G10/H8</f>
        <v>3.9559748427673</v>
      </c>
      <c r="I7" s="175">
        <f>4*Таб5!H10/I8</f>
        <v>3.23675496688742</v>
      </c>
      <c r="J7" s="175" t="e">
        <f>4*Таб5!I10/J8</f>
        <v>#DIV/0!</v>
      </c>
      <c r="K7" s="175" t="e">
        <f>4*Таб5!J10/K8</f>
        <v>#DIV/0!</v>
      </c>
      <c r="L7" s="175" t="e">
        <f>4*Таб5!K10/L8</f>
        <v>#DIV/0!</v>
      </c>
      <c r="M7" s="175" t="e">
        <f>4*Таб5!L10/M8</f>
        <v>#DIV/0!</v>
      </c>
      <c r="N7" s="207"/>
      <c r="Q7" s="220"/>
      <c r="R7" s="220"/>
      <c r="S7" s="222"/>
      <c r="T7" s="223"/>
    </row>
    <row r="8" ht="54" spans="1:20">
      <c r="A8" s="173" t="s">
        <v>97</v>
      </c>
      <c r="B8" s="173"/>
      <c r="C8" s="177" t="s">
        <v>63</v>
      </c>
      <c r="D8" s="175">
        <f>Таб5!C7/Таб2!C4</f>
        <v>23.731</v>
      </c>
      <c r="E8" s="175">
        <f>Таб5!D7/Таб2!D4</f>
        <v>38.1602894136808</v>
      </c>
      <c r="F8" s="175">
        <f>Таб5!E7/Таб2!E4</f>
        <v>11.2353548641715</v>
      </c>
      <c r="G8" s="175">
        <f>Таб5!F7/Таб2!F4</f>
        <v>26.2608695652174</v>
      </c>
      <c r="H8" s="175">
        <f>Таб5!G5/Таб2!G4</f>
        <v>31.8</v>
      </c>
      <c r="I8" s="175">
        <f>Таб5!H7/Таб2!H4</f>
        <v>26.2608695652174</v>
      </c>
      <c r="J8" s="175" t="e">
        <f>Таб5!I7/Таб2!I4</f>
        <v>#DIV/0!</v>
      </c>
      <c r="K8" s="175" t="e">
        <f>Таб5!J7/Таб2!J4</f>
        <v>#DIV/0!</v>
      </c>
      <c r="L8" s="175" t="e">
        <f>Таб5!K7/Таб2!K4</f>
        <v>#DIV/0!</v>
      </c>
      <c r="M8" s="175" t="e">
        <f>Таб5!L7/Таб2!L4</f>
        <v>#DIV/0!</v>
      </c>
      <c r="N8" s="207"/>
      <c r="Q8" s="220"/>
      <c r="R8" s="220"/>
      <c r="S8" s="222"/>
      <c r="T8" s="223"/>
    </row>
    <row r="9" ht="54" spans="1:20">
      <c r="A9" s="173" t="s">
        <v>98</v>
      </c>
      <c r="B9" s="173"/>
      <c r="C9" s="177"/>
      <c r="D9" s="174">
        <f>Таб6!C8+Таб6!C12+Таб6!C18</f>
        <v>0.65914691943128</v>
      </c>
      <c r="E9" s="174">
        <f>Таб6!D8+Таб6!D12+Таб6!D18</f>
        <v>0.656037735849057</v>
      </c>
      <c r="F9" s="174">
        <f>Таб6!E8+Таб6!E12+Таб6!E18</f>
        <v>0.635068493150685</v>
      </c>
      <c r="G9" s="174">
        <f>Таб6!F8+Таб6!F12+Таб6!F18</f>
        <v>0.618133333333333</v>
      </c>
      <c r="H9" s="174">
        <f>Таб6!G8+Таб6!G12+Таб6!G18</f>
        <v>0.618133333333333</v>
      </c>
      <c r="I9" s="174">
        <f>Таб6!H8+Таб6!H12+Таб6!H18</f>
        <v>0.612687224669603</v>
      </c>
      <c r="J9" s="174">
        <f>Таб6!I8+Таб6!I12+Таб6!I18</f>
        <v>0.608398950131234</v>
      </c>
      <c r="K9" s="174">
        <f>Таб6!J8+Таб6!J12+Таб6!J18</f>
        <v>0.606277244986922</v>
      </c>
      <c r="L9" s="174">
        <f>Таб6!K8+Таб6!K12+Таб6!K18</f>
        <v>0.605221932114883</v>
      </c>
      <c r="M9" s="174">
        <f>Таб6!L8+Таб6!L12+Таб6!L18</f>
        <v>0.604695652173913</v>
      </c>
      <c r="N9" s="207"/>
      <c r="Q9" s="220"/>
      <c r="R9" s="220"/>
      <c r="S9" s="222"/>
      <c r="T9" s="223"/>
    </row>
    <row r="10" ht="72" spans="1:20">
      <c r="A10" s="173" t="s">
        <v>99</v>
      </c>
      <c r="B10" s="173"/>
      <c r="C10" s="177" t="s">
        <v>100</v>
      </c>
      <c r="D10" s="175">
        <f>Таб1!$C$9-(Таб1!$C$9-Таб1!$C$10)*Таб2!C4/SUM(Таб2!C4:$I4)</f>
        <v>9975.49094971173</v>
      </c>
      <c r="E10" s="175">
        <f>Таб1!$C$9-(Таб1!$C$9-Таб1!$C$10)*Таб2!D4/SUM(Таб2!D4:$I4)</f>
        <v>9874.24746648178</v>
      </c>
      <c r="F10" s="175">
        <f>Таб1!$C$9-(Таб1!$C$9-Таб1!$C$10)*Таб2!E4/SUM(Таб2!E4:$I4)</f>
        <v>9896.00769350853</v>
      </c>
      <c r="G10" s="175">
        <f>Таб1!$C$9-(Таб1!$C$9-Таб1!$C$10)*Таб2!F4/SUM(Таб2!F4:$I4)</f>
        <v>9761.96911893945</v>
      </c>
      <c r="H10" s="175">
        <f>Таб1!$C$9-(Таб1!$C$9-Таб1!$C$10)*Таб2!G4/SUM(Таб2!G4:$I4)</f>
        <v>9953.77441741503</v>
      </c>
      <c r="I10" s="175">
        <f>Таб1!$C$9-(Таб1!$C$9-Таб1!$C$10)*Таб2!H4/SUM(Таб2!H4:$I4)</f>
        <v>9500</v>
      </c>
      <c r="J10" s="175" t="e">
        <f>Таб1!$C$9-(Таб1!$C$9-Таб1!$C$10)*Таб2!I4/SUM(Таб2!I4:$I4)</f>
        <v>#DIV/0!</v>
      </c>
      <c r="K10" s="175" t="e">
        <f>Таб1!$C$9-(Таб1!$C$9-Таб1!$C$10)*Таб2!J4/SUM(Таб2!$I4:J4)</f>
        <v>#DIV/0!</v>
      </c>
      <c r="L10" s="175" t="e">
        <f>Таб1!$C$9-(Таб1!$C$9-Таб1!$C$10)*Таб2!K4/SUM(Таб2!$I4:K4)</f>
        <v>#DIV/0!</v>
      </c>
      <c r="M10" s="175" t="e">
        <f>Таб1!$C$9-(Таб1!$C$9-Таб1!$C$10)*Таб2!L4/SUM(Таб2!$I4:L4)</f>
        <v>#DIV/0!</v>
      </c>
      <c r="N10" s="207"/>
      <c r="Q10" s="220"/>
      <c r="R10" s="220"/>
      <c r="S10" s="224"/>
      <c r="T10" s="223"/>
    </row>
    <row r="11" ht="54" spans="1:20">
      <c r="A11" s="173" t="s">
        <v>101</v>
      </c>
      <c r="B11" s="173"/>
      <c r="C11" s="165" t="s">
        <v>102</v>
      </c>
      <c r="D11" s="213">
        <f>((0.78+1.6*Таб6!C12)/SQRT(D10*10^-4*D9*D6)-0.1)*(1-0.37*(Таб6!C24+273)/1000)*D9</f>
        <v>0.185160986729549</v>
      </c>
      <c r="E11" s="213">
        <f>((0.78+1.6*Таб6!D12)/SQRT(E10*10^-4*E9*E6)-0.1)*(1-0.37*(Таб6!D24+273)/1000)*E9</f>
        <v>0.213975288356047</v>
      </c>
      <c r="F11" s="213">
        <f>((0.78+1.6*Таб6!E12)/SQRT(F10*10^-4*F9*F6)-0.1)*(1-0.37*(Таб6!E24+273)/1000)*F9</f>
        <v>0.245977341089437</v>
      </c>
      <c r="G11" s="213">
        <f>((0.78+1.6*Таб6!F12)/SQRT(G10*10^-4*G9*G6)-0.1)*(1-0.37*(Таб6!F24+273)/1000)*G9</f>
        <v>0.377516448956847</v>
      </c>
      <c r="H11" s="213">
        <f>((0.78+1.6*Таб6!G12)/SQRT(H10*10^-4*H9*H6)-0.1)*(1-0.37*(Таб6!G24+273)/1000)*H9</f>
        <v>0.335518975256073</v>
      </c>
      <c r="I11" s="213">
        <f>((0.78+1.6*Таб6!H12)/SQRT(I10*10^-4*I9*I6)-0.1)*(1-0.37*(Таб6!H24+273)/1000)*I9</f>
        <v>0.396604901082686</v>
      </c>
      <c r="J11" s="213" t="e">
        <f>((0.78+1.6*Таб6!I12)/SQRT(J10*10^-4*J9*J6)-0.1)*(1-0.37*(Таб6!I24+273)/1000)*J9</f>
        <v>#DIV/0!</v>
      </c>
      <c r="K11" s="213" t="e">
        <f>((0.78+1.6*Таб6!J12)/SQRT(K10*10^-4*K9*K6)-0.1)*(1-0.37*(Таб6!J24+273)/1000)*K9</f>
        <v>#DIV/0!</v>
      </c>
      <c r="L11" s="213" t="e">
        <f>((0.78+1.6*Таб6!K12)/SQRT(L10*10^-4*L9*L6)-0.1)*(1-0.37*(Таб6!K24+273)/1000)*L9</f>
        <v>#DIV/0!</v>
      </c>
      <c r="M11" s="213" t="e">
        <f>((0.78+1.6*Таб6!L12)/SQRT(M10*10^-4*M9*M6)-0.1)*(1-0.37*(Таб6!L24+273)/1000)*M9</f>
        <v>#DIV/0!</v>
      </c>
      <c r="N11" s="206" t="s">
        <v>103</v>
      </c>
      <c r="Q11" s="220"/>
      <c r="R11" s="220"/>
      <c r="S11" s="225"/>
      <c r="T11" s="221"/>
    </row>
    <row r="12" ht="54" spans="1:20">
      <c r="A12" s="173" t="s">
        <v>104</v>
      </c>
      <c r="B12" s="173"/>
      <c r="C12" s="165" t="s">
        <v>102</v>
      </c>
      <c r="D12" s="213">
        <f>4300*Таб6!C20*D15/(Таб6!C35*(IF(Таб1!$C$2=Пр7!$A$14,Таб1!$C$8,Таб1!$C$7)))^(2/3)</f>
        <v>0.113872407172065</v>
      </c>
      <c r="E12" s="213">
        <f>4300*Таб6!D20*E15/(Таб6!D35*(IF(Таб1!$C$2=Пр7!$A$14,Таб1!$C$8,Таб1!$C$7)))^(2/3)</f>
        <v>0.101399659596486</v>
      </c>
      <c r="F12" s="213">
        <f>4300*Таб6!E20*F15/(Таб6!E35*(IF(Таб1!$C$2=Пр7!$A$14,Таб1!$C$8,Таб1!$C$7)))^(2/3)</f>
        <v>0.10349874891692</v>
      </c>
      <c r="G12" s="213">
        <f>4300*Таб6!F20*G15/(Таб6!F35*(IF(Таб1!$C$2=Пр7!$A$14,Таб1!$C$8,Таб1!$C$7)))^(2/3)</f>
        <v>0.106021419776385</v>
      </c>
      <c r="H12" s="213">
        <f>4300*Таб6!G20*H15/(Таб6!G35*(IF(Таб1!$C$2=Пр7!$A$14,Таб1!$C$8,Таб1!$C$7)))^(2/3)</f>
        <v>0.109046689182788</v>
      </c>
      <c r="I12" s="213">
        <f>4300*Таб6!H20*I15/(Таб6!H35*(IF(Таб1!$C$2=Пр7!$A$14,Таб1!$C$8,Таб1!$C$7)))^(2/3)</f>
        <v>0.110441548092191</v>
      </c>
      <c r="J12" s="213">
        <f>4300*Таб6!I20*J15/(Таб6!I35*(IF(Таб1!$C$2=Пр7!$A$14,Таб1!$C$8,Таб1!$C$7)))^(2/3)</f>
        <v>0.112246437926062</v>
      </c>
      <c r="K12" s="213">
        <f>4300*Таб6!J20*K15/(Таб6!J35*(IF(Таб1!$C$2=Пр7!$A$14,Таб1!$C$8,Таб1!$C$7)))^(2/3)</f>
        <v>0.112251881390018</v>
      </c>
      <c r="L12" s="213">
        <f>4300*Таб6!K20*L15/(Таб6!K35*(IF(Таб1!$C$2=Пр7!$A$14,Таб1!$C$8,Таб1!$C$7)))^(2/3)</f>
        <v>0.111284857831753</v>
      </c>
      <c r="M12" s="213">
        <f>4300*Таб6!L20*M15/(Таб6!L35*(IF(Таб1!$C$2=Пр7!$A$14,Таб1!$C$8,Таб1!$C$7)))^(2/3)</f>
        <v>0.109816061217983</v>
      </c>
      <c r="N12" s="206" t="s">
        <v>105</v>
      </c>
      <c r="Q12" s="220"/>
      <c r="R12" s="220"/>
      <c r="S12" s="224"/>
      <c r="T12" s="223"/>
    </row>
    <row r="13" ht="54" spans="1:20">
      <c r="A13" s="173" t="s">
        <v>106</v>
      </c>
      <c r="B13" s="173"/>
      <c r="C13" s="165" t="s">
        <v>102</v>
      </c>
      <c r="D13" s="213">
        <f t="shared" ref="D13:J13" si="1">D11+D12*D15</f>
        <v>0.18760845077805</v>
      </c>
      <c r="E13" s="213">
        <f t="shared" si="1"/>
        <v>0.215697219409288</v>
      </c>
      <c r="F13" s="213">
        <f t="shared" si="1"/>
        <v>0.247626554460542</v>
      </c>
      <c r="G13" s="213">
        <f t="shared" si="1"/>
        <v>0.379092020398396</v>
      </c>
      <c r="H13" s="213">
        <f t="shared" si="1"/>
        <v>0.337089642409496</v>
      </c>
      <c r="I13" s="213">
        <f t="shared" si="1"/>
        <v>0.398122033817366</v>
      </c>
      <c r="J13" s="213" t="e">
        <f t="shared" si="1"/>
        <v>#DIV/0!</v>
      </c>
      <c r="K13" s="213" t="e">
        <f t="shared" ref="K13:M13" si="2">K11+K12*K15</f>
        <v>#DIV/0!</v>
      </c>
      <c r="L13" s="213" t="e">
        <f t="shared" si="2"/>
        <v>#DIV/0!</v>
      </c>
      <c r="M13" s="213" t="e">
        <f t="shared" si="2"/>
        <v>#DIV/0!</v>
      </c>
      <c r="N13" s="206"/>
      <c r="Q13" s="220"/>
      <c r="R13" s="220"/>
      <c r="S13" s="226"/>
      <c r="T13" s="223"/>
    </row>
    <row r="14" ht="18" spans="1:20">
      <c r="A14" s="173" t="s">
        <v>107</v>
      </c>
      <c r="B14" s="173"/>
      <c r="C14" s="165" t="s">
        <v>108</v>
      </c>
      <c r="D14" s="175">
        <f>0.95*Таб1!$C$11</f>
        <v>33.25</v>
      </c>
      <c r="E14" s="175">
        <f>0.75*Таб1!$C$11</f>
        <v>26.25</v>
      </c>
      <c r="F14" s="175">
        <f>0.7*Таб1!$C$11</f>
        <v>24.5</v>
      </c>
      <c r="G14" s="175">
        <f>0.65*Таб1!$C$11</f>
        <v>22.75</v>
      </c>
      <c r="H14" s="175">
        <f>0.63*Таб1!C11</f>
        <v>22.05</v>
      </c>
      <c r="I14" s="175">
        <f>0.6*Таб1!C11</f>
        <v>21</v>
      </c>
      <c r="J14" s="175">
        <f>0.59*Таб1!$C$11</f>
        <v>20.65</v>
      </c>
      <c r="K14" s="175">
        <f>0.58*Таб1!$C$11</f>
        <v>20.3</v>
      </c>
      <c r="L14" s="175">
        <f>0.57*Таб1!$C$11</f>
        <v>19.95</v>
      </c>
      <c r="M14" s="175">
        <f>0.56*Таб1!$C$11</f>
        <v>19.6</v>
      </c>
      <c r="N14" s="207"/>
      <c r="Q14" s="220"/>
      <c r="R14" s="220"/>
      <c r="S14" s="224"/>
      <c r="T14" s="223"/>
    </row>
    <row r="15" ht="54" spans="1:20">
      <c r="A15" s="173" t="s">
        <v>109</v>
      </c>
      <c r="B15" s="173"/>
      <c r="C15" s="165" t="s">
        <v>110</v>
      </c>
      <c r="D15" s="213">
        <f>D14/Таб6!C20/1000</f>
        <v>0.0214930386498537</v>
      </c>
      <c r="E15" s="213">
        <f>E14/Таб6!D20/1000</f>
        <v>0.0169816255803309</v>
      </c>
      <c r="F15" s="213">
        <f>F14/Таб6!E20/1000</f>
        <v>0.0159346213201954</v>
      </c>
      <c r="G15" s="213">
        <f>G14/Таб6!F20/1000</f>
        <v>0.0148608785363603</v>
      </c>
      <c r="H15" s="213">
        <f>H14/Таб6!G20/1000</f>
        <v>0.0144036207352415</v>
      </c>
      <c r="I15" s="213">
        <f>I14/Таб6!H20/1000</f>
        <v>0.0137369745434336</v>
      </c>
      <c r="J15" s="213">
        <f>J14/Таб6!I20/1000</f>
        <v>0.0135229598648691</v>
      </c>
      <c r="K15" s="213">
        <f>K14/Таб6!J20/1000</f>
        <v>0.0133010332477479</v>
      </c>
      <c r="L15" s="213">
        <f>L14/Таб6!K20/1000</f>
        <v>0.0130752646552225</v>
      </c>
      <c r="M15" s="213">
        <f>M14/Таб6!L20/1000</f>
        <v>0.0128476187568068</v>
      </c>
      <c r="N15" s="206" t="s">
        <v>111</v>
      </c>
      <c r="Q15" s="220"/>
      <c r="R15" s="220"/>
      <c r="S15" s="224"/>
      <c r="T15" s="223"/>
    </row>
    <row r="16" ht="54" spans="1:20">
      <c r="A16" s="173" t="s">
        <v>112</v>
      </c>
      <c r="B16" s="173"/>
      <c r="C16" s="165"/>
      <c r="D16" s="175">
        <f t="shared" ref="D16:J16" si="3">D13*D10*10^-4*D6</f>
        <v>0.984913394337937</v>
      </c>
      <c r="E16" s="175">
        <f t="shared" si="3"/>
        <v>1.4768171729669</v>
      </c>
      <c r="F16" s="175">
        <f t="shared" si="3"/>
        <v>1.36033599288971</v>
      </c>
      <c r="G16" s="175">
        <f t="shared" si="3"/>
        <v>1.07803883233528</v>
      </c>
      <c r="H16" s="174">
        <f t="shared" si="3"/>
        <v>1.19461849183329</v>
      </c>
      <c r="I16" s="174">
        <f t="shared" si="3"/>
        <v>1.10177306717976</v>
      </c>
      <c r="J16" s="174" t="e">
        <f t="shared" si="3"/>
        <v>#DIV/0!</v>
      </c>
      <c r="K16" s="174" t="e">
        <f t="shared" ref="K16:M16" si="4">K13*K10*10^-4*K6</f>
        <v>#DIV/0!</v>
      </c>
      <c r="L16" s="174" t="e">
        <f t="shared" si="4"/>
        <v>#DIV/0!</v>
      </c>
      <c r="M16" s="174" t="e">
        <f t="shared" si="4"/>
        <v>#DIV/0!</v>
      </c>
      <c r="N16" s="206" t="s">
        <v>113</v>
      </c>
      <c r="Q16" s="220"/>
      <c r="R16" s="220"/>
      <c r="S16" s="226"/>
      <c r="T16" s="223"/>
    </row>
    <row r="17" ht="52.2" spans="1:20">
      <c r="A17" s="173" t="s">
        <v>114</v>
      </c>
      <c r="B17" s="173"/>
      <c r="C17" s="165" t="s">
        <v>52</v>
      </c>
      <c r="D17" s="214">
        <f t="shared" ref="D17:J17" si="5">1-EXP(-D13*D10*10^-4*D6)</f>
        <v>0.626528429711311</v>
      </c>
      <c r="E17" s="214">
        <f t="shared" si="5"/>
        <v>0.771636625974532</v>
      </c>
      <c r="F17" s="214">
        <f t="shared" si="5"/>
        <v>0.743425444756817</v>
      </c>
      <c r="G17" s="214">
        <f t="shared" si="5"/>
        <v>0.659737817091422</v>
      </c>
      <c r="H17" s="214">
        <f t="shared" si="5"/>
        <v>0.697180539755389</v>
      </c>
      <c r="I17" s="214">
        <f t="shared" si="5"/>
        <v>0.66771859617002</v>
      </c>
      <c r="J17" s="214" t="e">
        <f t="shared" si="5"/>
        <v>#DIV/0!</v>
      </c>
      <c r="K17" s="214" t="e">
        <f t="shared" ref="K17:M17" si="6">1-EXP(-K13*K10*10^-4*K6)</f>
        <v>#DIV/0!</v>
      </c>
      <c r="L17" s="214" t="e">
        <f t="shared" si="6"/>
        <v>#DIV/0!</v>
      </c>
      <c r="M17" s="214" t="e">
        <f t="shared" si="6"/>
        <v>#DIV/0!</v>
      </c>
      <c r="N17" s="206" t="s">
        <v>115</v>
      </c>
      <c r="Q17" s="220"/>
      <c r="R17" s="220"/>
      <c r="S17" s="207"/>
      <c r="T17" s="223"/>
    </row>
    <row r="18" ht="36" spans="1:20">
      <c r="A18" s="173" t="s">
        <v>116</v>
      </c>
      <c r="B18" s="173"/>
      <c r="C18" s="165" t="s">
        <v>117</v>
      </c>
      <c r="D18" s="178">
        <f>((Таб1!C5-Таб4!$D$3)-(Таб6!C24-Таб4!$D$3))/LN((Таб1!C5-Таб4!$D$3)/(Таб6!C24-Таб4!$D$3))</f>
        <v>958.443606894833</v>
      </c>
      <c r="E18" s="178">
        <f>((Таб6!C24-Таб4!$D$3)-(Таб6!D24-Таб4!$D$3))/LN((Таб6!C24-Таб4!$D$3)/(Таб6!D24-Таб4!$D$3))</f>
        <v>668.962591960619</v>
      </c>
      <c r="F18" s="178">
        <f>((Таб6!D24-Таб4!$D$3)-(Таб6!E24-Таб4!$D$3))/LN((Таб6!D24-Таб4!$D$3)/(Таб6!E24-Таб4!$D$3))</f>
        <v>435.166155488801</v>
      </c>
      <c r="G18" s="178">
        <f>((Таб6!E24-Таб4!$D$3)-(Таб6!F24-Таб4!$D$3))/LN((Таб6!E24-Таб4!$D$3)/(Таб6!F24-Таб4!$D$3))</f>
        <v>327.456109139915</v>
      </c>
      <c r="H18" s="178">
        <f>((Таб6!F24-Таб4!$D$3)-(Таб6!G24-Таб4!$D$3))/LN((Таб6!F24-Таб4!$D$3)/(Таб6!G24-Таб4!$D$3))</f>
        <v>256.460683937894</v>
      </c>
      <c r="I18" s="178">
        <f>((Таб6!G24-Таб4!$D$3)-(Таб6!H24-Таб4!$D$3))/LN((Таб6!G24-Таб4!$D$3)/(Таб6!H24-Таб4!$D$3))</f>
        <v>213.536346774748</v>
      </c>
      <c r="J18" s="178" t="e">
        <f>((Таб6!H24-Таб4!$D$3)-(Таб6!I24-Таб4!$D$3))/LN((Таб6!H24-Таб4!$D$3)/(Таб6!I24-Таб4!$D$3))</f>
        <v>#DIV/0!</v>
      </c>
      <c r="K18" s="178" t="e">
        <f>((Таб6!I24-Таб4!$D$3)-(Таб6!J24-Таб4!$D$3))/LN((Таб6!I24-Таб4!$D$3)/(Таб6!J24-Таб4!$D$3))</f>
        <v>#DIV/0!</v>
      </c>
      <c r="L18" s="178" t="e">
        <f>((Таб6!J24-Таб4!$D$3)-(Таб6!K24-Таб4!$D$3))/LN((Таб6!J24-Таб4!$D$3)/(Таб6!K24-Таб4!$D$3))</f>
        <v>#DIV/0!</v>
      </c>
      <c r="M18" s="178" t="e">
        <f>((Таб6!K24-Таб4!$D$3)-(Таб6!L24-Таб4!$D$3))/LN((Таб6!K24-Таб4!$D$3)/(Таб6!L24-Таб4!$D$3))</f>
        <v>#DIV/0!</v>
      </c>
      <c r="N18" s="207"/>
      <c r="Q18" s="220"/>
      <c r="R18" s="220"/>
      <c r="S18" s="227"/>
      <c r="T18" s="223"/>
    </row>
    <row r="19" ht="54" spans="1:20">
      <c r="A19" s="173" t="s">
        <v>118</v>
      </c>
      <c r="B19" s="173"/>
      <c r="C19" s="165" t="s">
        <v>117</v>
      </c>
      <c r="D19" s="178">
        <f>Таб4!$D$3+D18</f>
        <v>1209.44360689483</v>
      </c>
      <c r="E19" s="178">
        <f>Таб4!$D$3+E18</f>
        <v>919.962591960619</v>
      </c>
      <c r="F19" s="178">
        <f>Таб4!$D$3+F18</f>
        <v>686.166155488801</v>
      </c>
      <c r="G19" s="178">
        <f>Таб4!$D$3+G18</f>
        <v>578.456109139915</v>
      </c>
      <c r="H19" s="178">
        <f>Таб4!$D$3+H18</f>
        <v>507.460683937894</v>
      </c>
      <c r="I19" s="178">
        <f>Таб4!$D$3+I18</f>
        <v>464.536346774748</v>
      </c>
      <c r="J19" s="178" t="e">
        <f>Таб4!$D$3+J18</f>
        <v>#DIV/0!</v>
      </c>
      <c r="K19" s="178" t="e">
        <f>Таб4!$D$3+K18</f>
        <v>#DIV/0!</v>
      </c>
      <c r="L19" s="178" t="e">
        <f>Таб4!$D$3+L18</f>
        <v>#DIV/0!</v>
      </c>
      <c r="M19" s="178" t="e">
        <f>Таб4!$D$3+M18</f>
        <v>#DIV/0!</v>
      </c>
      <c r="N19" s="206" t="s">
        <v>119</v>
      </c>
      <c r="Q19" s="220"/>
      <c r="R19" s="220"/>
      <c r="S19" s="207"/>
      <c r="T19" s="223"/>
    </row>
    <row r="20" ht="18" spans="1:20">
      <c r="A20" s="173"/>
      <c r="B20" s="173"/>
      <c r="C20" s="165" t="s">
        <v>120</v>
      </c>
      <c r="D20" s="178">
        <f t="shared" ref="D20:J20" si="7">D19+273</f>
        <v>1482.44360689483</v>
      </c>
      <c r="E20" s="178">
        <f t="shared" si="7"/>
        <v>1192.96259196062</v>
      </c>
      <c r="F20" s="178">
        <f t="shared" si="7"/>
        <v>959.166155488801</v>
      </c>
      <c r="G20" s="178">
        <f t="shared" si="7"/>
        <v>851.456109139915</v>
      </c>
      <c r="H20" s="178">
        <f t="shared" si="7"/>
        <v>780.460683937894</v>
      </c>
      <c r="I20" s="178">
        <f t="shared" si="7"/>
        <v>737.536346774748</v>
      </c>
      <c r="J20" s="178" t="e">
        <f t="shared" si="7"/>
        <v>#DIV/0!</v>
      </c>
      <c r="K20" s="178" t="e">
        <f t="shared" ref="K20:M20" si="8">K19+273</f>
        <v>#DIV/0!</v>
      </c>
      <c r="L20" s="178" t="e">
        <f t="shared" si="8"/>
        <v>#DIV/0!</v>
      </c>
      <c r="M20" s="178" t="e">
        <f t="shared" si="8"/>
        <v>#DIV/0!</v>
      </c>
      <c r="N20" s="207"/>
      <c r="Q20" s="220"/>
      <c r="R20" s="220"/>
      <c r="S20" s="207"/>
      <c r="T20" s="223"/>
    </row>
    <row r="21" ht="54" spans="1:20">
      <c r="A21" s="183" t="s">
        <v>121</v>
      </c>
      <c r="B21" s="183"/>
      <c r="C21" s="184" t="s">
        <v>117</v>
      </c>
      <c r="D21" s="215">
        <f>Таб1!C5-Таб2!C19</f>
        <v>1170</v>
      </c>
      <c r="E21" s="215">
        <f>Таб8_Расчет_коэффициента_теплопередачи[[#This Row],[Зона 1]]-Таб2!D19</f>
        <v>720</v>
      </c>
      <c r="F21" s="215">
        <f>Таб8_Расчет_коэффициента_теплопередачи[[#This Row],[Зона 2]]-Таб2!E19</f>
        <v>654</v>
      </c>
      <c r="G21" s="215">
        <f>Таб8_Расчет_коэффициента_теплопередачи[[#This Row],[Зона 3]]-Таб2!F19</f>
        <v>513</v>
      </c>
      <c r="H21" s="215">
        <f>Таб8_Расчет_коэффициента_теплопередачи[[#This Row],[Зона 4]]-Таб2!G19</f>
        <v>502</v>
      </c>
      <c r="I21" s="215">
        <f>Таб8_Расчет_коэффициента_теплопередачи[[#This Row],[Зона 5]]-Таб2!H19</f>
        <v>431</v>
      </c>
      <c r="J21" s="215">
        <f>Таб8_Расчет_коэффициента_теплопередачи[[#This Row],[Зона 6]]-Таб2!I19</f>
        <v>431</v>
      </c>
      <c r="K21" s="215">
        <f>Таб8_Расчет_коэффициента_теплопередачи[[#This Row],[Зона 7]]-Таб2!J19</f>
        <v>431</v>
      </c>
      <c r="L21" s="215">
        <f>Таб8_Расчет_коэффициента_теплопередачи[[#This Row],[Зона 8]]-Таб2!K19</f>
        <v>431</v>
      </c>
      <c r="M21" s="215">
        <f>Таб8_Расчет_коэффициента_теплопередачи[[#This Row],[Зона 9]]-Таб2!L19</f>
        <v>431</v>
      </c>
      <c r="N21" s="218"/>
      <c r="Q21" s="220"/>
      <c r="R21" s="220"/>
      <c r="S21" s="207"/>
      <c r="T21" s="223"/>
    </row>
    <row r="22" ht="72" spans="1:20">
      <c r="A22" s="173" t="s">
        <v>122</v>
      </c>
      <c r="B22" s="173"/>
      <c r="C22" s="165" t="s">
        <v>123</v>
      </c>
      <c r="D22" s="178">
        <f>4.88*(10^(-8))*(Таб5!C2+1)/2*D17*(Таб6!C35^3)*((1-(D28/D20)^4)/(1-D28/D20))</f>
        <v>262.317500400263</v>
      </c>
      <c r="E22" s="178">
        <f>4.88*(10^(-8))*(Таб5!D2+1)/2*E17*(Таб6!D35^3)*((1-(E28/E20)^4)/(1-E28/E20))</f>
        <v>159.356623757794</v>
      </c>
      <c r="F22" s="178">
        <f>4.88*(10^(-8))*(Таб5!E2+1)/2*F17*(Таб6!E35^3)*((1-(F28/F20)^4)/(1-F28/F20))</f>
        <v>101.497640550484</v>
      </c>
      <c r="G22" s="178">
        <f>4.88*(10^(-8))*(Таб5!F2+1)/2*G17*(Таб6!F35^3)*((1-(G28/G20)^4)/(1-G28/G20))</f>
        <v>57.6612835201699</v>
      </c>
      <c r="H22" s="178">
        <f>4.88*(10^(-8))*(Таб5!G2+1)/2*H17*(Таб6!G35^3)*((1-(H28/H20)^4)/(1-H28/H20))</f>
        <v>48.2024866177502</v>
      </c>
      <c r="I22" s="178">
        <f>4.88*(10^(-8))*(Таб5!H2+1)/2*I17*(Таб6!H35^3)*((1-(I28/I20)^4)/(1-I28/I20))</f>
        <v>36.8593326761497</v>
      </c>
      <c r="J22" s="178" t="e">
        <f>4.88*(10^(-8))*(Таб5!I2+1)/2*J17*(Таб6!I35^3)*((1-(J28/J20)^4)/(1-J28/J20))</f>
        <v>#DIV/0!</v>
      </c>
      <c r="K22" s="178" t="e">
        <f>4.88*(10^(-8))*(Таб5!J2+1)/2*K17*(Таб6!J35^3)*((1-(K28/K20)^4)/(1-K28/K20))</f>
        <v>#DIV/0!</v>
      </c>
      <c r="L22" s="178" t="e">
        <f>4.88*(10^(-8))*(Таб5!K2+1)/2*L17*(Таб6!K35^3)*((1-(L28/L20)^4)/(1-L28/L20))</f>
        <v>#DIV/0!</v>
      </c>
      <c r="M22" s="178" t="e">
        <f>4.88*(10^(-8))*(Таб5!L2+1)/2*M17*(Таб6!L35^3)*((1-(M28/M20)^4)/(1-M28/M20))</f>
        <v>#DIV/0!</v>
      </c>
      <c r="N22" s="206" t="s">
        <v>124</v>
      </c>
      <c r="Q22" s="220"/>
      <c r="R22" s="220"/>
      <c r="S22" s="207"/>
      <c r="T22" s="223"/>
    </row>
    <row r="23" ht="36" spans="1:20">
      <c r="A23" s="173" t="s">
        <v>125</v>
      </c>
      <c r="B23" s="173"/>
      <c r="C23" s="165"/>
      <c r="D23" s="182">
        <f>1-Таб7!C20</f>
        <v>0.991750049913222</v>
      </c>
      <c r="E23" s="182">
        <f>1-Таб7!D20</f>
        <v>0.981274063603848</v>
      </c>
      <c r="F23" s="182">
        <f>1-Таб7!E20</f>
        <v>0.984710931857459</v>
      </c>
      <c r="G23" s="182">
        <f>1-Таб7!F20</f>
        <v>0.981923966046179</v>
      </c>
      <c r="H23" s="182">
        <f>1-Таб7!G20</f>
        <v>0.976839939722174</v>
      </c>
      <c r="I23" s="182">
        <f>1-Таб7!H20</f>
        <v>0.966152281070472</v>
      </c>
      <c r="J23" s="182" t="e">
        <f>1-Таб7!I20</f>
        <v>#DIV/0!</v>
      </c>
      <c r="K23" s="182" t="e">
        <f>1-Таб7!J20</f>
        <v>#DIV/0!</v>
      </c>
      <c r="L23" s="182" t="e">
        <f>1-Таб7!K20</f>
        <v>#DIV/0!</v>
      </c>
      <c r="M23" s="182" t="e">
        <f>1-Таб7!L20</f>
        <v>#DIV/0!</v>
      </c>
      <c r="N23" s="206" t="s">
        <v>126</v>
      </c>
      <c r="Q23" s="220"/>
      <c r="R23" s="220"/>
      <c r="S23" s="224"/>
      <c r="T23" s="223"/>
    </row>
    <row r="24" ht="72" spans="1:20">
      <c r="A24" s="173" t="s">
        <v>127</v>
      </c>
      <c r="B24" s="173"/>
      <c r="C24" s="165" t="s">
        <v>128</v>
      </c>
      <c r="D24" s="178">
        <f>Таб6!C38/Таб5!C7*D23*1000000</f>
        <v>25682.4684084667</v>
      </c>
      <c r="E24" s="178">
        <f>Таб6!D38/Таб5!D7*E23*1000000</f>
        <v>16286.9841662973</v>
      </c>
      <c r="F24" s="178">
        <f>Таб6!E38/Таб5!E7*F23*1000000</f>
        <v>9461.01630543002</v>
      </c>
      <c r="G24" s="178">
        <f>Таб6!F38/Таб5!F7*G23*1000000</f>
        <v>5733.52428730559</v>
      </c>
      <c r="H24" s="178">
        <f>Таб6!G38/Таб5!G7*H23*1000000</f>
        <v>4017.45479549132</v>
      </c>
      <c r="I24" s="178">
        <f>Таб6!H38/Таб5!H7*I23*1000000</f>
        <v>3012.75018979702</v>
      </c>
      <c r="J24" s="178" t="e">
        <f>Таб6!I38/Таб5!I7*J23*1000000</f>
        <v>#DIV/0!</v>
      </c>
      <c r="K24" s="178" t="e">
        <f>Таб6!J38/Таб5!J7*K23*1000000</f>
        <v>#DIV/0!</v>
      </c>
      <c r="L24" s="178" t="e">
        <f>Таб6!K38/Таб5!K7*L23*1000000</f>
        <v>#DIV/0!</v>
      </c>
      <c r="M24" s="178" t="e">
        <f>Таб6!L38/Таб5!L7*M23*1000000</f>
        <v>#DIV/0!</v>
      </c>
      <c r="N24" s="207"/>
      <c r="Q24" s="220">
        <f>3600/4190*Таб8_Расчет_коэффициента_теплопередачи[[#This Row],[Зона 1]]</f>
        <v>22066.0826421194</v>
      </c>
      <c r="R24" s="220"/>
      <c r="S24" s="224"/>
      <c r="T24" s="223"/>
    </row>
    <row r="25" ht="174" spans="1:20">
      <c r="A25" s="173" t="s">
        <v>129</v>
      </c>
      <c r="B25" s="216" t="s">
        <v>130</v>
      </c>
      <c r="C25" s="165" t="s">
        <v>131</v>
      </c>
      <c r="D25" s="213">
        <f>IF(Таб6!C34&gt;600,3*10^-5*Таб6!C34-0.0109,0.005)</f>
        <v>0.0254</v>
      </c>
      <c r="E25" s="213">
        <f>IF(Таб6!D34&gt;600,3*10^-5*Таб6!D34-0.0109,0.005)</f>
        <v>0.01805</v>
      </c>
      <c r="F25" s="213">
        <f>IF(Таб6!E34&gt;600,3*10^-5*Таб6!E34-0.0109,0.005)</f>
        <v>0.013385</v>
      </c>
      <c r="G25" s="213">
        <f>IF(Таб6!F34&gt;600,3*10^-5*Таб6!F34-0.0109,0.005)</f>
        <v>0.0089375</v>
      </c>
      <c r="H25" s="213">
        <f>IF(Таб6!G34&gt;600,3*10^-5*Таб6!G34-0.0109,0.005)</f>
        <v>0.005</v>
      </c>
      <c r="I25" s="213">
        <f>IF(Таб6!H34&gt;600,3*10^-5*Таб6!H34-0.0109,0.005)</f>
        <v>0.005</v>
      </c>
      <c r="J25" s="213">
        <f>IF(Таб6!I34&gt;600,3*10^-5*Таб6!I34-0.0109,0.005)</f>
        <v>0.005</v>
      </c>
      <c r="K25" s="213">
        <f>IF(Таб6!J34&gt;600,3*10^-5*Таб6!J34-0.0109,0.005)</f>
        <v>0.005</v>
      </c>
      <c r="L25" s="213">
        <f>IF(Таб6!K34&gt;600,3*10^-5*Таб6!K34-0.0109,0.005)</f>
        <v>0.005</v>
      </c>
      <c r="M25" s="213">
        <f>IF(Таб6!L34&gt;600,3*10^-5*Таб6!L34-0.0109,0.005)</f>
        <v>0.005</v>
      </c>
      <c r="N25" s="206" t="s">
        <v>132</v>
      </c>
      <c r="Q25" s="220"/>
      <c r="R25" s="220"/>
      <c r="S25" s="226"/>
      <c r="T25" s="228"/>
    </row>
    <row r="26" ht="87" spans="1:20">
      <c r="A26" s="173" t="s">
        <v>133</v>
      </c>
      <c r="B26" s="174" t="s">
        <v>134</v>
      </c>
      <c r="C26" s="216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206" t="s">
        <v>135</v>
      </c>
      <c r="Q26" s="220"/>
      <c r="R26" s="220"/>
      <c r="S26" s="207"/>
      <c r="T26" s="223"/>
    </row>
    <row r="27" ht="108" spans="1:20">
      <c r="A27" s="173" t="s">
        <v>136</v>
      </c>
      <c r="B27" s="165" t="s">
        <v>137</v>
      </c>
      <c r="C27" s="165" t="s">
        <v>117</v>
      </c>
      <c r="D27" s="178">
        <f>Таб4!$D$3+D25*D24</f>
        <v>903.334697575056</v>
      </c>
      <c r="E27" s="178">
        <f>Таб4!$D$3+E25*E24</f>
        <v>544.980064201665</v>
      </c>
      <c r="F27" s="178">
        <f>Таб4!$D$3+F25*F24</f>
        <v>377.635703248181</v>
      </c>
      <c r="G27" s="178">
        <f>Таб4!$D$3+G25*G24</f>
        <v>302.243373317794</v>
      </c>
      <c r="H27" s="178">
        <f>Таб4!$D$3+H25*H24</f>
        <v>271.087273977457</v>
      </c>
      <c r="I27" s="178">
        <f>Таб4!$D$3+I25*I24</f>
        <v>266.063750948985</v>
      </c>
      <c r="J27" s="178" t="e">
        <f>Таб4!$D$3+J25*J24</f>
        <v>#DIV/0!</v>
      </c>
      <c r="K27" s="178" t="e">
        <f>Таб4!$D$3+K25*K24</f>
        <v>#DIV/0!</v>
      </c>
      <c r="L27" s="178" t="e">
        <f>Таб4!$D$3+L25*L24</f>
        <v>#DIV/0!</v>
      </c>
      <c r="M27" s="178" t="e">
        <f>Таб4!$D$3+M25*M24</f>
        <v>#DIV/0!</v>
      </c>
      <c r="N27" s="206" t="s">
        <v>138</v>
      </c>
      <c r="Q27" s="220"/>
      <c r="R27" s="220"/>
      <c r="S27" s="207"/>
      <c r="T27" s="223"/>
    </row>
    <row r="28" ht="18" spans="1:20">
      <c r="A28" s="173"/>
      <c r="B28" s="173"/>
      <c r="C28" s="165" t="s">
        <v>120</v>
      </c>
      <c r="D28" s="178">
        <f t="shared" ref="D28:J28" si="9">D27+273</f>
        <v>1176.33469757506</v>
      </c>
      <c r="E28" s="178">
        <f t="shared" si="9"/>
        <v>817.980064201665</v>
      </c>
      <c r="F28" s="178">
        <f t="shared" si="9"/>
        <v>650.635703248181</v>
      </c>
      <c r="G28" s="178">
        <f t="shared" si="9"/>
        <v>575.243373317794</v>
      </c>
      <c r="H28" s="178">
        <f t="shared" si="9"/>
        <v>544.087273977457</v>
      </c>
      <c r="I28" s="178">
        <f t="shared" si="9"/>
        <v>539.063750948985</v>
      </c>
      <c r="J28" s="178" t="e">
        <f t="shared" si="9"/>
        <v>#DIV/0!</v>
      </c>
      <c r="K28" s="178" t="e">
        <f t="shared" ref="K28:M28" si="10">K27+273</f>
        <v>#DIV/0!</v>
      </c>
      <c r="L28" s="178" t="e">
        <f t="shared" si="10"/>
        <v>#DIV/0!</v>
      </c>
      <c r="M28" s="178" t="e">
        <f t="shared" si="10"/>
        <v>#DIV/0!</v>
      </c>
      <c r="N28" s="207"/>
      <c r="Q28" s="220"/>
      <c r="R28" s="220"/>
      <c r="S28" s="207"/>
      <c r="T28" s="223"/>
    </row>
    <row r="29" ht="36" spans="1:20">
      <c r="A29" s="173" t="s">
        <v>139</v>
      </c>
      <c r="B29" s="165" t="s">
        <v>139</v>
      </c>
      <c r="C29" s="165" t="s">
        <v>140</v>
      </c>
      <c r="D29" s="213">
        <f t="shared" ref="D29:M30" si="11">-4*10^-9*D$19^2+5*10^-5*D$19+0.0082</f>
        <v>0.0628211649917065</v>
      </c>
      <c r="E29" s="213">
        <f t="shared" si="11"/>
        <v>0.0508128049156034</v>
      </c>
      <c r="F29" s="213">
        <f t="shared" si="11"/>
        <v>0.0406250118026869</v>
      </c>
      <c r="G29" s="213">
        <f t="shared" si="11"/>
        <v>0.0357843595761906</v>
      </c>
      <c r="H29" s="213">
        <f t="shared" si="11"/>
        <v>0.0325429688139239</v>
      </c>
      <c r="I29" s="213">
        <f t="shared" si="11"/>
        <v>0.0305636412688381</v>
      </c>
      <c r="J29" s="213" t="e">
        <f t="shared" si="11"/>
        <v>#DIV/0!</v>
      </c>
      <c r="K29" s="213" t="e">
        <f t="shared" si="11"/>
        <v>#DIV/0!</v>
      </c>
      <c r="L29" s="213" t="e">
        <f t="shared" si="11"/>
        <v>#DIV/0!</v>
      </c>
      <c r="M29" s="213" t="e">
        <f t="shared" si="11"/>
        <v>#DIV/0!</v>
      </c>
      <c r="N29" s="206" t="s">
        <v>141</v>
      </c>
      <c r="Q29" s="220"/>
      <c r="R29" s="220"/>
      <c r="S29" s="207"/>
      <c r="T29" s="223"/>
    </row>
    <row r="30" ht="36" spans="1:20">
      <c r="A30" s="173" t="s">
        <v>142</v>
      </c>
      <c r="B30" s="165" t="s">
        <v>142</v>
      </c>
      <c r="C30" s="165" t="s">
        <v>140</v>
      </c>
      <c r="D30" s="213">
        <f t="shared" si="11"/>
        <v>0.0628211649917065</v>
      </c>
      <c r="E30" s="213">
        <f t="shared" si="11"/>
        <v>0.0508128049156034</v>
      </c>
      <c r="F30" s="213">
        <f t="shared" si="11"/>
        <v>0.0406250118026869</v>
      </c>
      <c r="G30" s="213">
        <f t="shared" si="11"/>
        <v>0.0357843595761906</v>
      </c>
      <c r="H30" s="213">
        <f t="shared" si="11"/>
        <v>0.0325429688139239</v>
      </c>
      <c r="I30" s="213">
        <f t="shared" si="11"/>
        <v>0.0305636412688381</v>
      </c>
      <c r="J30" s="213" t="e">
        <f t="shared" si="11"/>
        <v>#DIV/0!</v>
      </c>
      <c r="K30" s="213" t="e">
        <f t="shared" si="11"/>
        <v>#DIV/0!</v>
      </c>
      <c r="L30" s="213" t="e">
        <f t="shared" si="11"/>
        <v>#DIV/0!</v>
      </c>
      <c r="M30" s="213" t="e">
        <f t="shared" si="11"/>
        <v>#DIV/0!</v>
      </c>
      <c r="N30" s="206" t="s">
        <v>141</v>
      </c>
      <c r="Q30" s="220"/>
      <c r="R30" s="220"/>
      <c r="S30" s="207"/>
      <c r="T30" s="223"/>
    </row>
    <row r="31" ht="36" spans="1:20">
      <c r="A31" s="173" t="s">
        <v>143</v>
      </c>
      <c r="B31" s="165" t="s">
        <v>143</v>
      </c>
      <c r="C31" s="165" t="s">
        <v>140</v>
      </c>
      <c r="D31" s="213">
        <f t="shared" ref="D31:M31" si="12">-5*10^-8*D$19^2+0.0002*D$19+0.0225</f>
        <v>0.191251029466027</v>
      </c>
      <c r="E31" s="213">
        <f t="shared" si="12"/>
        <v>0.164175959861779</v>
      </c>
      <c r="F31" s="213">
        <f t="shared" si="12"/>
        <v>0.136192031450846</v>
      </c>
      <c r="G31" s="213">
        <f t="shared" si="12"/>
        <v>0.121460648317919</v>
      </c>
      <c r="H31" s="213">
        <f t="shared" si="12"/>
        <v>0.111116319500443</v>
      </c>
      <c r="I31" s="213">
        <f t="shared" si="12"/>
        <v>0.104617568481208</v>
      </c>
      <c r="J31" s="213" t="e">
        <f t="shared" si="12"/>
        <v>#DIV/0!</v>
      </c>
      <c r="K31" s="213" t="e">
        <f t="shared" si="12"/>
        <v>#DIV/0!</v>
      </c>
      <c r="L31" s="213" t="e">
        <f t="shared" si="12"/>
        <v>#DIV/0!</v>
      </c>
      <c r="M31" s="213" t="e">
        <f t="shared" si="12"/>
        <v>#DIV/0!</v>
      </c>
      <c r="N31" s="206" t="s">
        <v>141</v>
      </c>
      <c r="Q31" s="220"/>
      <c r="R31" s="220"/>
      <c r="S31" s="207"/>
      <c r="T31" s="223"/>
    </row>
    <row r="32" ht="36" spans="1:20">
      <c r="A32" s="173" t="s">
        <v>144</v>
      </c>
      <c r="B32" s="165" t="s">
        <v>144</v>
      </c>
      <c r="C32" s="165" t="s">
        <v>140</v>
      </c>
      <c r="D32" s="213">
        <f t="shared" ref="D32:M32" si="13">-4*10^-8*D$19^2+9*10^-5*D$19+0.024</f>
        <v>0.0743397710901837</v>
      </c>
      <c r="E32" s="213">
        <f t="shared" si="13"/>
        <v>0.0729433864521797</v>
      </c>
      <c r="F32" s="213">
        <f t="shared" si="13"/>
        <v>0.0669219942764608</v>
      </c>
      <c r="G32" s="213">
        <f t="shared" si="13"/>
        <v>0.0626765910145408</v>
      </c>
      <c r="H32" s="213">
        <f t="shared" si="13"/>
        <v>0.0593708077247019</v>
      </c>
      <c r="I32" s="213">
        <f t="shared" si="13"/>
        <v>0.0571765105107342</v>
      </c>
      <c r="J32" s="213" t="e">
        <f t="shared" si="13"/>
        <v>#DIV/0!</v>
      </c>
      <c r="K32" s="213" t="e">
        <f t="shared" si="13"/>
        <v>#DIV/0!</v>
      </c>
      <c r="L32" s="213" t="e">
        <f t="shared" si="13"/>
        <v>#DIV/0!</v>
      </c>
      <c r="M32" s="213" t="e">
        <f t="shared" si="13"/>
        <v>#DIV/0!</v>
      </c>
      <c r="N32" s="206" t="s">
        <v>141</v>
      </c>
      <c r="Q32" s="220"/>
      <c r="R32" s="220"/>
      <c r="S32" s="207"/>
      <c r="T32" s="223"/>
    </row>
    <row r="33" ht="36" spans="1:20">
      <c r="A33" s="173" t="s">
        <v>145</v>
      </c>
      <c r="B33" s="165" t="s">
        <v>145</v>
      </c>
      <c r="C33" s="165" t="s">
        <v>140</v>
      </c>
      <c r="D33" s="213">
        <f t="shared" ref="D33:M33" si="14">-5*10^-8*D$19^2+9*10^-5*D$19+0.0231</f>
        <v>0.0588122327075958</v>
      </c>
      <c r="E33" s="213">
        <f t="shared" si="14"/>
        <v>0.0635800747461107</v>
      </c>
      <c r="F33" s="213">
        <f t="shared" si="14"/>
        <v>0.061313754347078</v>
      </c>
      <c r="G33" s="213">
        <f t="shared" si="14"/>
        <v>0.0584304763125279</v>
      </c>
      <c r="H33" s="213">
        <f t="shared" si="14"/>
        <v>0.0558956442672747</v>
      </c>
      <c r="I33" s="213">
        <f t="shared" si="14"/>
        <v>0.0541185703359859</v>
      </c>
      <c r="J33" s="213" t="e">
        <f t="shared" si="14"/>
        <v>#DIV/0!</v>
      </c>
      <c r="K33" s="213" t="e">
        <f t="shared" si="14"/>
        <v>#DIV/0!</v>
      </c>
      <c r="L33" s="213" t="e">
        <f t="shared" si="14"/>
        <v>#DIV/0!</v>
      </c>
      <c r="M33" s="213" t="e">
        <f t="shared" si="14"/>
        <v>#DIV/0!</v>
      </c>
      <c r="N33" s="206" t="s">
        <v>141</v>
      </c>
      <c r="Q33" s="220"/>
      <c r="R33" s="220"/>
      <c r="S33" s="207"/>
      <c r="T33" s="223"/>
    </row>
    <row r="34" ht="36" spans="1:20">
      <c r="A34" s="173" t="s">
        <v>146</v>
      </c>
      <c r="B34" s="165" t="s">
        <v>146</v>
      </c>
      <c r="C34" s="165" t="s">
        <v>140</v>
      </c>
      <c r="D34" s="213">
        <f t="shared" ref="D34:M34" si="15">-1*10^-8*D$19^2+8*10^-5*D$19+0.0145</f>
        <v>0.0966279501689988</v>
      </c>
      <c r="E34" s="213">
        <f t="shared" si="15"/>
        <v>0.0796336956507805</v>
      </c>
      <c r="F34" s="213">
        <f t="shared" si="15"/>
        <v>0.0646850525097213</v>
      </c>
      <c r="G34" s="213">
        <f t="shared" si="15"/>
        <v>0.0574303740291803</v>
      </c>
      <c r="H34" s="213">
        <f t="shared" si="15"/>
        <v>0.0525216912576044</v>
      </c>
      <c r="I34" s="213">
        <f t="shared" si="15"/>
        <v>0.0495049675672316</v>
      </c>
      <c r="J34" s="213" t="e">
        <f t="shared" si="15"/>
        <v>#DIV/0!</v>
      </c>
      <c r="K34" s="213" t="e">
        <f t="shared" si="15"/>
        <v>#DIV/0!</v>
      </c>
      <c r="L34" s="213" t="e">
        <f t="shared" si="15"/>
        <v>#DIV/0!</v>
      </c>
      <c r="M34" s="213" t="e">
        <f t="shared" si="15"/>
        <v>#DIV/0!</v>
      </c>
      <c r="N34" s="206" t="s">
        <v>141</v>
      </c>
      <c r="Q34" s="220"/>
      <c r="R34" s="220"/>
      <c r="S34" s="207"/>
      <c r="T34" s="223"/>
    </row>
    <row r="35" ht="36" spans="1:20">
      <c r="A35" s="173" t="s">
        <v>147</v>
      </c>
      <c r="B35" s="165" t="s">
        <v>147</v>
      </c>
      <c r="C35" s="165" t="s">
        <v>140</v>
      </c>
      <c r="D35" s="213">
        <f t="shared" ref="D35:M35" si="16">-1*10^-8*D$19^2+7*10^-5*D$19+0.0233</f>
        <v>0.0933335141000505</v>
      </c>
      <c r="E35" s="213">
        <f t="shared" si="16"/>
        <v>0.0792340697311743</v>
      </c>
      <c r="F35" s="213">
        <f t="shared" si="16"/>
        <v>0.0666233909548333</v>
      </c>
      <c r="G35" s="213">
        <f t="shared" si="16"/>
        <v>0.0604458129377812</v>
      </c>
      <c r="H35" s="213">
        <f t="shared" si="16"/>
        <v>0.0562470844182255</v>
      </c>
      <c r="I35" s="213">
        <f t="shared" si="16"/>
        <v>0.0536596040994841</v>
      </c>
      <c r="J35" s="213" t="e">
        <f t="shared" si="16"/>
        <v>#DIV/0!</v>
      </c>
      <c r="K35" s="213" t="e">
        <f t="shared" si="16"/>
        <v>#DIV/0!</v>
      </c>
      <c r="L35" s="213" t="e">
        <f t="shared" si="16"/>
        <v>#DIV/0!</v>
      </c>
      <c r="M35" s="213" t="e">
        <f t="shared" si="16"/>
        <v>#DIV/0!</v>
      </c>
      <c r="N35" s="206" t="s">
        <v>141</v>
      </c>
      <c r="Q35" s="220"/>
      <c r="R35" s="220"/>
      <c r="S35" s="207"/>
      <c r="T35" s="223"/>
    </row>
    <row r="36" ht="54" spans="1:20">
      <c r="A36" s="173" t="s">
        <v>148</v>
      </c>
      <c r="B36" s="165" t="s">
        <v>149</v>
      </c>
      <c r="C36" s="165" t="s">
        <v>140</v>
      </c>
      <c r="D36" s="176">
        <f>Таб6!C8*D29+Таб6!C10*D30+Таб6!C12*D31+Таб6!C14*D32+Таб6!C16*D33+Таб6!C18*D34</f>
        <v>0.108315742835779</v>
      </c>
      <c r="E36" s="176">
        <f>Таб6!D8*E29+Таб6!D10*E30+Таб6!D12*E31+Таб6!D14*E32+Таб6!D16*E33+Таб6!D18*E34</f>
        <v>0.0960205178776879</v>
      </c>
      <c r="F36" s="176">
        <f>Таб6!E8*F29+Таб6!E10*F30+Таб6!E12*F31+Таб6!E14*F32+Таб6!E16*F33+Таб6!E18*F34</f>
        <v>0.081366413225352</v>
      </c>
      <c r="G36" s="176">
        <f>Таб6!F8*G29+Таб6!F10*G30+Таб6!F12*G31+Таб6!F14*G32+Таб6!F16*G33+Таб6!F18*G34</f>
        <v>0.0733777846468068</v>
      </c>
      <c r="H36" s="176">
        <f>Таб6!G8*H29+Таб6!G10*H30+Таб6!G12*H31+Таб6!G14*H32+Таб6!G16*H33+Таб6!G18*H34</f>
        <v>0.067990942286479</v>
      </c>
      <c r="I36" s="176">
        <f>Таб6!H8*I29+Таб6!H10*I30+Таб6!H12*I31+Таб6!H14*I32+Таб6!H16*I33+Таб6!H18*I34</f>
        <v>0.06447308285221</v>
      </c>
      <c r="J36" s="176" t="e">
        <f>Таб6!I8*J29+Таб6!I10*J30+Таб6!I12*J31+Таб6!I14*J32+Таб6!I16*J33+Таб6!I18*J34</f>
        <v>#DIV/0!</v>
      </c>
      <c r="K36" s="176" t="e">
        <f>Таб6!J8*K29+Таб6!J10*K30+Таб6!J12*K31+Таб6!J14*K32+Таб6!J16*K33+Таб6!J18*K34</f>
        <v>#DIV/0!</v>
      </c>
      <c r="L36" s="176" t="e">
        <f>Таб6!K8*L29+Таб6!K10*L30+Таб6!K12*L31+Таб6!K14*L32+Таб6!K16*L33+Таб6!K18*L34</f>
        <v>#DIV/0!</v>
      </c>
      <c r="M36" s="176" t="e">
        <f>Таб6!L8*M29+Таб6!L10*M30+Таб6!L12*M31+Таб6!L14*M32+Таб6!L16*M33+Таб6!L18*M34</f>
        <v>#DIV/0!</v>
      </c>
      <c r="N36" s="207"/>
      <c r="Q36" s="220"/>
      <c r="R36" s="220"/>
      <c r="S36" s="207"/>
      <c r="T36" s="223"/>
    </row>
    <row r="37" ht="36" spans="1:20">
      <c r="A37" s="173"/>
      <c r="B37" s="165"/>
      <c r="C37" s="165" t="s">
        <v>150</v>
      </c>
      <c r="D37" s="176">
        <f>0.859*D36</f>
        <v>0.0930432230959341</v>
      </c>
      <c r="E37" s="176">
        <f t="shared" ref="E37:J37" si="17">0.859*E36</f>
        <v>0.0824816248569339</v>
      </c>
      <c r="F37" s="176">
        <f t="shared" si="17"/>
        <v>0.0698937489605774</v>
      </c>
      <c r="G37" s="176">
        <f t="shared" si="17"/>
        <v>0.0630315170116071</v>
      </c>
      <c r="H37" s="176">
        <f t="shared" si="17"/>
        <v>0.0584042194240855</v>
      </c>
      <c r="I37" s="176">
        <f t="shared" si="17"/>
        <v>0.0553823781700484</v>
      </c>
      <c r="J37" s="176" t="e">
        <f t="shared" si="17"/>
        <v>#DIV/0!</v>
      </c>
      <c r="K37" s="176" t="e">
        <f t="shared" ref="K37:M37" si="18">0.859*K36</f>
        <v>#DIV/0!</v>
      </c>
      <c r="L37" s="176" t="e">
        <f t="shared" si="18"/>
        <v>#DIV/0!</v>
      </c>
      <c r="M37" s="176" t="e">
        <f t="shared" si="18"/>
        <v>#DIV/0!</v>
      </c>
      <c r="N37" s="206"/>
      <c r="Q37" s="220"/>
      <c r="R37" s="220"/>
      <c r="S37" s="207"/>
      <c r="T37" s="223"/>
    </row>
    <row r="38" ht="36" spans="1:20">
      <c r="A38" s="173" t="s">
        <v>151</v>
      </c>
      <c r="B38" s="165" t="s">
        <v>149</v>
      </c>
      <c r="C38" s="165" t="s">
        <v>140</v>
      </c>
      <c r="D38" s="213">
        <f t="shared" ref="D38:M38" si="19">-2*10^-8*D$19^2+7*10^-5*D$19+0.0245</f>
        <v>0.0799059757174626</v>
      </c>
      <c r="E38" s="213">
        <f t="shared" si="19"/>
        <v>0.0719707580251053</v>
      </c>
      <c r="F38" s="213">
        <f t="shared" si="19"/>
        <v>0.0631151510254505</v>
      </c>
      <c r="G38" s="213">
        <f t="shared" si="19"/>
        <v>0.0582996982357683</v>
      </c>
      <c r="H38" s="213">
        <f t="shared" si="19"/>
        <v>0.0548719209607983</v>
      </c>
      <c r="I38" s="213">
        <f t="shared" si="19"/>
        <v>0.0527016639247358</v>
      </c>
      <c r="J38" s="213" t="e">
        <f t="shared" si="19"/>
        <v>#DIV/0!</v>
      </c>
      <c r="K38" s="213" t="e">
        <f t="shared" si="19"/>
        <v>#DIV/0!</v>
      </c>
      <c r="L38" s="213" t="e">
        <f t="shared" si="19"/>
        <v>#DIV/0!</v>
      </c>
      <c r="M38" s="213" t="e">
        <f t="shared" si="19"/>
        <v>#DIV/0!</v>
      </c>
      <c r="N38" s="206" t="s">
        <v>141</v>
      </c>
      <c r="Q38" s="220"/>
      <c r="R38" s="220"/>
      <c r="S38" s="207"/>
      <c r="T38" s="223"/>
    </row>
    <row r="39" ht="34.8" spans="1:20">
      <c r="A39" s="173" t="s">
        <v>152</v>
      </c>
      <c r="B39" s="165" t="s">
        <v>152</v>
      </c>
      <c r="C39" s="165" t="s">
        <v>153</v>
      </c>
      <c r="D39" s="179">
        <f>-1*10^-11*D$19^2+5*10^-8*D$19+1*10^-5</f>
        <v>5.58446419621538e-5</v>
      </c>
      <c r="E39" s="179">
        <f t="shared" ref="E39:M40" si="20">-1*10^-11*E$19^2+5*10^-8*E$19+1*10^-5</f>
        <v>4.7534817891962e-5</v>
      </c>
      <c r="F39" s="179">
        <f t="shared" si="20"/>
        <v>3.96000678450572e-5</v>
      </c>
      <c r="G39" s="179">
        <f t="shared" si="20"/>
        <v>3.55766907549829e-5</v>
      </c>
      <c r="H39" s="179">
        <f t="shared" si="20"/>
        <v>3.27978707394676e-5</v>
      </c>
      <c r="I39" s="179">
        <f t="shared" si="20"/>
        <v>3.10688771639891e-5</v>
      </c>
      <c r="J39" s="179" t="e">
        <f t="shared" si="20"/>
        <v>#DIV/0!</v>
      </c>
      <c r="K39" s="179" t="e">
        <f t="shared" si="20"/>
        <v>#DIV/0!</v>
      </c>
      <c r="L39" s="179" t="e">
        <f t="shared" si="20"/>
        <v>#DIV/0!</v>
      </c>
      <c r="M39" s="179" t="e">
        <f t="shared" si="20"/>
        <v>#DIV/0!</v>
      </c>
      <c r="N39" s="206" t="s">
        <v>141</v>
      </c>
      <c r="Q39" s="220"/>
      <c r="R39" s="220"/>
      <c r="S39" s="207"/>
      <c r="T39" s="223"/>
    </row>
    <row r="40" ht="34.8" spans="1:20">
      <c r="A40" s="173" t="s">
        <v>154</v>
      </c>
      <c r="B40" s="165" t="s">
        <v>154</v>
      </c>
      <c r="C40" s="165" t="s">
        <v>153</v>
      </c>
      <c r="D40" s="179">
        <f>-1*10^-11*D$19^2+5*10^-8*D$19+1*10^-5</f>
        <v>5.58446419621538e-5</v>
      </c>
      <c r="E40" s="179">
        <f t="shared" si="20"/>
        <v>4.7534817891962e-5</v>
      </c>
      <c r="F40" s="179">
        <f t="shared" si="20"/>
        <v>3.96000678450572e-5</v>
      </c>
      <c r="G40" s="179">
        <f t="shared" si="20"/>
        <v>3.55766907549829e-5</v>
      </c>
      <c r="H40" s="179">
        <f t="shared" si="20"/>
        <v>3.27978707394676e-5</v>
      </c>
      <c r="I40" s="179">
        <f t="shared" si="20"/>
        <v>3.10688771639891e-5</v>
      </c>
      <c r="J40" s="179" t="e">
        <f t="shared" si="20"/>
        <v>#DIV/0!</v>
      </c>
      <c r="K40" s="179" t="e">
        <f t="shared" si="20"/>
        <v>#DIV/0!</v>
      </c>
      <c r="L40" s="179" t="e">
        <f t="shared" si="20"/>
        <v>#DIV/0!</v>
      </c>
      <c r="M40" s="179" t="e">
        <f t="shared" si="20"/>
        <v>#DIV/0!</v>
      </c>
      <c r="N40" s="206" t="s">
        <v>141</v>
      </c>
      <c r="Q40" s="220"/>
      <c r="R40" s="220"/>
      <c r="S40" s="207"/>
      <c r="T40" s="223"/>
    </row>
    <row r="41" ht="34.8" spans="1:20">
      <c r="A41" s="173" t="s">
        <v>155</v>
      </c>
      <c r="B41" s="165" t="s">
        <v>155</v>
      </c>
      <c r="C41" s="165" t="s">
        <v>153</v>
      </c>
      <c r="D41" s="179">
        <f>6*10^-14*D$19^2+4*10^-8*D$19+9*10^-6</f>
        <v>5.74655095060888e-5</v>
      </c>
      <c r="E41" s="179">
        <f t="shared" ref="E41:M41" si="21">6*10^-14*E$19^2+4*10^-8*E$19+9*10^-6</f>
        <v>4.58492835486612e-5</v>
      </c>
      <c r="F41" s="179">
        <f t="shared" si="21"/>
        <v>3.64748956591283e-5</v>
      </c>
      <c r="G41" s="179">
        <f t="shared" si="21"/>
        <v>3.21583210538087e-5</v>
      </c>
      <c r="H41" s="179">
        <f t="shared" si="21"/>
        <v>2.93138783382603e-5</v>
      </c>
      <c r="I41" s="179">
        <f t="shared" si="21"/>
        <v>2.75944015120384e-5</v>
      </c>
      <c r="J41" s="179" t="e">
        <f t="shared" si="21"/>
        <v>#DIV/0!</v>
      </c>
      <c r="K41" s="179" t="e">
        <f t="shared" si="21"/>
        <v>#DIV/0!</v>
      </c>
      <c r="L41" s="179" t="e">
        <f t="shared" si="21"/>
        <v>#DIV/0!</v>
      </c>
      <c r="M41" s="179" t="e">
        <f t="shared" si="21"/>
        <v>#DIV/0!</v>
      </c>
      <c r="N41" s="206" t="s">
        <v>141</v>
      </c>
      <c r="Q41" s="220"/>
      <c r="R41" s="220"/>
      <c r="S41" s="207"/>
      <c r="T41" s="223"/>
    </row>
    <row r="42" ht="34.8" spans="1:20">
      <c r="A42" s="173" t="s">
        <v>156</v>
      </c>
      <c r="B42" s="165" t="s">
        <v>156</v>
      </c>
      <c r="C42" s="165" t="s">
        <v>153</v>
      </c>
      <c r="D42" s="179">
        <f>-1*10^-11*D$19^2+5*10^-8*D$19+2*10^-5</f>
        <v>6.58446419621538e-5</v>
      </c>
      <c r="E42" s="179">
        <f t="shared" ref="E42:M42" si="22">-1*10^-11*E$19^2+5*10^-8*E$19+2*10^-5</f>
        <v>5.7534817891962e-5</v>
      </c>
      <c r="F42" s="179">
        <f t="shared" si="22"/>
        <v>4.96000678450572e-5</v>
      </c>
      <c r="G42" s="179">
        <f t="shared" si="22"/>
        <v>4.55766907549829e-5</v>
      </c>
      <c r="H42" s="179">
        <f t="shared" si="22"/>
        <v>4.27978707394676e-5</v>
      </c>
      <c r="I42" s="179">
        <f t="shared" si="22"/>
        <v>4.10688771639891e-5</v>
      </c>
      <c r="J42" s="179" t="e">
        <f t="shared" si="22"/>
        <v>#DIV/0!</v>
      </c>
      <c r="K42" s="179" t="e">
        <f t="shared" si="22"/>
        <v>#DIV/0!</v>
      </c>
      <c r="L42" s="179" t="e">
        <f t="shared" si="22"/>
        <v>#DIV/0!</v>
      </c>
      <c r="M42" s="179" t="e">
        <f t="shared" si="22"/>
        <v>#DIV/0!</v>
      </c>
      <c r="N42" s="206" t="s">
        <v>141</v>
      </c>
      <c r="Q42" s="220"/>
      <c r="R42" s="220"/>
      <c r="S42" s="207"/>
      <c r="T42" s="223"/>
    </row>
    <row r="43" ht="34.8" spans="1:20">
      <c r="A43" s="173" t="s">
        <v>157</v>
      </c>
      <c r="B43" s="165" t="s">
        <v>157</v>
      </c>
      <c r="C43" s="165" t="s">
        <v>153</v>
      </c>
      <c r="D43" s="179">
        <f>-1*10^-11*D$19^2+4*10^-8*D$19+2*10^-5</f>
        <v>5.37502058932055e-5</v>
      </c>
      <c r="E43" s="179">
        <f t="shared" ref="E43:M43" si="23">-1*10^-11*E$19^2+4*10^-8*E$19+2*10^-5</f>
        <v>4.83351919723558e-5</v>
      </c>
      <c r="F43" s="179">
        <f t="shared" si="23"/>
        <v>4.27384062901692e-5</v>
      </c>
      <c r="G43" s="179">
        <f t="shared" si="23"/>
        <v>3.97921296635837e-5</v>
      </c>
      <c r="H43" s="179">
        <f t="shared" si="23"/>
        <v>3.77232639000886e-5</v>
      </c>
      <c r="I43" s="179">
        <f t="shared" si="23"/>
        <v>3.64235136962416e-5</v>
      </c>
      <c r="J43" s="179" t="e">
        <f t="shared" si="23"/>
        <v>#DIV/0!</v>
      </c>
      <c r="K43" s="179" t="e">
        <f t="shared" si="23"/>
        <v>#DIV/0!</v>
      </c>
      <c r="L43" s="179" t="e">
        <f t="shared" si="23"/>
        <v>#DIV/0!</v>
      </c>
      <c r="M43" s="179" t="e">
        <f t="shared" si="23"/>
        <v>#DIV/0!</v>
      </c>
      <c r="N43" s="206" t="s">
        <v>141</v>
      </c>
      <c r="Q43" s="220"/>
      <c r="R43" s="220"/>
      <c r="S43" s="207"/>
      <c r="T43" s="223"/>
    </row>
    <row r="44" ht="34.8" spans="1:20">
      <c r="A44" s="173" t="s">
        <v>158</v>
      </c>
      <c r="B44" s="165" t="s">
        <v>158</v>
      </c>
      <c r="C44" s="165" t="s">
        <v>153</v>
      </c>
      <c r="D44" s="179">
        <f>-1*10^-11*D$19^2+4*10^-8*D$19+1*10^-5</f>
        <v>4.37502058932055e-5</v>
      </c>
      <c r="E44" s="179">
        <f t="shared" ref="E44:M44" si="24">-1*10^-11*E$19^2+4*10^-8*E$19+1*10^-5</f>
        <v>3.83351919723558e-5</v>
      </c>
      <c r="F44" s="179">
        <f t="shared" si="24"/>
        <v>3.27384062901692e-5</v>
      </c>
      <c r="G44" s="179">
        <f t="shared" si="24"/>
        <v>2.97921296635837e-5</v>
      </c>
      <c r="H44" s="179">
        <f t="shared" si="24"/>
        <v>2.77232639000886e-5</v>
      </c>
      <c r="I44" s="179">
        <f t="shared" si="24"/>
        <v>2.64235136962416e-5</v>
      </c>
      <c r="J44" s="179" t="e">
        <f t="shared" si="24"/>
        <v>#DIV/0!</v>
      </c>
      <c r="K44" s="179" t="e">
        <f t="shared" si="24"/>
        <v>#DIV/0!</v>
      </c>
      <c r="L44" s="179" t="e">
        <f t="shared" si="24"/>
        <v>#DIV/0!</v>
      </c>
      <c r="M44" s="179" t="e">
        <f t="shared" si="24"/>
        <v>#DIV/0!</v>
      </c>
      <c r="N44" s="206" t="s">
        <v>141</v>
      </c>
      <c r="Q44" s="220"/>
      <c r="R44" s="220"/>
      <c r="S44" s="207"/>
      <c r="T44" s="223"/>
    </row>
    <row r="45" ht="34.8" spans="1:20">
      <c r="A45" s="173" t="s">
        <v>159</v>
      </c>
      <c r="B45" s="165" t="s">
        <v>159</v>
      </c>
      <c r="C45" s="165" t="s">
        <v>153</v>
      </c>
      <c r="D45" s="179">
        <f>-1*10^-11*D$19^2+4*10^-8*D$19+2*10^-5</f>
        <v>5.37502058932055e-5</v>
      </c>
      <c r="E45" s="179">
        <f t="shared" ref="E45:M45" si="25">-1*10^-11*E$19^2+4*10^-8*E$19+2*10^-5</f>
        <v>4.83351919723558e-5</v>
      </c>
      <c r="F45" s="179">
        <f t="shared" si="25"/>
        <v>4.27384062901692e-5</v>
      </c>
      <c r="G45" s="179">
        <f t="shared" si="25"/>
        <v>3.97921296635837e-5</v>
      </c>
      <c r="H45" s="179">
        <f t="shared" si="25"/>
        <v>3.77232639000886e-5</v>
      </c>
      <c r="I45" s="179">
        <f t="shared" si="25"/>
        <v>3.64235136962416e-5</v>
      </c>
      <c r="J45" s="179" t="e">
        <f t="shared" si="25"/>
        <v>#DIV/0!</v>
      </c>
      <c r="K45" s="179" t="e">
        <f t="shared" si="25"/>
        <v>#DIV/0!</v>
      </c>
      <c r="L45" s="179" t="e">
        <f t="shared" si="25"/>
        <v>#DIV/0!</v>
      </c>
      <c r="M45" s="179" t="e">
        <f t="shared" si="25"/>
        <v>#DIV/0!</v>
      </c>
      <c r="N45" s="206" t="s">
        <v>141</v>
      </c>
      <c r="Q45" s="220"/>
      <c r="R45" s="220"/>
      <c r="S45" s="207"/>
      <c r="T45" s="223"/>
    </row>
    <row r="46" ht="54" spans="1:20">
      <c r="A46" s="173" t="s">
        <v>160</v>
      </c>
      <c r="B46" s="165" t="s">
        <v>161</v>
      </c>
      <c r="C46" s="165" t="s">
        <v>153</v>
      </c>
      <c r="D46" s="181">
        <f>Таб6!C8*D39+Таб6!C10*D40+Таб6!C12*D41+Таб6!C14*D42+Таб6!C16*D43+Таб6!C18*D44</f>
        <v>5.50680912043237e-5</v>
      </c>
      <c r="E46" s="181">
        <f>Таб6!D8*E39+Таб6!D10*E40+Таб6!D12*E41+Таб6!D14*E42+Таб6!D16*E43+Таб6!D18*E44</f>
        <v>4.68147648071321e-5</v>
      </c>
      <c r="F46" s="181">
        <f>Таб6!E8*F39+Таб6!E10*F40+Таб6!E12*F41+Таб6!E14*F42+Таб6!E16*F43+Таб6!E18*F44</f>
        <v>3.94797561226527e-5</v>
      </c>
      <c r="G46" s="181">
        <f>Таб6!F8*G39+Таб6!F10*G40+Таб6!F12*G41+Таб6!F14*G42+Таб6!F16*G43+Таб6!F18*G44</f>
        <v>3.59381786574211e-5</v>
      </c>
      <c r="H46" s="181">
        <f>Таб6!G8*H39+Таб6!G10*H40+Таб6!G12*H41+Таб6!G14*H42+Таб6!G16*H43+Таб6!G18*H44</f>
        <v>3.34337610307497e-5</v>
      </c>
      <c r="I46" s="181">
        <f>Таб6!H8*I39+Таб6!H10*I40+Таб6!H12*I41+Таб6!H14*I42+Таб6!H16*I43+Таб6!H18*I44</f>
        <v>3.19344466976649e-5</v>
      </c>
      <c r="J46" s="181" t="e">
        <f>Таб6!I8*J39+Таб6!I10*J40+Таб6!I12*J41+Таб6!I14*J42+Таб6!I16*J43+Таб6!I18*J44</f>
        <v>#DIV/0!</v>
      </c>
      <c r="K46" s="181" t="e">
        <f>Таб6!J8*K39+Таб6!J10*K40+Таб6!J12*K41+Таб6!J14*K42+Таб6!J16*K43+Таб6!J18*K44</f>
        <v>#DIV/0!</v>
      </c>
      <c r="L46" s="181" t="e">
        <f>Таб6!K8*L39+Таб6!K10*L40+Таб6!K12*L41+Таб6!K14*L42+Таб6!K16*L43+Таб6!K18*L44</f>
        <v>#DIV/0!</v>
      </c>
      <c r="M46" s="181" t="e">
        <f>Таб6!L8*M39+Таб6!L10*M40+Таб6!L12*M41+Таб6!L14*M42+Таб6!L16*M43+Таб6!L18*M44</f>
        <v>#DIV/0!</v>
      </c>
      <c r="N46" s="207"/>
      <c r="Q46" s="220"/>
      <c r="R46" s="220"/>
      <c r="S46" s="229"/>
      <c r="T46" s="221"/>
    </row>
    <row r="47" ht="54" spans="1:20">
      <c r="A47" s="173" t="s">
        <v>162</v>
      </c>
      <c r="B47" s="165" t="s">
        <v>163</v>
      </c>
      <c r="C47" s="165" t="s">
        <v>164</v>
      </c>
      <c r="D47" s="179">
        <f>D46*Таб6!C21</f>
        <v>3.55964094023518e-5</v>
      </c>
      <c r="E47" s="179">
        <f>E46*Таб6!D21</f>
        <v>3.0285364098513e-5</v>
      </c>
      <c r="F47" s="179">
        <f>F46*Таб6!E21</f>
        <v>2.56773454542096e-5</v>
      </c>
      <c r="G47" s="179">
        <f>G46*Таб6!F21</f>
        <v>2.34757322130088e-5</v>
      </c>
      <c r="H47" s="179">
        <f>H46*Таб6!G21</f>
        <v>2.18397829315018e-5</v>
      </c>
      <c r="I47" s="179">
        <f>I46*Таб6!H21</f>
        <v>2.08896514925934e-5</v>
      </c>
      <c r="J47" s="179" t="e">
        <f>J46*Таб6!I21</f>
        <v>#DIV/0!</v>
      </c>
      <c r="K47" s="179" t="e">
        <f>K46*Таб6!J21</f>
        <v>#DIV/0!</v>
      </c>
      <c r="L47" s="179" t="e">
        <f>L46*Таб6!K21</f>
        <v>#DIV/0!</v>
      </c>
      <c r="M47" s="179" t="e">
        <f>M46*Таб6!L21</f>
        <v>#DIV/0!</v>
      </c>
      <c r="N47" s="207"/>
      <c r="Q47" s="220"/>
      <c r="R47" s="220"/>
      <c r="S47" s="224"/>
      <c r="T47" s="221"/>
    </row>
    <row r="48" ht="18" spans="1:20">
      <c r="A48" s="173" t="s">
        <v>165</v>
      </c>
      <c r="B48" s="165"/>
      <c r="C48" s="165"/>
      <c r="D48" s="215">
        <f t="shared" ref="D48:J48" si="26">D2*D7/D47</f>
        <v>255690.612630005</v>
      </c>
      <c r="E48" s="215">
        <f t="shared" si="26"/>
        <v>156758.219591228</v>
      </c>
      <c r="F48" s="215">
        <f t="shared" si="26"/>
        <v>559476.728160698</v>
      </c>
      <c r="G48" s="215">
        <f t="shared" si="26"/>
        <v>232772.46001737</v>
      </c>
      <c r="H48" s="215">
        <f t="shared" si="26"/>
        <v>114323.752999647</v>
      </c>
      <c r="I48" s="215">
        <f t="shared" si="26"/>
        <v>222138.35380566</v>
      </c>
      <c r="J48" s="215" t="e">
        <f t="shared" si="26"/>
        <v>#DIV/0!</v>
      </c>
      <c r="K48" s="215" t="e">
        <f t="shared" ref="K48:M48" si="27">K2*K7/K47</f>
        <v>#DIV/0!</v>
      </c>
      <c r="L48" s="215" t="e">
        <f t="shared" si="27"/>
        <v>#DIV/0!</v>
      </c>
      <c r="M48" s="215" t="e">
        <f t="shared" si="27"/>
        <v>#DIV/0!</v>
      </c>
      <c r="N48" s="207"/>
      <c r="Q48" s="220"/>
      <c r="R48" s="220"/>
      <c r="S48" s="224"/>
      <c r="T48" s="221"/>
    </row>
    <row r="49" ht="54" spans="1:20">
      <c r="A49" s="173" t="s">
        <v>166</v>
      </c>
      <c r="B49" s="165" t="s">
        <v>167</v>
      </c>
      <c r="C49" s="165" t="s">
        <v>164</v>
      </c>
      <c r="D49" s="181">
        <f>D36/Таб6!C26/1000</f>
        <v>5.971415464534e-5</v>
      </c>
      <c r="E49" s="181">
        <f>E36/Таб6!D26/1000</f>
        <v>5.6293446616472e-5</v>
      </c>
      <c r="F49" s="181">
        <f>F36/Таб6!E26/1000</f>
        <v>4.83648814827013e-5</v>
      </c>
      <c r="G49" s="181">
        <f>G36/Таб6!F26/1000</f>
        <v>4.46375239957938e-5</v>
      </c>
      <c r="H49" s="181">
        <f>H36/Таб6!G26/1000</f>
        <v>4.14184700097714e-5</v>
      </c>
      <c r="I49" s="181">
        <f>I36/Таб6!H26/1000</f>
        <v>3.9939901552748e-5</v>
      </c>
      <c r="J49" s="181" t="e">
        <f>J36/Таб6!I26/1000</f>
        <v>#DIV/0!</v>
      </c>
      <c r="K49" s="181" t="e">
        <f>K36/Таб6!J26/1000</f>
        <v>#DIV/0!</v>
      </c>
      <c r="L49" s="181" t="e">
        <f>L36/Таб6!K26/1000</f>
        <v>#DIV/0!</v>
      </c>
      <c r="M49" s="181" t="e">
        <f>M36/Таб6!L26/1000</f>
        <v>#DIV/0!</v>
      </c>
      <c r="N49" s="207"/>
      <c r="Q49" s="220"/>
      <c r="R49" s="220"/>
      <c r="S49" s="224"/>
      <c r="T49" s="221"/>
    </row>
    <row r="50" ht="18" spans="1:20">
      <c r="A50" s="173" t="s">
        <v>168</v>
      </c>
      <c r="B50" s="165"/>
      <c r="C50" s="165"/>
      <c r="D50" s="198">
        <f>D47/D49</f>
        <v>0.596113427608066</v>
      </c>
      <c r="E50" s="198">
        <f t="shared" ref="E50:J50" si="28">E47/E49</f>
        <v>0.53799093711294</v>
      </c>
      <c r="F50" s="198">
        <f t="shared" si="28"/>
        <v>0.530908888164931</v>
      </c>
      <c r="G50" s="198">
        <f t="shared" si="28"/>
        <v>0.525919229194275</v>
      </c>
      <c r="H50" s="198">
        <f t="shared" si="28"/>
        <v>0.52729574333261</v>
      </c>
      <c r="I50" s="198">
        <f t="shared" si="28"/>
        <v>0.523027115252269</v>
      </c>
      <c r="J50" s="198" t="e">
        <f t="shared" si="28"/>
        <v>#DIV/0!</v>
      </c>
      <c r="K50" s="198" t="e">
        <f t="shared" ref="K50:M50" si="29">K47/K49</f>
        <v>#DIV/0!</v>
      </c>
      <c r="L50" s="198" t="e">
        <f t="shared" si="29"/>
        <v>#DIV/0!</v>
      </c>
      <c r="M50" s="198" t="e">
        <f t="shared" si="29"/>
        <v>#DIV/0!</v>
      </c>
      <c r="N50" s="207"/>
      <c r="P50" s="219">
        <f>D46*Таб6!C26/D36</f>
        <v>0.000922194939062427</v>
      </c>
      <c r="Q50" s="220"/>
      <c r="R50" s="220"/>
      <c r="S50" s="224"/>
      <c r="T50" s="221"/>
    </row>
    <row r="51" ht="52.2" spans="1:20">
      <c r="A51" s="173" t="s">
        <v>168</v>
      </c>
      <c r="B51" s="173"/>
      <c r="C51" s="165"/>
      <c r="D51" s="176">
        <f t="array" ref="D51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°С]&gt;=D$19,Пр1_Физические_характеристики_дымовых_газов_среднего_состава[Температура,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0.55</v>
      </c>
      <c r="E51" s="176">
        <f t="array" ref="E51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°С]&gt;=E$19,Пр1_Физические_характеристики_дымовых_газов_среднего_состава[Температура,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0.58</v>
      </c>
      <c r="F51" s="176">
        <f t="array" ref="F51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°С]&gt;=F$19,Пр1_Физические_характеристики_дымовых_газов_среднего_состава[Температура,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0.6</v>
      </c>
      <c r="G51" s="176">
        <f t="array" ref="G51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°С]&gt;=G$19,Пр1_Физические_характеристики_дымовых_газов_среднего_состава[Температура,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0.61</v>
      </c>
      <c r="H51" s="176">
        <f t="array" ref="H51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°С]&gt;=H$19,Пр1_Физические_характеристики_дымовых_газов_среднего_состава[Температура,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0.61</v>
      </c>
      <c r="I51" s="176">
        <f t="array" ref="I51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°С]&gt;=I$19,Пр1_Физические_характеристики_дымовых_газов_среднего_состава[Температура,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0.62</v>
      </c>
      <c r="J51" s="176" t="str">
        <f t="array" ref="J51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°С]&gt;=J$19,Пр1_Физические_характеристики_дымовых_газов_среднего_состава[Температура,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Ошибка</v>
      </c>
      <c r="K51" s="176" t="str">
        <f t="array" ref="K51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°С]&gt;=K$19,Пр1_Физические_характеристики_дымовых_газов_среднего_состава[Температура,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Ошибка</v>
      </c>
      <c r="L51" s="176" t="str">
        <f t="array" ref="L51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°С]&gt;=L$19,Пр1_Физические_характеристики_дымовых_газов_среднего_состава[Температура,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Ошибка</v>
      </c>
      <c r="M51" s="176" t="str">
        <f t="array" ref="M51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°С]&gt;=M$19,Пр1_Физические_характеристики_дымовых_газов_среднего_состава[Температура,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Ошибка</v>
      </c>
      <c r="N51" s="206" t="s">
        <v>169</v>
      </c>
      <c r="Q51" s="220"/>
      <c r="R51" s="220"/>
      <c r="S51" s="226"/>
      <c r="T51" s="223"/>
    </row>
    <row r="52" ht="52.2" spans="1:20">
      <c r="A52" s="173" t="s">
        <v>170</v>
      </c>
      <c r="B52" s="173"/>
      <c r="C52" s="165"/>
      <c r="D52" s="176">
        <f t="array" ref="D52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°С]&gt;=D$27,Пр1_Физические_характеристики_дымовых_газов_среднего_состава[Температура,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0.58</v>
      </c>
      <c r="E52" s="176">
        <f t="array" ref="E52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°С]&gt;=E$27,Пр1_Физические_характеристики_дымовых_газов_среднего_состава[Температура,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0.61</v>
      </c>
      <c r="F52" s="176">
        <f t="array" ref="F52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°С]&gt;=F$27,Пр1_Физические_характеристики_дымовых_газов_среднего_состава[Температура,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0.64</v>
      </c>
      <c r="G52" s="176">
        <f t="array" ref="G52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°С]&gt;=G$27,Пр1_Физические_характеристики_дымовых_газов_среднего_состава[Температура,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0.64</v>
      </c>
      <c r="H52" s="176">
        <f t="array" ref="H52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°С]&gt;=H$27,Пр1_Физические_характеристики_дымовых_газов_среднего_состава[Температура,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0.65</v>
      </c>
      <c r="I52" s="176">
        <f t="array" ref="I52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°С]&gt;=I$27,Пр1_Физические_характеристики_дымовых_газов_среднего_состава[Температура,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0.65</v>
      </c>
      <c r="J52" s="176" t="str">
        <f t="array" ref="J52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°С]&gt;=J$27,Пр1_Физические_характеристики_дымовых_газов_среднего_состава[Температура,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Ошибка</v>
      </c>
      <c r="K52" s="176" t="str">
        <f t="array" ref="K52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°С]&gt;=K$27,Пр1_Физические_характеристики_дымовых_газов_среднего_состава[Температура,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Ошибка</v>
      </c>
      <c r="L52" s="176" t="str">
        <f t="array" ref="L52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°С]&gt;=L$27,Пр1_Физические_характеристики_дымовых_газов_среднего_состава[Температура,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Ошибка</v>
      </c>
      <c r="M52" s="176" t="str">
        <f t="array" ref="M52">IFERROR(INDEX(Пр1_Физические_характеристики_дымовых_газов_среднего_состава[Критерий Прандтля Pr],MATCH(MIN(IF(Пр1_Физические_характеристики_дымовых_газов_среднего_состава[Температура, °С]&gt;=M$27,Пр1_Физические_характеристики_дымовых_газов_среднего_состава[Температура, °С],"")),Пр1_Физические_характеристики_дымовых_газов_среднего_состава[Температура, °С],0),0),"Ошибка")</f>
        <v>Ошибка</v>
      </c>
      <c r="N52" s="206" t="s">
        <v>169</v>
      </c>
      <c r="Q52" s="220"/>
      <c r="R52" s="220"/>
      <c r="S52" s="226"/>
      <c r="T52" s="223"/>
    </row>
    <row r="53" ht="52.2" spans="1:20">
      <c r="A53" s="183" t="s">
        <v>171</v>
      </c>
      <c r="B53" s="183"/>
      <c r="C53" s="184"/>
      <c r="D53" s="196">
        <f t="shared" ref="D53:J53" si="30">0.023*D51^0.4*D48^0.8*(D51/D52)^0.25</f>
        <v>378.685270349933</v>
      </c>
      <c r="E53" s="196">
        <f t="shared" si="30"/>
        <v>261.702475586592</v>
      </c>
      <c r="F53" s="196">
        <f t="shared" si="30"/>
        <v>731.487276543456</v>
      </c>
      <c r="G53" s="196">
        <f t="shared" si="30"/>
        <v>366.600043690138</v>
      </c>
      <c r="H53" s="196">
        <f t="shared" si="30"/>
        <v>206.763115738129</v>
      </c>
      <c r="I53" s="196">
        <f t="shared" si="30"/>
        <v>355.510911093679</v>
      </c>
      <c r="J53" s="196" t="e">
        <f t="shared" si="30"/>
        <v>#VALUE!</v>
      </c>
      <c r="K53" s="196" t="e">
        <f t="shared" ref="K53:M53" si="31">0.023*K51^0.4*K48^0.8*(K51/K52)^0.25</f>
        <v>#VALUE!</v>
      </c>
      <c r="L53" s="196" t="e">
        <f t="shared" si="31"/>
        <v>#VALUE!</v>
      </c>
      <c r="M53" s="196" t="e">
        <f t="shared" si="31"/>
        <v>#VALUE!</v>
      </c>
      <c r="N53" s="206" t="s">
        <v>172</v>
      </c>
      <c r="Q53" s="220"/>
      <c r="R53" s="220"/>
      <c r="S53" s="207"/>
      <c r="T53" s="223"/>
    </row>
    <row r="54" ht="54" spans="1:20">
      <c r="A54" s="183" t="s">
        <v>173</v>
      </c>
      <c r="B54" s="183"/>
      <c r="C54" s="184" t="s">
        <v>174</v>
      </c>
      <c r="D54" s="196">
        <f t="shared" ref="D54:M54" si="32">D53*D37/D7</f>
        <v>6.02551679032957</v>
      </c>
      <c r="E54" s="196">
        <f t="shared" si="32"/>
        <v>2.80174991916736</v>
      </c>
      <c r="F54" s="196">
        <f t="shared" si="32"/>
        <v>8.28893380867687</v>
      </c>
      <c r="G54" s="196">
        <f t="shared" si="32"/>
        <v>7.13905041521624</v>
      </c>
      <c r="H54" s="196">
        <f t="shared" si="32"/>
        <v>3.05255691968202</v>
      </c>
      <c r="I54" s="196">
        <f t="shared" si="32"/>
        <v>6.08295651762057</v>
      </c>
      <c r="J54" s="196" t="e">
        <f t="shared" si="32"/>
        <v>#VALUE!</v>
      </c>
      <c r="K54" s="196" t="e">
        <f t="shared" si="32"/>
        <v>#VALUE!</v>
      </c>
      <c r="L54" s="196" t="e">
        <f t="shared" si="32"/>
        <v>#VALUE!</v>
      </c>
      <c r="M54" s="196" t="e">
        <f t="shared" si="32"/>
        <v>#VALUE!</v>
      </c>
      <c r="N54" s="206" t="s">
        <v>175</v>
      </c>
      <c r="Q54" s="220"/>
      <c r="R54" s="220"/>
      <c r="S54" s="224"/>
      <c r="T54" s="223"/>
    </row>
    <row r="55" ht="72" spans="1:20">
      <c r="A55" s="183" t="s">
        <v>176</v>
      </c>
      <c r="B55" s="183"/>
      <c r="C55" s="184" t="s">
        <v>174</v>
      </c>
      <c r="D55" s="215">
        <f t="shared" ref="D55:J55" si="33">D22+D54</f>
        <v>268.343017190593</v>
      </c>
      <c r="E55" s="215">
        <f t="shared" si="33"/>
        <v>162.158373676961</v>
      </c>
      <c r="F55" s="215">
        <f t="shared" si="33"/>
        <v>109.786574359161</v>
      </c>
      <c r="G55" s="215">
        <f t="shared" si="33"/>
        <v>64.8003339353861</v>
      </c>
      <c r="H55" s="215">
        <f t="shared" si="33"/>
        <v>51.2550435374323</v>
      </c>
      <c r="I55" s="215">
        <f t="shared" si="33"/>
        <v>42.9422891937702</v>
      </c>
      <c r="J55" s="215" t="e">
        <f t="shared" si="33"/>
        <v>#DIV/0!</v>
      </c>
      <c r="K55" s="215" t="e">
        <f t="shared" ref="K55:M55" si="34">K22+K54</f>
        <v>#DIV/0!</v>
      </c>
      <c r="L55" s="215" t="e">
        <f t="shared" si="34"/>
        <v>#DIV/0!</v>
      </c>
      <c r="M55" s="215" t="e">
        <f t="shared" si="34"/>
        <v>#DIV/0!</v>
      </c>
      <c r="N55" s="207"/>
      <c r="Q55" s="220"/>
      <c r="R55" s="220"/>
      <c r="S55" s="224"/>
      <c r="T55" s="230"/>
    </row>
    <row r="56" ht="54" spans="1:20">
      <c r="A56" s="173" t="s">
        <v>177</v>
      </c>
      <c r="B56" s="173"/>
      <c r="C56" s="165" t="s">
        <v>150</v>
      </c>
      <c r="D56" s="176">
        <f t="array" ref="D56">IFERROR(INDEX(Пр4_Физические_свойства_водяного_пара[Теплопроводность λ,
мВт/(м*К)],MATCH(MIN(IF(Пр4_Физические_свойства_водяного_пара[Температура,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оС],0),0),"Ошибка")*10^-2</f>
        <v>0.54</v>
      </c>
      <c r="E56" s="176">
        <f t="array" ref="E56">IFERROR(INDEX(Пр4_Физические_свойства_водяного_пара[Теплопроводность λ,
мВт/(м*К)],MATCH(MIN(IF(Пр4_Физические_свойства_водяного_пара[Температура,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оС],0),0),"Ошибка")*10^-2</f>
        <v>0.54</v>
      </c>
      <c r="F56" s="176">
        <f t="array" ref="F56">IFERROR(INDEX(Пр4_Физические_свойства_водяного_пара[Теплопроводность λ,
мВт/(м*К)],MATCH(MIN(IF(Пр4_Физические_свойства_водяного_пара[Температура,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оС],0),0),"Ошибка")*10^-2</f>
        <v>0.54</v>
      </c>
      <c r="G56" s="176">
        <f t="array" ref="G56">IFERROR(INDEX(Пр4_Физические_свойства_водяного_пара[Теплопроводность λ,
мВт/(м*К)],MATCH(MIN(IF(Пр4_Физические_свойства_водяного_пара[Температура,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оС],0),0),"Ошибка")*10^-2</f>
        <v>0.54</v>
      </c>
      <c r="H56" s="176">
        <f t="array" ref="H56">IFERROR(INDEX(Пр4_Физические_свойства_водяного_пара[Теплопроводность λ,
мВт/(м*К)],MATCH(MIN(IF(Пр4_Физические_свойства_водяного_пара[Температура,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оС],0),0),"Ошибка")*10^-2</f>
        <v>0.54</v>
      </c>
      <c r="I56" s="176">
        <f t="array" ref="I56">IFERROR(INDEX(Пр4_Физические_свойства_водяного_пара[Теплопроводность λ,
мВт/(м*К)],MATCH(MIN(IF(Пр4_Физические_свойства_водяного_пара[Температура,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оС],0),0),"Ошибка")*10^-2</f>
        <v>0.54</v>
      </c>
      <c r="J56" s="176">
        <f t="array" ref="J56">IFERROR(INDEX(Пр4_Физические_свойства_водяного_пара[Теплопроводность λ,
мВт/(м*К)],MATCH(MIN(IF(Пр4_Физические_свойства_водяного_пара[Температура,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оС],0),0),"Ошибка")*10^-2</f>
        <v>0.54</v>
      </c>
      <c r="K56" s="176">
        <f t="array" ref="K56">IFERROR(INDEX(Пр4_Физические_свойства_водяного_пара[Теплопроводность λ,
мВт/(м*К)],MATCH(MIN(IF(Пр4_Физические_свойства_водяного_пара[Температура,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оС],0),0),"Ошибка")*10^-2</f>
        <v>0.54</v>
      </c>
      <c r="L56" s="176">
        <f t="array" ref="L56">IFERROR(INDEX(Пр4_Физические_свойства_водяного_пара[Теплопроводность λ,
мВт/(м*К)],MATCH(MIN(IF(Пр4_Физические_свойства_водяного_пара[Температура,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оС],0),0),"Ошибка")*10^-2</f>
        <v>0.54</v>
      </c>
      <c r="M56" s="176">
        <f t="array" ref="M56">IFERROR(INDEX(Пр4_Физические_свойства_водяного_пара[Теплопроводность λ,
мВт/(м*К)],MATCH(MIN(IF(Пр4_Физические_свойства_водяного_пара[Температура,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оС],0),0),"Ошибка")*10^-2</f>
        <v>0.54</v>
      </c>
      <c r="N56" s="207"/>
      <c r="Q56" s="220"/>
      <c r="R56" s="220"/>
      <c r="S56" s="224"/>
      <c r="T56" s="230"/>
    </row>
    <row r="57" ht="54" spans="1:20">
      <c r="A57" s="173" t="s">
        <v>178</v>
      </c>
      <c r="B57" s="173"/>
      <c r="C57" s="165" t="s">
        <v>150</v>
      </c>
      <c r="D57" s="176">
        <f t="array" ref="D57">IFERROR(INDEX(Пр5_Физические_свойства_воды[Теплопроводность λ,
мВт/(м*К)],MATCH(MIN(IF(Пр5_Физические_свойства_воды[Температура,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оС],0),0),"Ошибка")*10^-2</f>
        <v>6.096</v>
      </c>
      <c r="E57" s="176">
        <f t="array" ref="E57">IFERROR(INDEX(Пр5_Физические_свойства_воды[Теплопроводность λ,
мВт/(м*К)],MATCH(MIN(IF(Пр5_Физические_свойства_воды[Температура,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оС],0),0),"Ошибка")*10^-2</f>
        <v>6.096</v>
      </c>
      <c r="F57" s="176">
        <f t="array" ref="F57">IFERROR(INDEX(Пр5_Физические_свойства_воды[Теплопроводность λ,
мВт/(м*К)],MATCH(MIN(IF(Пр5_Физические_свойства_воды[Температура,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оС],0),0),"Ошибка")*10^-2</f>
        <v>6.096</v>
      </c>
      <c r="G57" s="176">
        <f t="array" ref="G57">IFERROR(INDEX(Пр5_Физические_свойства_воды[Теплопроводность λ,
мВт/(м*К)],MATCH(MIN(IF(Пр5_Физические_свойства_воды[Температура,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оС],0),0),"Ошибка")*10^-2</f>
        <v>6.096</v>
      </c>
      <c r="H57" s="176">
        <f t="array" ref="H57">IFERROR(INDEX(Пр5_Физические_свойства_воды[Теплопроводность λ,
мВт/(м*К)],MATCH(MIN(IF(Пр5_Физические_свойства_воды[Температура,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оС],0),0),"Ошибка")*10^-2</f>
        <v>6.096</v>
      </c>
      <c r="I57" s="176">
        <f t="array" ref="I57">IFERROR(INDEX(Пр5_Физические_свойства_воды[Теплопроводность λ,
мВт/(м*К)],MATCH(MIN(IF(Пр5_Физические_свойства_воды[Температура,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оС],0),0),"Ошибка")*10^-2</f>
        <v>6.096</v>
      </c>
      <c r="J57" s="176">
        <f t="array" ref="J57">IFERROR(INDEX(Пр5_Физические_свойства_воды[Теплопроводность λ,
мВт/(м*К)],MATCH(MIN(IF(Пр5_Физические_свойства_воды[Температура,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оС],0),0),"Ошибка")*10^-2</f>
        <v>6.096</v>
      </c>
      <c r="K57" s="176">
        <f t="array" ref="K57">IFERROR(INDEX(Пр5_Физические_свойства_воды[Теплопроводность λ,
мВт/(м*К)],MATCH(MIN(IF(Пр5_Физические_свойства_воды[Температура,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оС],0),0),"Ошибка")*10^-2</f>
        <v>6.096</v>
      </c>
      <c r="L57" s="176">
        <f t="array" ref="L57">IFERROR(INDEX(Пр5_Физические_свойства_воды[Теплопроводность λ,
мВт/(м*К)],MATCH(MIN(IF(Пр5_Физические_свойства_воды[Температура,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оС],0),0),"Ошибка")*10^-2</f>
        <v>6.096</v>
      </c>
      <c r="M57" s="176">
        <f t="array" ref="M57">IFERROR(INDEX(Пр5_Физические_свойства_воды[Теплопроводность λ,
мВт/(м*К)],MATCH(MIN(IF(Пр5_Физические_свойства_воды[Температура,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оС],0),0),"Ошибка")*10^-2</f>
        <v>6.096</v>
      </c>
      <c r="N57" s="207"/>
      <c r="Q57" s="220"/>
      <c r="R57" s="220"/>
      <c r="S57" s="224"/>
      <c r="T57" s="230"/>
    </row>
    <row r="58" ht="54" spans="1:20">
      <c r="A58" s="173" t="s">
        <v>179</v>
      </c>
      <c r="B58" s="173"/>
      <c r="C58" s="165" t="s">
        <v>150</v>
      </c>
      <c r="D58" s="176">
        <f>Таб1!$C$27*D56+(1-Таб1!$C$27)*D57</f>
        <v>5.9571</v>
      </c>
      <c r="E58" s="176">
        <f>Таб1!$C$27*E56+(1-Таб1!$C$27)*E57</f>
        <v>5.9571</v>
      </c>
      <c r="F58" s="176">
        <f>Таб1!$C$27*F56+(1-Таб1!$C$27)*F57</f>
        <v>5.9571</v>
      </c>
      <c r="G58" s="176">
        <f>Таб1!$C$27*G56+(1-Таб1!$C$27)*G57</f>
        <v>5.9571</v>
      </c>
      <c r="H58" s="176">
        <f>Таб1!$C$27*H56+(1-Таб1!$C$27)*H57</f>
        <v>5.9571</v>
      </c>
      <c r="I58" s="176">
        <f>Таб1!$C$27*I56+(1-Таб1!$C$27)*I57</f>
        <v>5.9571</v>
      </c>
      <c r="J58" s="176">
        <f>Таб1!$C$27*J56+(1-Таб1!$C$27)*J57</f>
        <v>5.9571</v>
      </c>
      <c r="K58" s="176">
        <f>Таб1!$C$27*K56+(1-Таб1!$C$27)*K57</f>
        <v>5.9571</v>
      </c>
      <c r="L58" s="176">
        <f>Таб1!$C$27*L56+(1-Таб1!$C$27)*L57</f>
        <v>5.9571</v>
      </c>
      <c r="M58" s="176">
        <f>Таб1!$C$27*M56+(1-Таб1!$C$27)*M57</f>
        <v>5.9571</v>
      </c>
      <c r="N58" s="207"/>
      <c r="Q58" s="220"/>
      <c r="R58" s="220"/>
      <c r="S58" s="224"/>
      <c r="T58" s="230"/>
    </row>
    <row r="59" ht="54" spans="1:20">
      <c r="A59" s="173" t="s">
        <v>180</v>
      </c>
      <c r="B59" s="173"/>
      <c r="C59" s="165" t="s">
        <v>153</v>
      </c>
      <c r="D59" s="181">
        <f t="array" ref="D59">IFERROR(INDEX(Пр4_Физические_свойства_водяного_пара[Динамическая вязкость μ,
мкПа*с],MATCH(MIN(IF(Пр4_Физические_свойства_водяного_пара[Температура,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оС],0),0),"Ошибка")*10^-6</f>
        <v>1.798e-5</v>
      </c>
      <c r="E59" s="181">
        <f t="array" ref="E59">IFERROR(INDEX(Пр4_Физические_свойства_водяного_пара[Динамическая вязкость μ,
мкПа*с],MATCH(MIN(IF(Пр4_Физические_свойства_водяного_пара[Температура,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оС],0),0),"Ошибка")*10^-6</f>
        <v>1.798e-5</v>
      </c>
      <c r="F59" s="181">
        <f t="array" ref="F59">IFERROR(INDEX(Пр4_Физические_свойства_водяного_пара[Динамическая вязкость μ,
мкПа*с],MATCH(MIN(IF(Пр4_Физические_свойства_водяного_пара[Температура,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оС],0),0),"Ошибка")*10^-6</f>
        <v>1.798e-5</v>
      </c>
      <c r="G59" s="181">
        <f t="array" ref="G59">IFERROR(INDEX(Пр4_Физические_свойства_водяного_пара[Динамическая вязкость μ,
мкПа*с],MATCH(MIN(IF(Пр4_Физические_свойства_водяного_пара[Температура,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оС],0),0),"Ошибка")*10^-6</f>
        <v>1.798e-5</v>
      </c>
      <c r="H59" s="181">
        <f t="array" ref="H59">IFERROR(INDEX(Пр4_Физические_свойства_водяного_пара[Динамическая вязкость μ,
мкПа*с],MATCH(MIN(IF(Пр4_Физические_свойства_водяного_пара[Температура,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оС],0),0),"Ошибка")*10^-6</f>
        <v>1.798e-5</v>
      </c>
      <c r="I59" s="181">
        <f t="array" ref="I59">IFERROR(INDEX(Пр4_Физические_свойства_водяного_пара[Динамическая вязкость μ,
мкПа*с],MATCH(MIN(IF(Пр4_Физические_свойства_водяного_пара[Температура,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оС],0),0),"Ошибка")*10^-6</f>
        <v>1.798e-5</v>
      </c>
      <c r="J59" s="181">
        <f t="array" ref="J59">IFERROR(INDEX(Пр4_Физические_свойства_водяного_пара[Динамическая вязкость μ,
мкПа*с],MATCH(MIN(IF(Пр4_Физические_свойства_водяного_пара[Температура,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оС],0),0),"Ошибка")*10^-6</f>
        <v>1.798e-5</v>
      </c>
      <c r="K59" s="181">
        <f t="array" ref="K59">IFERROR(INDEX(Пр4_Физические_свойства_водяного_пара[Динамическая вязкость μ,
мкПа*с],MATCH(MIN(IF(Пр4_Физические_свойства_водяного_пара[Температура,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оС],0),0),"Ошибка")*10^-6</f>
        <v>1.798e-5</v>
      </c>
      <c r="L59" s="181">
        <f t="array" ref="L59">IFERROR(INDEX(Пр4_Физические_свойства_водяного_пара[Динамическая вязкость μ,
мкПа*с],MATCH(MIN(IF(Пр4_Физические_свойства_водяного_пара[Температура,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оС],0),0),"Ошибка")*10^-6</f>
        <v>1.798e-5</v>
      </c>
      <c r="M59" s="181">
        <f t="array" ref="M59">IFERROR(INDEX(Пр4_Физические_свойства_водяного_пара[Динамическая вязкость μ,
мкПа*с],MATCH(MIN(IF(Пр4_Физические_свойства_водяного_пара[Температура,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оС],0),0),"Ошибка")*10^-6</f>
        <v>1.798e-5</v>
      </c>
      <c r="N59" s="207"/>
      <c r="Q59" s="220"/>
      <c r="R59" s="220"/>
      <c r="S59" s="224"/>
      <c r="T59" s="230"/>
    </row>
    <row r="60" ht="54" spans="1:20">
      <c r="A60" s="173" t="s">
        <v>181</v>
      </c>
      <c r="B60" s="173"/>
      <c r="C60" s="165" t="s">
        <v>153</v>
      </c>
      <c r="D60" s="181">
        <f t="array" ref="D60">IFERROR(INDEX(Пр5_Физические_свойства_воды[Динамическая вязкость μ,
мкПа*с],MATCH(MIN(IF(Пр5_Физические_свойства_воды[Температура,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оС],0),0),"Ошибка")*10^-6</f>
        <v>0.0001015</v>
      </c>
      <c r="E60" s="181">
        <f t="array" ref="E60">IFERROR(INDEX(Пр5_Физические_свойства_воды[Динамическая вязкость μ,
мкПа*с],MATCH(MIN(IF(Пр5_Физические_свойства_воды[Температура,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оС],0),0),"Ошибка")*10^-6</f>
        <v>0.0001015</v>
      </c>
      <c r="F60" s="181">
        <f t="array" ref="F60">IFERROR(INDEX(Пр5_Физические_свойства_воды[Динамическая вязкость μ,
мкПа*с],MATCH(MIN(IF(Пр5_Физические_свойства_воды[Температура,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оС],0),0),"Ошибка")*10^-6</f>
        <v>0.0001015</v>
      </c>
      <c r="G60" s="181">
        <f t="array" ref="G60">IFERROR(INDEX(Пр5_Физические_свойства_воды[Динамическая вязкость μ,
мкПа*с],MATCH(MIN(IF(Пр5_Физические_свойства_воды[Температура,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оС],0),0),"Ошибка")*10^-6</f>
        <v>0.0001015</v>
      </c>
      <c r="H60" s="181">
        <f t="array" ref="H60">IFERROR(INDEX(Пр5_Физические_свойства_воды[Динамическая вязкость μ,
мкПа*с],MATCH(MIN(IF(Пр5_Физические_свойства_воды[Температура,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оС],0),0),"Ошибка")*10^-6</f>
        <v>0.0001015</v>
      </c>
      <c r="I60" s="181">
        <f t="array" ref="I60">IFERROR(INDEX(Пр5_Физические_свойства_воды[Динамическая вязкость μ,
мкПа*с],MATCH(MIN(IF(Пр5_Физические_свойства_воды[Температура,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оС],0),0),"Ошибка")*10^-6</f>
        <v>0.0001015</v>
      </c>
      <c r="J60" s="181">
        <f t="array" ref="J60">IFERROR(INDEX(Пр5_Физические_свойства_воды[Динамическая вязкость μ,
мкПа*с],MATCH(MIN(IF(Пр5_Физические_свойства_воды[Температура,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оС],0),0),"Ошибка")*10^-6</f>
        <v>0.0001015</v>
      </c>
      <c r="K60" s="181">
        <f t="array" ref="K60">IFERROR(INDEX(Пр5_Физические_свойства_воды[Динамическая вязкость μ,
мкПа*с],MATCH(MIN(IF(Пр5_Физические_свойства_воды[Температура,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оС],0),0),"Ошибка")*10^-6</f>
        <v>0.0001015</v>
      </c>
      <c r="L60" s="181">
        <f t="array" ref="L60">IFERROR(INDEX(Пр5_Физические_свойства_воды[Динамическая вязкость μ,
мкПа*с],MATCH(MIN(IF(Пр5_Физические_свойства_воды[Температура,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оС],0),0),"Ошибка")*10^-6</f>
        <v>0.0001015</v>
      </c>
      <c r="M60" s="181">
        <f t="array" ref="M60">IFERROR(INDEX(Пр5_Физические_свойства_воды[Динамическая вязкость μ,
мкПа*с],MATCH(MIN(IF(Пр5_Физические_свойства_воды[Температура,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оС],0),0),"Ошибка")*10^-6</f>
        <v>0.0001015</v>
      </c>
      <c r="N60" s="207"/>
      <c r="Q60" s="220"/>
      <c r="R60" s="220"/>
      <c r="S60" s="229"/>
      <c r="T60" s="230"/>
    </row>
    <row r="61" ht="72" spans="1:20">
      <c r="A61" s="173" t="s">
        <v>182</v>
      </c>
      <c r="B61" s="173"/>
      <c r="C61" s="165" t="s">
        <v>153</v>
      </c>
      <c r="D61" s="181">
        <f>Таб1!$C$27*D59+(1-Таб1!$C$27)*D60</f>
        <v>9.9412e-5</v>
      </c>
      <c r="E61" s="181">
        <f>Таб1!$C$27*E59+(1-Таб1!$C$27)*E60</f>
        <v>9.9412e-5</v>
      </c>
      <c r="F61" s="181">
        <f>Таб1!$C$27*F59+(1-Таб1!$C$27)*F60</f>
        <v>9.9412e-5</v>
      </c>
      <c r="G61" s="181">
        <f>Таб1!$C$27*G59+(1-Таб1!$C$27)*G60</f>
        <v>9.9412e-5</v>
      </c>
      <c r="H61" s="181">
        <f>Таб1!$C$27*H59+(1-Таб1!$C$27)*H60</f>
        <v>9.9412e-5</v>
      </c>
      <c r="I61" s="181">
        <f>Таб1!$C$27*I59+(1-Таб1!$C$27)*I60</f>
        <v>9.9412e-5</v>
      </c>
      <c r="J61" s="181">
        <f>Таб1!$C$27*J59+(1-Таб1!$C$27)*J60</f>
        <v>9.9412e-5</v>
      </c>
      <c r="K61" s="181">
        <f>Таб1!$C$27*K59+(1-Таб1!$C$27)*K60</f>
        <v>9.9412e-5</v>
      </c>
      <c r="L61" s="181">
        <f>Таб1!$C$27*L59+(1-Таб1!$C$27)*L60</f>
        <v>9.9412e-5</v>
      </c>
      <c r="M61" s="181">
        <f>Таб1!$C$27*M59+(1-Таб1!$C$27)*M60</f>
        <v>9.9412e-5</v>
      </c>
      <c r="N61" s="207"/>
      <c r="Q61" s="220"/>
      <c r="R61" s="220"/>
      <c r="S61" s="229"/>
      <c r="T61" s="230"/>
    </row>
    <row r="62" ht="18" spans="1:20">
      <c r="A62" s="173" t="s">
        <v>183</v>
      </c>
      <c r="B62" s="173"/>
      <c r="C62" s="165" t="s">
        <v>184</v>
      </c>
      <c r="D62" s="217">
        <f t="array" ref="D62">IFERROR(INDEX(Пр3!$E$2:$E$398,MATCH(MIN(IF(Пр3!$A$2:$A$398&gt;=Таб4!$D$3,Пр3!$A$2:$A$398,"")),Пр3!$A$2:$A$398,0),0),"Ошибка")</f>
        <v>0.04916</v>
      </c>
      <c r="E62" s="217">
        <f t="array" ref="E62">IFERROR(INDEX(Пр3!$E$2:$E$398,MATCH(MIN(IF(Пр3!$A$2:$A$398&gt;=Таб4!$D$3,Пр3!$A$2:$A$398,"")),Пр3!$A$2:$A$398,0),0),"Ошибка")</f>
        <v>0.04916</v>
      </c>
      <c r="F62" s="217">
        <f t="array" ref="F62">IFERROR(INDEX(Пр3!$E$2:$E$398,MATCH(MIN(IF(Пр3!$A$2:$A$398&gt;=Таб4!$D$3,Пр3!$A$2:$A$398,"")),Пр3!$A$2:$A$398,0),0),"Ошибка")</f>
        <v>0.04916</v>
      </c>
      <c r="G62" s="217">
        <f t="array" ref="G62">IFERROR(INDEX(Пр3!$E$2:$E$398,MATCH(MIN(IF(Пр3!$A$2:$A$398&gt;=Таб4!$D$3,Пр3!$A$2:$A$398,"")),Пр3!$A$2:$A$398,0),0),"Ошибка")</f>
        <v>0.04916</v>
      </c>
      <c r="H62" s="217">
        <f t="array" ref="H62">IFERROR(INDEX(Пр3!$E$2:$E$398,MATCH(MIN(IF(Пр3!$A$2:$A$398&gt;=Таб4!$D$3,Пр3!$A$2:$A$398,"")),Пр3!$A$2:$A$398,0),0),"Ошибка")</f>
        <v>0.04916</v>
      </c>
      <c r="I62" s="217">
        <f t="array" ref="I62">IFERROR(INDEX(Пр3!$E$2:$E$398,MATCH(MIN(IF(Пр3!$A$2:$A$398&gt;=Таб4!$D$3,Пр3!$A$2:$A$398,"")),Пр3!$A$2:$A$398,0),0),"Ошибка")</f>
        <v>0.04916</v>
      </c>
      <c r="J62" s="217">
        <f t="array" ref="J62">IFERROR(INDEX(Пр3!$E$2:$E$398,MATCH(MIN(IF(Пр3!$A$2:$A$398&gt;=Таб4!$D$3,Пр3!$A$2:$A$398,"")),Пр3!$A$2:$A$398,0),0),"Ошибка")</f>
        <v>0.04916</v>
      </c>
      <c r="K62" s="217">
        <f t="array" ref="K62">IFERROR(INDEX(Пр3!$E$2:$E$398,MATCH(MIN(IF(Пр3!$A$2:$A$398&gt;=Таб4!$D$3,Пр3!$A$2:$A$398,"")),Пр3!$A$2:$A$398,0),0),"Ошибка")</f>
        <v>0.04916</v>
      </c>
      <c r="L62" s="217">
        <f t="array" ref="L62">IFERROR(INDEX(Пр3!$E$2:$E$398,MATCH(MIN(IF(Пр3!$A$2:$A$398&gt;=Таб4!$D$3,Пр3!$A$2:$A$398,"")),Пр3!$A$2:$A$398,0),0),"Ошибка")</f>
        <v>0.04916</v>
      </c>
      <c r="M62" s="217">
        <f t="array" ref="M62">IFERROR(INDEX(Пр3!$E$2:$E$398,MATCH(MIN(IF(Пр3!$A$2:$A$398&gt;=Таб4!$D$3,Пр3!$A$2:$A$398,"")),Пр3!$A$2:$A$398,0),0),"Ошибка")</f>
        <v>0.04916</v>
      </c>
      <c r="N62" s="207"/>
      <c r="Q62" s="220"/>
      <c r="R62" s="220"/>
      <c r="S62" s="229"/>
      <c r="T62" s="230"/>
    </row>
    <row r="63" ht="36" spans="1:20">
      <c r="A63" s="173" t="s">
        <v>185</v>
      </c>
      <c r="B63" s="173"/>
      <c r="C63" s="165" t="s">
        <v>184</v>
      </c>
      <c r="D63" s="217">
        <f t="array" ref="D63">IFERROR(INDEX(Пр3!$D$2:$D$398,MATCH(MIN(IF(Пр3!$A$2:$A$398&gt;=Таб4!$D$3,Пр3!$A$2:$A$398,"")),Пр3!$A$2:$A$398,0),0),"Ошибка")</f>
        <v>0.0012536</v>
      </c>
      <c r="E63" s="217">
        <f t="array" ref="E63">IFERROR(INDEX(Пр3!$D$2:$D$398,MATCH(MIN(IF(Пр3!$A$2:$A$398&gt;=Таб4!$D$3,Пр3!$A$2:$A$398,"")),Пр3!$A$2:$A$398,0),0),"Ошибка")</f>
        <v>0.0012536</v>
      </c>
      <c r="F63" s="217">
        <f t="array" ref="F63">IFERROR(INDEX(Пр3!$D$2:$D$398,MATCH(MIN(IF(Пр3!$A$2:$A$398&gt;=Таб4!$D$3,Пр3!$A$2:$A$398,"")),Пр3!$A$2:$A$398,0),0),"Ошибка")</f>
        <v>0.0012536</v>
      </c>
      <c r="G63" s="217">
        <f t="array" ref="G63">IFERROR(INDEX(Пр3!$D$2:$D$398,MATCH(MIN(IF(Пр3!$A$2:$A$398&gt;=Таб4!$D$3,Пр3!$A$2:$A$398,"")),Пр3!$A$2:$A$398,0),0),"Ошибка")</f>
        <v>0.0012536</v>
      </c>
      <c r="H63" s="217">
        <f t="array" ref="H63">IFERROR(INDEX(Пр3!$D$2:$D$398,MATCH(MIN(IF(Пр3!$A$2:$A$398&gt;=Таб4!$D$3,Пр3!$A$2:$A$398,"")),Пр3!$A$2:$A$398,0),0),"Ошибка")</f>
        <v>0.0012536</v>
      </c>
      <c r="I63" s="217">
        <f t="array" ref="I63">IFERROR(INDEX(Пр3!$D$2:$D$398,MATCH(MIN(IF(Пр3!$A$2:$A$398&gt;=Таб4!$D$3,Пр3!$A$2:$A$398,"")),Пр3!$A$2:$A$398,0),0),"Ошибка")</f>
        <v>0.0012536</v>
      </c>
      <c r="J63" s="217">
        <f t="array" ref="J63">IFERROR(INDEX(Пр3!$D$2:$D$398,MATCH(MIN(IF(Пр3!$A$2:$A$398&gt;=Таб4!$D$3,Пр3!$A$2:$A$398,"")),Пр3!$A$2:$A$398,0),0),"Ошибка")</f>
        <v>0.0012536</v>
      </c>
      <c r="K63" s="217">
        <f t="array" ref="K63">IFERROR(INDEX(Пр3!$D$2:$D$398,MATCH(MIN(IF(Пр3!$A$2:$A$398&gt;=Таб4!$D$3,Пр3!$A$2:$A$398,"")),Пр3!$A$2:$A$398,0),0),"Ошибка")</f>
        <v>0.0012536</v>
      </c>
      <c r="L63" s="217">
        <f t="array" ref="L63">IFERROR(INDEX(Пр3!$D$2:$D$398,MATCH(MIN(IF(Пр3!$A$2:$A$398&gt;=Таб4!$D$3,Пр3!$A$2:$A$398,"")),Пр3!$A$2:$A$398,0),0),"Ошибка")</f>
        <v>0.0012536</v>
      </c>
      <c r="M63" s="217">
        <f t="array" ref="M63">IFERROR(INDEX(Пр3!$D$2:$D$398,MATCH(MIN(IF(Пр3!$A$2:$A$398&gt;=Таб4!$D$3,Пр3!$A$2:$A$398,"")),Пр3!$A$2:$A$398,0),0),"Ошибка")</f>
        <v>0.0012536</v>
      </c>
      <c r="N63" s="207"/>
      <c r="Q63" s="220"/>
      <c r="R63" s="220"/>
      <c r="S63" s="229"/>
      <c r="T63" s="230"/>
    </row>
    <row r="64" ht="36" spans="1:20">
      <c r="A64" s="173" t="s">
        <v>186</v>
      </c>
      <c r="B64" s="173"/>
      <c r="C64" s="165" t="s">
        <v>184</v>
      </c>
      <c r="D64" s="217">
        <f>Таб1!$C$27*D62+(1-Таб1!$C$27)*D63</f>
        <v>0.00245126</v>
      </c>
      <c r="E64" s="217">
        <f>Таб1!$C$27*E62+(1-Таб1!$C$27)*E63</f>
        <v>0.00245126</v>
      </c>
      <c r="F64" s="217">
        <f>Таб1!$C$27*F62+(1-Таб1!$C$27)*F63</f>
        <v>0.00245126</v>
      </c>
      <c r="G64" s="217">
        <f>Таб1!$C$27*G62+(1-Таб1!$C$27)*G63</f>
        <v>0.00245126</v>
      </c>
      <c r="H64" s="217">
        <f>Таб1!$C$27*H62+(1-Таб1!$C$27)*H63</f>
        <v>0.00245126</v>
      </c>
      <c r="I64" s="217">
        <f>Таб1!$C$27*I62+(1-Таб1!$C$27)*I63</f>
        <v>0.00245126</v>
      </c>
      <c r="J64" s="217">
        <f>Таб1!$C$27*J62+(1-Таб1!$C$27)*J63</f>
        <v>0.00245126</v>
      </c>
      <c r="K64" s="217">
        <f>Таб1!$C$27*K62+(1-Таб1!$C$27)*K63</f>
        <v>0.00245126</v>
      </c>
      <c r="L64" s="217">
        <f>Таб1!$C$27*L62+(1-Таб1!$C$27)*L63</f>
        <v>0.00245126</v>
      </c>
      <c r="M64" s="217">
        <f>Таб1!$C$27*M62+(1-Таб1!$C$27)*M63</f>
        <v>0.00245126</v>
      </c>
      <c r="N64" s="207"/>
      <c r="Q64" s="220"/>
      <c r="R64" s="220"/>
      <c r="S64" s="229"/>
      <c r="T64" s="230"/>
    </row>
    <row r="65" ht="72" spans="1:20">
      <c r="A65" s="173" t="s">
        <v>187</v>
      </c>
      <c r="B65" s="173"/>
      <c r="C65" s="165" t="s">
        <v>164</v>
      </c>
      <c r="D65" s="181">
        <f t="shared" ref="D65:J65" si="35">D61*D64</f>
        <v>2.4368465912e-7</v>
      </c>
      <c r="E65" s="181">
        <f t="shared" si="35"/>
        <v>2.4368465912e-7</v>
      </c>
      <c r="F65" s="181">
        <f t="shared" si="35"/>
        <v>2.4368465912e-7</v>
      </c>
      <c r="G65" s="181">
        <f t="shared" si="35"/>
        <v>2.4368465912e-7</v>
      </c>
      <c r="H65" s="181">
        <f t="shared" si="35"/>
        <v>2.4368465912e-7</v>
      </c>
      <c r="I65" s="181">
        <f t="shared" si="35"/>
        <v>2.4368465912e-7</v>
      </c>
      <c r="J65" s="181">
        <f t="shared" si="35"/>
        <v>2.4368465912e-7</v>
      </c>
      <c r="K65" s="181">
        <f t="shared" ref="K65:M65" si="36">K61*K64</f>
        <v>2.4368465912e-7</v>
      </c>
      <c r="L65" s="181">
        <f t="shared" si="36"/>
        <v>2.4368465912e-7</v>
      </c>
      <c r="M65" s="181">
        <f t="shared" si="36"/>
        <v>2.4368465912e-7</v>
      </c>
      <c r="N65" s="207"/>
      <c r="Q65" s="220"/>
      <c r="R65" s="220"/>
      <c r="S65" s="229"/>
      <c r="T65" s="230"/>
    </row>
    <row r="66" ht="36" spans="1:20">
      <c r="A66" s="173" t="s">
        <v>188</v>
      </c>
      <c r="B66" s="173"/>
      <c r="C66" s="165"/>
      <c r="D66" s="198">
        <f t="array" ref="D66">IFERROR(INDEX(Пр4_Физические_свойства_водяного_пара[Критерий Прандтля Pr],MATCH(MIN(IF(Пр4_Физические_свойства_водяного_пара[Температура,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</f>
        <v>1.41</v>
      </c>
      <c r="E66" s="198">
        <f t="array" ref="E66">IFERROR(INDEX(Пр4_Физические_свойства_водяного_пара[Критерий Прандтля Pr],MATCH(MIN(IF(Пр4_Физические_свойства_водяного_пара[Температура,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</f>
        <v>1.41</v>
      </c>
      <c r="F66" s="198">
        <f t="array" ref="F66">IFERROR(INDEX(Пр4_Физические_свойства_водяного_пара[Критерий Прандтля Pr],MATCH(MIN(IF(Пр4_Физические_свойства_водяного_пара[Температура,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</f>
        <v>1.41</v>
      </c>
      <c r="G66" s="198">
        <f t="array" ref="G66">IFERROR(INDEX(Пр4_Физические_свойства_водяного_пара[Критерий Прандтля Pr],MATCH(MIN(IF(Пр4_Физические_свойства_водяного_пара[Температура,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</f>
        <v>1.41</v>
      </c>
      <c r="H66" s="198">
        <f t="array" ref="H66">IFERROR(INDEX(Пр4_Физические_свойства_водяного_пара[Критерий Прандтля Pr],MATCH(MIN(IF(Пр4_Физические_свойства_водяного_пара[Температура,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</f>
        <v>1.41</v>
      </c>
      <c r="I66" s="198">
        <f t="array" ref="I66">IFERROR(INDEX(Пр4_Физические_свойства_водяного_пара[Критерий Прандтля Pr],MATCH(MIN(IF(Пр4_Физические_свойства_водяного_пара[Температура,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</f>
        <v>1.41</v>
      </c>
      <c r="J66" s="198">
        <f t="array" ref="J66">IFERROR(INDEX(Пр4_Физические_свойства_водяного_пара[Критерий Прандтля Pr],MATCH(MIN(IF(Пр4_Физические_свойства_водяного_пара[Температура,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</f>
        <v>1.41</v>
      </c>
      <c r="K66" s="198">
        <f t="array" ref="K66">IFERROR(INDEX(Пр4_Физические_свойства_водяного_пара[Критерий Прандтля Pr],MATCH(MIN(IF(Пр4_Физические_свойства_водяного_пара[Температура,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</f>
        <v>1.41</v>
      </c>
      <c r="L66" s="198">
        <f t="array" ref="L66">IFERROR(INDEX(Пр4_Физические_свойства_водяного_пара[Критерий Прандтля Pr],MATCH(MIN(IF(Пр4_Физические_свойства_водяного_пара[Температура,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</f>
        <v>1.41</v>
      </c>
      <c r="M66" s="198">
        <f t="array" ref="M66">IFERROR(INDEX(Пр4_Физические_свойства_водяного_пара[Критерий Прандтля Pr],MATCH(MIN(IF(Пр4_Физические_свойства_водяного_пара[Температура, оС]&gt;=Таб4!$D$3,Пр4_Физические_свойства_водяного_пара[Температура, оС],"")),Пр4_Физические_свойства_водяного_пара[Температура, оС],0),0),"Ошибка")</f>
        <v>1.41</v>
      </c>
      <c r="N66" s="207"/>
      <c r="Q66" s="220"/>
      <c r="R66" s="220"/>
      <c r="S66" s="224"/>
      <c r="T66" s="223"/>
    </row>
    <row r="67" ht="36" spans="1:20">
      <c r="A67" s="173" t="s">
        <v>189</v>
      </c>
      <c r="B67" s="173"/>
      <c r="C67" s="165"/>
      <c r="D67" s="198">
        <f t="array" ref="D67">IFERROR(INDEX(Пр5_Физические_свойства_воды[критерий Прандтля Pr],MATCH(MIN(IF(Пр5_Физические_свойства_воды[Температура,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</f>
        <v>0.83</v>
      </c>
      <c r="E67" s="198">
        <f t="array" ref="E67">IFERROR(INDEX(Пр5_Физические_свойства_воды[критерий Прандтля Pr],MATCH(MIN(IF(Пр5_Физические_свойства_воды[Температура,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</f>
        <v>0.83</v>
      </c>
      <c r="F67" s="198">
        <f t="array" ref="F67">IFERROR(INDEX(Пр5_Физические_свойства_воды[критерий Прандтля Pr],MATCH(MIN(IF(Пр5_Физические_свойства_воды[Температура,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</f>
        <v>0.83</v>
      </c>
      <c r="G67" s="198">
        <f t="array" ref="G67">IFERROR(INDEX(Пр5_Физические_свойства_воды[критерий Прандтля Pr],MATCH(MIN(IF(Пр5_Физические_свойства_воды[Температура,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</f>
        <v>0.83</v>
      </c>
      <c r="H67" s="198">
        <f t="array" ref="H67">IFERROR(INDEX(Пр5_Физические_свойства_воды[критерий Прандтля Pr],MATCH(MIN(IF(Пр5_Физические_свойства_воды[Температура,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</f>
        <v>0.83</v>
      </c>
      <c r="I67" s="198">
        <f t="array" ref="I67">IFERROR(INDEX(Пр5_Физические_свойства_воды[критерий Прандтля Pr],MATCH(MIN(IF(Пр5_Физические_свойства_воды[Температура,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</f>
        <v>0.83</v>
      </c>
      <c r="J67" s="198">
        <f t="array" ref="J67">IFERROR(INDEX(Пр5_Физические_свойства_воды[критерий Прандтля Pr],MATCH(MIN(IF(Пр5_Физические_свойства_воды[Температура,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</f>
        <v>0.83</v>
      </c>
      <c r="K67" s="198">
        <f t="array" ref="K67">IFERROR(INDEX(Пр5_Физические_свойства_воды[критерий Прандтля Pr],MATCH(MIN(IF(Пр5_Физические_свойства_воды[Температура,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</f>
        <v>0.83</v>
      </c>
      <c r="L67" s="198">
        <f t="array" ref="L67">IFERROR(INDEX(Пр5_Физические_свойства_воды[критерий Прандтля Pr],MATCH(MIN(IF(Пр5_Физические_свойства_воды[Температура,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</f>
        <v>0.83</v>
      </c>
      <c r="M67" s="198">
        <f t="array" ref="M67">IFERROR(INDEX(Пр5_Физические_свойства_воды[критерий Прандтля Pr],MATCH(MIN(IF(Пр5_Физические_свойства_воды[Температура, оС]&gt;=Таб4!$D$3,Пр5_Физические_свойства_воды[Температура, оС],"")),Пр5_Физические_свойства_воды[Температура, оС],0),0),"Ошибка")</f>
        <v>0.83</v>
      </c>
      <c r="N67" s="207"/>
      <c r="Q67" s="220"/>
      <c r="R67" s="220"/>
      <c r="S67" s="226"/>
      <c r="T67" s="223"/>
    </row>
    <row r="68" ht="36" spans="1:20">
      <c r="A68" s="173" t="s">
        <v>190</v>
      </c>
      <c r="B68" s="173"/>
      <c r="C68" s="165" t="s">
        <v>52</v>
      </c>
      <c r="D68" s="198">
        <f>Таб1!$C$27*D66+(1-Таб1!$C$27)*D67</f>
        <v>0.8445</v>
      </c>
      <c r="E68" s="198">
        <f>Таб1!$C$27*E66+(1-Таб1!$C$27)*E67</f>
        <v>0.8445</v>
      </c>
      <c r="F68" s="198">
        <f>Таб1!$C$27*F66+(1-Таб1!$C$27)*F67</f>
        <v>0.8445</v>
      </c>
      <c r="G68" s="198">
        <f>Таб1!$C$27*G66+(1-Таб1!$C$27)*G67</f>
        <v>0.8445</v>
      </c>
      <c r="H68" s="198">
        <f>Таб1!$C$27*H66+(1-Таб1!$C$27)*H67</f>
        <v>0.8445</v>
      </c>
      <c r="I68" s="198">
        <f>Таб1!$C$27*I66+(1-Таб1!$C$27)*I67</f>
        <v>0.8445</v>
      </c>
      <c r="J68" s="198">
        <f>Таб1!$C$27*J66+(1-Таб1!$C$27)*J67</f>
        <v>0.8445</v>
      </c>
      <c r="K68" s="198">
        <f>Таб1!$C$27*K66+(1-Таб1!$C$27)*K67</f>
        <v>0.8445</v>
      </c>
      <c r="L68" s="198">
        <f>Таб1!$C$27*L66+(1-Таб1!$C$27)*L67</f>
        <v>0.8445</v>
      </c>
      <c r="M68" s="198">
        <f>Таб1!$C$27*M66+(1-Таб1!$C$27)*M67</f>
        <v>0.8445</v>
      </c>
      <c r="N68" s="207"/>
      <c r="Q68" s="220"/>
      <c r="R68" s="220"/>
      <c r="S68" s="207"/>
      <c r="T68" s="223"/>
    </row>
    <row r="69" ht="36" spans="1:20">
      <c r="A69" s="173" t="s">
        <v>191</v>
      </c>
      <c r="B69" s="173"/>
      <c r="C69" s="165" t="s">
        <v>63</v>
      </c>
      <c r="D69" s="213">
        <f t="shared" ref="D69:M69" si="37">(32-2*5)/1000</f>
        <v>0.022</v>
      </c>
      <c r="E69" s="213">
        <f t="shared" si="37"/>
        <v>0.022</v>
      </c>
      <c r="F69" s="213">
        <f t="shared" si="37"/>
        <v>0.022</v>
      </c>
      <c r="G69" s="213">
        <f t="shared" si="37"/>
        <v>0.022</v>
      </c>
      <c r="H69" s="213">
        <f t="shared" si="37"/>
        <v>0.022</v>
      </c>
      <c r="I69" s="213">
        <f t="shared" si="37"/>
        <v>0.022</v>
      </c>
      <c r="J69" s="213">
        <f t="shared" si="37"/>
        <v>0.022</v>
      </c>
      <c r="K69" s="213">
        <f t="shared" si="37"/>
        <v>0.022</v>
      </c>
      <c r="L69" s="213">
        <f t="shared" si="37"/>
        <v>0.022</v>
      </c>
      <c r="M69" s="213">
        <f t="shared" si="37"/>
        <v>0.022</v>
      </c>
      <c r="N69" s="207"/>
      <c r="Q69" s="220"/>
      <c r="R69" s="220"/>
      <c r="S69" s="207"/>
      <c r="T69" s="223"/>
    </row>
    <row r="70" ht="18" spans="1:20">
      <c r="A70" s="173" t="s">
        <v>165</v>
      </c>
      <c r="B70" s="173"/>
      <c r="C70" s="165" t="s">
        <v>52</v>
      </c>
      <c r="D70" s="178">
        <f>Таб1!$C$25*D69/D65</f>
        <v>135420.917012874</v>
      </c>
      <c r="E70" s="178">
        <f>Таб1!$C$25*E69/E65</f>
        <v>135420.917012874</v>
      </c>
      <c r="F70" s="178">
        <f>Таб1!$C$25*F69/F65</f>
        <v>135420.917012874</v>
      </c>
      <c r="G70" s="178">
        <f>Таб1!$C$25*G69/G65</f>
        <v>135420.917012874</v>
      </c>
      <c r="H70" s="178">
        <f>Таб1!$C$25*H69/H65</f>
        <v>135420.917012874</v>
      </c>
      <c r="I70" s="178">
        <f>Таб1!$C$25*I69/I65</f>
        <v>135420.917012874</v>
      </c>
      <c r="J70" s="178">
        <f>Таб1!$C$25*J69/J65</f>
        <v>135420.917012874</v>
      </c>
      <c r="K70" s="178">
        <f>Таб1!$C$25*K69/K65</f>
        <v>135420.917012874</v>
      </c>
      <c r="L70" s="178">
        <f>Таб1!$C$25*L69/L65</f>
        <v>135420.917012874</v>
      </c>
      <c r="M70" s="178">
        <f>Таб1!$C$25*M69/M65</f>
        <v>135420.917012874</v>
      </c>
      <c r="N70" s="207"/>
      <c r="Q70" s="220"/>
      <c r="R70" s="220"/>
      <c r="S70" s="207"/>
      <c r="T70" s="223"/>
    </row>
    <row r="71" ht="18" spans="1:20">
      <c r="A71" s="173" t="s">
        <v>171</v>
      </c>
      <c r="B71" s="173"/>
      <c r="C71" s="165" t="s">
        <v>52</v>
      </c>
      <c r="D71" s="175">
        <f t="shared" ref="D71:J71" si="38">0.021*D70^0.8*D68^0.43</f>
        <v>248.889024872506</v>
      </c>
      <c r="E71" s="175">
        <f t="shared" si="38"/>
        <v>248.889024872506</v>
      </c>
      <c r="F71" s="175">
        <f t="shared" si="38"/>
        <v>248.889024872506</v>
      </c>
      <c r="G71" s="175">
        <f t="shared" si="38"/>
        <v>248.889024872506</v>
      </c>
      <c r="H71" s="175">
        <f t="shared" si="38"/>
        <v>248.889024872506</v>
      </c>
      <c r="I71" s="175">
        <f t="shared" si="38"/>
        <v>248.889024872506</v>
      </c>
      <c r="J71" s="175">
        <f t="shared" si="38"/>
        <v>248.889024872506</v>
      </c>
      <c r="K71" s="175">
        <f t="shared" ref="K71:M71" si="39">0.021*K70^0.8*K68^0.43</f>
        <v>248.889024872506</v>
      </c>
      <c r="L71" s="175">
        <f t="shared" si="39"/>
        <v>248.889024872506</v>
      </c>
      <c r="M71" s="175">
        <f t="shared" si="39"/>
        <v>248.889024872506</v>
      </c>
      <c r="N71" s="207"/>
      <c r="Q71" s="220"/>
      <c r="R71" s="220"/>
      <c r="S71" s="222"/>
      <c r="T71" s="223"/>
    </row>
    <row r="72" ht="72" spans="1:20">
      <c r="A72" s="183" t="s">
        <v>192</v>
      </c>
      <c r="B72" s="183"/>
      <c r="C72" s="184" t="s">
        <v>174</v>
      </c>
      <c r="D72" s="215">
        <f t="shared" ref="D72:J72" si="40">D71*D58/D69</f>
        <v>67393.4913667276</v>
      </c>
      <c r="E72" s="215">
        <f t="shared" si="40"/>
        <v>67393.4913667276</v>
      </c>
      <c r="F72" s="215">
        <f t="shared" si="40"/>
        <v>67393.4913667276</v>
      </c>
      <c r="G72" s="215">
        <f t="shared" si="40"/>
        <v>67393.4913667276</v>
      </c>
      <c r="H72" s="215">
        <f t="shared" si="40"/>
        <v>67393.4913667276</v>
      </c>
      <c r="I72" s="215">
        <f t="shared" si="40"/>
        <v>67393.4913667276</v>
      </c>
      <c r="J72" s="215">
        <f t="shared" si="40"/>
        <v>67393.4913667276</v>
      </c>
      <c r="K72" s="215">
        <f t="shared" ref="K72:M72" si="41">K71*K58/K69</f>
        <v>67393.4913667276</v>
      </c>
      <c r="L72" s="215">
        <f t="shared" si="41"/>
        <v>67393.4913667276</v>
      </c>
      <c r="M72" s="215">
        <f t="shared" si="41"/>
        <v>67393.4913667276</v>
      </c>
      <c r="N72" s="207"/>
      <c r="Q72" s="220"/>
      <c r="R72" s="220"/>
      <c r="S72" s="222"/>
      <c r="T72" s="223"/>
    </row>
    <row r="73" ht="64.95" customHeight="1" spans="1:20">
      <c r="A73" s="183" t="s">
        <v>193</v>
      </c>
      <c r="B73" s="183"/>
      <c r="C73" s="184" t="s">
        <v>174</v>
      </c>
      <c r="D73" s="196">
        <f>1/(1/D55+Таб2!C15/D74+Таб2!C17/1000/D75+1/D72)</f>
        <v>45.7636507019414</v>
      </c>
      <c r="E73" s="196">
        <f>1/(1/E55+Таб2!D15/E74+Таб2!D17/1000/E75+1/E72)</f>
        <v>41.1664247702084</v>
      </c>
      <c r="F73" s="196">
        <f>1/(1/F55+Таб2!E15/F74+Таб2!E17/1000/F75+1/F72)</f>
        <v>36.719600390213</v>
      </c>
      <c r="G73" s="196">
        <f>1/(1/G55+Таб2!F15/G74+Таб2!F17/1000/G75+1/G72)</f>
        <v>29.8001756236256</v>
      </c>
      <c r="H73" s="196">
        <f>1/(1/H55+Таб2!G15/H74+Таб2!G17/1000/H75+1/H72)</f>
        <v>26.5709368368798</v>
      </c>
      <c r="I73" s="196">
        <f>1/(1/I55+Таб2!H15/I74+Таб2!H17/1000/I75+1/I72)</f>
        <v>24.1476496771139</v>
      </c>
      <c r="J73" s="196" t="e">
        <f>1/(1/J55+Таб2!I15/J74+Таб2!I17/1000/J75+1/J72)</f>
        <v>#DIV/0!</v>
      </c>
      <c r="K73" s="196" t="e">
        <f>1/(1/K55+Таб2!J15/K74+Таб2!J17/1000/K75+1/K72)</f>
        <v>#DIV/0!</v>
      </c>
      <c r="L73" s="196" t="e">
        <f>1/(1/L55+Таб2!K15/L74+Таб2!K17/1000/L75+1/L72)</f>
        <v>#DIV/0!</v>
      </c>
      <c r="M73" s="196" t="e">
        <f>1/(1/M55+Таб2!L15/M74+Таб2!L17/1000/M75+1/M72)</f>
        <v>#DIV/0!</v>
      </c>
      <c r="N73" s="232" t="s">
        <v>194</v>
      </c>
      <c r="Q73" s="220"/>
      <c r="R73" s="220"/>
      <c r="S73" s="226"/>
      <c r="T73" s="223"/>
    </row>
    <row r="74" ht="69.6" spans="1:20">
      <c r="A74" s="173" t="s">
        <v>195</v>
      </c>
      <c r="B74" s="173"/>
      <c r="C74" s="165" t="s">
        <v>150</v>
      </c>
      <c r="D74" s="175">
        <f>(-0.025*Таб4!$D$3+51.787)*3600/4187</f>
        <v>39.1314067351326</v>
      </c>
      <c r="E74" s="175">
        <f>(-0.025*Таб4!$D$3+51.787)*3600/4187</f>
        <v>39.1314067351326</v>
      </c>
      <c r="F74" s="175">
        <f>(-0.025*Таб4!$D$3+51.787)*3600/4187</f>
        <v>39.1314067351326</v>
      </c>
      <c r="G74" s="175">
        <f>(-0.025*Таб4!$D$3+51.787)*3600/4187</f>
        <v>39.1314067351326</v>
      </c>
      <c r="H74" s="175">
        <f>(-0.025*Таб4!$D$3+51.787)*3600/4187</f>
        <v>39.1314067351326</v>
      </c>
      <c r="I74" s="175">
        <f>(-0.025*Таб4!$D$3+51.787)*3600/4187</f>
        <v>39.1314067351326</v>
      </c>
      <c r="J74" s="175">
        <f>(-0.025*Таб4!$D$3+51.787)*3600/4187</f>
        <v>39.1314067351326</v>
      </c>
      <c r="K74" s="175">
        <f>(-0.025*Таб4!$D$3+51.787)*3600/4187</f>
        <v>39.1314067351326</v>
      </c>
      <c r="L74" s="175">
        <f>(-0.025*Таб4!$D$3+51.787)*3600/4187</f>
        <v>39.1314067351326</v>
      </c>
      <c r="M74" s="175">
        <f>(-0.025*Таб4!$D$3+51.787)*3600/4187</f>
        <v>39.1314067351326</v>
      </c>
      <c r="N74" s="206" t="s">
        <v>196</v>
      </c>
      <c r="Q74" s="220"/>
      <c r="R74" s="220"/>
      <c r="S74" s="226"/>
      <c r="T74" s="178"/>
    </row>
    <row r="75" ht="36" spans="1:20">
      <c r="A75" s="173" t="s">
        <v>197</v>
      </c>
      <c r="B75" s="173"/>
      <c r="C75" s="165" t="s">
        <v>150</v>
      </c>
      <c r="D75" s="213">
        <v>0.045</v>
      </c>
      <c r="E75" s="213">
        <v>0.045</v>
      </c>
      <c r="F75" s="213">
        <v>0.045</v>
      </c>
      <c r="G75" s="213">
        <v>0.045</v>
      </c>
      <c r="H75" s="213">
        <v>0.045</v>
      </c>
      <c r="I75" s="213">
        <v>0.045</v>
      </c>
      <c r="J75" s="213">
        <v>0.045</v>
      </c>
      <c r="K75" s="213">
        <v>0.045</v>
      </c>
      <c r="L75" s="213">
        <v>0.045</v>
      </c>
      <c r="M75" s="213">
        <v>0.045</v>
      </c>
      <c r="N75" s="206"/>
      <c r="Q75" s="220"/>
      <c r="R75" s="220"/>
      <c r="S75" s="226"/>
      <c r="T75" s="228"/>
    </row>
    <row r="76" ht="54" spans="1:20">
      <c r="A76" s="173" t="s">
        <v>198</v>
      </c>
      <c r="B76" s="165" t="s">
        <v>199</v>
      </c>
      <c r="C76" s="165" t="s">
        <v>52</v>
      </c>
      <c r="D76" s="174">
        <v>0.59</v>
      </c>
      <c r="E76" s="174">
        <v>0.59</v>
      </c>
      <c r="F76" s="174">
        <v>0.59</v>
      </c>
      <c r="G76" s="174">
        <v>0.59</v>
      </c>
      <c r="H76" s="174">
        <v>0.59</v>
      </c>
      <c r="I76" s="174">
        <v>0.59</v>
      </c>
      <c r="J76" s="174">
        <v>0.59</v>
      </c>
      <c r="K76" s="174">
        <v>0.59</v>
      </c>
      <c r="L76" s="174">
        <v>0.59</v>
      </c>
      <c r="M76" s="174">
        <v>0.59</v>
      </c>
      <c r="N76" s="206" t="s">
        <v>200</v>
      </c>
      <c r="Q76" s="220"/>
      <c r="R76" s="220"/>
      <c r="S76" s="224"/>
      <c r="T76" s="223"/>
    </row>
    <row r="77" ht="87" spans="1:20">
      <c r="A77" s="173" t="s">
        <v>201</v>
      </c>
      <c r="B77" s="165" t="s">
        <v>202</v>
      </c>
      <c r="C77" s="165" t="s">
        <v>52</v>
      </c>
      <c r="D77" s="174">
        <f t="shared" ref="D77:J77" si="42">IF(D2&lt;4,-0.045*D2^2+0.355*D2+0.14,0.85)</f>
        <v>0.583538654597277</v>
      </c>
      <c r="E77" s="174">
        <f t="shared" si="42"/>
        <v>0.341666836930635</v>
      </c>
      <c r="F77" s="174">
        <f t="shared" si="42"/>
        <v>0.722716802395139</v>
      </c>
      <c r="G77" s="174">
        <f t="shared" si="42"/>
        <v>0.611073572294006</v>
      </c>
      <c r="H77" s="174">
        <f t="shared" si="42"/>
        <v>0.346131914675176</v>
      </c>
      <c r="I77" s="174">
        <f t="shared" si="42"/>
        <v>0.55645622445956</v>
      </c>
      <c r="J77" s="174" t="e">
        <f t="shared" si="42"/>
        <v>#DIV/0!</v>
      </c>
      <c r="K77" s="174" t="e">
        <f t="shared" ref="K77:M77" si="43">IF(K2&lt;4,-0.045*K2^2+0.355*K2+0.14,0.85)</f>
        <v>#DIV/0!</v>
      </c>
      <c r="L77" s="174" t="e">
        <f t="shared" si="43"/>
        <v>#DIV/0!</v>
      </c>
      <c r="M77" s="174" t="e">
        <f t="shared" si="43"/>
        <v>#DIV/0!</v>
      </c>
      <c r="N77" s="206" t="s">
        <v>203</v>
      </c>
      <c r="Q77" s="220"/>
      <c r="R77" s="220"/>
      <c r="S77" s="207"/>
      <c r="T77" s="175"/>
    </row>
    <row r="78" ht="72" spans="1:20">
      <c r="A78" s="173" t="s">
        <v>204</v>
      </c>
      <c r="B78" s="165" t="s">
        <v>202</v>
      </c>
      <c r="C78" s="165" t="s">
        <v>52</v>
      </c>
      <c r="D78" s="174">
        <f>D76*Таб5!C8+D77*Таб5!C9</f>
        <v>0.59</v>
      </c>
      <c r="E78" s="174">
        <f>E76*Таб5!D8+E77*Таб5!D9</f>
        <v>0.59</v>
      </c>
      <c r="F78" s="174">
        <f>F76*Таб5!E8+F77*Таб5!E9</f>
        <v>0.59</v>
      </c>
      <c r="G78" s="174">
        <f>G76*Таб5!F8+G77*Таб5!F9</f>
        <v>0.59</v>
      </c>
      <c r="H78" s="174">
        <f>H76*Таб5!G8+H77*Таб5!G9</f>
        <v>0.59</v>
      </c>
      <c r="I78" s="174">
        <f>I76*Таб5!H8+I77*Таб5!H9</f>
        <v>0.59</v>
      </c>
      <c r="J78" s="174" t="e">
        <f>J76*Таб5!I8+J77*Таб5!I9</f>
        <v>#DIV/0!</v>
      </c>
      <c r="K78" s="174" t="e">
        <f>K76*Таб5!J8+K77*Таб5!J9</f>
        <v>#DIV/0!</v>
      </c>
      <c r="L78" s="174" t="e">
        <f>L76*Таб5!K8+L77*Таб5!K9</f>
        <v>#DIV/0!</v>
      </c>
      <c r="M78" s="174" t="e">
        <f>M76*Таб5!L8+M77*Таб5!L9</f>
        <v>#DIV/0!</v>
      </c>
      <c r="N78" s="207"/>
      <c r="Q78" s="220"/>
      <c r="R78" s="220"/>
      <c r="S78" s="207"/>
      <c r="T78" s="223"/>
    </row>
    <row r="79" ht="54" spans="1:20">
      <c r="A79" s="173" t="s">
        <v>205</v>
      </c>
      <c r="B79" s="173"/>
      <c r="C79" s="165" t="s">
        <v>128</v>
      </c>
      <c r="D79" s="178">
        <f t="shared" ref="D79:J79" si="44">D73*D18*D78</f>
        <v>25878.5082816319</v>
      </c>
      <c r="E79" s="178">
        <f t="shared" si="44"/>
        <v>16247.890947458</v>
      </c>
      <c r="F79" s="178">
        <f t="shared" si="44"/>
        <v>9427.68512640749</v>
      </c>
      <c r="G79" s="178">
        <f t="shared" si="44"/>
        <v>5757.36724122517</v>
      </c>
      <c r="H79" s="178">
        <f t="shared" si="44"/>
        <v>4020.49637409351</v>
      </c>
      <c r="I79" s="178">
        <f t="shared" si="44"/>
        <v>3042.27652819593</v>
      </c>
      <c r="J79" s="178" t="e">
        <f t="shared" si="44"/>
        <v>#DIV/0!</v>
      </c>
      <c r="K79" s="178" t="e">
        <f t="shared" ref="K79:M79" si="45">K73*K18*K78</f>
        <v>#DIV/0!</v>
      </c>
      <c r="L79" s="178" t="e">
        <f t="shared" si="45"/>
        <v>#DIV/0!</v>
      </c>
      <c r="M79" s="178" t="e">
        <f t="shared" si="45"/>
        <v>#DIV/0!</v>
      </c>
      <c r="N79" s="207"/>
      <c r="Q79" s="220"/>
      <c r="R79" s="220"/>
      <c r="S79" s="207"/>
      <c r="T79" s="233"/>
    </row>
    <row r="80" ht="72" spans="1:20">
      <c r="A80" s="173" t="s">
        <v>206</v>
      </c>
      <c r="B80" s="173"/>
      <c r="C80" s="165" t="s">
        <v>207</v>
      </c>
      <c r="D80" s="175">
        <f>D79*Таб5!C7*10^-6</f>
        <v>1.53530720007852</v>
      </c>
      <c r="E80" s="175">
        <f>E79*Таб5!D7*10^-6</f>
        <v>7.61389743285978</v>
      </c>
      <c r="F80" s="175">
        <f>F79*Таб5!E7*10^-6</f>
        <v>0.805176633447651</v>
      </c>
      <c r="G80" s="175">
        <f>G79*Таб5!F7*10^-6</f>
        <v>2.08646988822</v>
      </c>
      <c r="H80" s="175">
        <f>H79*Таб5!G7*10^-6</f>
        <v>0.178992498574643</v>
      </c>
      <c r="I80" s="175">
        <f>I79*Таб5!H7*10^-6</f>
        <v>1.1025210138182</v>
      </c>
      <c r="J80" s="175" t="e">
        <f>J79*Таб5!I7*10^-6</f>
        <v>#DIV/0!</v>
      </c>
      <c r="K80" s="175" t="e">
        <f>K79*Таб5!J7*10^-6</f>
        <v>#DIV/0!</v>
      </c>
      <c r="L80" s="175" t="e">
        <f>L79*Таб5!K7*10^-6</f>
        <v>#DIV/0!</v>
      </c>
      <c r="M80" s="175" t="e">
        <f>M79*Таб5!L7*10^-6</f>
        <v>#DIV/0!</v>
      </c>
      <c r="N80" s="207"/>
      <c r="Q80" s="220"/>
      <c r="R80" s="220"/>
      <c r="S80" s="234"/>
      <c r="T80" s="223"/>
    </row>
    <row r="81" ht="54" spans="1:20">
      <c r="A81" s="173" t="s">
        <v>208</v>
      </c>
      <c r="B81" s="173"/>
      <c r="C81" s="165" t="s">
        <v>207</v>
      </c>
      <c r="D81" s="175">
        <f>Таб6!C38*D23</f>
        <v>1.52367664450331</v>
      </c>
      <c r="E81" s="175">
        <f>Таб6!D38*E23</f>
        <v>7.63221684179262</v>
      </c>
      <c r="F81" s="175">
        <f>Таб6!E38*F23</f>
        <v>0.808023301124219</v>
      </c>
      <c r="G81" s="175">
        <f>Таб6!F38*G23</f>
        <v>2.07782920171954</v>
      </c>
      <c r="H81" s="175">
        <f>Таб6!G38*H23</f>
        <v>0.178857087495274</v>
      </c>
      <c r="I81" s="175">
        <f>Таб6!H38*I23</f>
        <v>1.09182066878244</v>
      </c>
      <c r="J81" s="175" t="e">
        <f>Таб6!I38*J23</f>
        <v>#DIV/0!</v>
      </c>
      <c r="K81" s="175" t="e">
        <f>Таб6!J38*K23</f>
        <v>#DIV/0!</v>
      </c>
      <c r="L81" s="175" t="e">
        <f>Таб6!K38*L23</f>
        <v>#DIV/0!</v>
      </c>
      <c r="M81" s="175" t="e">
        <f>Таб6!L38*M23</f>
        <v>#DIV/0!</v>
      </c>
      <c r="N81" s="207"/>
      <c r="Q81" s="220"/>
      <c r="R81" s="220"/>
      <c r="S81" s="234"/>
      <c r="T81" s="223"/>
    </row>
    <row r="82" ht="18" spans="1:20">
      <c r="A82" s="173" t="s">
        <v>209</v>
      </c>
      <c r="B82" s="173"/>
      <c r="C82" s="165" t="s">
        <v>20</v>
      </c>
      <c r="D82" s="182">
        <f t="shared" ref="D82:J82" si="46">(D81-D80)/D81</f>
        <v>-0.00763321772842388</v>
      </c>
      <c r="E82" s="182">
        <f t="shared" si="46"/>
        <v>0.0024002736442873</v>
      </c>
      <c r="F82" s="182">
        <f t="shared" si="46"/>
        <v>0.00352300196368936</v>
      </c>
      <c r="G82" s="182">
        <f t="shared" si="46"/>
        <v>-0.00415851625018421</v>
      </c>
      <c r="H82" s="182">
        <f t="shared" si="46"/>
        <v>-0.000757090933692659</v>
      </c>
      <c r="I82" s="182">
        <f t="shared" si="46"/>
        <v>-0.00980046022365058</v>
      </c>
      <c r="J82" s="182" t="e">
        <f t="shared" si="46"/>
        <v>#DIV/0!</v>
      </c>
      <c r="K82" s="182" t="e">
        <f t="shared" ref="K82:M82" si="47">(K81-K80)/K81</f>
        <v>#DIV/0!</v>
      </c>
      <c r="L82" s="182" t="e">
        <f t="shared" si="47"/>
        <v>#DIV/0!</v>
      </c>
      <c r="M82" s="182" t="e">
        <f t="shared" si="47"/>
        <v>#DIV/0!</v>
      </c>
      <c r="N82" s="208"/>
      <c r="Q82" s="220"/>
      <c r="R82" s="220"/>
      <c r="S82" s="234"/>
      <c r="T82" s="235"/>
    </row>
    <row r="83" ht="18" spans="1:20">
      <c r="A83" s="183" t="s">
        <v>209</v>
      </c>
      <c r="B83" s="183"/>
      <c r="C83" s="184" t="s">
        <v>20</v>
      </c>
      <c r="D83" s="185" t="str">
        <f t="shared" ref="D83:J83" si="48">IF(D82&gt;=0.01,"МНОГО!",IF(D82&lt;-0.01,"МАЛО!","ПРАВИЛЬНО!"))</f>
        <v>ПРАВИЛЬНО!</v>
      </c>
      <c r="E83" s="185" t="str">
        <f t="shared" si="48"/>
        <v>ПРАВИЛЬНО!</v>
      </c>
      <c r="F83" s="185" t="str">
        <f t="shared" si="48"/>
        <v>ПРАВИЛЬНО!</v>
      </c>
      <c r="G83" s="185" t="str">
        <f t="shared" si="48"/>
        <v>ПРАВИЛЬНО!</v>
      </c>
      <c r="H83" s="185" t="str">
        <f t="shared" si="48"/>
        <v>ПРАВИЛЬНО!</v>
      </c>
      <c r="I83" s="185" t="str">
        <f t="shared" si="48"/>
        <v>ПРАВИЛЬНО!</v>
      </c>
      <c r="J83" s="185" t="e">
        <f t="shared" si="48"/>
        <v>#DIV/0!</v>
      </c>
      <c r="K83" s="185" t="e">
        <f t="shared" ref="K83:M83" si="49">IF(K82&gt;=0.01,"МНОГО!",IF(K82&lt;-0.01,"МАЛО!","ПРАВИЛЬНО!"))</f>
        <v>#DIV/0!</v>
      </c>
      <c r="L83" s="185" t="e">
        <f t="shared" si="49"/>
        <v>#DIV/0!</v>
      </c>
      <c r="M83" s="185" t="e">
        <f t="shared" si="49"/>
        <v>#DIV/0!</v>
      </c>
      <c r="N83" s="208"/>
      <c r="Q83" s="220"/>
      <c r="R83" s="220"/>
      <c r="S83" s="207"/>
      <c r="T83" s="223"/>
    </row>
    <row r="84" ht="54" spans="1:20">
      <c r="A84" s="173" t="s">
        <v>210</v>
      </c>
      <c r="B84" s="173"/>
      <c r="C84" s="165" t="s">
        <v>20</v>
      </c>
      <c r="D84" s="182">
        <f>D80/Таб6!$C$23</f>
        <v>0.076761963932966</v>
      </c>
      <c r="E84" s="182">
        <f>E80/Таб6!$C$23</f>
        <v>0.380678029843535</v>
      </c>
      <c r="F84" s="182">
        <f>F80/Таб6!$C$23</f>
        <v>0.0402570506366508</v>
      </c>
      <c r="G84" s="182">
        <f>G80/Таб6!$C$23</f>
        <v>0.104318879178429</v>
      </c>
      <c r="H84" s="182">
        <f>H80/Таб6!$C$23</f>
        <v>0.00894922900065571</v>
      </c>
      <c r="I84" s="182">
        <f>I80/Таб6!$C$23</f>
        <v>0.0551236119349416</v>
      </c>
      <c r="J84" s="182" t="e">
        <f>J80/Таб6!$C$23</f>
        <v>#DIV/0!</v>
      </c>
      <c r="K84" s="182" t="e">
        <f>K80/Таб6!$C$23</f>
        <v>#DIV/0!</v>
      </c>
      <c r="L84" s="182" t="e">
        <f>L80/Таб6!$C$23</f>
        <v>#DIV/0!</v>
      </c>
      <c r="M84" s="182" t="e">
        <f>M80/Таб6!$C$23</f>
        <v>#DIV/0!</v>
      </c>
      <c r="N84" s="208"/>
      <c r="Q84" s="236"/>
      <c r="R84" s="236"/>
      <c r="S84" s="207"/>
      <c r="T84" s="223"/>
    </row>
    <row r="85" ht="36" spans="1:20">
      <c r="A85" s="173" t="s">
        <v>211</v>
      </c>
      <c r="B85" s="173"/>
      <c r="C85" s="165" t="s">
        <v>212</v>
      </c>
      <c r="D85" s="175">
        <f>D80*10^3/((Таб4!$E$3-Таб4!$F$3)+(1-Таб1!$C$26)*(Таб4!$C$3-Таб4!$E$3)+Таб1!$C$26*Таб4!$E$3)</f>
        <v>2.79827238947818</v>
      </c>
      <c r="E85" s="175">
        <f>E80*10^3/((Таб4!$E$3-Таб4!$F$3)+(1-Таб1!$C$26)*(Таб4!$C$3-Таб4!$E$3)+Таб1!$C$26*Таб4!$E$3)</f>
        <v>13.8771960175792</v>
      </c>
      <c r="F85" s="175">
        <f>F80*10^3/((Таб4!$E$3-Таб4!$F$3)+(1-Таб1!$C$26)*(Таб4!$C$3-Таб4!$E$3)+Таб1!$C$26*Таб4!$E$3)</f>
        <v>1.46752620056385</v>
      </c>
      <c r="G85" s="175">
        <f>G80*10^3/((Таб4!$E$3-Таб4!$F$3)+(1-Таб1!$C$26)*(Таб4!$C$3-Таб4!$E$3)+Таб1!$C$26*Таб4!$E$3)</f>
        <v>3.80282921840337</v>
      </c>
      <c r="H85" s="175">
        <f>H80*10^3/((Таб4!$E$3-Таб4!$F$3)+(1-Таб1!$C$26)*(Таб4!$C$3-Таб4!$E$3)+Таб1!$C$26*Таб4!$E$3)</f>
        <v>0.32623423290109</v>
      </c>
      <c r="I85" s="175">
        <f>I80*10^3/((Таб4!$E$3-Таб4!$F$3)+(1-Таб1!$C$26)*(Таб4!$C$3-Таб4!$E$3)+Таб1!$C$26*Таб4!$E$3)</f>
        <v>2.00947022956005</v>
      </c>
      <c r="J85" s="175" t="e">
        <f>J80*10^3/((Таб4!$E$3-Таб4!$F$3)+(1-Таб1!$C$26)*(Таб4!$C$3-Таб4!$E$3)+Таб1!$C$26*Таб4!$E$3)</f>
        <v>#DIV/0!</v>
      </c>
      <c r="K85" s="175" t="e">
        <f>K80*10^3/((Таб4!$E$3-Таб4!$F$3)+(1-Таб1!$C$26)*(Таб4!$C$3-Таб4!$E$3)+Таб1!$C$26*Таб4!$E$3)</f>
        <v>#DIV/0!</v>
      </c>
      <c r="L85" s="175" t="e">
        <f>L80*10^3/((Таб4!$E$3-Таб4!$F$3)+(1-Таб1!$C$26)*(Таб4!$C$3-Таб4!$E$3)+Таб1!$C$26*Таб4!$E$3)</f>
        <v>#DIV/0!</v>
      </c>
      <c r="M85" s="175" t="e">
        <f>M80*10^3/((Таб4!$E$3-Таб4!$F$3)+(1-Таб1!$C$26)*(Таб4!$C$3-Таб4!$E$3)+Таб1!$C$26*Таб4!$E$3)</f>
        <v>#DIV/0!</v>
      </c>
      <c r="N85" s="207"/>
      <c r="Q85" s="236"/>
      <c r="R85" s="236"/>
      <c r="S85" s="207"/>
      <c r="T85" s="236"/>
    </row>
    <row r="86" ht="18" spans="1:20">
      <c r="A86" s="173" t="s">
        <v>37</v>
      </c>
      <c r="B86" s="173"/>
      <c r="C86" s="165" t="s">
        <v>212</v>
      </c>
      <c r="D86" s="175">
        <f>Таб1!$C$26*D85</f>
        <v>0.279827238947818</v>
      </c>
      <c r="E86" s="175">
        <f>Таб1!$C$26*E85</f>
        <v>1.38771960175792</v>
      </c>
      <c r="F86" s="175">
        <f>Таб1!$C$26*F85</f>
        <v>0.146752620056385</v>
      </c>
      <c r="G86" s="175">
        <f>Таб1!$C$26*G85</f>
        <v>0.380282921840337</v>
      </c>
      <c r="H86" s="175">
        <f>Таб1!$C$26*H85</f>
        <v>0.0326234232901091</v>
      </c>
      <c r="I86" s="175">
        <f>Таб1!$C$26*I85</f>
        <v>0.200947022956005</v>
      </c>
      <c r="J86" s="175" t="e">
        <f>Таб1!$C$26*J85</f>
        <v>#DIV/0!</v>
      </c>
      <c r="K86" s="175" t="e">
        <f>Таб1!$C$26*K85</f>
        <v>#DIV/0!</v>
      </c>
      <c r="L86" s="175" t="e">
        <f>Таб1!$C$26*L85</f>
        <v>#DIV/0!</v>
      </c>
      <c r="M86" s="175" t="e">
        <f>Таб1!$C$26*M85</f>
        <v>#DIV/0!</v>
      </c>
      <c r="N86" s="207"/>
      <c r="Q86" s="237"/>
      <c r="R86" s="237"/>
      <c r="S86" s="207"/>
      <c r="T86" s="236"/>
    </row>
    <row r="87" ht="54" spans="1:20">
      <c r="A87" s="173" t="s">
        <v>213</v>
      </c>
      <c r="B87" s="173"/>
      <c r="C87" s="165" t="s">
        <v>212</v>
      </c>
      <c r="D87" s="175">
        <f t="shared" ref="D87:J87" si="50">D85-D86</f>
        <v>2.51844515053037</v>
      </c>
      <c r="E87" s="175">
        <f t="shared" si="50"/>
        <v>12.4894764158213</v>
      </c>
      <c r="F87" s="175">
        <f t="shared" si="50"/>
        <v>1.32077358050747</v>
      </c>
      <c r="G87" s="175">
        <f t="shared" si="50"/>
        <v>3.42254629656304</v>
      </c>
      <c r="H87" s="175">
        <f t="shared" si="50"/>
        <v>0.293610809610981</v>
      </c>
      <c r="I87" s="175">
        <f t="shared" si="50"/>
        <v>1.80852320660404</v>
      </c>
      <c r="J87" s="175" t="e">
        <f t="shared" si="50"/>
        <v>#DIV/0!</v>
      </c>
      <c r="K87" s="175" t="e">
        <f t="shared" ref="K87:M87" si="51">K85-K86</f>
        <v>#DIV/0!</v>
      </c>
      <c r="L87" s="175" t="e">
        <f t="shared" si="51"/>
        <v>#DIV/0!</v>
      </c>
      <c r="M87" s="175" t="e">
        <f t="shared" si="51"/>
        <v>#DIV/0!</v>
      </c>
      <c r="N87" s="207"/>
      <c r="Q87" s="237"/>
      <c r="R87" s="237"/>
      <c r="S87" s="224"/>
      <c r="T87" s="165"/>
    </row>
    <row r="88" ht="54" spans="1:20">
      <c r="A88" s="173" t="s">
        <v>214</v>
      </c>
      <c r="B88" s="173"/>
      <c r="C88" s="165" t="s">
        <v>212</v>
      </c>
      <c r="D88" s="175">
        <f>D87/Таб1!$C$27</f>
        <v>100.737806021215</v>
      </c>
      <c r="E88" s="175">
        <f>E87/Таб1!$C$27</f>
        <v>499.579056632852</v>
      </c>
      <c r="F88" s="175">
        <f>F87/Таб1!$C$27</f>
        <v>52.8309432202988</v>
      </c>
      <c r="G88" s="175">
        <f>G87/Таб1!$C$27</f>
        <v>136.901851862521</v>
      </c>
      <c r="H88" s="175">
        <f>H87/Таб1!$C$27</f>
        <v>11.7444323844393</v>
      </c>
      <c r="I88" s="175">
        <f>I87/Таб1!$C$27</f>
        <v>72.3409282641617</v>
      </c>
      <c r="J88" s="175" t="e">
        <f>J87/Таб1!$C$27</f>
        <v>#DIV/0!</v>
      </c>
      <c r="K88" s="175" t="e">
        <f>K87/Таб1!$C$27</f>
        <v>#DIV/0!</v>
      </c>
      <c r="L88" s="175" t="e">
        <f>L87/Таб1!$C$27</f>
        <v>#DIV/0!</v>
      </c>
      <c r="M88" s="175" t="e">
        <f>M87/Таб1!$C$27</f>
        <v>#DIV/0!</v>
      </c>
      <c r="N88" s="207"/>
      <c r="Q88" s="237"/>
      <c r="R88" s="237"/>
      <c r="S88" s="224"/>
      <c r="T88" s="165"/>
    </row>
    <row r="89" ht="90" spans="1:20">
      <c r="A89" s="173" t="s">
        <v>215</v>
      </c>
      <c r="B89" s="173"/>
      <c r="C89" s="165" t="s">
        <v>216</v>
      </c>
      <c r="D89" s="198"/>
      <c r="E89" s="198"/>
      <c r="F89" s="198"/>
      <c r="G89" s="198"/>
      <c r="H89" s="198"/>
      <c r="I89" s="198"/>
      <c r="J89" s="198"/>
      <c r="K89" s="198"/>
      <c r="L89" s="198"/>
      <c r="M89" s="198">
        <f>Таб6!L8*M90+Таб6!L10*M91+Таб6!L12*M92+Таб6!L14*M93+Таб6!L16*M94+Таб6!L18*M95</f>
        <v>1.46935565217391</v>
      </c>
      <c r="N89" s="207"/>
      <c r="Q89" s="237"/>
      <c r="R89" s="237"/>
      <c r="S89" s="224"/>
      <c r="T89" s="165"/>
    </row>
    <row r="90" ht="18" spans="1:20">
      <c r="A90" s="173" t="s">
        <v>217</v>
      </c>
      <c r="B90" s="173"/>
      <c r="C90" s="165" t="s">
        <v>218</v>
      </c>
      <c r="D90" s="198"/>
      <c r="E90" s="198"/>
      <c r="F90" s="198"/>
      <c r="G90" s="198"/>
      <c r="H90" s="198"/>
      <c r="I90" s="198"/>
      <c r="J90" s="198"/>
      <c r="K90" s="198"/>
      <c r="L90" s="198"/>
      <c r="M90" s="198">
        <f t="array" ref="M90">IFERROR(INDEX(Пр6_Теплоёмкость_различных_газов[SO2,
кДж/(м3*оС)],MATCH(MIN(IF(Пр6_Теплоёмкость_различных_газов[Температура, 0С]&gt;=Таб1!F$6,Пр6_Теплоёмкость_различных_газов[Температура, 0С],"")),Пр6_Теплоёмкость_различных_газов[Температура, 0С],0),0),"Ошибка")</f>
        <v>1.73</v>
      </c>
      <c r="N90" s="207"/>
      <c r="Q90" s="237"/>
      <c r="R90" s="237"/>
      <c r="S90" s="224"/>
      <c r="T90" s="165"/>
    </row>
    <row r="91" ht="18" spans="1:20">
      <c r="A91" s="173" t="s">
        <v>219</v>
      </c>
      <c r="B91" s="173"/>
      <c r="C91" s="165" t="s">
        <v>218</v>
      </c>
      <c r="D91" s="198"/>
      <c r="E91" s="198"/>
      <c r="F91" s="198"/>
      <c r="G91" s="198"/>
      <c r="H91" s="198"/>
      <c r="I91" s="198"/>
      <c r="J91" s="198"/>
      <c r="K91" s="198"/>
      <c r="L91" s="198"/>
      <c r="M91" s="198">
        <f t="shared" ref="M91" si="52">M90</f>
        <v>1.73</v>
      </c>
      <c r="N91" s="207"/>
      <c r="Q91" s="237"/>
      <c r="R91" s="237"/>
      <c r="S91" s="224"/>
      <c r="T91" s="165"/>
    </row>
    <row r="92" ht="18" spans="1:20">
      <c r="A92" s="173" t="s">
        <v>220</v>
      </c>
      <c r="B92" s="173"/>
      <c r="C92" s="165" t="s">
        <v>218</v>
      </c>
      <c r="D92" s="198"/>
      <c r="E92" s="198"/>
      <c r="F92" s="198"/>
      <c r="G92" s="198"/>
      <c r="H92" s="198"/>
      <c r="I92" s="198"/>
      <c r="J92" s="198"/>
      <c r="K92" s="198"/>
      <c r="L92" s="198"/>
      <c r="M92" s="198">
        <f t="array" ref="M92">IFERROR(INDEX(Пр6_Теплоёмкость_различных_газов[H2O,
кДж/(м3*оС)],MATCH(MIN(IF(Пр6_Теплоёмкость_различных_газов[Температура, 0С]&gt;=Таб1!F$6,Пр6_Теплоёмкость_различных_газов[Температура, 0С],"")),Пр6_Теплоёмкость_различных_газов[Температура, 0С],0),0),"Ошибка")</f>
        <v>1.48</v>
      </c>
      <c r="N92" s="207"/>
      <c r="Q92" s="237"/>
      <c r="R92" s="237"/>
      <c r="S92" s="224"/>
      <c r="T92" s="165"/>
    </row>
    <row r="93" ht="18" spans="1:20">
      <c r="A93" s="173" t="s">
        <v>221</v>
      </c>
      <c r="B93" s="173"/>
      <c r="C93" s="165" t="s">
        <v>218</v>
      </c>
      <c r="D93" s="198"/>
      <c r="E93" s="198"/>
      <c r="F93" s="198"/>
      <c r="G93" s="198"/>
      <c r="H93" s="198"/>
      <c r="I93" s="198"/>
      <c r="J93" s="198"/>
      <c r="K93" s="198"/>
      <c r="L93" s="198"/>
      <c r="M93" s="198">
        <f t="array" ref="M93">IFERROR(INDEX(Пр6_Теплоёмкость_различных_газов[О2,
кДж/(м3*оС)],MATCH(MIN(IF(Пр6_Теплоёмкость_различных_газов[Температура, 0С]&gt;=Таб1!F$6,Пр6_Теплоёмкость_различных_газов[Температура, 0С],"")),Пр6_Теплоёмкость_различных_газов[Температура, 0С],0),0),"Ошибка")</f>
        <v>1.3</v>
      </c>
      <c r="N93" s="207"/>
      <c r="Q93" s="236"/>
      <c r="R93" s="236"/>
      <c r="S93" s="224"/>
      <c r="T93" s="165"/>
    </row>
    <row r="94" ht="18" spans="1:14">
      <c r="A94" s="173" t="s">
        <v>222</v>
      </c>
      <c r="B94" s="173"/>
      <c r="C94" s="165" t="s">
        <v>218</v>
      </c>
      <c r="D94" s="198"/>
      <c r="E94" s="198"/>
      <c r="F94" s="198"/>
      <c r="G94" s="198"/>
      <c r="H94" s="198"/>
      <c r="I94" s="198"/>
      <c r="J94" s="198"/>
      <c r="K94" s="198"/>
      <c r="L94" s="198"/>
      <c r="M94" s="198">
        <f t="array" ref="M94">IFERROR(INDEX(Пр6_Теплоёмкость_различных_газов[N2,
кДж/(м3*оС)],MATCH(MIN(IF(Пр6_Теплоёмкость_различных_газов[Температура, 0С]&gt;=Таб1!F$6,Пр6_Теплоёмкость_различных_газов[Температура, 0С],"")),Пр6_Теплоёмкость_различных_газов[Температура, 0С],0),0),"Ошибка")</f>
        <v>1.29</v>
      </c>
      <c r="N94" s="207"/>
    </row>
    <row r="95" ht="18" spans="1:14">
      <c r="A95" s="173" t="s">
        <v>223</v>
      </c>
      <c r="B95" s="173"/>
      <c r="C95" s="165" t="s">
        <v>218</v>
      </c>
      <c r="D95" s="198"/>
      <c r="E95" s="198"/>
      <c r="F95" s="198"/>
      <c r="G95" s="198"/>
      <c r="H95" s="198"/>
      <c r="I95" s="198"/>
      <c r="J95" s="198"/>
      <c r="K95" s="198"/>
      <c r="L95" s="198"/>
      <c r="M95" s="198">
        <f t="array" ref="M95">IFERROR(INDEX(Пр6_Теплоёмкость_различных_газов[СО2,
кДж/(м3*оС)],MATCH(MIN(IF(Пр6_Теплоёмкость_различных_газов[Температура, 0С]&gt;=Таб1!F$6,Пр6_Теплоёмкость_различных_газов[Температура, 0С],"")),Пр6_Теплоёмкость_различных_газов[Температура, 0С],0),0),"Ошибка")</f>
        <v>1.61</v>
      </c>
      <c r="N95" s="207"/>
    </row>
    <row r="96" ht="54" spans="1:14">
      <c r="A96" s="173" t="s">
        <v>224</v>
      </c>
      <c r="B96" s="173"/>
      <c r="C96" s="165" t="s">
        <v>225</v>
      </c>
      <c r="D96" s="178"/>
      <c r="E96" s="178"/>
      <c r="F96" s="178"/>
      <c r="G96" s="178"/>
      <c r="H96" s="178"/>
      <c r="I96" s="178"/>
      <c r="J96" s="175"/>
      <c r="K96" s="175"/>
      <c r="L96" s="175"/>
      <c r="M96" s="175" t="e">
        <f>IF(Таб6!L24&lt;=Таб1!F6,0,(Таб6!L37-Таб1!F6*Таб6!L6*M89/4.187/1000000)/((Таб4!J3-Таб4!I3)/1000))</f>
        <v>#DIV/0!</v>
      </c>
      <c r="N96" s="207"/>
    </row>
    <row r="109" spans="4:10">
      <c r="D109" s="231">
        <v>30.6388244324406</v>
      </c>
      <c r="E109" s="231">
        <v>23.3421786762107</v>
      </c>
      <c r="F109" s="231">
        <v>14.8597543857036</v>
      </c>
      <c r="G109" s="231">
        <v>11.0186960266499</v>
      </c>
      <c r="H109" s="231">
        <v>5.14683141483916</v>
      </c>
      <c r="J109">
        <v>1000</v>
      </c>
    </row>
  </sheetData>
  <pageMargins left="0.7" right="0.7" top="0.75" bottom="0.75" header="0.3" footer="0.3"/>
  <pageSetup paperSize="9" orientation="portrait" horizontalDpi="300"/>
  <headerFooter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zoomScale="70" zoomScaleNormal="70" workbookViewId="0">
      <selection activeCell="K4" sqref="K4"/>
    </sheetView>
  </sheetViews>
  <sheetFormatPr defaultColWidth="9" defaultRowHeight="14.4" outlineLevelRow="5"/>
  <cols>
    <col min="1" max="1" width="21.4444444444444" customWidth="1"/>
    <col min="2" max="10" width="9.88888888888889" customWidth="1"/>
    <col min="11" max="11" width="11" customWidth="1"/>
  </cols>
  <sheetData>
    <row r="1" ht="69.6" spans="1:11">
      <c r="A1" s="209" t="s">
        <v>84</v>
      </c>
      <c r="B1" s="164" t="s">
        <v>86</v>
      </c>
      <c r="C1" s="164" t="s">
        <v>217</v>
      </c>
      <c r="D1" s="164" t="s">
        <v>219</v>
      </c>
      <c r="E1" s="164" t="s">
        <v>220</v>
      </c>
      <c r="F1" s="164" t="s">
        <v>221</v>
      </c>
      <c r="G1" s="164" t="s">
        <v>222</v>
      </c>
      <c r="H1" s="164" t="s">
        <v>223</v>
      </c>
      <c r="I1" s="164" t="s">
        <v>226</v>
      </c>
      <c r="J1" s="164" t="s">
        <v>227</v>
      </c>
      <c r="K1" s="164" t="s">
        <v>228</v>
      </c>
    </row>
    <row r="2" ht="54" spans="1:11">
      <c r="A2" s="173" t="s">
        <v>229</v>
      </c>
      <c r="B2" s="165" t="s">
        <v>230</v>
      </c>
      <c r="C2" s="200">
        <f>Таб1!$C$15*$K$2</f>
        <v>7962.8</v>
      </c>
      <c r="D2" s="200">
        <f>Таб1!$C$16*$K$2</f>
        <v>0</v>
      </c>
      <c r="E2" s="200">
        <f>Таб1!$C$17*$K$2</f>
        <v>11818.4</v>
      </c>
      <c r="F2" s="200">
        <f>Таб1!$C$18*$K$2</f>
        <v>1700</v>
      </c>
      <c r="G2" s="200">
        <f>Таб1!$C$19*$K$2</f>
        <v>8656.4</v>
      </c>
      <c r="H2" s="200">
        <f>Таб1!$C$20*$K$2</f>
        <v>3862.4</v>
      </c>
      <c r="I2" s="200">
        <f>Таб1!$C$21*$K$2</f>
        <v>0</v>
      </c>
      <c r="J2" s="200">
        <f>Таб1!$C$22*$K$2</f>
        <v>0</v>
      </c>
      <c r="K2" s="200">
        <f>Таб1!$C$4</f>
        <v>34000</v>
      </c>
    </row>
    <row r="3" ht="36" spans="1:11">
      <c r="A3" s="173" t="s">
        <v>231</v>
      </c>
      <c r="B3" s="165" t="s">
        <v>232</v>
      </c>
      <c r="C3" s="191">
        <v>64</v>
      </c>
      <c r="D3" s="191">
        <v>80</v>
      </c>
      <c r="E3" s="191">
        <v>18</v>
      </c>
      <c r="F3" s="191">
        <v>32</v>
      </c>
      <c r="G3" s="191">
        <v>28</v>
      </c>
      <c r="H3" s="191">
        <v>44</v>
      </c>
      <c r="I3" s="191">
        <v>28</v>
      </c>
      <c r="J3" s="191">
        <v>32</v>
      </c>
      <c r="K3" s="188"/>
    </row>
    <row r="4" ht="54" spans="1:11">
      <c r="A4" s="173" t="s">
        <v>233</v>
      </c>
      <c r="B4" s="165" t="s">
        <v>234</v>
      </c>
      <c r="C4" s="198">
        <f t="array" ref="C4">IFERROR(INDEX(Пр6_Теплоёмкость_различных_газов[SO2,
кДж/(м3*оС)],MATCH(MIN(IF(Пр6_Теплоёмкость_различных_газов[Температура, 0С]&gt;=Таб1!$C$5,Пр6_Теплоёмкость_различных_газов[Температура, 0С],"")),Пр6_Теплоёмкость_различных_газов[Температура, 0С],0),0),"Ошибка")</f>
        <v>2.2975</v>
      </c>
      <c r="D4" s="198">
        <f>C4</f>
        <v>2.2975</v>
      </c>
      <c r="E4" s="198">
        <f t="array" ref="E4">IFERROR(INDEX(Пр6_Теплоёмкость_различных_газов[H2O,
кДж/(м3*оС)],MATCH(MIN(IF(Пр6_Теплоёмкость_различных_газов[Температура, 0С]&gt;=Таб1!$C$5,Пр6_Теплоёмкость_различных_газов[Температура, 0С],"")),Пр6_Теплоёмкость_различных_газов[Температура, 0С],0),0),"Ошибка")</f>
        <v>1.77</v>
      </c>
      <c r="F4" s="198">
        <f t="array" ref="F4">IFERROR(INDEX(Пр6_Теплоёмкость_различных_газов[О2,
кДж/(м3*оС)],MATCH(MIN(IF(Пр6_Теплоёмкость_различных_газов[Температура, 0С]&gt;=Таб1!$C$5,Пр6_Теплоёмкость_различных_газов[Температура, 0С],"")),Пр6_Теплоёмкость_различных_газов[Температура, 0С],0),0),"Ошибка")</f>
        <v>1.4725</v>
      </c>
      <c r="G4" s="198">
        <f t="array" ref="G4">IFERROR(INDEX(Пр6_Теплоёмкость_различных_газов[N2,
кДж/(м3*оС)],MATCH(MIN(IF(Пр6_Теплоёмкость_различных_газов[Температура, 0С]&gt;=Таб1!$C$5,Пр6_Теплоёмкость_различных_газов[Температура, 0С],"")),Пр6_Теплоёмкость_различных_газов[Температура, 0С],0),0),"Ошибка")</f>
        <v>1.415</v>
      </c>
      <c r="H4" s="198">
        <f t="array" ref="H4">IFERROR(INDEX(Пр6_Теплоёмкость_различных_газов[СО2,
кДж/(м3*оС)],MATCH(MIN(IF(Пр6_Теплоёмкость_различных_газов[Температура, 0С]&gt;=Таб1!$C$5,Пр6_Теплоёмкость_различных_газов[Температура, 0С],"")),Пр6_Теплоёмкость_различных_газов[Температура, 0С],0),0),"Ошибка")</f>
        <v>2.285</v>
      </c>
      <c r="I4" s="198">
        <f t="array" ref="I4">IFERROR(INDEX(Пр6_Теплоёмкость_различных_газов[СО,
кДж/(м3*оС)],MATCH(MIN(IF(Пр6_Теплоёмкость_различных_газов[Температура, 0С]&gt;=Таб1!$C$5,Пр6_Теплоёмкость_различных_газов[Температура, 0С],"")),Пр6_Теплоёмкость_различных_газов[Температура, 0С],0),0),"Ошибка")</f>
        <v>1.4225</v>
      </c>
      <c r="J4" s="198">
        <v>0</v>
      </c>
      <c r="K4" s="198">
        <f>Таб1!$C$15*C4+Таб1!$C$16*D4+Таб1!$C$17*E4+Таб1!$C$18*F4+Таб1!$C$19*G4+Таб1!$C$20*H4+Таб1!$C$21*I4+Таб1!$C$22*Таб3_Свойства_газов[[#This Row],[S]]</f>
        <v>1.8467865</v>
      </c>
    </row>
    <row r="5" ht="54" spans="1:11">
      <c r="A5" s="173" t="s">
        <v>235</v>
      </c>
      <c r="B5" s="165" t="s">
        <v>230</v>
      </c>
      <c r="C5" s="200">
        <f>C2+J2</f>
        <v>7962.8</v>
      </c>
      <c r="D5" s="200">
        <f>D2</f>
        <v>0</v>
      </c>
      <c r="E5" s="200">
        <f>E2</f>
        <v>11818.4</v>
      </c>
      <c r="F5" s="200">
        <f>F2+0.21*Таб1!C12*Таб1!C4-(0.5*I2+J2)</f>
        <v>2057</v>
      </c>
      <c r="G5" s="200">
        <f>G2+0.79*Таб1!C12*Таб1!C4</f>
        <v>9999.4</v>
      </c>
      <c r="H5" s="200">
        <f>H2+I2</f>
        <v>3862.4</v>
      </c>
      <c r="I5" s="200">
        <v>0</v>
      </c>
      <c r="J5" s="200">
        <v>0</v>
      </c>
      <c r="K5" s="200">
        <f>SUM(C5,D5,E5,F5,G5,H5)</f>
        <v>35700</v>
      </c>
    </row>
    <row r="6" ht="54" spans="1:11">
      <c r="A6" s="173" t="s">
        <v>236</v>
      </c>
      <c r="B6" s="165" t="s">
        <v>20</v>
      </c>
      <c r="C6" s="193">
        <f t="shared" ref="C6:H6" si="0">C5/$K$5</f>
        <v>0.223047619047619</v>
      </c>
      <c r="D6" s="193">
        <f t="shared" si="0"/>
        <v>0</v>
      </c>
      <c r="E6" s="193">
        <f t="shared" si="0"/>
        <v>0.331047619047619</v>
      </c>
      <c r="F6" s="193">
        <f t="shared" si="0"/>
        <v>0.0576190476190476</v>
      </c>
      <c r="G6" s="193">
        <f t="shared" si="0"/>
        <v>0.280095238095238</v>
      </c>
      <c r="H6" s="193">
        <f t="shared" si="0"/>
        <v>0.108190476190476</v>
      </c>
      <c r="I6" s="193">
        <f>I5/$K$2</f>
        <v>0</v>
      </c>
      <c r="J6" s="193">
        <f>J5/$K$2</f>
        <v>0</v>
      </c>
      <c r="K6" s="193">
        <f>SUM(C6:J6)</f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70" zoomScaleNormal="70" workbookViewId="0">
      <selection activeCell="D16" sqref="D16"/>
    </sheetView>
  </sheetViews>
  <sheetFormatPr defaultColWidth="9" defaultRowHeight="14.4" outlineLevelRow="3" outlineLevelCol="6"/>
  <cols>
    <col min="1" max="5" width="16.1111111111111" customWidth="1"/>
  </cols>
  <sheetData>
    <row r="1" ht="87.75" spans="1:7">
      <c r="A1" s="209" t="s">
        <v>84</v>
      </c>
      <c r="B1" s="164" t="s">
        <v>237</v>
      </c>
      <c r="C1" s="164" t="s">
        <v>238</v>
      </c>
      <c r="D1" s="164" t="s">
        <v>239</v>
      </c>
      <c r="E1" s="164" t="s">
        <v>240</v>
      </c>
      <c r="F1" s="210" t="s">
        <v>241</v>
      </c>
      <c r="G1" s="210" t="s">
        <v>242</v>
      </c>
    </row>
    <row r="2" ht="36" spans="1:7">
      <c r="A2" s="173" t="s">
        <v>86</v>
      </c>
      <c r="B2" s="165" t="s">
        <v>243</v>
      </c>
      <c r="C2" s="165" t="s">
        <v>243</v>
      </c>
      <c r="D2" s="165" t="s">
        <v>9</v>
      </c>
      <c r="E2" s="165" t="s">
        <v>243</v>
      </c>
      <c r="F2" s="211" t="s">
        <v>243</v>
      </c>
      <c r="G2" s="211" t="s">
        <v>243</v>
      </c>
    </row>
    <row r="3" ht="18" spans="1:7">
      <c r="A3" s="173" t="s">
        <v>2</v>
      </c>
      <c r="B3" s="191">
        <f t="array" ref="B3">IFERROR(INDEX(Пр3!$H$2:$H$398,MATCH(MIN(IF(Пр3!$B$2:$B$398&gt;=Таб1!$C$23,Пр3!$B$2:$B$398,"")),Пр3!$B$2:$B$398,0),0),"Ошибка")/4.187</f>
        <v>408.048722235491</v>
      </c>
      <c r="C3" s="191">
        <f t="array" ref="C3">IFERROR(INDEX(Пр3!$G$2:$G$398,MATCH(MIN(IF(Пр3!$B$2:$B$398&gt;=Таб1!$C$23,Пр3!$B$2:$B$398,"")),Пр3!$B$2:$B$398,0),0),"Ошибка")/4.187</f>
        <v>668.545497969907</v>
      </c>
      <c r="D3" s="191">
        <f t="array" ref="D3">IFERROR(INDEX(Пр3!$A$2:$A$398,MATCH(MIN(IF(Пр3!$B$2:$B$398&gt;=Таб1!$C$23,Пр3!$B$2:$B$398,"")),Пр3!$B$2:$B$398,0),0),"Ошибка")</f>
        <v>251</v>
      </c>
      <c r="E3" s="191">
        <f t="array" ref="E3">IFERROR(INDEX(Пр3!$F$2:$F$398,MATCH(MIN(IF(Пр3!$B$2:$B$398&gt;=Таб1!$C$23,Пр3!$B$2:$B$398,"")),Пр3!$B$2:$B$398,0),0),"Ошибка")/4.187</f>
        <v>260.496775734416</v>
      </c>
      <c r="F3" s="212">
        <f t="array" ref="F3">IFERROR(INDEX(Пр3!$F$2:$F$398,MATCH(MIN(IF(Пр3!$A$2:$A$398&gt;=Таб1!$C$24,Пр3!$A$2:$A$398,"")),Пр3!$A$2:$A$398,0),0),"Ошибка")/4.187</f>
        <v>105.12777645092</v>
      </c>
      <c r="G3" s="212">
        <f t="array" ref="G3">IFERROR(INDEX(Пр3!$G$2:$G$398,MATCH(MIN(IF(Пр3!$A$2:$A$398&gt;=Таб1!C6,Пр3!$A$2:$A$398,"")),Пр3!$A$2:$A$398,0),0),"Ошибка")/4.187</f>
        <v>597.32505373776</v>
      </c>
    </row>
    <row r="4" ht="18" spans="1:5">
      <c r="A4" s="173"/>
      <c r="B4" s="191"/>
      <c r="C4" s="191"/>
      <c r="D4" s="191"/>
      <c r="E4" s="191"/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zoomScale="70" zoomScaleNormal="70" topLeftCell="A13" workbookViewId="0">
      <selection activeCell="C10" sqref="C10:H10"/>
    </sheetView>
  </sheetViews>
  <sheetFormatPr defaultColWidth="9" defaultRowHeight="14.4"/>
  <cols>
    <col min="1" max="1" width="25.3333333333333" customWidth="1"/>
    <col min="2" max="2" width="14.3333333333333" customWidth="1"/>
    <col min="3" max="13" width="11.8888888888889" customWidth="1"/>
  </cols>
  <sheetData>
    <row r="1" ht="34.8" spans="1:13">
      <c r="A1" s="173" t="s">
        <v>84</v>
      </c>
      <c r="B1" s="164" t="s">
        <v>86</v>
      </c>
      <c r="C1" s="164" t="s">
        <v>40</v>
      </c>
      <c r="D1" s="164" t="s">
        <v>41</v>
      </c>
      <c r="E1" s="164" t="s">
        <v>42</v>
      </c>
      <c r="F1" s="164" t="s">
        <v>43</v>
      </c>
      <c r="G1" s="164" t="s">
        <v>44</v>
      </c>
      <c r="H1" s="164" t="s">
        <v>45</v>
      </c>
      <c r="I1" s="164" t="s">
        <v>46</v>
      </c>
      <c r="J1" s="164" t="s">
        <v>47</v>
      </c>
      <c r="K1" s="164" t="s">
        <v>48</v>
      </c>
      <c r="L1" s="164" t="s">
        <v>49</v>
      </c>
      <c r="M1" s="205" t="s">
        <v>50</v>
      </c>
    </row>
    <row r="2" ht="69.6" spans="1:13">
      <c r="A2" s="173" t="s">
        <v>244</v>
      </c>
      <c r="B2" s="165" t="s">
        <v>52</v>
      </c>
      <c r="C2" s="202">
        <v>0.8</v>
      </c>
      <c r="D2" s="202">
        <v>0.8</v>
      </c>
      <c r="E2" s="202">
        <v>0.8</v>
      </c>
      <c r="F2" s="202">
        <v>0.8</v>
      </c>
      <c r="G2" s="202">
        <v>0.8</v>
      </c>
      <c r="H2" s="202">
        <v>0.8</v>
      </c>
      <c r="I2" s="202">
        <v>0.8</v>
      </c>
      <c r="J2" s="202">
        <v>0.8</v>
      </c>
      <c r="K2" s="202">
        <v>0.8</v>
      </c>
      <c r="L2" s="202">
        <v>0.8</v>
      </c>
      <c r="M2" s="206" t="s">
        <v>245</v>
      </c>
    </row>
    <row r="3" ht="54" spans="1:13">
      <c r="A3" s="173" t="s">
        <v>246</v>
      </c>
      <c r="B3" s="165" t="s">
        <v>247</v>
      </c>
      <c r="C3" s="188">
        <f>IF(Таб2!C3="Вертикальное",2*Таб2!C4*(Таб2!C5+Таб2!C6),2*Таб2!C4*Таб2!C6)</f>
        <v>26.1075</v>
      </c>
      <c r="D3" s="188">
        <f>IF(Таб2!D3="Вертикальное",2*Таб2!D4*(Таб2!D5+Таб2!D6),2*Таб2!D4*Таб2!D6)</f>
        <v>429.8</v>
      </c>
      <c r="E3" s="188">
        <f>IF(Таб2!E3="Вертикальное",2*Таб2!E4*(Таб2!E5+Таб2!E6),2*Таб2!E4*Таб2!E6)</f>
        <v>50.1699</v>
      </c>
      <c r="F3" s="188">
        <f>IF(Таб2!F3="Вертикальное",2*Таб2!F4*(Таб2!F5+Таб2!F6),2*Таб2!F4*Таб2!F6)</f>
        <v>186.3</v>
      </c>
      <c r="G3" s="188">
        <f>IF(Таб2!G3="Вертикальное",2*Таб2!G4*(Таб2!G5+Таб2!G6),2*Таб2!G4*Таб2!G6)+2*(SQRT((Таб2!G5/2)^2+Таб2!G7^2))*Таб2!G4</f>
        <v>20.6538088188969</v>
      </c>
      <c r="H3" s="188">
        <f>IF(Таб2!H3="Вертикальное",2*Таб2!H4*(Таб2!H5+Таб2!H6),2*Таб2!H4*Таб2!H6)</f>
        <v>186.3</v>
      </c>
      <c r="I3" s="188">
        <f>IF(Таб2!I3="Вертикальное",2*Таб2!I4*(Таб2!I5+Таб2!I6),2*Таб2!I4*Таб2!I6)</f>
        <v>0</v>
      </c>
      <c r="J3" s="188">
        <f>IF(Таб2!J3="Вертикальное",2*Таб2!J4*(Таб2!J5+Таб2!J6),2*Таб2!J4*Таб2!J6)</f>
        <v>0</v>
      </c>
      <c r="K3" s="188">
        <f>IF(Таб2!K3="Вертикальное",2*Таб2!K4*(Таб2!K5+Таб2!K6),2*Таб2!K4*Таб2!K6)</f>
        <v>0</v>
      </c>
      <c r="L3" s="188">
        <f>IF(Таб2!L3="Вертикальное",2*Таб2!L4*(Таб2!L5+Таб2!L6),2*Таб2!L4*Таб2!L6)</f>
        <v>0</v>
      </c>
      <c r="M3" s="207"/>
    </row>
    <row r="4" ht="54" spans="1:13">
      <c r="A4" s="173" t="s">
        <v>248</v>
      </c>
      <c r="B4" s="165" t="s">
        <v>247</v>
      </c>
      <c r="C4" s="188" t="str">
        <f>IF(Таб2!C3="Горизонтальный",2*Таб2!C4*Таб2!C5,"0,0")</f>
        <v>0,0</v>
      </c>
      <c r="D4" s="188" t="str">
        <f>IF(Таб2!D3="Горизонтальный",2*Таб2!D4*Таб2!D5,"0,0")</f>
        <v>0,0</v>
      </c>
      <c r="E4" s="188" t="str">
        <f>IF(Таб2!E3="Горизонтальный",2*Таб2!E4*Таб2!E5,"0,0")</f>
        <v>0,0</v>
      </c>
      <c r="F4" s="188" t="str">
        <f>IF(Таб2!F3="Горизонтальный",2*Таб2!F4*Таб2!F5,"0,0")</f>
        <v>0,0</v>
      </c>
      <c r="G4" s="188" t="str">
        <f>IF(Таб2!G3="Горизонтальный",2*Таб2!G4*Таб2!G5,"0,0")</f>
        <v>0,0</v>
      </c>
      <c r="H4" s="188" t="str">
        <f>IF(Таб2!H3="Горизонтальный",2*Таб2!H4*Таб2!H5,"0,0")</f>
        <v>0,0</v>
      </c>
      <c r="I4" s="188" t="str">
        <f>IF(Таб2!I3="Горизонтальный",2*Таб2!I4*Таб2!I5,"0,0")</f>
        <v>0,0</v>
      </c>
      <c r="J4" s="188" t="str">
        <f>IF(Таб2!J3="Горизонтальный",2*Таб2!J4*Таб2!J5,"0,0")</f>
        <v>0,0</v>
      </c>
      <c r="K4" s="188" t="str">
        <f>IF(Таб2!K3="Горизонтальный",2*Таб2!K4*Таб2!K5,"0,0")</f>
        <v>0,0</v>
      </c>
      <c r="L4" s="188" t="str">
        <f>IF(Таб2!L3="Горизонтальный",2*Таб2!L4*Таб2!L5,"0,0")</f>
        <v>0,0</v>
      </c>
      <c r="M4" s="207"/>
    </row>
    <row r="5" ht="36" spans="1:13">
      <c r="A5" s="173" t="s">
        <v>67</v>
      </c>
      <c r="B5" s="165" t="s">
        <v>247</v>
      </c>
      <c r="C5" s="203">
        <f>Таб2!C8</f>
        <v>59.3275</v>
      </c>
      <c r="D5" s="203">
        <f>Таб2!D8</f>
        <v>468.608354</v>
      </c>
      <c r="E5" s="203">
        <f>Таб2!E8</f>
        <v>85.40555</v>
      </c>
      <c r="F5" s="203">
        <f>Таб2!F8</f>
        <v>362.4</v>
      </c>
      <c r="G5" s="203">
        <f>Таб2!G8</f>
        <v>44.52</v>
      </c>
      <c r="H5" s="203">
        <f>Таб2!H8</f>
        <v>362.4</v>
      </c>
      <c r="I5" s="203">
        <f t="shared" ref="I5" si="0">I3+I4</f>
        <v>0</v>
      </c>
      <c r="J5" s="203">
        <f t="shared" ref="J5:L5" si="1">J3+J4</f>
        <v>0</v>
      </c>
      <c r="K5" s="203">
        <f t="shared" si="1"/>
        <v>0</v>
      </c>
      <c r="L5" s="203">
        <f t="shared" si="1"/>
        <v>0</v>
      </c>
      <c r="M5" s="207"/>
    </row>
    <row r="6" ht="36" spans="1:13">
      <c r="A6" s="173" t="s">
        <v>69</v>
      </c>
      <c r="B6" s="165" t="s">
        <v>247</v>
      </c>
      <c r="C6" s="203">
        <f>Таб2!C9</f>
        <v>0</v>
      </c>
      <c r="D6" s="203">
        <f>Таб2!D9</f>
        <v>0</v>
      </c>
      <c r="E6" s="203">
        <f>Таб2!E9</f>
        <v>0</v>
      </c>
      <c r="F6" s="203">
        <f>Таб2!F9</f>
        <v>0</v>
      </c>
      <c r="G6" s="203">
        <f>Таб2!G9</f>
        <v>0</v>
      </c>
      <c r="H6" s="203">
        <f>Таб2!H9</f>
        <v>0</v>
      </c>
      <c r="I6" s="203">
        <f>Таб2!I9</f>
        <v>0</v>
      </c>
      <c r="J6" s="203">
        <f>Таб2!J9</f>
        <v>0</v>
      </c>
      <c r="K6" s="203">
        <f>Таб2!K9</f>
        <v>0</v>
      </c>
      <c r="L6" s="203">
        <f>Таб2!L9</f>
        <v>0</v>
      </c>
      <c r="M6" s="207"/>
    </row>
    <row r="7" ht="54" spans="1:13">
      <c r="A7" s="173" t="s">
        <v>249</v>
      </c>
      <c r="B7" s="165" t="s">
        <v>247</v>
      </c>
      <c r="C7" s="203">
        <f t="shared" ref="C7:I7" si="2">C5+C6</f>
        <v>59.3275</v>
      </c>
      <c r="D7" s="203">
        <f t="shared" si="2"/>
        <v>468.608354</v>
      </c>
      <c r="E7" s="203">
        <f t="shared" si="2"/>
        <v>85.40555</v>
      </c>
      <c r="F7" s="203">
        <f t="shared" si="2"/>
        <v>362.4</v>
      </c>
      <c r="G7" s="203">
        <f t="shared" si="2"/>
        <v>44.52</v>
      </c>
      <c r="H7" s="203">
        <f t="shared" si="2"/>
        <v>362.4</v>
      </c>
      <c r="I7" s="203">
        <f t="shared" si="2"/>
        <v>0</v>
      </c>
      <c r="J7" s="203">
        <f t="shared" ref="J7:L7" si="3">J5+J6</f>
        <v>0</v>
      </c>
      <c r="K7" s="203">
        <f t="shared" si="3"/>
        <v>0</v>
      </c>
      <c r="L7" s="203">
        <f t="shared" si="3"/>
        <v>0</v>
      </c>
      <c r="M7" s="207"/>
    </row>
    <row r="8" ht="36" spans="1:13">
      <c r="A8" s="173" t="s">
        <v>250</v>
      </c>
      <c r="B8" s="165" t="s">
        <v>20</v>
      </c>
      <c r="C8" s="204">
        <f t="shared" ref="C8:I8" si="4">C5/C7</f>
        <v>1</v>
      </c>
      <c r="D8" s="204">
        <f t="shared" si="4"/>
        <v>1</v>
      </c>
      <c r="E8" s="204">
        <f t="shared" si="4"/>
        <v>1</v>
      </c>
      <c r="F8" s="204">
        <f t="shared" si="4"/>
        <v>1</v>
      </c>
      <c r="G8" s="204">
        <f t="shared" si="4"/>
        <v>1</v>
      </c>
      <c r="H8" s="204">
        <f t="shared" si="4"/>
        <v>1</v>
      </c>
      <c r="I8" s="204" t="e">
        <f t="shared" si="4"/>
        <v>#DIV/0!</v>
      </c>
      <c r="J8" s="204" t="e">
        <f t="shared" ref="J8:L8" si="5">J5/J7</f>
        <v>#DIV/0!</v>
      </c>
      <c r="K8" s="204" t="e">
        <f t="shared" si="5"/>
        <v>#DIV/0!</v>
      </c>
      <c r="L8" s="204" t="e">
        <f t="shared" si="5"/>
        <v>#DIV/0!</v>
      </c>
      <c r="M8" s="208"/>
    </row>
    <row r="9" ht="36" spans="1:13">
      <c r="A9" s="173" t="s">
        <v>251</v>
      </c>
      <c r="B9" s="165" t="s">
        <v>20</v>
      </c>
      <c r="C9" s="204">
        <f t="shared" ref="C9:I9" si="6">C6/C7</f>
        <v>0</v>
      </c>
      <c r="D9" s="204">
        <f t="shared" si="6"/>
        <v>0</v>
      </c>
      <c r="E9" s="204">
        <f t="shared" si="6"/>
        <v>0</v>
      </c>
      <c r="F9" s="204">
        <f t="shared" si="6"/>
        <v>0</v>
      </c>
      <c r="G9" s="204">
        <f t="shared" si="6"/>
        <v>0</v>
      </c>
      <c r="H9" s="204">
        <f t="shared" si="6"/>
        <v>0</v>
      </c>
      <c r="I9" s="204" t="e">
        <f t="shared" si="6"/>
        <v>#DIV/0!</v>
      </c>
      <c r="J9" s="204" t="e">
        <f t="shared" ref="J9:L9" si="7">J6/J7</f>
        <v>#DIV/0!</v>
      </c>
      <c r="K9" s="204" t="e">
        <f t="shared" si="7"/>
        <v>#DIV/0!</v>
      </c>
      <c r="L9" s="204" t="e">
        <f t="shared" si="7"/>
        <v>#DIV/0!</v>
      </c>
      <c r="M9" s="208"/>
    </row>
    <row r="10" ht="36" spans="1:13">
      <c r="A10" s="173" t="s">
        <v>252</v>
      </c>
      <c r="B10" s="165" t="s">
        <v>247</v>
      </c>
      <c r="C10" s="203">
        <f>Таб2!C5*Таб2!C6-Таб2!C$13*Таб2!C6*Таб2!C12</f>
        <v>34.691646</v>
      </c>
      <c r="D10" s="203">
        <f>Таб2!D5*Таб2!D6-Таб2!D$13*Таб2!D6*Таб2!D12</f>
        <v>73.5</v>
      </c>
      <c r="E10" s="203">
        <f>2*Таб2!E5*Таб2!E6-Таб2!E$13*Таб2!E6*Таб2!E12</f>
        <v>17.325</v>
      </c>
      <c r="F10" s="203">
        <f>2*Таб2!F5*Таб2!F6-Таб2!F$13*Таб2!F6*Таб2!F12</f>
        <v>21.25</v>
      </c>
      <c r="G10" s="203">
        <f>2*Таб2!G5*Таб2!G6-Таб2!G$13*Таб2!G6*Таб2!G12</f>
        <v>31.45</v>
      </c>
      <c r="H10" s="203">
        <f>2*Таб2!H5*Таб2!H6-Таб2!H$13*Таб2!H6*Таб2!H12</f>
        <v>21.25</v>
      </c>
      <c r="I10" s="203">
        <f>Таб2!I5*Таб2!I6-Таб2!I$13*Таб2!I6*Таб2!I12</f>
        <v>0</v>
      </c>
      <c r="J10" s="203">
        <f>Таб2!J5*Таб2!J6-Таб2!J$13*Таб2!J6*Таб2!J12</f>
        <v>0</v>
      </c>
      <c r="K10" s="203">
        <f>Таб2!K5*Таб2!K6-Таб2!K$13*Таб2!K6*Таб2!K12</f>
        <v>0</v>
      </c>
      <c r="L10" s="203">
        <f>Таб2!L5*Таб2!L6-Таб2!L$13*Таб2!L6*Таб2!L12</f>
        <v>0</v>
      </c>
      <c r="M10" s="207"/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"/>
  <sheetViews>
    <sheetView zoomScale="70" zoomScaleNormal="70" workbookViewId="0">
      <selection activeCell="J38" sqref="J38"/>
    </sheetView>
  </sheetViews>
  <sheetFormatPr defaultColWidth="9" defaultRowHeight="14.4"/>
  <cols>
    <col min="1" max="1" width="22.3333333333333" customWidth="1"/>
    <col min="2" max="2" width="14.3333333333333" customWidth="1"/>
    <col min="3" max="13" width="12" customWidth="1"/>
  </cols>
  <sheetData>
    <row r="1" ht="34.8" spans="1:13">
      <c r="A1" s="173" t="s">
        <v>84</v>
      </c>
      <c r="B1" s="164" t="s">
        <v>86</v>
      </c>
      <c r="C1" s="164" t="s">
        <v>40</v>
      </c>
      <c r="D1" s="164" t="s">
        <v>41</v>
      </c>
      <c r="E1" s="164" t="s">
        <v>42</v>
      </c>
      <c r="F1" s="164" t="s">
        <v>43</v>
      </c>
      <c r="G1" s="164" t="s">
        <v>44</v>
      </c>
      <c r="H1" s="164" t="s">
        <v>45</v>
      </c>
      <c r="I1" s="164" t="s">
        <v>46</v>
      </c>
      <c r="J1" s="164" t="s">
        <v>47</v>
      </c>
      <c r="K1" s="164" t="s">
        <v>48</v>
      </c>
      <c r="L1" s="164" t="s">
        <v>49</v>
      </c>
      <c r="M1" s="164" t="s">
        <v>50</v>
      </c>
    </row>
    <row r="2" ht="36" spans="1:13">
      <c r="A2" s="173" t="s">
        <v>253</v>
      </c>
      <c r="B2" s="165" t="s">
        <v>225</v>
      </c>
      <c r="C2" s="188">
        <f>Таб3!K5</f>
        <v>35700</v>
      </c>
      <c r="D2" s="188">
        <f t="shared" ref="D2:I2" si="0">C6</f>
        <v>35870</v>
      </c>
      <c r="E2" s="188">
        <f t="shared" si="0"/>
        <v>36040</v>
      </c>
      <c r="F2" s="188">
        <f t="shared" si="0"/>
        <v>37230</v>
      </c>
      <c r="G2" s="188">
        <f t="shared" si="0"/>
        <v>38250</v>
      </c>
      <c r="H2" s="188">
        <f t="shared" si="0"/>
        <v>38250</v>
      </c>
      <c r="I2" s="188">
        <f t="shared" si="0"/>
        <v>38590</v>
      </c>
      <c r="J2" s="188">
        <f t="shared" ref="J2" si="1">I6</f>
        <v>38862</v>
      </c>
      <c r="K2" s="188">
        <f t="shared" ref="K2" si="2">J6</f>
        <v>38998</v>
      </c>
      <c r="L2" s="188">
        <f t="shared" ref="L2" si="3">K6</f>
        <v>39066</v>
      </c>
      <c r="M2" s="188"/>
    </row>
    <row r="3" ht="36" spans="1:13">
      <c r="A3" s="173" t="s">
        <v>254</v>
      </c>
      <c r="B3" s="165" t="s">
        <v>20</v>
      </c>
      <c r="C3" s="189">
        <v>0.05</v>
      </c>
      <c r="D3" s="189">
        <v>0.05</v>
      </c>
      <c r="E3" s="189">
        <v>0.35</v>
      </c>
      <c r="F3" s="190">
        <v>0.3</v>
      </c>
      <c r="G3" s="190">
        <v>0</v>
      </c>
      <c r="H3" s="190">
        <v>0.1</v>
      </c>
      <c r="I3" s="193">
        <v>0.08</v>
      </c>
      <c r="J3" s="193">
        <v>0.04</v>
      </c>
      <c r="K3" s="193">
        <v>0.02</v>
      </c>
      <c r="L3" s="193">
        <v>0.01</v>
      </c>
      <c r="M3" s="193"/>
    </row>
    <row r="4" ht="18" spans="1:13">
      <c r="A4" s="173"/>
      <c r="B4" s="165" t="s">
        <v>225</v>
      </c>
      <c r="C4" s="191">
        <f>C3*Таб1!$C$13*Таб1!$C$4</f>
        <v>170</v>
      </c>
      <c r="D4" s="191">
        <f>D3*Таб1!$C$13*Таб1!$C$4</f>
        <v>170</v>
      </c>
      <c r="E4" s="191">
        <f>E3*Таб1!$C$13*Таб1!$C$4</f>
        <v>1190</v>
      </c>
      <c r="F4" s="191">
        <f>F3*Таб1!$C$13*Таб1!$C$4</f>
        <v>1020</v>
      </c>
      <c r="G4" s="191">
        <f>G3*Таб1!$C$13*Таб1!$C$4</f>
        <v>0</v>
      </c>
      <c r="H4" s="191">
        <f>H3*Таб1!$C$13*Таб1!$C$4</f>
        <v>340</v>
      </c>
      <c r="I4" s="191">
        <f>I3*Таб1!$C$13*Таб1!$C$4</f>
        <v>272</v>
      </c>
      <c r="J4" s="191">
        <f>J3*Таб1!$C$13*Таб1!$C$4</f>
        <v>136</v>
      </c>
      <c r="K4" s="191">
        <f>K3*Таб1!$C$13*Таб1!$C$4</f>
        <v>68</v>
      </c>
      <c r="L4" s="191">
        <f>L3*Таб1!$C$13*Таб1!$C$4</f>
        <v>34</v>
      </c>
      <c r="M4" s="191"/>
    </row>
    <row r="5" ht="36" spans="1:13">
      <c r="A5" s="173" t="s">
        <v>255</v>
      </c>
      <c r="B5" s="173" t="s">
        <v>216</v>
      </c>
      <c r="C5" s="192">
        <f t="array" ref="C5">IFERROR(INDEX(Пр6!$D$14:$D$123,MATCH(MIN(IF(Пр6!$A$14:$A$123&gt;=Таб1!$C$14,Пр6!$A$14:$A$123,"")),Пр6!$A$14:$A$123,0),0),"Ошибка")</f>
        <v>1.33</v>
      </c>
      <c r="D5" s="192">
        <f t="array" ref="D5">IFERROR(INDEX(Пр6!$D$14:$D$123,MATCH(MIN(IF(Пр6!$A$14:$A$123&gt;=Таб1!$C$14,Пр6!$A$14:$A$123,"")),Пр6!$A$14:$A$123,0),0),"Ошибка")</f>
        <v>1.33</v>
      </c>
      <c r="E5" s="192">
        <f t="array" ref="E5">IFERROR(INDEX(Пр6!$D$14:$D$123,MATCH(MIN(IF(Пр6!$A$14:$A$123&gt;=Таб1!$C$14,Пр6!$A$14:$A$123,"")),Пр6!$A$14:$A$123,0),0),"Ошибка")</f>
        <v>1.33</v>
      </c>
      <c r="F5" s="192">
        <f t="array" ref="F5">IFERROR(INDEX(Пр6!$D$14:$D$123,MATCH(MIN(IF(Пр6!$A$14:$A$123&gt;=Таб1!$C$14,Пр6!$A$14:$A$123,"")),Пр6!$A$14:$A$123,0),0),"Ошибка")</f>
        <v>1.33</v>
      </c>
      <c r="G5" s="192">
        <f t="array" ref="G5">IFERROR(INDEX(Пр6!$D$14:$D$123,MATCH(MIN(IF(Пр6!$A$14:$A$123&gt;=Таб1!$C$14,Пр6!$A$14:$A$123,"")),Пр6!$A$14:$A$123,0),0),"Ошибка")</f>
        <v>1.33</v>
      </c>
      <c r="H5" s="192">
        <f t="array" ref="H5">IFERROR(INDEX(Пр6!$D$14:$D$123,MATCH(MIN(IF(Пр6!$A$14:$A$123&gt;=Таб1!$C$14,Пр6!$A$14:$A$123,"")),Пр6!$A$14:$A$123,0),0),"Ошибка")</f>
        <v>1.33</v>
      </c>
      <c r="I5" s="192">
        <f t="array" ref="I5">IFERROR(INDEX(Пр6!$D$14:$D$123,MATCH(MIN(IF(Пр6!$A$14:$A$123&gt;=Таб1!$C$14,Пр6!$A$14:$A$123,"")),Пр6!$A$14:$A$123,0),0),"Ошибка")</f>
        <v>1.33</v>
      </c>
      <c r="J5" s="192">
        <f t="array" ref="J5">IFERROR(INDEX(Пр6!$D$14:$D$123,MATCH(MIN(IF(Пр6!$A$14:$A$123&gt;=Таб1!$C$14,Пр6!$A$14:$A$123,"")),Пр6!$A$14:$A$123,0),0),"Ошибка")</f>
        <v>1.33</v>
      </c>
      <c r="K5" s="192">
        <f t="array" ref="K5">IFERROR(INDEX(Пр6!$D$14:$D$123,MATCH(MIN(IF(Пр6!$A$14:$A$123&gt;=Таб1!$C$14,Пр6!$A$14:$A$123,"")),Пр6!$A$14:$A$123,0),0),"Ошибка")</f>
        <v>1.33</v>
      </c>
      <c r="L5" s="192">
        <f t="array" ref="L5">IFERROR(INDEX(Пр6!$D$14:$D$123,MATCH(MIN(IF(Пр6!$A$14:$A$123&gt;=Таб1!$C$14,Пр6!$A$14:$A$123,"")),Пр6!$A$14:$A$123,0),0),"Ошибка")</f>
        <v>1.33</v>
      </c>
      <c r="M5" s="191"/>
    </row>
    <row r="6" ht="36" spans="1:13">
      <c r="A6" s="173" t="s">
        <v>256</v>
      </c>
      <c r="B6" s="165" t="s">
        <v>225</v>
      </c>
      <c r="C6" s="191">
        <f t="shared" ref="C6:I6" si="4">SUM(C9,C11,C13,C15,C17,C19)</f>
        <v>35870</v>
      </c>
      <c r="D6" s="191">
        <f t="shared" si="4"/>
        <v>36040</v>
      </c>
      <c r="E6" s="191">
        <f t="shared" si="4"/>
        <v>37230</v>
      </c>
      <c r="F6" s="191">
        <f t="shared" si="4"/>
        <v>38250</v>
      </c>
      <c r="G6" s="191">
        <f t="shared" si="4"/>
        <v>38250</v>
      </c>
      <c r="H6" s="191">
        <f t="shared" si="4"/>
        <v>38590</v>
      </c>
      <c r="I6" s="191">
        <f t="shared" si="4"/>
        <v>38862</v>
      </c>
      <c r="J6" s="191">
        <f t="shared" ref="J6:L6" si="5">SUM(J9,J11,J13,J15,J17,J19)</f>
        <v>38998</v>
      </c>
      <c r="K6" s="191">
        <f t="shared" si="5"/>
        <v>39066</v>
      </c>
      <c r="L6" s="191">
        <f t="shared" si="5"/>
        <v>39100</v>
      </c>
      <c r="M6" s="191"/>
    </row>
    <row r="7" ht="36" spans="1:13">
      <c r="A7" s="173" t="s">
        <v>257</v>
      </c>
      <c r="B7" s="165" t="s">
        <v>225</v>
      </c>
      <c r="C7" s="191">
        <f t="shared" ref="C7:I7" si="6">AVERAGE(C2,C6)</f>
        <v>35785</v>
      </c>
      <c r="D7" s="191">
        <f t="shared" si="6"/>
        <v>35955</v>
      </c>
      <c r="E7" s="191">
        <f t="shared" si="6"/>
        <v>36635</v>
      </c>
      <c r="F7" s="191">
        <f t="shared" si="6"/>
        <v>37740</v>
      </c>
      <c r="G7" s="191">
        <f t="shared" si="6"/>
        <v>38250</v>
      </c>
      <c r="H7" s="191">
        <f t="shared" si="6"/>
        <v>38420</v>
      </c>
      <c r="I7" s="191">
        <f t="shared" si="6"/>
        <v>38726</v>
      </c>
      <c r="J7" s="191">
        <f t="shared" ref="J7:L7" si="7">AVERAGE(J2,J6)</f>
        <v>38930</v>
      </c>
      <c r="K7" s="191">
        <f t="shared" si="7"/>
        <v>39032</v>
      </c>
      <c r="L7" s="191">
        <f t="shared" si="7"/>
        <v>39083</v>
      </c>
      <c r="M7" s="191"/>
    </row>
    <row r="8" ht="18" spans="1:13">
      <c r="A8" s="173" t="s">
        <v>217</v>
      </c>
      <c r="B8" s="165" t="s">
        <v>20</v>
      </c>
      <c r="C8" s="193">
        <f t="shared" ref="C8:L8" si="8">C9/C$6</f>
        <v>0.221990521327014</v>
      </c>
      <c r="D8" s="193">
        <f t="shared" si="8"/>
        <v>0.220943396226415</v>
      </c>
      <c r="E8" s="193">
        <f t="shared" si="8"/>
        <v>0.213881278538813</v>
      </c>
      <c r="F8" s="193">
        <f t="shared" si="8"/>
        <v>0.208177777777778</v>
      </c>
      <c r="G8" s="193">
        <f t="shared" si="8"/>
        <v>0.208177777777778</v>
      </c>
      <c r="H8" s="193">
        <f t="shared" si="8"/>
        <v>0.206343612334802</v>
      </c>
      <c r="I8" s="193">
        <f t="shared" si="8"/>
        <v>0.204899387576553</v>
      </c>
      <c r="J8" s="193">
        <f t="shared" si="8"/>
        <v>0.204184829991282</v>
      </c>
      <c r="K8" s="193">
        <f t="shared" si="8"/>
        <v>0.203829416884247</v>
      </c>
      <c r="L8" s="193">
        <f t="shared" si="8"/>
        <v>0.203652173913043</v>
      </c>
      <c r="M8" s="193"/>
    </row>
    <row r="9" ht="18" spans="1:13">
      <c r="A9" s="173"/>
      <c r="B9" s="165" t="s">
        <v>225</v>
      </c>
      <c r="C9" s="191">
        <f>Таб3!C5</f>
        <v>7962.8</v>
      </c>
      <c r="D9" s="191">
        <f>Таб6_Расчет_выхода_ВЭР[[#This Row],[Зона 1]]</f>
        <v>7962.8</v>
      </c>
      <c r="E9" s="191">
        <f>Таб6_Расчет_выхода_ВЭР[[#This Row],[Зона 2]]</f>
        <v>7962.8</v>
      </c>
      <c r="F9" s="191">
        <f>Таб6_Расчет_выхода_ВЭР[[#This Row],[Зона 3]]</f>
        <v>7962.8</v>
      </c>
      <c r="G9" s="191">
        <f>Таб6_Расчет_выхода_ВЭР[[#This Row],[Зона 4]]</f>
        <v>7962.8</v>
      </c>
      <c r="H9" s="191">
        <f>Таб6_Расчет_выхода_ВЭР[[#This Row],[Зона 5]]</f>
        <v>7962.8</v>
      </c>
      <c r="I9" s="191">
        <f>Таб6_Расчет_выхода_ВЭР[[#This Row],[Зона 6]]</f>
        <v>7962.8</v>
      </c>
      <c r="J9" s="191">
        <f>Таб6_Расчет_выхода_ВЭР[[#This Row],[Зона 7]]</f>
        <v>7962.8</v>
      </c>
      <c r="K9" s="191">
        <f>Таб6_Расчет_выхода_ВЭР[[#This Row],[Зона 8]]</f>
        <v>7962.8</v>
      </c>
      <c r="L9" s="191">
        <f>Таб6_Расчет_выхода_ВЭР[[#This Row],[Зона 9]]</f>
        <v>7962.8</v>
      </c>
      <c r="M9" s="191"/>
    </row>
    <row r="10" ht="18" spans="1:13">
      <c r="A10" s="173" t="s">
        <v>219</v>
      </c>
      <c r="B10" s="165" t="s">
        <v>20</v>
      </c>
      <c r="C10" s="193">
        <f t="shared" ref="C10:L10" si="9">C11/C$6</f>
        <v>0</v>
      </c>
      <c r="D10" s="193">
        <f t="shared" si="9"/>
        <v>0</v>
      </c>
      <c r="E10" s="193">
        <f t="shared" si="9"/>
        <v>0</v>
      </c>
      <c r="F10" s="193">
        <f t="shared" si="9"/>
        <v>0</v>
      </c>
      <c r="G10" s="193">
        <f t="shared" si="9"/>
        <v>0</v>
      </c>
      <c r="H10" s="193">
        <f t="shared" si="9"/>
        <v>0</v>
      </c>
      <c r="I10" s="193">
        <f t="shared" si="9"/>
        <v>0</v>
      </c>
      <c r="J10" s="193">
        <f t="shared" si="9"/>
        <v>0</v>
      </c>
      <c r="K10" s="193">
        <f t="shared" si="9"/>
        <v>0</v>
      </c>
      <c r="L10" s="193">
        <f t="shared" si="9"/>
        <v>0</v>
      </c>
      <c r="M10" s="193"/>
    </row>
    <row r="11" ht="18" spans="1:13">
      <c r="A11" s="173"/>
      <c r="B11" s="165" t="s">
        <v>225</v>
      </c>
      <c r="C11" s="191">
        <f>Таб3!D5</f>
        <v>0</v>
      </c>
      <c r="D11" s="191">
        <f>Таб6_Расчет_выхода_ВЭР[[#This Row],[Зона 1]]</f>
        <v>0</v>
      </c>
      <c r="E11" s="191">
        <f>Таб6_Расчет_выхода_ВЭР[[#This Row],[Зона 2]]</f>
        <v>0</v>
      </c>
      <c r="F11" s="191">
        <f>Таб6_Расчет_выхода_ВЭР[[#This Row],[Зона 3]]</f>
        <v>0</v>
      </c>
      <c r="G11" s="191">
        <f>Таб6_Расчет_выхода_ВЭР[[#This Row],[Зона 4]]</f>
        <v>0</v>
      </c>
      <c r="H11" s="191">
        <f>Таб6_Расчет_выхода_ВЭР[[#This Row],[Зона 5]]</f>
        <v>0</v>
      </c>
      <c r="I11" s="191">
        <f>Таб6_Расчет_выхода_ВЭР[[#This Row],[Зона 6]]</f>
        <v>0</v>
      </c>
      <c r="J11" s="191">
        <f>Таб6_Расчет_выхода_ВЭР[[#This Row],[Зона 7]]</f>
        <v>0</v>
      </c>
      <c r="K11" s="191">
        <f>Таб6_Расчет_выхода_ВЭР[[#This Row],[Зона 8]]</f>
        <v>0</v>
      </c>
      <c r="L11" s="191">
        <f>Таб6_Расчет_выхода_ВЭР[[#This Row],[Зона 9]]</f>
        <v>0</v>
      </c>
      <c r="M11" s="191"/>
    </row>
    <row r="12" ht="18" spans="1:13">
      <c r="A12" s="173" t="s">
        <v>220</v>
      </c>
      <c r="B12" s="165" t="s">
        <v>20</v>
      </c>
      <c r="C12" s="193">
        <f t="shared" ref="C12:L12" si="10">C13/C$6</f>
        <v>0.329478672985782</v>
      </c>
      <c r="D12" s="193">
        <f t="shared" si="10"/>
        <v>0.327924528301887</v>
      </c>
      <c r="E12" s="193">
        <f t="shared" si="10"/>
        <v>0.317442922374429</v>
      </c>
      <c r="F12" s="193">
        <f t="shared" si="10"/>
        <v>0.308977777777778</v>
      </c>
      <c r="G12" s="193">
        <f t="shared" si="10"/>
        <v>0.308977777777778</v>
      </c>
      <c r="H12" s="193">
        <f t="shared" si="10"/>
        <v>0.30625550660793</v>
      </c>
      <c r="I12" s="193">
        <f t="shared" si="10"/>
        <v>0.30411198600175</v>
      </c>
      <c r="J12" s="193">
        <f t="shared" si="10"/>
        <v>0.30305143853531</v>
      </c>
      <c r="K12" s="193">
        <f t="shared" si="10"/>
        <v>0.302523933855527</v>
      </c>
      <c r="L12" s="193">
        <f t="shared" si="10"/>
        <v>0.302260869565217</v>
      </c>
      <c r="M12" s="193"/>
    </row>
    <row r="13" ht="18" spans="1:13">
      <c r="A13" s="173"/>
      <c r="B13" s="165" t="s">
        <v>225</v>
      </c>
      <c r="C13" s="178">
        <f>Таб3!E5</f>
        <v>11818.4</v>
      </c>
      <c r="D13" s="191">
        <f>Таб6_Расчет_выхода_ВЭР[[#This Row],[Зона 1]]</f>
        <v>11818.4</v>
      </c>
      <c r="E13" s="191">
        <f>Таб6_Расчет_выхода_ВЭР[[#This Row],[Зона 2]]</f>
        <v>11818.4</v>
      </c>
      <c r="F13" s="191">
        <f>Таб6_Расчет_выхода_ВЭР[[#This Row],[Зона 3]]</f>
        <v>11818.4</v>
      </c>
      <c r="G13" s="191">
        <f>Таб6_Расчет_выхода_ВЭР[[#This Row],[Зона 4]]</f>
        <v>11818.4</v>
      </c>
      <c r="H13" s="191">
        <f>Таб6_Расчет_выхода_ВЭР[[#This Row],[Зона 5]]</f>
        <v>11818.4</v>
      </c>
      <c r="I13" s="191">
        <f>Таб6_Расчет_выхода_ВЭР[[#This Row],[Зона 6]]</f>
        <v>11818.4</v>
      </c>
      <c r="J13" s="191">
        <f>Таб6_Расчет_выхода_ВЭР[[#This Row],[Зона 7]]</f>
        <v>11818.4</v>
      </c>
      <c r="K13" s="191">
        <f>Таб6_Расчет_выхода_ВЭР[[#This Row],[Зона 8]]</f>
        <v>11818.4</v>
      </c>
      <c r="L13" s="191">
        <f>Таб6_Расчет_выхода_ВЭР[[#This Row],[Зона 9]]</f>
        <v>11818.4</v>
      </c>
      <c r="M13" s="191"/>
    </row>
    <row r="14" ht="18" spans="1:13">
      <c r="A14" s="173" t="s">
        <v>221</v>
      </c>
      <c r="B14" s="165" t="s">
        <v>20</v>
      </c>
      <c r="C14" s="193">
        <f t="shared" ref="C14:L14" si="11">C15/C$6</f>
        <v>0.0583412322274881</v>
      </c>
      <c r="D14" s="193">
        <f t="shared" si="11"/>
        <v>0.0590566037735849</v>
      </c>
      <c r="E14" s="193">
        <f t="shared" si="11"/>
        <v>0.0638812785388128</v>
      </c>
      <c r="F14" s="193">
        <f t="shared" si="11"/>
        <v>0.0677777777777778</v>
      </c>
      <c r="G14" s="193">
        <f t="shared" si="11"/>
        <v>0.0677777777777778</v>
      </c>
      <c r="H14" s="193">
        <f t="shared" si="11"/>
        <v>0.0690308370044053</v>
      </c>
      <c r="I14" s="193">
        <f t="shared" si="11"/>
        <v>0.0700174978127734</v>
      </c>
      <c r="J14" s="193">
        <f t="shared" si="11"/>
        <v>0.0705056669572798</v>
      </c>
      <c r="K14" s="193">
        <f t="shared" si="11"/>
        <v>0.0707484769364665</v>
      </c>
      <c r="L14" s="193">
        <f t="shared" si="11"/>
        <v>0.0708695652173913</v>
      </c>
      <c r="M14" s="193"/>
    </row>
    <row r="15" ht="18" spans="1:13">
      <c r="A15" s="173"/>
      <c r="B15" s="165" t="s">
        <v>225</v>
      </c>
      <c r="C15" s="191">
        <f>Таб3!F5+0.21*C4</f>
        <v>2092.7</v>
      </c>
      <c r="D15" s="191">
        <f>Таб6_Расчет_выхода_ВЭР[[#This Row],[Зона 1]]+0.21*D4</f>
        <v>2128.4</v>
      </c>
      <c r="E15" s="191">
        <f>Таб6_Расчет_выхода_ВЭР[[#This Row],[Зона 2]]+0.21*E4</f>
        <v>2378.3</v>
      </c>
      <c r="F15" s="191">
        <f>Таб6_Расчет_выхода_ВЭР[[#This Row],[Зона 3]]+0.21*F4</f>
        <v>2592.5</v>
      </c>
      <c r="G15" s="191">
        <f>Таб6_Расчет_выхода_ВЭР[[#This Row],[Зона 4]]+0.21*G4</f>
        <v>2592.5</v>
      </c>
      <c r="H15" s="191">
        <f>Таб6_Расчет_выхода_ВЭР[[#This Row],[Зона 5]]+0.21*H4</f>
        <v>2663.9</v>
      </c>
      <c r="I15" s="191">
        <f>Таб6_Расчет_выхода_ВЭР[[#This Row],[Зона 6]]+0.21*I4</f>
        <v>2721.02</v>
      </c>
      <c r="J15" s="191">
        <f>Таб6_Расчет_выхода_ВЭР[[#This Row],[Зона 7]]+0.21*J4</f>
        <v>2749.58</v>
      </c>
      <c r="K15" s="191">
        <f>Таб6_Расчет_выхода_ВЭР[[#This Row],[Зона 8]]+0.21*K4</f>
        <v>2763.86</v>
      </c>
      <c r="L15" s="191">
        <f>Таб6_Расчет_выхода_ВЭР[[#This Row],[Зона 9]]+0.21*L4</f>
        <v>2771</v>
      </c>
      <c r="M15" s="191"/>
    </row>
    <row r="16" ht="18" spans="1:13">
      <c r="A16" s="173" t="s">
        <v>222</v>
      </c>
      <c r="B16" s="165" t="s">
        <v>20</v>
      </c>
      <c r="C16" s="193">
        <f t="shared" ref="C16:L16" si="12">C17/C$6</f>
        <v>0.282511848341232</v>
      </c>
      <c r="D16" s="193">
        <f t="shared" si="12"/>
        <v>0.284905660377358</v>
      </c>
      <c r="E16" s="193">
        <f t="shared" si="12"/>
        <v>0.301050228310502</v>
      </c>
      <c r="F16" s="193">
        <f t="shared" si="12"/>
        <v>0.314088888888889</v>
      </c>
      <c r="G16" s="193">
        <f t="shared" si="12"/>
        <v>0.314088888888889</v>
      </c>
      <c r="H16" s="193">
        <f t="shared" si="12"/>
        <v>0.318281938325991</v>
      </c>
      <c r="I16" s="193">
        <f t="shared" si="12"/>
        <v>0.321583552055993</v>
      </c>
      <c r="J16" s="193">
        <f t="shared" si="12"/>
        <v>0.323217088055798</v>
      </c>
      <c r="K16" s="193">
        <f t="shared" si="12"/>
        <v>0.324029590948651</v>
      </c>
      <c r="L16" s="193">
        <f t="shared" si="12"/>
        <v>0.324434782608696</v>
      </c>
      <c r="M16" s="193"/>
    </row>
    <row r="17" ht="18" spans="1:13">
      <c r="A17" s="173"/>
      <c r="B17" s="165" t="s">
        <v>225</v>
      </c>
      <c r="C17" s="191">
        <f>Таб3!G5+0.79*C4</f>
        <v>10133.7</v>
      </c>
      <c r="D17" s="191">
        <f>Таб6_Расчет_выхода_ВЭР[[#This Row],[Зона 1]]+0.79*D4</f>
        <v>10268</v>
      </c>
      <c r="E17" s="191">
        <f>Таб6_Расчет_выхода_ВЭР[[#This Row],[Зона 2]]+0.79*E4</f>
        <v>11208.1</v>
      </c>
      <c r="F17" s="191">
        <f>Таб6_Расчет_выхода_ВЭР[[#This Row],[Зона 3]]+0.79*F4</f>
        <v>12013.9</v>
      </c>
      <c r="G17" s="191">
        <f>Таб6_Расчет_выхода_ВЭР[[#This Row],[Зона 4]]+0.79*G4</f>
        <v>12013.9</v>
      </c>
      <c r="H17" s="191">
        <f>Таб6_Расчет_выхода_ВЭР[[#This Row],[Зона 5]]+0.79*H4</f>
        <v>12282.5</v>
      </c>
      <c r="I17" s="191">
        <f>Таб6_Расчет_выхода_ВЭР[[#This Row],[Зона 6]]+0.79*I4</f>
        <v>12497.38</v>
      </c>
      <c r="J17" s="191">
        <f>Таб6_Расчет_выхода_ВЭР[[#This Row],[Зона 7]]+0.79*J4</f>
        <v>12604.82</v>
      </c>
      <c r="K17" s="191">
        <f>Таб6_Расчет_выхода_ВЭР[[#This Row],[Зона 8]]+0.79*K4</f>
        <v>12658.54</v>
      </c>
      <c r="L17" s="191">
        <f>Таб6_Расчет_выхода_ВЭР[[#This Row],[Зона 9]]+0.79*L4</f>
        <v>12685.4</v>
      </c>
      <c r="M17" s="191"/>
    </row>
    <row r="18" ht="18" spans="1:13">
      <c r="A18" s="173" t="s">
        <v>223</v>
      </c>
      <c r="B18" s="165" t="s">
        <v>20</v>
      </c>
      <c r="C18" s="193">
        <f t="shared" ref="C18:L18" si="13">C19/C$6</f>
        <v>0.107677725118483</v>
      </c>
      <c r="D18" s="193">
        <f t="shared" si="13"/>
        <v>0.107169811320755</v>
      </c>
      <c r="E18" s="193">
        <f t="shared" si="13"/>
        <v>0.103744292237443</v>
      </c>
      <c r="F18" s="193">
        <f t="shared" si="13"/>
        <v>0.100977777777778</v>
      </c>
      <c r="G18" s="193">
        <f t="shared" si="13"/>
        <v>0.100977777777778</v>
      </c>
      <c r="H18" s="193">
        <f t="shared" si="13"/>
        <v>0.100088105726872</v>
      </c>
      <c r="I18" s="193">
        <f t="shared" si="13"/>
        <v>0.0993875765529309</v>
      </c>
      <c r="J18" s="193">
        <f t="shared" si="13"/>
        <v>0.0990409764603313</v>
      </c>
      <c r="K18" s="193">
        <f t="shared" si="13"/>
        <v>0.0988685813751088</v>
      </c>
      <c r="L18" s="193">
        <f t="shared" si="13"/>
        <v>0.0987826086956522</v>
      </c>
      <c r="M18" s="193"/>
    </row>
    <row r="19" ht="18" spans="1:13">
      <c r="A19" s="173"/>
      <c r="B19" s="165" t="s">
        <v>225</v>
      </c>
      <c r="C19" s="191">
        <f>Таб3!H5</f>
        <v>3862.4</v>
      </c>
      <c r="D19" s="191">
        <f>Таб6_Расчет_выхода_ВЭР[[#This Row],[Зона 1]]</f>
        <v>3862.4</v>
      </c>
      <c r="E19" s="191">
        <f>Таб6_Расчет_выхода_ВЭР[[#This Row],[Зона 2]]</f>
        <v>3862.4</v>
      </c>
      <c r="F19" s="191">
        <f>Таб6_Расчет_выхода_ВЭР[[#This Row],[Зона 3]]</f>
        <v>3862.4</v>
      </c>
      <c r="G19" s="191">
        <f>Таб6_Расчет_выхода_ВЭР[[#This Row],[Зона 4]]</f>
        <v>3862.4</v>
      </c>
      <c r="H19" s="191">
        <f>Таб6_Расчет_выхода_ВЭР[[#This Row],[Зона 5]]</f>
        <v>3862.4</v>
      </c>
      <c r="I19" s="191">
        <f>Таб6_Расчет_выхода_ВЭР[[#This Row],[Зона 6]]</f>
        <v>3862.4</v>
      </c>
      <c r="J19" s="191">
        <f>Таб6_Расчет_выхода_ВЭР[[#This Row],[Зона 7]]</f>
        <v>3862.4</v>
      </c>
      <c r="K19" s="191">
        <f>Таб6_Расчет_выхода_ВЭР[[#This Row],[Зона 8]]</f>
        <v>3862.4</v>
      </c>
      <c r="L19" s="191">
        <f>Таб6_Расчет_выхода_ВЭР[[#This Row],[Зона 9]]</f>
        <v>3862.4</v>
      </c>
      <c r="M19" s="191"/>
    </row>
    <row r="20" ht="18" spans="1:13">
      <c r="A20" s="173" t="s">
        <v>258</v>
      </c>
      <c r="B20" s="177" t="s">
        <v>259</v>
      </c>
      <c r="C20" s="194">
        <f>(C8*Таб3!$C$3+C10*Таб3!$D$3+C12*Таб3!$E$3+C14*Таб3!$F$3+C16*Таб3!$G$3+C18*Таб3!$H$3)/22.4</f>
        <v>1.5470125253893</v>
      </c>
      <c r="D20" s="194">
        <f>(D8*Таб3!$C$3+D10*Таб3!$D$3+D12*Таб3!$E$3+D14*Таб3!$F$3+D16*Таб3!$G$3+D18*Таб3!$H$3)/22.4</f>
        <v>1.5457884097035</v>
      </c>
      <c r="E20" s="194">
        <f>(E8*Таб3!$C$3+E10*Таб3!$D$3+E12*Таб3!$E$3+E14*Таб3!$F$3+E16*Таб3!$G$3+E18*Таб3!$H$3)/22.4</f>
        <v>1.53753261578604</v>
      </c>
      <c r="F20" s="194">
        <f>(F8*Таб3!$C$3+F10*Таб3!$D$3+F12*Таб3!$E$3+F14*Таб3!$F$3+F16*Таб3!$G$3+F18*Таб3!$H$3)/22.4</f>
        <v>1.53086507936508</v>
      </c>
      <c r="G20" s="194">
        <f>(G8*Таб3!$C$3+G10*Таб3!$D$3+G12*Таб3!$E$3+G14*Таб3!$F$3+G16*Таб3!$G$3+G18*Таб3!$H$3)/22.4</f>
        <v>1.53086507936508</v>
      </c>
      <c r="H20" s="194">
        <f>(H8*Таб3!$C$3+H10*Таб3!$D$3+H12*Таб3!$E$3+H14*Таб3!$F$3+H16*Таб3!$G$3+H18*Таб3!$H$3)/22.4</f>
        <v>1.5287208936438</v>
      </c>
      <c r="I20" s="194">
        <f>(I8*Таб3!$C$3+I10*Таб3!$D$3+I12*Таб3!$E$3+I14*Таб3!$F$3+I16*Таб3!$G$3+I18*Таб3!$H$3)/22.4</f>
        <v>1.5270325584302</v>
      </c>
      <c r="J20" s="194">
        <f>(J8*Таб3!$C$3+J10*Таб3!$D$3+J12*Таб3!$E$3+J14*Таб3!$F$3+J16*Таб3!$G$3+J18*Таб3!$H$3)/22.4</f>
        <v>1.52619722256819</v>
      </c>
      <c r="K20" s="194">
        <f>(K8*Таб3!$C$3+K10*Таб3!$D$3+K12*Таб3!$E$3+K14*Таб3!$F$3+K16*Таб3!$G$3+K18*Таб3!$H$3)/22.4</f>
        <v>1.52578173567077</v>
      </c>
      <c r="L20" s="194">
        <f>(L8*Таб3!$C$3+L10*Таб3!$D$3+L12*Таб3!$E$3+L14*Таб3!$F$3+L16*Таб3!$G$3+L18*Таб3!$H$3)/22.4</f>
        <v>1.52557453416149</v>
      </c>
      <c r="M20" s="194"/>
    </row>
    <row r="21" ht="18" spans="1:13">
      <c r="A21" s="173" t="s">
        <v>260</v>
      </c>
      <c r="B21" s="177" t="s">
        <v>261</v>
      </c>
      <c r="C21" s="194">
        <f>C20^-1</f>
        <v>0.646407177439208</v>
      </c>
      <c r="D21" s="194">
        <f t="shared" ref="D21:I21" si="14">D20^-1</f>
        <v>0.64691906972689</v>
      </c>
      <c r="E21" s="194">
        <f t="shared" si="14"/>
        <v>0.65039270694675</v>
      </c>
      <c r="F21" s="194">
        <f t="shared" si="14"/>
        <v>0.653225430169683</v>
      </c>
      <c r="G21" s="194">
        <f t="shared" si="14"/>
        <v>0.653225430169683</v>
      </c>
      <c r="H21" s="194">
        <f t="shared" si="14"/>
        <v>0.654141644925411</v>
      </c>
      <c r="I21" s="194">
        <f t="shared" si="14"/>
        <v>0.654864884497295</v>
      </c>
      <c r="J21" s="194">
        <f t="shared" ref="J21:L21" si="15">J20^-1</f>
        <v>0.655223312696941</v>
      </c>
      <c r="K21" s="194">
        <f t="shared" si="15"/>
        <v>0.655401737103883</v>
      </c>
      <c r="L21" s="194">
        <f t="shared" si="15"/>
        <v>0.655490752898307</v>
      </c>
      <c r="M21" s="194"/>
    </row>
    <row r="22" ht="36" spans="1:13">
      <c r="A22" s="195" t="s">
        <v>262</v>
      </c>
      <c r="B22" s="184" t="s">
        <v>263</v>
      </c>
      <c r="C22" s="196">
        <f>(Таб3!K4*Таб1!C5+Таб1!C5*Таб1!C11*10^-3*C33)/4.187</f>
        <v>560.248874837593</v>
      </c>
      <c r="D22" s="196">
        <f t="shared" ref="D22:I23" si="16">C36</f>
        <v>514.787692405015</v>
      </c>
      <c r="E22" s="196">
        <f t="shared" si="16"/>
        <v>296.5724486269</v>
      </c>
      <c r="F22" s="196">
        <f t="shared" si="16"/>
        <v>265.221868050077</v>
      </c>
      <c r="G22" s="196">
        <f t="shared" si="16"/>
        <v>202.968303115058</v>
      </c>
      <c r="H22" s="196">
        <f t="shared" si="16"/>
        <v>198.181436713191</v>
      </c>
      <c r="I22" s="196">
        <f t="shared" si="16"/>
        <v>167.198012041943</v>
      </c>
      <c r="J22" s="196">
        <f t="shared" ref="J22:J23" si="17">I36</f>
        <v>166.937193559732</v>
      </c>
      <c r="K22" s="196">
        <f t="shared" ref="K22:K23" si="18">J36</f>
        <v>166.800332232384</v>
      </c>
      <c r="L22" s="196">
        <f t="shared" ref="L22:L23" si="19">K36</f>
        <v>166.724477002597</v>
      </c>
      <c r="M22" s="194"/>
    </row>
    <row r="23" ht="54" spans="1:13">
      <c r="A23" s="183" t="s">
        <v>264</v>
      </c>
      <c r="B23" s="184" t="s">
        <v>207</v>
      </c>
      <c r="C23" s="197">
        <f>Таб3!K5*C22/1000000</f>
        <v>20.0008848317021</v>
      </c>
      <c r="D23" s="197">
        <f t="shared" si="16"/>
        <v>18.4654345265679</v>
      </c>
      <c r="E23" s="197">
        <f t="shared" si="16"/>
        <v>10.6884710485135</v>
      </c>
      <c r="F23" s="197">
        <f t="shared" si="16"/>
        <v>9.87421014750435</v>
      </c>
      <c r="G23" s="197">
        <f t="shared" si="16"/>
        <v>7.76353759415097</v>
      </c>
      <c r="H23" s="197">
        <f t="shared" si="16"/>
        <v>7.58043995427955</v>
      </c>
      <c r="I23" s="197">
        <f t="shared" si="16"/>
        <v>6.4521712846986</v>
      </c>
      <c r="J23" s="197">
        <f t="shared" si="17"/>
        <v>6.48751321611832</v>
      </c>
      <c r="K23" s="197">
        <f t="shared" si="18"/>
        <v>6.50487935639851</v>
      </c>
      <c r="L23" s="197">
        <f t="shared" si="19"/>
        <v>6.51325841858347</v>
      </c>
      <c r="M23" s="200"/>
    </row>
    <row r="24" ht="72" spans="1:13">
      <c r="A24" s="173" t="s">
        <v>265</v>
      </c>
      <c r="B24" s="165" t="s">
        <v>117</v>
      </c>
      <c r="C24" s="191">
        <f>Таб1!C5-Таб2!C19</f>
        <v>1170</v>
      </c>
      <c r="D24" s="191">
        <f>Таб6_Расчет_выхода_ВЭР[[#This Row],[Зона 1]]-Таб2!D19</f>
        <v>720</v>
      </c>
      <c r="E24" s="191">
        <f>Таб6_Расчет_выхода_ВЭР[[#This Row],[Зона 2]]-Таб2!E19</f>
        <v>654</v>
      </c>
      <c r="F24" s="191">
        <f>Таб6_Расчет_выхода_ВЭР[[#This Row],[Зона 3]]-Таб2!F19</f>
        <v>513</v>
      </c>
      <c r="G24" s="191">
        <f>Таб6_Расчет_выхода_ВЭР[[#This Row],[Зона 4]]-Таб2!G19</f>
        <v>502</v>
      </c>
      <c r="H24" s="191">
        <f>Таб6_Расчет_выхода_ВЭР[[#This Row],[Зона 5]]-Таб2!H19</f>
        <v>431</v>
      </c>
      <c r="I24" s="191">
        <f>Таб6_Расчет_выхода_ВЭР[[#This Row],[Зона 6]]-Таб2!I19</f>
        <v>431</v>
      </c>
      <c r="J24" s="191">
        <f>Таб6_Расчет_выхода_ВЭР[[#This Row],[Зона 7]]-Таб2!J19</f>
        <v>431</v>
      </c>
      <c r="K24" s="191">
        <f>Таб6_Расчет_выхода_ВЭР[[#This Row],[Зона 8]]-Таб2!K19</f>
        <v>431</v>
      </c>
      <c r="L24" s="191">
        <f>Таб6_Расчет_выхода_ВЭР[[#This Row],[Зона 9]]-Таб2!L19</f>
        <v>431</v>
      </c>
      <c r="M24" s="191"/>
    </row>
    <row r="25" ht="108" spans="1:13">
      <c r="A25" s="173" t="s">
        <v>215</v>
      </c>
      <c r="B25" s="165" t="s">
        <v>266</v>
      </c>
      <c r="C25" s="198">
        <f>C26/C20</f>
        <v>1.17252055253152</v>
      </c>
      <c r="D25" s="198">
        <f t="shared" ref="D25:I25" si="20">D26/D20</f>
        <v>1.10345888968809</v>
      </c>
      <c r="E25" s="198">
        <f t="shared" si="20"/>
        <v>1.09418487402088</v>
      </c>
      <c r="F25" s="198">
        <f t="shared" si="20"/>
        <v>1.07381034273598</v>
      </c>
      <c r="G25" s="198">
        <f t="shared" si="20"/>
        <v>1.07230934682641</v>
      </c>
      <c r="H25" s="198">
        <f t="shared" si="20"/>
        <v>1.05594973524553</v>
      </c>
      <c r="I25" s="198">
        <f t="shared" si="20"/>
        <v>1.05583883661424</v>
      </c>
      <c r="J25" s="198">
        <f t="shared" ref="J25:L25" si="21">J26/J20</f>
        <v>1.05578387668353</v>
      </c>
      <c r="K25" s="198">
        <f t="shared" si="21"/>
        <v>1.05575651780649</v>
      </c>
      <c r="L25" s="198">
        <f t="shared" si="21"/>
        <v>1.05574286848453</v>
      </c>
      <c r="M25" s="191"/>
    </row>
    <row r="26" ht="36" spans="1:13">
      <c r="A26" s="173"/>
      <c r="B26" s="165" t="s">
        <v>216</v>
      </c>
      <c r="C26" s="198">
        <f t="shared" ref="C26:I26" si="22">C8*C27+C10*C28+C12*C29+C14*C30+C16*C31+C18*C32</f>
        <v>1.81390398104265</v>
      </c>
      <c r="D26" s="198">
        <f t="shared" si="22"/>
        <v>1.70571396226415</v>
      </c>
      <c r="E26" s="198">
        <f t="shared" si="22"/>
        <v>1.68234493150685</v>
      </c>
      <c r="F26" s="198">
        <f t="shared" si="22"/>
        <v>1.64385875555556</v>
      </c>
      <c r="G26" s="198">
        <f t="shared" si="22"/>
        <v>1.64156093333333</v>
      </c>
      <c r="H26" s="198">
        <f t="shared" si="22"/>
        <v>1.61425242290749</v>
      </c>
      <c r="I26" s="198">
        <f t="shared" si="22"/>
        <v>1.612300279965</v>
      </c>
      <c r="J26" s="198">
        <f t="shared" ref="J26:L26" si="23">J8*J27+J10*J28+J12*J29+J14*J30+J16*J31+J18*J32</f>
        <v>1.61133442022668</v>
      </c>
      <c r="K26" s="198">
        <f t="shared" si="23"/>
        <v>1.61085401218451</v>
      </c>
      <c r="L26" s="198">
        <f t="shared" si="23"/>
        <v>1.61061443478261</v>
      </c>
      <c r="M26" s="198"/>
    </row>
    <row r="27" ht="18" spans="1:13">
      <c r="A27" s="173" t="s">
        <v>217</v>
      </c>
      <c r="B27" s="165" t="s">
        <v>218</v>
      </c>
      <c r="C27" s="198">
        <f t="array" ref="C27">IFERROR(INDEX(Пр6_Теплоёмкость_различных_газов[SO2,
кДж/(м3*оС)],MATCH(MIN(IF(Пр6_Теплоёмкость_различных_газов[Температура, 0С]&gt;=C$24,Пр6_Теплоёмкость_различных_газов[Температура, 0С],"")),Пр6_Теплоёмкость_различных_газов[Температура, 0С],0),0),"Ошибка")</f>
        <v>2.2935</v>
      </c>
      <c r="D27" s="198">
        <f t="array" ref="D27">IFERROR(INDEX(Пр6_Теплоёмкость_различных_газов[SO2,
кДж/(м3*оС)],MATCH(MIN(IF(Пр6_Теплоёмкость_различных_газов[Температура, 0С]&gt;=D$24,Пр6_Теплоёмкость_различных_газов[Температура, 0С],"")),Пр6_Теплоёмкость_различных_газов[Температура, 0С],0),0),"Ошибка")</f>
        <v>2.146</v>
      </c>
      <c r="E27" s="198">
        <f t="array" ref="E27">IFERROR(INDEX(Пр6_Теплоёмкость_различных_газов[SO2,
кДж/(м3*оС)],MATCH(MIN(IF(Пр6_Теплоёмкость_различных_газов[Температура, 0С]&gt;=E$24,Пр6_Теплоёмкость_различных_газов[Температура, 0С],"")),Пр6_Теплоёмкость_различных_газов[Температура, 0С],0),0),"Ошибка")</f>
        <v>2.132</v>
      </c>
      <c r="F27" s="198">
        <f t="array" ref="F27">IFERROR(INDEX(Пр6_Теплоёмкость_различных_газов[SO2,
кДж/(м3*оС)],MATCH(MIN(IF(Пр6_Теплоёмкость_различных_газов[Температура, 0С]&gt;=F$24,Пр6_Теплоёмкость_различных_газов[Температура, 0С],"")),Пр6_Теплоёмкость_различных_газов[Температура, 0С],0),0),"Ошибка")</f>
        <v>2.104</v>
      </c>
      <c r="G27" s="198">
        <f t="array" ref="G27">IFERROR(INDEX(Пр6_Теплоёмкость_различных_газов[SO2,
кДж/(м3*оС)],MATCH(MIN(IF(Пр6_Теплоёмкость_различных_газов[Температура, 0С]&gt;=G$24,Пр6_Теплоёмкость_различных_газов[Температура, 0С],"")),Пр6_Теплоёмкость_различных_газов[Температура, 0С],0),0),"Ошибка")</f>
        <v>2.102</v>
      </c>
      <c r="H27" s="198">
        <f t="array" ref="H27">IFERROR(INDEX(Пр6_Теплоёмкость_различных_газов[SO2,
кДж/(м3*оС)],MATCH(MIN(IF(Пр6_Теплоёмкость_различных_газов[Температура, 0С]&gt;=H$24,Пр6_Теплоёмкость_различных_газов[Температура, 0С],"")),Пр6_Теплоёмкость_различных_газов[Температура, 0С],0),0),"Ошибка")</f>
        <v>2.04</v>
      </c>
      <c r="I27" s="198">
        <f t="array" ref="I27">IFERROR(INDEX(Пр6_Теплоёмкость_различных_газов[SO2,
кДж/(м3*оС)],MATCH(MIN(IF(Пр6_Теплоёмкость_различных_газов[Температура, 0С]&gt;=I$24,Пр6_Теплоёмкость_различных_газов[Температура, 0С],"")),Пр6_Теплоёмкость_различных_газов[Температура, 0С],0),0),"Ошибка")</f>
        <v>2.04</v>
      </c>
      <c r="J27" s="198">
        <f t="array" ref="J27">IFERROR(INDEX(Пр6_Теплоёмкость_различных_газов[SO2,
кДж/(м3*оС)],MATCH(MIN(IF(Пр6_Теплоёмкость_различных_газов[Температура, 0С]&gt;=J$24,Пр6_Теплоёмкость_различных_газов[Температура, 0С],"")),Пр6_Теплоёмкость_различных_газов[Температура, 0С],0),0),"Ошибка")</f>
        <v>2.04</v>
      </c>
      <c r="K27" s="198">
        <f t="array" ref="K27">IFERROR(INDEX(Пр6_Теплоёмкость_различных_газов[SO2,
кДж/(м3*оС)],MATCH(MIN(IF(Пр6_Теплоёмкость_различных_газов[Температура, 0С]&gt;=K$24,Пр6_Теплоёмкость_различных_газов[Температура, 0С],"")),Пр6_Теплоёмкость_различных_газов[Температура, 0С],0),0),"Ошибка")</f>
        <v>2.04</v>
      </c>
      <c r="L27" s="198">
        <f t="array" ref="L27">IFERROR(INDEX(Пр6_Теплоёмкость_различных_газов[SO2,
кДж/(м3*оС)],MATCH(MIN(IF(Пр6_Теплоёмкость_различных_газов[Температура, 0С]&gt;=L$24,Пр6_Теплоёмкость_различных_газов[Температура, 0С],"")),Пр6_Теплоёмкость_различных_газов[Температура, 0С],0),0),"Ошибка")</f>
        <v>2.04</v>
      </c>
      <c r="M27" s="198"/>
    </row>
    <row r="28" ht="18" spans="1:13">
      <c r="A28" s="173" t="s">
        <v>219</v>
      </c>
      <c r="B28" s="165" t="s">
        <v>218</v>
      </c>
      <c r="C28" s="198">
        <f t="shared" ref="C28:I28" si="24">C27</f>
        <v>2.2935</v>
      </c>
      <c r="D28" s="198">
        <f t="shared" si="24"/>
        <v>2.146</v>
      </c>
      <c r="E28" s="198">
        <f t="shared" si="24"/>
        <v>2.132</v>
      </c>
      <c r="F28" s="198">
        <f t="shared" si="24"/>
        <v>2.104</v>
      </c>
      <c r="G28" s="198">
        <f t="shared" si="24"/>
        <v>2.102</v>
      </c>
      <c r="H28" s="198">
        <f t="shared" si="24"/>
        <v>2.04</v>
      </c>
      <c r="I28" s="198">
        <f t="shared" si="24"/>
        <v>2.04</v>
      </c>
      <c r="J28" s="198">
        <f t="shared" ref="J28:L28" si="25">J27</f>
        <v>2.04</v>
      </c>
      <c r="K28" s="198">
        <f t="shared" si="25"/>
        <v>2.04</v>
      </c>
      <c r="L28" s="198">
        <f t="shared" si="25"/>
        <v>2.04</v>
      </c>
      <c r="M28" s="198"/>
    </row>
    <row r="29" ht="18" spans="1:13">
      <c r="A29" s="173" t="s">
        <v>220</v>
      </c>
      <c r="B29" s="165" t="s">
        <v>218</v>
      </c>
      <c r="C29" s="198">
        <f t="array" ref="C29">IFERROR(INDEX(Пр6_Теплоёмкость_различных_газов[H2O,
кДж/(м3*оС)],MATCH(MIN(IF(Пр6_Теплоёмкость_различных_газов[Температура, 0С]&gt;=C$24,Пр6_Теплоёмкость_различных_газов[Температура, 0С],"")),Пр6_Теплоёмкость_различных_газов[Температура, 0С],0),0),"Ошибка")</f>
        <v>1.754</v>
      </c>
      <c r="D29" s="198">
        <f t="array" ref="D29">IFERROR(INDEX(Пр6_Теплоёмкость_различных_газов[H2O,
кДж/(м3*оС)],MATCH(MIN(IF(Пр6_Теплоёмкость_различных_газов[Температура, 0С]&gt;=D$24,Пр6_Теплоёмкость_различных_газов[Температура, 0С],"")),Пр6_Теплоёмкость_различных_газов[Температура, 0С],0),0),"Ошибка")</f>
        <v>1.636</v>
      </c>
      <c r="E29" s="198">
        <f t="array" ref="E29">IFERROR(INDEX(Пр6_Теплоёмкость_различных_газов[H2O,
кДж/(м3*оС)],MATCH(MIN(IF(Пр6_Теплоёмкость_различных_газов[Температура, 0С]&gt;=E$24,Пр6_Теплоёмкость_различных_газов[Температура, 0С],"")),Пр6_Теплоёмкость_различных_газов[Температура, 0С],0),0),"Ошибка")</f>
        <v>1.622</v>
      </c>
      <c r="F29" s="198">
        <f t="array" ref="F29">IFERROR(INDEX(Пр6_Теплоёмкость_различных_газов[H2O,
кДж/(м3*оС)],MATCH(MIN(IF(Пр6_Теплоёмкость_различных_газов[Температура, 0С]&gt;=F$24,Пр6_Теплоёмкость_различных_газов[Температура, 0С],"")),Пр6_Теплоёмкость_различных_газов[Температура, 0С],0),0),"Ошибка")</f>
        <v>1.586</v>
      </c>
      <c r="G29" s="198">
        <f t="array" ref="G29">IFERROR(INDEX(Пр6_Теплоёмкость_различных_газов[H2O,
кДж/(м3*оС)],MATCH(MIN(IF(Пр6_Теплоёмкость_различных_газов[Температура, 0С]&gt;=G$24,Пр6_Теплоёмкость_различных_газов[Температура, 0С],"")),Пр6_Теплоёмкость_различных_газов[Температура, 0С],0),0),"Ошибка")</f>
        <v>1.583</v>
      </c>
      <c r="H29" s="198">
        <f t="array" ref="H29">IFERROR(INDEX(Пр6_Теплоёмкость_различных_газов[H2O,
кДж/(м3*оС)],MATCH(MIN(IF(Пр6_Теплоёмкость_различных_газов[Температура, 0С]&gt;=H$24,Пр6_Теплоёмкость_различных_газов[Температура, 0С],"")),Пр6_Теплоёмкость_различных_газов[Температура, 0С],0),0),"Ошибка")</f>
        <v>1.568</v>
      </c>
      <c r="I29" s="198">
        <f t="array" ref="I29">IFERROR(INDEX(Пр6_Теплоёмкость_различных_газов[H2O,
кДж/(м3*оС)],MATCH(MIN(IF(Пр6_Теплоёмкость_различных_газов[Температура, 0С]&gt;=I$24,Пр6_Теплоёмкость_различных_газов[Температура, 0С],"")),Пр6_Теплоёмкость_различных_газов[Температура, 0С],0),0),"Ошибка")</f>
        <v>1.568</v>
      </c>
      <c r="J29" s="198">
        <f t="array" ref="J29">IFERROR(INDEX(Пр6_Теплоёмкость_различных_газов[H2O,
кДж/(м3*оС)],MATCH(MIN(IF(Пр6_Теплоёмкость_различных_газов[Температура, 0С]&gt;=J$24,Пр6_Теплоёмкость_различных_газов[Температура, 0С],"")),Пр6_Теплоёмкость_различных_газов[Температура, 0С],0),0),"Ошибка")</f>
        <v>1.568</v>
      </c>
      <c r="K29" s="198">
        <f t="array" ref="K29">IFERROR(INDEX(Пр6_Теплоёмкость_различных_газов[H2O,
кДж/(м3*оС)],MATCH(MIN(IF(Пр6_Теплоёмкость_различных_газов[Температура, 0С]&gt;=K$24,Пр6_Теплоёмкость_различных_газов[Температура, 0С],"")),Пр6_Теплоёмкость_различных_газов[Температура, 0С],0),0),"Ошибка")</f>
        <v>1.568</v>
      </c>
      <c r="L29" s="198">
        <f t="array" ref="L29">IFERROR(INDEX(Пр6_Теплоёмкость_различных_газов[H2O,
кДж/(м3*оС)],MATCH(MIN(IF(Пр6_Теплоёмкость_различных_газов[Температура, 0С]&gt;=L$24,Пр6_Теплоёмкость_различных_газов[Температура, 0С],"")),Пр6_Теплоёмкость_различных_газов[Температура, 0С],0),0),"Ошибка")</f>
        <v>1.568</v>
      </c>
      <c r="M29" s="198"/>
    </row>
    <row r="30" ht="18" spans="1:13">
      <c r="A30" s="173" t="s">
        <v>221</v>
      </c>
      <c r="B30" s="165" t="s">
        <v>218</v>
      </c>
      <c r="C30" s="198">
        <f t="array" ref="C30">IFERROR(INDEX(Пр6_Теплоёмкость_различных_газов[О2,
кДж/(м3*оС)],MATCH(MIN(IF(Пр6_Теплоёмкость_различных_газов[Температура, 0С]&gt;=C$24,Пр6_Теплоёмкость_различных_газов[Температура, 0С],"")),Пр6_Теплоёмкость_различных_газов[Температура, 0С],0),0),"Ошибка")</f>
        <v>1.467</v>
      </c>
      <c r="D30" s="198">
        <f t="array" ref="D30">IFERROR(INDEX(Пр6_Теплоёмкость_различных_газов[О2,
кДж/(м3*оС)],MATCH(MIN(IF(Пр6_Теплоёмкость_различных_газов[Температура, 0С]&gt;=D$24,Пр6_Теплоёмкость_различных_газов[Температура, 0С],"")),Пр6_Теплоёмкость_различных_газов[Температура, 0С],0),0),"Ошибка")</f>
        <v>1.422</v>
      </c>
      <c r="E30" s="198">
        <f t="array" ref="E30">IFERROR(INDEX(Пр6_Теплоёмкость_различных_газов[О2,
кДж/(м3*оС)],MATCH(MIN(IF(Пр6_Теплоёмкость_различных_газов[Температура, 0С]&gt;=E$24,Пр6_Теплоёмкость_различных_газов[Температура, 0С],"")),Пр6_Теплоёмкость_различных_газов[Температура, 0С],0),0),"Ошибка")</f>
        <v>1.416</v>
      </c>
      <c r="F30" s="198">
        <f t="array" ref="F30">IFERROR(INDEX(Пр6_Теплоёмкость_различных_газов[О2,
кДж/(м3*оС)],MATCH(MIN(IF(Пр6_Теплоёмкость_различных_газов[Температура, 0С]&gt;=F$24,Пр6_Теплоёмкость_различных_газов[Температура, 0С],"")),Пр6_Теплоёмкость_различных_газов[Температура, 0С],0),0),"Ошибка")</f>
        <v>1.394</v>
      </c>
      <c r="G30" s="198">
        <f t="array" ref="G30">IFERROR(INDEX(Пр6_Теплоёмкость_различных_газов[О2,
кДж/(м3*оС)],MATCH(MIN(IF(Пр6_Теплоёмкость_различных_газов[Температура, 0С]&gt;=G$24,Пр6_Теплоёмкость_различных_газов[Температура, 0С],"")),Пр6_Теплоёмкость_различных_газов[Температура, 0С],0),0),"Ошибка")</f>
        <v>1.392</v>
      </c>
      <c r="H30" s="198">
        <f t="array" ref="H30">IFERROR(INDEX(Пр6_Теплоёмкость_различных_газов[О2,
кДж/(м3*оС)],MATCH(MIN(IF(Пр6_Теплоёмкость_различных_газов[Температура, 0С]&gt;=H$24,Пр6_Теплоёмкость_различных_газов[Температура, 0С],"")),Пр6_Теплоёмкость_различных_газов[Температура, 0С],0),0),"Ошибка")</f>
        <v>1.378</v>
      </c>
      <c r="I30" s="198">
        <f t="array" ref="I30">IFERROR(INDEX(Пр6_Теплоёмкость_различных_газов[О2,
кДж/(м3*оС)],MATCH(MIN(IF(Пр6_Теплоёмкость_различных_газов[Температура, 0С]&gt;=I$24,Пр6_Теплоёмкость_различных_газов[Температура, 0С],"")),Пр6_Теплоёмкость_различных_газов[Температура, 0С],0),0),"Ошибка")</f>
        <v>1.378</v>
      </c>
      <c r="J30" s="198">
        <f t="array" ref="J30">IFERROR(INDEX(Пр6_Теплоёмкость_различных_газов[О2,
кДж/(м3*оС)],MATCH(MIN(IF(Пр6_Теплоёмкость_различных_газов[Температура, 0С]&gt;=J$24,Пр6_Теплоёмкость_различных_газов[Температура, 0С],"")),Пр6_Теплоёмкость_различных_газов[Температура, 0С],0),0),"Ошибка")</f>
        <v>1.378</v>
      </c>
      <c r="K30" s="198">
        <f t="array" ref="K30">IFERROR(INDEX(Пр6_Теплоёмкость_различных_газов[О2,
кДж/(м3*оС)],MATCH(MIN(IF(Пр6_Теплоёмкость_различных_газов[Температура, 0С]&gt;=K$24,Пр6_Теплоёмкость_различных_газов[Температура, 0С],"")),Пр6_Теплоёмкость_различных_газов[Температура, 0С],0),0),"Ошибка")</f>
        <v>1.378</v>
      </c>
      <c r="L30" s="198">
        <f t="array" ref="L30">IFERROR(INDEX(Пр6_Теплоёмкость_различных_газов[О2,
кДж/(м3*оС)],MATCH(MIN(IF(Пр6_Теплоёмкость_различных_газов[Температура, 0С]&gt;=L$24,Пр6_Теплоёмкость_различных_газов[Температура, 0С],"")),Пр6_Теплоёмкость_различных_газов[Температура, 0С],0),0),"Ошибка")</f>
        <v>1.378</v>
      </c>
      <c r="M30" s="198"/>
    </row>
    <row r="31" ht="18" spans="1:13">
      <c r="A31" s="173" t="s">
        <v>222</v>
      </c>
      <c r="B31" s="165" t="s">
        <v>218</v>
      </c>
      <c r="C31" s="198">
        <f t="array" ref="C31">IFERROR(INDEX(Пр6_Теплоёмкость_различных_газов[N2,
кДж/(м3*оС)],MATCH(MIN(IF(Пр6_Теплоёмкость_различных_газов[Температура, 0С]&gt;=C$24,Пр6_Теплоёмкость_различных_газов[Температура, 0С],"")),Пр6_Теплоёмкость_различных_газов[Температура, 0С],0),0),"Ошибка")</f>
        <v>1.407</v>
      </c>
      <c r="D31" s="198">
        <f t="array" ref="D31">IFERROR(INDEX(Пр6_Теплоёмкость_различных_газов[N2,
кДж/(м3*оС)],MATCH(MIN(IF(Пр6_Теплоёмкость_различных_газов[Температура, 0С]&gt;=D$24,Пр6_Теплоёмкость_различных_газов[Температура, 0С],"")),Пр6_Теплоёмкость_различных_газов[Температура, 0С],0),0),"Ошибка")</f>
        <v>1.352</v>
      </c>
      <c r="E31" s="198">
        <f t="array" ref="E31">IFERROR(INDEX(Пр6_Теплоёмкость_различных_газов[N2,
кДж/(м3*оС)],MATCH(MIN(IF(Пр6_Теплоёмкость_различных_газов[Температура, 0С]&gt;=E$24,Пр6_Теплоёмкость_различных_газов[Температура, 0С],"")),Пр6_Теплоёмкость_различных_газов[Температура, 0С],0),0),"Ошибка")</f>
        <v>1.346</v>
      </c>
      <c r="F31" s="198">
        <f t="array" ref="F31">IFERROR(INDEX(Пр6_Теплоёмкость_различных_газов[N2,
кДж/(м3*оС)],MATCH(MIN(IF(Пр6_Теплоёмкость_различных_газов[Температура, 0С]&gt;=F$24,Пр6_Теплоёмкость_различных_газов[Температура, 0С],"")),Пр6_Теплоёмкость_различных_газов[Температура, 0С],0),0),"Ошибка")</f>
        <v>1.332</v>
      </c>
      <c r="G31" s="198">
        <f t="array" ref="G31">IFERROR(INDEX(Пр6_Теплоёмкость_различных_газов[N2,
кДж/(м3*оС)],MATCH(MIN(IF(Пр6_Теплоёмкость_различных_газов[Температура, 0С]&gt;=G$24,Пр6_Теплоёмкость_различных_газов[Температура, 0С],"")),Пр6_Теплоёмкость_различных_газов[Температура, 0С],0),0),"Ошибка")</f>
        <v>1.331</v>
      </c>
      <c r="H31" s="198">
        <f t="array" ref="H31">IFERROR(INDEX(Пр6_Теплоёмкость_различных_газов[N2,
кДж/(м3*оС)],MATCH(MIN(IF(Пр6_Теплоёмкость_различных_газов[Температура, 0С]&gt;=H$24,Пр6_Теплоёмкость_различных_газов[Температура, 0С],"")),Пр6_Теплоёмкость_различных_газов[Температура, 0С],0),0),"Ошибка")</f>
        <v>1.324</v>
      </c>
      <c r="I31" s="198">
        <f t="array" ref="I31">IFERROR(INDEX(Пр6_Теплоёмкость_различных_газов[N2,
кДж/(м3*оС)],MATCH(MIN(IF(Пр6_Теплоёмкость_различных_газов[Температура, 0С]&gt;=I$24,Пр6_Теплоёмкость_различных_газов[Температура, 0С],"")),Пр6_Теплоёмкость_различных_газов[Температура, 0С],0),0),"Ошибка")</f>
        <v>1.324</v>
      </c>
      <c r="J31" s="198">
        <f t="array" ref="J31">IFERROR(INDEX(Пр6_Теплоёмкость_различных_газов[N2,
кДж/(м3*оС)],MATCH(MIN(IF(Пр6_Теплоёмкость_различных_газов[Температура, 0С]&gt;=J$24,Пр6_Теплоёмкость_различных_газов[Температура, 0С],"")),Пр6_Теплоёмкость_различных_газов[Температура, 0С],0),0),"Ошибка")</f>
        <v>1.324</v>
      </c>
      <c r="K31" s="198">
        <f t="array" ref="K31">IFERROR(INDEX(Пр6_Теплоёмкость_различных_газов[N2,
кДж/(м3*оС)],MATCH(MIN(IF(Пр6_Теплоёмкость_различных_газов[Температура, 0С]&gt;=K$24,Пр6_Теплоёмкость_различных_газов[Температура, 0С],"")),Пр6_Теплоёмкость_различных_газов[Температура, 0С],0),0),"Ошибка")</f>
        <v>1.324</v>
      </c>
      <c r="L31" s="198">
        <f t="array" ref="L31">IFERROR(INDEX(Пр6_Теплоёмкость_различных_газов[N2,
кДж/(м3*оС)],MATCH(MIN(IF(Пр6_Теплоёмкость_различных_газов[Температура, 0С]&gt;=L$24,Пр6_Теплоёмкость_различных_газов[Температура, 0С],"")),Пр6_Теплоёмкость_различных_газов[Температура, 0С],0),0),"Ошибка")</f>
        <v>1.324</v>
      </c>
      <c r="M31" s="198"/>
    </row>
    <row r="32" ht="18" spans="1:13">
      <c r="A32" s="173" t="s">
        <v>223</v>
      </c>
      <c r="B32" s="165" t="s">
        <v>218</v>
      </c>
      <c r="C32" s="198">
        <f t="array" ref="C32">IFERROR(INDEX(Пр6_Теплоёмкость_различных_газов[СО2,
кДж/(м3*оС)],MATCH(MIN(IF(Пр6_Теплоёмкость_различных_газов[Температура, 0С]&gt;=C$24,Пр6_Теплоёмкость_различных_газов[Температура, 0С],"")),Пр6_Теплоёмкость_различных_газов[Температура, 0С],0),0),"Ошибка")</f>
        <v>2.264</v>
      </c>
      <c r="D32" s="198">
        <f t="array" ref="D32">IFERROR(INDEX(Пр6_Теплоёмкость_различных_газов[СО2,
кДж/(м3*оС)],MATCH(MIN(IF(Пр6_Теплоёмкость_различных_газов[Температура, 0С]&gt;=D$24,Пр6_Теплоёмкость_различных_газов[Температура, 0С],"")),Пр6_Теплоёмкость_различных_газов[Температура, 0С],0),0),"Ошибка")</f>
        <v>2.108</v>
      </c>
      <c r="E32" s="198">
        <f t="array" ref="E32">IFERROR(INDEX(Пр6_Теплоёмкость_различных_газов[СО2,
кДж/(м3*оС)],MATCH(MIN(IF(Пр6_Теплоёмкость_различных_газов[Температура, 0С]&gt;=E$24,Пр6_Теплоёмкость_различных_газов[Температура, 0С],"")),Пр6_Теплоёмкость_различных_газов[Температура, 0С],0),0),"Ошибка")</f>
        <v>2.08</v>
      </c>
      <c r="F32" s="198">
        <f t="array" ref="F32">IFERROR(INDEX(Пр6_Теплоёмкость_различных_газов[СО2,
кДж/(м3*оС)],MATCH(MIN(IF(Пр6_Теплоёмкость_различных_газов[Температура, 0С]&gt;=F$24,Пр6_Теплоёмкость_различных_газов[Температура, 0С],"")),Пр6_Теплоёмкость_различных_газов[Температура, 0С],0),0),"Ошибка")</f>
        <v>2.01</v>
      </c>
      <c r="G32" s="198">
        <f t="array" ref="G32">IFERROR(INDEX(Пр6_Теплоёмкость_различных_газов[СО2,
кДж/(м3*оС)],MATCH(MIN(IF(Пр6_Теплоёмкость_различных_газов[Температура, 0С]&gt;=G$24,Пр6_Теплоёмкость_различных_газов[Температура, 0С],"")),Пр6_Теплоёмкость_различных_газов[Температура, 0С],0),0),"Ошибка")</f>
        <v>2.005</v>
      </c>
      <c r="H32" s="198">
        <f t="array" ref="H32">IFERROR(INDEX(Пр6_Теплоёмкость_различных_газов[СО2,
кДж/(м3*оС)],MATCH(MIN(IF(Пр6_Теплоёмкость_различных_газов[Температура, 0С]&gt;=H$24,Пр6_Теплоёмкость_различных_газов[Температура, 0С],"")),Пр6_Теплоёмкость_различных_газов[Температура, 0С],0),0),"Ошибка")</f>
        <v>1.964</v>
      </c>
      <c r="I32" s="198">
        <f t="array" ref="I32">IFERROR(INDEX(Пр6_Теплоёмкость_различных_газов[СО2,
кДж/(м3*оС)],MATCH(MIN(IF(Пр6_Теплоёмкость_различных_газов[Температура, 0С]&gt;=I$24,Пр6_Теплоёмкость_различных_газов[Температура, 0С],"")),Пр6_Теплоёмкость_различных_газов[Температура, 0С],0),0),"Ошибка")</f>
        <v>1.964</v>
      </c>
      <c r="J32" s="198">
        <f t="array" ref="J32">IFERROR(INDEX(Пр6_Теплоёмкость_различных_газов[СО2,
кДж/(м3*оС)],MATCH(MIN(IF(Пр6_Теплоёмкость_различных_газов[Температура, 0С]&gt;=J$24,Пр6_Теплоёмкость_различных_газов[Температура, 0С],"")),Пр6_Теплоёмкость_различных_газов[Температура, 0С],0),0),"Ошибка")</f>
        <v>1.964</v>
      </c>
      <c r="K32" s="198">
        <f t="array" ref="K32">IFERROR(INDEX(Пр6_Теплоёмкость_различных_газов[СО2,
кДж/(м3*оС)],MATCH(MIN(IF(Пр6_Теплоёмкость_различных_газов[Температура, 0С]&gt;=K$24,Пр6_Теплоёмкость_различных_газов[Температура, 0С],"")),Пр6_Теплоёмкость_различных_газов[Температура, 0С],0),0),"Ошибка")</f>
        <v>1.964</v>
      </c>
      <c r="L32" s="198">
        <f t="array" ref="L32">IFERROR(INDEX(Пр6_Теплоёмкость_различных_газов[СО2,
кДж/(м3*оС)],MATCH(MIN(IF(Пр6_Теплоёмкость_различных_газов[Температура, 0С]&gt;=L$24,Пр6_Теплоёмкость_различных_газов[Температура, 0С],"")),Пр6_Теплоёмкость_различных_газов[Температура, 0С],0),0),"Ошибка")</f>
        <v>1.964</v>
      </c>
      <c r="M32" s="198"/>
    </row>
    <row r="33" ht="104.4" spans="1:24">
      <c r="A33" s="173" t="s">
        <v>267</v>
      </c>
      <c r="B33" s="165" t="s">
        <v>266</v>
      </c>
      <c r="C33" s="198">
        <f>IF(Таб1!$C$2=Пр7!$A$13,1.294*LN(C$35)-8.3163,IF(Таб1!$C$2=Пр7!$A$3,0.2518*LN(C$35)-0.7446,IF(Таб1!$C$2=Пр7!$A$7,0.3157*LN(C$35)-1.2871,0.0611237+5.33597*10^-4*C$35-24.18*10^-8*C$35)))</f>
        <v>0.8520894616</v>
      </c>
      <c r="D33" s="198">
        <f>IF(Таб1!$C$2=Пр7!$A$13,1.294*LN(D$35)-8.3163,IF(Таб1!$C$2=Пр7!$A$3,0.2518*LN(D$35)-0.7446,IF(Таб1!$C$2=Пр7!$A$7,0.3157*LN(D$35)-1.2871,0.0611237+5.33597*10^-4*D$35-24.18*10^-8*D$35)))</f>
        <v>0.7214174376</v>
      </c>
      <c r="E33" s="198">
        <f>IF(Таб1!$C$2=Пр7!$A$13,1.294*LN(E$35)-8.3163,IF(Таб1!$C$2=Пр7!$A$3,0.2518*LN(E$35)-0.7446,IF(Таб1!$C$2=Пр7!$A$7,0.3157*LN(E$35)-1.2871,0.0611237+5.33597*10^-4*E$35-24.18*10^-8*E$35)))</f>
        <v>0.638480704</v>
      </c>
      <c r="F33" s="198">
        <f>IF(Таб1!$C$2=Пр7!$A$13,1.294*LN(F$35)-8.3163,IF(Таб1!$C$2=Пр7!$A$3,0.2518*LN(F$35)-0.7446,IF(Таб1!$C$2=Пр7!$A$7,0.3157*LN(F$35)-1.2871,0.0611237+5.33597*10^-4*F$35-24.18*10^-8*F$35)))</f>
        <v>0.5594107956</v>
      </c>
      <c r="G33" s="198">
        <f>IF(Таб1!$C$2=Пр7!$A$13,1.294*LN(G$35)-8.3163,IF(Таб1!$C$2=Пр7!$A$3,0.2518*LN(G$35)-0.7446,IF(Таб1!$C$2=Пр7!$A$7,0.3157*LN(G$35)-1.2871,0.0611237+5.33597*10^-4*G$35-24.18*10^-8*G$35)))</f>
        <v>0.5169423878</v>
      </c>
      <c r="H33" s="198">
        <f>IF(Таб1!$C$2=Пр7!$A$13,1.294*LN(H$35)-8.3163,IF(Таб1!$C$2=Пр7!$A$3,0.2518*LN(H$35)-0.7446,IF(Таб1!$C$2=Пр7!$A$7,0.3157*LN(H$35)-1.2871,0.0611237+5.33597*10^-4*H$35-24.18*10^-8*H$35)))</f>
        <v>0.4767740743</v>
      </c>
      <c r="I33" s="198">
        <f>IF(Таб1!$C$2=Пр7!$A$13,1.294*LN(I$35)-8.3163,IF(Таб1!$C$2=Пр7!$A$3,0.2518*LN(I$35)-0.7446,IF(Таб1!$C$2=Пр7!$A$7,0.3157*LN(I$35)-1.2871,0.0611237+5.33597*10^-4*I$35-24.18*10^-8*I$35)))</f>
        <v>0.45668991755</v>
      </c>
      <c r="J33" s="198">
        <f>IF(Таб1!$C$2=Пр7!$A$13,1.294*LN(J$35)-8.3163,IF(Таб1!$C$2=Пр7!$A$3,0.2518*LN(J$35)-0.7446,IF(Таб1!$C$2=Пр7!$A$7,0.3157*LN(J$35)-1.2871,0.0611237+5.33597*10^-4*J$35-24.18*10^-8*J$35)))</f>
        <v>0.446647839175</v>
      </c>
      <c r="K33" s="198">
        <f>IF(Таб1!$C$2=Пр7!$A$13,1.294*LN(K$35)-8.3163,IF(Таб1!$C$2=Пр7!$A$3,0.2518*LN(K$35)-0.7446,IF(Таб1!$C$2=Пр7!$A$7,0.3157*LN(K$35)-1.2871,0.0611237+5.33597*10^-4*K$35-24.18*10^-8*K$35)))</f>
        <v>0.4416267999875</v>
      </c>
      <c r="L33" s="198">
        <f>IF(Таб1!$C$2=Пр7!$A$13,1.294*LN(L$35)-8.3163,IF(Таб1!$C$2=Пр7!$A$3,0.2518*LN(L$35)-0.7446,IF(Таб1!$C$2=Пр7!$A$7,0.3157*LN(L$35)-1.2871,0.0611237+5.33597*10^-4*L$35-24.18*10^-8*L$35)))</f>
        <v>0.43911628039375</v>
      </c>
      <c r="M33" s="201" t="s">
        <v>268</v>
      </c>
      <c r="R33" s="27"/>
      <c r="S33" s="27"/>
      <c r="T33" s="27"/>
      <c r="U33" s="27"/>
      <c r="V33" s="27"/>
      <c r="W33" s="27"/>
      <c r="X33" s="27"/>
    </row>
    <row r="34" ht="54" spans="1:13">
      <c r="A34" s="173" t="s">
        <v>269</v>
      </c>
      <c r="B34" s="165" t="s">
        <v>117</v>
      </c>
      <c r="C34" s="191">
        <f>AVERAGE(Таб1!C5,C24)</f>
        <v>1210</v>
      </c>
      <c r="D34" s="191">
        <f>AVERAGE(Таб6_Расчет_выхода_ВЭР[[#This Row],[Зона 1]],D24)</f>
        <v>965</v>
      </c>
      <c r="E34" s="191">
        <f>AVERAGE(Таб6_Расчет_выхода_ВЭР[[#This Row],[Зона 2]],E24)</f>
        <v>809.5</v>
      </c>
      <c r="F34" s="191">
        <f>AVERAGE(Таб6_Расчет_выхода_ВЭР[[#This Row],[Зона 3]],F24)</f>
        <v>661.25</v>
      </c>
      <c r="G34" s="191">
        <f>AVERAGE(Таб6_Расчет_выхода_ВЭР[[#This Row],[Зона 4]],G24)</f>
        <v>581.625</v>
      </c>
      <c r="H34" s="191">
        <f>AVERAGE(Таб6_Расчет_выхода_ВЭР[[#This Row],[Зона 5]],H24)</f>
        <v>506.3125</v>
      </c>
      <c r="I34" s="191">
        <f>AVERAGE(Таб6_Расчет_выхода_ВЭР[[#This Row],[Зона 6]],I24)</f>
        <v>468.65625</v>
      </c>
      <c r="J34" s="191">
        <f>AVERAGE(Таб6_Расчет_выхода_ВЭР[[#This Row],[Зона 7]],J24)</f>
        <v>449.828125</v>
      </c>
      <c r="K34" s="191">
        <f>AVERAGE(Таб6_Расчет_выхода_ВЭР[[#This Row],[Зона 8]],K24)</f>
        <v>440.4140625</v>
      </c>
      <c r="L34" s="191">
        <f>AVERAGE(Таб6_Расчет_выхода_ВЭР[[#This Row],[Зона 9]],L24)</f>
        <v>435.70703125</v>
      </c>
      <c r="M34" s="191"/>
    </row>
    <row r="35" ht="18" spans="1:13">
      <c r="A35" s="199"/>
      <c r="B35" s="165" t="s">
        <v>270</v>
      </c>
      <c r="C35" s="178">
        <f t="shared" ref="C35:I35" si="26">C34+273</f>
        <v>1483</v>
      </c>
      <c r="D35" s="178">
        <f t="shared" si="26"/>
        <v>1238</v>
      </c>
      <c r="E35" s="178">
        <f t="shared" si="26"/>
        <v>1082.5</v>
      </c>
      <c r="F35" s="178">
        <f t="shared" si="26"/>
        <v>934.25</v>
      </c>
      <c r="G35" s="178">
        <f t="shared" si="26"/>
        <v>854.625</v>
      </c>
      <c r="H35" s="178">
        <f t="shared" si="26"/>
        <v>779.3125</v>
      </c>
      <c r="I35" s="178">
        <f t="shared" si="26"/>
        <v>741.65625</v>
      </c>
      <c r="J35" s="178">
        <f t="shared" ref="J35:L35" si="27">J34+273</f>
        <v>722.828125</v>
      </c>
      <c r="K35" s="178">
        <f t="shared" si="27"/>
        <v>713.4140625</v>
      </c>
      <c r="L35" s="178">
        <f t="shared" si="27"/>
        <v>708.70703125</v>
      </c>
      <c r="M35" s="191"/>
    </row>
    <row r="36" ht="72" spans="1:13">
      <c r="A36" s="195" t="s">
        <v>271</v>
      </c>
      <c r="B36" s="184" t="s">
        <v>263</v>
      </c>
      <c r="C36" s="196">
        <f>(C24*(C26+C33*Таб8!D14*10^-3))/4.187</f>
        <v>514.787692405015</v>
      </c>
      <c r="D36" s="196">
        <f>(D24*(D26+D33*Таб8!E14*10^-3))/4.187</f>
        <v>296.5724486269</v>
      </c>
      <c r="E36" s="196">
        <f>(E24*(E26+E33*Таб8!F14*10^-3))/4.187</f>
        <v>265.221868050077</v>
      </c>
      <c r="F36" s="196">
        <f>(F24*(F26+F33*Таб8!G14*10^-3))/4.187</f>
        <v>202.968303115058</v>
      </c>
      <c r="G36" s="196">
        <f>(G24*(G26+G33*Таб8!H14*10^-3))/4.187</f>
        <v>198.181436713191</v>
      </c>
      <c r="H36" s="196">
        <f>(H24*(H26+H33*Таб8!I14*10^-3))/4.187</f>
        <v>167.198012041943</v>
      </c>
      <c r="I36" s="196">
        <f>(I24*(I26+I33*Таб8!J14*10^-3))/4.187</f>
        <v>166.937193559732</v>
      </c>
      <c r="J36" s="196">
        <f>(J24*(J26+J33*Таб8!K14*10^-3))/4.187</f>
        <v>166.800332232384</v>
      </c>
      <c r="K36" s="196">
        <f>(K24*(K26+K33*Таб8!L14*10^-3))/4.187</f>
        <v>166.724477002597</v>
      </c>
      <c r="L36" s="196">
        <f>(L24*(L26+L33*Таб8!M14*10^-3))/4.187</f>
        <v>166.678839283869</v>
      </c>
      <c r="M36" s="191"/>
    </row>
    <row r="37" ht="72" spans="1:13">
      <c r="A37" s="183" t="s">
        <v>272</v>
      </c>
      <c r="B37" s="184" t="s">
        <v>207</v>
      </c>
      <c r="C37" s="196">
        <f t="shared" ref="C37:I37" si="28">C6*C36/1000000</f>
        <v>18.4654345265679</v>
      </c>
      <c r="D37" s="196">
        <f t="shared" si="28"/>
        <v>10.6884710485135</v>
      </c>
      <c r="E37" s="196">
        <f t="shared" si="28"/>
        <v>9.87421014750435</v>
      </c>
      <c r="F37" s="196">
        <f t="shared" si="28"/>
        <v>7.76353759415097</v>
      </c>
      <c r="G37" s="196">
        <f t="shared" si="28"/>
        <v>7.58043995427955</v>
      </c>
      <c r="H37" s="196">
        <f t="shared" si="28"/>
        <v>6.4521712846986</v>
      </c>
      <c r="I37" s="196">
        <f t="shared" si="28"/>
        <v>6.48751321611832</v>
      </c>
      <c r="J37" s="196">
        <f t="shared" ref="J37:L37" si="29">J6*J36/1000000</f>
        <v>6.50487935639851</v>
      </c>
      <c r="K37" s="196">
        <f t="shared" si="29"/>
        <v>6.51325841858347</v>
      </c>
      <c r="L37" s="196">
        <f t="shared" si="29"/>
        <v>6.51714261599927</v>
      </c>
      <c r="M37" s="191"/>
    </row>
    <row r="38" ht="72" spans="1:13">
      <c r="A38" s="173" t="s">
        <v>273</v>
      </c>
      <c r="B38" s="165" t="s">
        <v>207</v>
      </c>
      <c r="C38" s="176">
        <f>C23-C37+C4*Таб6!$C$5*Таб1!C14/4.19/1000000</f>
        <v>1.53635146742532</v>
      </c>
      <c r="D38" s="176">
        <f>D23-D37+D4*Таб6!$C$5*Таб1!C14/4.19/1000000</f>
        <v>7.77786464034561</v>
      </c>
      <c r="E38" s="176">
        <f>E23-E37+E4*Таб6!$C$5*Таб1!C14/4.19/1000000</f>
        <v>0.820569037047294</v>
      </c>
      <c r="F38" s="176">
        <f>F23-F37+F4*Таб6!$C$5*Таб1!C14/4.19/1000000</f>
        <v>2.1160795271004</v>
      </c>
      <c r="G38" s="176">
        <f>G23-G37+G4*Таб6!$C$5*Таб1!C14/4.19/1000000</f>
        <v>0.183097639871423</v>
      </c>
      <c r="H38" s="176">
        <f>H23-H37+H4*Таб6!$C$5*Таб1!C14/4.19/1000000</f>
        <v>1.13007099416329</v>
      </c>
      <c r="I38" s="176">
        <f>I23-I37+I4*Таб6!$C$5*Таб1!C14/4.19/1000000</f>
        <v>-0.0339000717538514</v>
      </c>
      <c r="J38" s="176">
        <f>J23-J37+J4*Таб6!$C$5*Таб1!D14/4.19/1000000</f>
        <v>-0.0173661402801955</v>
      </c>
      <c r="K38" s="176">
        <f>K23-K37+K4*Таб6!$C$5*Таб1!E14/4.19/1000000</f>
        <v>-0.00837906218495643</v>
      </c>
      <c r="L38" s="176">
        <f>L23-L37+L4*Таб6!$C$5*Таб1!F14/4.19/1000000</f>
        <v>-0.0038841974157986</v>
      </c>
      <c r="M38" s="188"/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70" zoomScaleNormal="70" topLeftCell="A7" workbookViewId="0">
      <selection activeCell="C18" sqref="C18"/>
    </sheetView>
  </sheetViews>
  <sheetFormatPr defaultColWidth="9" defaultRowHeight="14.4"/>
  <cols>
    <col min="1" max="1" width="32.6666666666667" customWidth="1"/>
    <col min="2" max="2" width="20.1111111111111" customWidth="1"/>
    <col min="3" max="13" width="17.1111111111111" customWidth="1"/>
  </cols>
  <sheetData>
    <row r="1" ht="34.8" spans="1:13">
      <c r="A1" s="173" t="s">
        <v>84</v>
      </c>
      <c r="B1" s="164" t="s">
        <v>86</v>
      </c>
      <c r="C1" s="164" t="s">
        <v>40</v>
      </c>
      <c r="D1" s="164" t="s">
        <v>41</v>
      </c>
      <c r="E1" s="164" t="s">
        <v>42</v>
      </c>
      <c r="F1" s="164" t="s">
        <v>43</v>
      </c>
      <c r="G1" s="164" t="s">
        <v>44</v>
      </c>
      <c r="H1" s="164" t="s">
        <v>45</v>
      </c>
      <c r="I1" s="164" t="s">
        <v>46</v>
      </c>
      <c r="J1" s="164" t="s">
        <v>47</v>
      </c>
      <c r="K1" s="164" t="s">
        <v>48</v>
      </c>
      <c r="L1" s="164" t="s">
        <v>49</v>
      </c>
      <c r="M1" s="164" t="s">
        <v>50</v>
      </c>
    </row>
    <row r="2" ht="54" spans="1:13">
      <c r="A2" s="173" t="s">
        <v>274</v>
      </c>
      <c r="B2" s="165" t="s">
        <v>275</v>
      </c>
      <c r="C2" s="174">
        <f t="shared" ref="C2:I2" si="0">C8*C7/C4</f>
        <v>5.82816196723172</v>
      </c>
      <c r="D2" s="174">
        <f t="shared" si="0"/>
        <v>5.37450153518454</v>
      </c>
      <c r="E2" s="174">
        <f t="shared" si="0"/>
        <v>4.98129244679392</v>
      </c>
      <c r="F2" s="174">
        <f t="shared" si="0"/>
        <v>4.74170337654154</v>
      </c>
      <c r="G2" s="174">
        <f t="shared" si="0"/>
        <v>4.74170337654154</v>
      </c>
      <c r="H2" s="174">
        <f t="shared" si="0"/>
        <v>4.74170337654154</v>
      </c>
      <c r="I2" s="174" t="e">
        <f t="shared" si="0"/>
        <v>#DIV/0!</v>
      </c>
      <c r="J2" s="174" t="e">
        <f t="shared" ref="J2:L2" si="1">J8*J7/J4</f>
        <v>#DIV/0!</v>
      </c>
      <c r="K2" s="174" t="e">
        <f t="shared" si="1"/>
        <v>#DIV/0!</v>
      </c>
      <c r="L2" s="174" t="e">
        <f t="shared" si="1"/>
        <v>#DIV/0!</v>
      </c>
      <c r="M2" s="179"/>
    </row>
    <row r="3" ht="54" spans="1:13">
      <c r="A3" s="173" t="s">
        <v>276</v>
      </c>
      <c r="B3" s="165" t="s">
        <v>275</v>
      </c>
      <c r="C3" s="174">
        <f t="shared" ref="C3:I3" si="2">C9*C7/C5</f>
        <v>5.82816196723172</v>
      </c>
      <c r="D3" s="174">
        <f t="shared" si="2"/>
        <v>5.37450153518454</v>
      </c>
      <c r="E3" s="174">
        <f t="shared" si="2"/>
        <v>4.98129244679392</v>
      </c>
      <c r="F3" s="174">
        <f t="shared" si="2"/>
        <v>4.74170337654154</v>
      </c>
      <c r="G3" s="174">
        <f t="shared" si="2"/>
        <v>4.74170337654154</v>
      </c>
      <c r="H3" s="174">
        <f t="shared" si="2"/>
        <v>4.74170337654154</v>
      </c>
      <c r="I3" s="174" t="e">
        <f t="shared" si="2"/>
        <v>#DIV/0!</v>
      </c>
      <c r="J3" s="174" t="e">
        <f t="shared" ref="J3:L3" si="3">J9*J7/J5</f>
        <v>#DIV/0!</v>
      </c>
      <c r="K3" s="174" t="e">
        <f t="shared" si="3"/>
        <v>#DIV/0!</v>
      </c>
      <c r="L3" s="174" t="e">
        <f t="shared" si="3"/>
        <v>#DIV/0!</v>
      </c>
      <c r="M3" s="179"/>
    </row>
    <row r="4" ht="36" spans="1:13">
      <c r="A4" s="173" t="s">
        <v>277</v>
      </c>
      <c r="B4" s="165" t="s">
        <v>63</v>
      </c>
      <c r="C4" s="175">
        <f>IF(Таб2!C3="Вертикальный",Таб2!C4,Таб2!C6)</f>
        <v>5.2215</v>
      </c>
      <c r="D4" s="175">
        <f>IF(Таб2!D3="Вертикальный",Таб2!D4,Таб2!D6)</f>
        <v>7</v>
      </c>
      <c r="E4" s="175">
        <f>IF(Таб2!E3="Вертикальный",Таб2!E4,Таб2!E6)</f>
        <v>3.3</v>
      </c>
      <c r="F4" s="175">
        <f>IF(Таб2!F3="Вертикальный",Таб2!F4,Таб2!F6)</f>
        <v>2.5</v>
      </c>
      <c r="G4" s="175">
        <f>IF(Таб2!G3="Вертикальный",Таб2!G4,Таб2!G6)</f>
        <v>3.7</v>
      </c>
      <c r="H4" s="175">
        <f>IF(Таб2!H3="Вертикальный",Таб2!H4,Таб2!H6)</f>
        <v>2.5</v>
      </c>
      <c r="I4" s="175">
        <f>IF(Таб2!I3="Вертикальный",Таб2!I4,Таб2!I6)</f>
        <v>0</v>
      </c>
      <c r="J4" s="175">
        <f>IF(Таб2!J3="Вертикальный",Таб2!J4,Таб2!J6)</f>
        <v>0</v>
      </c>
      <c r="K4" s="175">
        <f>IF(Таб2!K3="Вертикальный",Таб2!K4,Таб2!K6)</f>
        <v>0</v>
      </c>
      <c r="L4" s="175">
        <f>IF(Таб2!L3="Вертикальный",Таб2!L4,Таб2!L6)</f>
        <v>0</v>
      </c>
      <c r="M4" s="179"/>
    </row>
    <row r="5" ht="54" spans="1:13">
      <c r="A5" s="173" t="s">
        <v>278</v>
      </c>
      <c r="B5" s="165" t="s">
        <v>63</v>
      </c>
      <c r="C5" s="175">
        <f>Таб2!C5</f>
        <v>6.644</v>
      </c>
      <c r="D5" s="175">
        <f>Таб2!D5</f>
        <v>10.5</v>
      </c>
      <c r="E5" s="175">
        <f>Таб2!E5</f>
        <v>2.625</v>
      </c>
      <c r="F5" s="175">
        <f>Таб2!F5</f>
        <v>4.25</v>
      </c>
      <c r="G5" s="175">
        <f>Таб2!G5</f>
        <v>4.25</v>
      </c>
      <c r="H5" s="175">
        <f>Таб2!H5</f>
        <v>4.25</v>
      </c>
      <c r="I5" s="175">
        <f>Таб2!I5</f>
        <v>0</v>
      </c>
      <c r="J5" s="175">
        <f>Таб2!J5</f>
        <v>0</v>
      </c>
      <c r="K5" s="175">
        <f>Таб2!K5</f>
        <v>0</v>
      </c>
      <c r="L5" s="175">
        <f>Таб2!L5</f>
        <v>0</v>
      </c>
      <c r="M5" s="179"/>
    </row>
    <row r="6" ht="36" spans="1:13">
      <c r="A6" s="173" t="s">
        <v>279</v>
      </c>
      <c r="B6" s="165" t="s">
        <v>280</v>
      </c>
      <c r="C6" s="175">
        <f>0.5*(Таб2!C18+Таб1!$C$14)</f>
        <v>58.35</v>
      </c>
      <c r="D6" s="175">
        <f>0.5*(Таб2!D18+Таб1!$C$14)</f>
        <v>48.2260330578512</v>
      </c>
      <c r="E6" s="175">
        <f>0.5*(Таб2!E18+Таб1!$C$14)</f>
        <v>41.8004132231405</v>
      </c>
      <c r="F6" s="175">
        <f>0.5*(Таб2!F18+Таб1!$C$14)</f>
        <v>38.35</v>
      </c>
      <c r="G6" s="175">
        <f>0.5*(Таб2!G18+Таб1!$C$14)</f>
        <v>38.35</v>
      </c>
      <c r="H6" s="175">
        <f>0.5*(Таб2!H18+Таб1!$C$14)</f>
        <v>38.35</v>
      </c>
      <c r="I6" s="175">
        <f>0.5*(Таб2!I18+Таб1!$C$14)</f>
        <v>8.35</v>
      </c>
      <c r="J6" s="175">
        <f>0.5*(Таб2!J18+Таб1!$C$14)</f>
        <v>8.35</v>
      </c>
      <c r="K6" s="175">
        <f>0.5*(Таб2!K18+Таб1!$C$14)</f>
        <v>8.35</v>
      </c>
      <c r="L6" s="175">
        <f>0.5*(Таб2!L18+Таб1!$C$14)</f>
        <v>8.35</v>
      </c>
      <c r="M6" s="179"/>
    </row>
    <row r="7" ht="54" spans="1:13">
      <c r="A7" s="173" t="s">
        <v>281</v>
      </c>
      <c r="B7" s="165" t="s">
        <v>282</v>
      </c>
      <c r="C7" s="176">
        <f t="array" ref="C7">IFERROR(INDEX(Пр2_Физические_характеристики_воздуха[Температуропроводность,
λ*10-2, ккал/(м*ч*оС)],MATCH(MIN(IF(Пр2_Физические_характеристики_воздуха[Температура, °С]&gt;=C6,Пр2_Физические_характеристики_воздуха[Температура, °С],"")),Пр2_Физические_характеристики_воздуха[Температура, °С],0),0),"Ошибка")*10^-2</f>
        <v>0.0249625</v>
      </c>
      <c r="D7" s="176">
        <f t="array" ref="D7">IFERROR(INDEX(Пр2_Физические_характеристики_воздуха[Температуропроводность,
λ*10-2, ккал/(м*ч*оС)],MATCH(MIN(IF(Пр2_Физические_характеристики_воздуха[Температура, °С]&gt;=D6,Пр2_Физические_характеристики_воздуха[Температура, °С],"")),Пр2_Физические_характеристики_воздуха[Температура, °С],0),0),"Ошибка")*10^-2</f>
        <v>0.02415</v>
      </c>
      <c r="E7" s="176">
        <f t="array" ref="E7">IFERROR(INDEX(Пр2_Физические_характеристики_воздуха[Температуропроводность,
λ*10-2, ккал/(м*ч*оС)],MATCH(MIN(IF(Пр2_Физические_характеристики_воздуха[Температура, °С]&gt;=E6,Пр2_Физические_характеристики_воздуха[Температура, °С],"")),Пр2_Физические_характеристики_воздуха[Температура, °С],0),0),"Ошибка")*10^-2</f>
        <v>0.02415</v>
      </c>
      <c r="F7" s="176">
        <f t="array" ref="F7">IFERROR(INDEX(Пр2_Физические_характеристики_воздуха[Температуропроводность,
λ*10-2, ккал/(м*ч*оС)],MATCH(MIN(IF(Пр2_Физические_характеристики_воздуха[Температура, °С]&gt;=F6,Пр2_Физические_характеристики_воздуха[Температура, °С],"")),Пр2_Физические_характеристики_воздуха[Температура, °С],0),0),"Ошибка")*10^-2</f>
        <v>0.02415</v>
      </c>
      <c r="G7" s="176">
        <f t="array" ref="G7">IFERROR(INDEX(Пр2_Физические_характеристики_воздуха[Температуропроводность,
λ*10-2, ккал/(м*ч*оС)],MATCH(MIN(IF(Пр2_Физические_характеристики_воздуха[Температура, °С]&gt;=G6,Пр2_Физические_характеристики_воздуха[Температура, °С],"")),Пр2_Физические_характеристики_воздуха[Температура, °С],0),0),"Ошибка")*10^-2</f>
        <v>0.02415</v>
      </c>
      <c r="H7" s="176">
        <f t="array" ref="H7">IFERROR(INDEX(Пр2_Физические_характеристики_воздуха[Температуропроводность,
λ*10-2, ккал/(м*ч*оС)],MATCH(MIN(IF(Пр2_Физические_характеристики_воздуха[Температура, °С]&gt;=H6,Пр2_Физические_характеристики_воздуха[Температура, °С],"")),Пр2_Физические_характеристики_воздуха[Температура, °С],0),0),"Ошибка")*10^-2</f>
        <v>0.02415</v>
      </c>
      <c r="I7" s="176">
        <f t="array" ref="I7">IFERROR(INDEX(Пр2_Физические_характеристики_воздуха[Температуропроводность,
λ*10-2, ккал/(м*ч*оС)],MATCH(MIN(IF(Пр2_Физические_характеристики_воздуха[Температура, °С]&gt;=I6,Пр2_Физические_характеристики_воздуха[Температура, °С],"")),Пр2_Физические_характеристики_воздуха[Температура, °С],0),0),"Ошибка")*10^-2</f>
        <v>0.0217125</v>
      </c>
      <c r="J7" s="176">
        <f t="array" ref="J7">IFERROR(INDEX(Пр2_Физические_характеристики_воздуха[Температуропроводность,
λ*10-2, ккал/(м*ч*оС)],MATCH(MIN(IF(Пр2_Физические_характеристики_воздуха[Температура, °С]&gt;=J6,Пр2_Физические_характеристики_воздуха[Температура, °С],"")),Пр2_Физические_характеристики_воздуха[Температура, °С],0),0),"Ошибка")*10^-2</f>
        <v>0.0217125</v>
      </c>
      <c r="K7" s="176">
        <f t="array" ref="K7">IFERROR(INDEX(Пр2_Физические_характеристики_воздуха[Температуропроводность,
λ*10-2, ккал/(м*ч*оС)],MATCH(MIN(IF(Пр2_Физические_характеристики_воздуха[Температура, °С]&gt;=K6,Пр2_Физические_характеристики_воздуха[Температура, °С],"")),Пр2_Физические_характеристики_воздуха[Температура, °С],0),0),"Ошибка")*10^-2</f>
        <v>0.0217125</v>
      </c>
      <c r="L7" s="176">
        <f t="array" ref="L7">IFERROR(INDEX(Пр2_Физические_характеристики_воздуха[Температуропроводность,
λ*10-2, ккал/(м*ч*оС)],MATCH(MIN(IF(Пр2_Физические_характеристики_воздуха[Температура, °С]&gt;=L6,Пр2_Физические_характеристики_воздуха[Температура, °С],"")),Пр2_Физические_характеристики_воздуха[Температура, °С],0),0),"Ошибка")*10^-2</f>
        <v>0.0217125</v>
      </c>
      <c r="M7" s="179"/>
    </row>
    <row r="8" ht="52.2" spans="1:13">
      <c r="A8" s="173" t="s">
        <v>283</v>
      </c>
      <c r="B8" s="177"/>
      <c r="C8" s="178">
        <f t="shared" ref="C8:I8" si="4">IF(C11*C16&lt;=500,1.18*(C11*C16)^(1/8),IF(C11*C16&lt;=2*10^7,0.54*(C11*C16)^(1/4),0.135*(C11*C16)^(1/3)))</f>
        <v>1219.09855631048</v>
      </c>
      <c r="D8" s="178">
        <f t="shared" si="4"/>
        <v>1557.82653193755</v>
      </c>
      <c r="E8" s="178">
        <f t="shared" si="4"/>
        <v>680.673502046374</v>
      </c>
      <c r="F8" s="178">
        <f t="shared" si="4"/>
        <v>490.859562788979</v>
      </c>
      <c r="G8" s="178">
        <f t="shared" si="4"/>
        <v>726.472152927689</v>
      </c>
      <c r="H8" s="178">
        <f t="shared" si="4"/>
        <v>490.859562788979</v>
      </c>
      <c r="I8" s="178">
        <f t="shared" si="4"/>
        <v>0</v>
      </c>
      <c r="J8" s="178">
        <f t="shared" ref="J8:L8" si="5">IF(J11*J16&lt;=500,1.18*(J11*J16)^(1/8),IF(J11*J16&lt;=2*10^7,0.54*(J11*J16)^(1/4),0.135*(J11*J16)^(1/3)))</f>
        <v>0</v>
      </c>
      <c r="K8" s="178">
        <f t="shared" si="5"/>
        <v>0</v>
      </c>
      <c r="L8" s="178">
        <f t="shared" si="5"/>
        <v>0</v>
      </c>
      <c r="M8" s="186" t="s">
        <v>284</v>
      </c>
    </row>
    <row r="9" ht="52.2" spans="1:13">
      <c r="A9" s="173" t="s">
        <v>285</v>
      </c>
      <c r="B9" s="177"/>
      <c r="C9" s="178">
        <f t="shared" ref="C9:I9" si="6">IF(C12*C16&lt;=500,1.18*(C12*C16)^(1/8),IF(C12*C16&lt;=2*10^7,0.54*(C12*C16)^(1/4),0.135*(C12*C16)^(1/3)))</f>
        <v>1551.21915314121</v>
      </c>
      <c r="D9" s="178">
        <f t="shared" si="6"/>
        <v>2336.73979790632</v>
      </c>
      <c r="E9" s="178">
        <f t="shared" si="6"/>
        <v>541.444831173252</v>
      </c>
      <c r="F9" s="178">
        <f t="shared" si="6"/>
        <v>834.461256741264</v>
      </c>
      <c r="G9" s="178">
        <f t="shared" si="6"/>
        <v>834.461256741264</v>
      </c>
      <c r="H9" s="178">
        <f t="shared" si="6"/>
        <v>834.461256741264</v>
      </c>
      <c r="I9" s="178">
        <f t="shared" si="6"/>
        <v>0</v>
      </c>
      <c r="J9" s="178">
        <f t="shared" ref="J9:L9" si="7">IF(J12*J16&lt;=500,1.18*(J12*J16)^(1/8),IF(J12*J16&lt;=2*10^7,0.54*(J12*J16)^(1/4),0.135*(J12*J16)^(1/3)))</f>
        <v>0</v>
      </c>
      <c r="K9" s="178">
        <f t="shared" si="7"/>
        <v>0</v>
      </c>
      <c r="L9" s="178">
        <f t="shared" si="7"/>
        <v>0</v>
      </c>
      <c r="M9" s="186" t="s">
        <v>284</v>
      </c>
    </row>
    <row r="10" ht="18" spans="1:13">
      <c r="A10" s="173" t="s">
        <v>286</v>
      </c>
      <c r="B10" s="177"/>
      <c r="C10" s="178">
        <f t="shared" ref="C10:I10" si="8">0.15*(C11*C16)^0.33*(C16/C17)^0.25</f>
        <v>1238.30530473991</v>
      </c>
      <c r="D10" s="178">
        <f t="shared" si="8"/>
        <v>1578.49113998075</v>
      </c>
      <c r="E10" s="178">
        <f t="shared" si="8"/>
        <v>695.122811533324</v>
      </c>
      <c r="F10" s="178">
        <f t="shared" si="8"/>
        <v>502.694303681472</v>
      </c>
      <c r="G10" s="178">
        <f t="shared" si="8"/>
        <v>741.076535017075</v>
      </c>
      <c r="H10" s="178">
        <f t="shared" si="8"/>
        <v>502.694303681472</v>
      </c>
      <c r="I10" s="178">
        <f t="shared" si="8"/>
        <v>0</v>
      </c>
      <c r="J10" s="178">
        <f t="shared" ref="J10:L10" si="9">0.15*(J11*J16)^0.33*(J16/J17)^0.25</f>
        <v>0</v>
      </c>
      <c r="K10" s="178">
        <f t="shared" si="9"/>
        <v>0</v>
      </c>
      <c r="L10" s="178">
        <f t="shared" si="9"/>
        <v>0</v>
      </c>
      <c r="M10" s="179"/>
    </row>
    <row r="11" ht="36" spans="1:13">
      <c r="A11" s="173" t="s">
        <v>287</v>
      </c>
      <c r="B11" s="177"/>
      <c r="C11" s="179">
        <f t="shared" ref="C11:I11" si="10">C13*C4^3*9.81*C14/C15^2</f>
        <v>1061480815150.02</v>
      </c>
      <c r="D11" s="179">
        <f t="shared" si="10"/>
        <v>2210910582956.3</v>
      </c>
      <c r="E11" s="179">
        <f t="shared" si="10"/>
        <v>184429514392.15</v>
      </c>
      <c r="F11" s="179">
        <f t="shared" si="10"/>
        <v>69164884904.1918</v>
      </c>
      <c r="G11" s="179">
        <f t="shared" si="10"/>
        <v>224218170563.33</v>
      </c>
      <c r="H11" s="179">
        <f t="shared" si="10"/>
        <v>69164884904.1918</v>
      </c>
      <c r="I11" s="179">
        <f t="shared" si="10"/>
        <v>0</v>
      </c>
      <c r="J11" s="179">
        <f t="shared" ref="J11:L11" si="11">J13*J4^3*9.81*J14/J15^2</f>
        <v>0</v>
      </c>
      <c r="K11" s="179">
        <f t="shared" si="11"/>
        <v>0</v>
      </c>
      <c r="L11" s="179">
        <f t="shared" si="11"/>
        <v>0</v>
      </c>
      <c r="M11" s="179"/>
    </row>
    <row r="12" ht="36" spans="1:13">
      <c r="A12" s="173" t="s">
        <v>288</v>
      </c>
      <c r="B12" s="177"/>
      <c r="C12" s="179">
        <f t="shared" ref="C12:I12" si="12">C13*C5^3*9.81*C14/C15^2</f>
        <v>2186830757690.15</v>
      </c>
      <c r="D12" s="179">
        <f t="shared" si="12"/>
        <v>7461823217477.5</v>
      </c>
      <c r="E12" s="179">
        <f t="shared" si="12"/>
        <v>92827472642.3206</v>
      </c>
      <c r="F12" s="179">
        <f t="shared" si="12"/>
        <v>339807079534.294</v>
      </c>
      <c r="G12" s="179">
        <f t="shared" si="12"/>
        <v>339807079534.294</v>
      </c>
      <c r="H12" s="179">
        <f t="shared" si="12"/>
        <v>339807079534.294</v>
      </c>
      <c r="I12" s="179">
        <f t="shared" si="12"/>
        <v>0</v>
      </c>
      <c r="J12" s="179">
        <f t="shared" ref="J12:L12" si="13">J13*J5^3*9.81*J14/J15^2</f>
        <v>0</v>
      </c>
      <c r="K12" s="179">
        <f t="shared" si="13"/>
        <v>0</v>
      </c>
      <c r="L12" s="179">
        <f t="shared" si="13"/>
        <v>0</v>
      </c>
      <c r="M12" s="179"/>
    </row>
    <row r="13" ht="36" spans="1:13">
      <c r="A13" s="173" t="s">
        <v>289</v>
      </c>
      <c r="B13" s="165" t="s">
        <v>290</v>
      </c>
      <c r="C13" s="180">
        <f>1/(Таб1!C14+273)</f>
        <v>0.00345184673800483</v>
      </c>
      <c r="D13" s="180">
        <f>1/(Таб1!C14+273)</f>
        <v>0.00345184673800483</v>
      </c>
      <c r="E13" s="180">
        <f>1/(Таб1!C14+273)</f>
        <v>0.00345184673800483</v>
      </c>
      <c r="F13" s="180">
        <f>1/(Таб1!C14+273)</f>
        <v>0.00345184673800483</v>
      </c>
      <c r="G13" s="180">
        <f>1/(Таб1!C14+273)</f>
        <v>0.00345184673800483</v>
      </c>
      <c r="H13" s="180">
        <f>1/(Таб1!C14+273)</f>
        <v>0.00345184673800483</v>
      </c>
      <c r="I13" s="180">
        <f>1/(Таб1!C14+273)</f>
        <v>0.00345184673800483</v>
      </c>
      <c r="J13" s="180">
        <f>1/(Таб1!D14+273)</f>
        <v>0.00366300366300366</v>
      </c>
      <c r="K13" s="180">
        <f>1/(Таб1!E14+273)</f>
        <v>0.00366300366300366</v>
      </c>
      <c r="L13" s="180">
        <f>1/(Таб1!F14+273)</f>
        <v>0.00366300366300366</v>
      </c>
      <c r="M13" s="179"/>
    </row>
    <row r="14" ht="18" spans="1:13">
      <c r="A14" s="173" t="s">
        <v>291</v>
      </c>
      <c r="B14" s="165" t="s">
        <v>280</v>
      </c>
      <c r="C14" s="178">
        <f>Таб2!C18-Таб1!$C$14</f>
        <v>83.3</v>
      </c>
      <c r="D14" s="178">
        <f>Таб2!D18-Таб1!$C$14</f>
        <v>63.0520661157025</v>
      </c>
      <c r="E14" s="178">
        <f>Таб2!E18-Таб1!$C$14</f>
        <v>50.200826446281</v>
      </c>
      <c r="F14" s="178">
        <f>Таб2!F18-Таб1!$C$14</f>
        <v>43.3</v>
      </c>
      <c r="G14" s="178">
        <f>Таб2!G18-Таб1!$C$14</f>
        <v>43.3</v>
      </c>
      <c r="H14" s="178">
        <f>Таб2!H18-Таб1!$C$14</f>
        <v>43.3</v>
      </c>
      <c r="I14" s="178">
        <f>Таб2!I18-Таб1!$C$14</f>
        <v>-16.7</v>
      </c>
      <c r="J14" s="178">
        <f>Таб2!J18-Таб1!$C$14</f>
        <v>-16.7</v>
      </c>
      <c r="K14" s="178">
        <f>Таб2!K18-Таб1!$C$14</f>
        <v>-16.7</v>
      </c>
      <c r="L14" s="178">
        <f>Таб2!L18-Таб1!$C$14</f>
        <v>-16.7</v>
      </c>
      <c r="M14" s="179"/>
    </row>
    <row r="15" ht="54" spans="1:13">
      <c r="A15" s="173" t="s">
        <v>292</v>
      </c>
      <c r="B15" s="165" t="s">
        <v>164</v>
      </c>
      <c r="C15" s="181">
        <f t="array" ref="C15">IFERROR(INDEX(Пр2_Физические_характеристики_воздуха[Кинематическая вязкость,
ν*10-6, м2/сек],MATCH(MIN(IF(Пр2_Физические_характеристики_воздуха[Температура, °С]&gt;=C6,Пр2_Физические_характеристики_воздуха[Температура, °С],"")),Пр2_Физические_характеристики_воздуха[Температура, °С],0),0),"Ошибка")*10^-6</f>
        <v>1.945e-5</v>
      </c>
      <c r="D15" s="181">
        <f t="array" ref="D15">IFERROR(INDEX(Пр2_Физические_характеристики_воздуха[Кинематическая вязкость,
ν*10-6, м2/сек],MATCH(MIN(IF(Пр2_Физические_характеристики_воздуха[Температура, °С]&gt;=D6,Пр2_Физические_характеристики_воздуха[Температура, °С],"")),Пр2_Физические_характеристики_воздуха[Температура, °С],0),0),"Ошибка")*10^-6</f>
        <v>1.82e-5</v>
      </c>
      <c r="E15" s="181">
        <f t="array" ref="E15">IFERROR(INDEX(Пр2_Физические_характеристики_воздуха[Кинематическая вязкость,
ν*10-6, м2/сек],MATCH(MIN(IF(Пр2_Физические_характеристики_воздуха[Температура, °С]&gt;=E6,Пр2_Физические_характеристики_воздуха[Температура, °С],"")),Пр2_Физические_характеристики_воздуха[Температура, °С],0),0),"Ошибка")*10^-6</f>
        <v>1.82e-5</v>
      </c>
      <c r="F15" s="181">
        <f t="array" ref="F15">IFERROR(INDEX(Пр2_Физические_характеристики_воздуха[Кинематическая вязкость,
ν*10-6, м2/сек],MATCH(MIN(IF(Пр2_Физические_характеристики_воздуха[Температура, °С]&gt;=F6,Пр2_Физические_характеристики_воздуха[Температура, °С],"")),Пр2_Физические_характеристики_воздуха[Температура, °С],0),0),"Ошибка")*10^-6</f>
        <v>1.82e-5</v>
      </c>
      <c r="G15" s="181">
        <f t="array" ref="G15">IFERROR(INDEX(Пр2_Физические_характеристики_воздуха[Кинематическая вязкость,
ν*10-6, м2/сек],MATCH(MIN(IF(Пр2_Физические_характеристики_воздуха[Температура, °С]&gt;=G6,Пр2_Физические_характеристики_воздуха[Температура, °С],"")),Пр2_Физические_характеристики_воздуха[Температура, °С],0),0),"Ошибка")*10^-6</f>
        <v>1.82e-5</v>
      </c>
      <c r="H15" s="181">
        <f t="array" ref="H15">IFERROR(INDEX(Пр2_Физические_характеристики_воздуха[Кинематическая вязкость,
ν*10-6, м2/сек],MATCH(MIN(IF(Пр2_Физические_характеристики_воздуха[Температура, °С]&gt;=H6,Пр2_Физические_характеристики_воздуха[Температура, °С],"")),Пр2_Физические_характеристики_воздуха[Температура, °С],0),0),"Ошибка")*10^-6</f>
        <v>1.82e-5</v>
      </c>
      <c r="I15" s="181">
        <f t="array" ref="I15">IFERROR(INDEX(Пр2_Физические_характеристики_воздуха[Кинематическая вязкость,
ν*10-6, м2/сек],MATCH(MIN(IF(Пр2_Физические_характеристики_воздуха[Температура, °С]&gt;=I6,Пр2_Физические_характеристики_воздуха[Температура, °С],"")),Пр2_Физические_характеристики_воздуха[Температура, °С],0),0),"Ошибка")*10^-6</f>
        <v>1.445e-5</v>
      </c>
      <c r="J15" s="181">
        <f t="array" ref="J15">IFERROR(INDEX(Пр2_Физические_характеристики_воздуха[Кинематическая вязкость,
ν*10-6, м2/сек],MATCH(MIN(IF(Пр2_Физические_характеристики_воздуха[Температура, °С]&gt;=J6,Пр2_Физические_характеристики_воздуха[Температура, °С],"")),Пр2_Физические_характеристики_воздуха[Температура, °С],0),0),"Ошибка")*10^-6</f>
        <v>1.445e-5</v>
      </c>
      <c r="K15" s="181">
        <f t="array" ref="K15">IFERROR(INDEX(Пр2_Физические_характеристики_воздуха[Кинематическая вязкость,
ν*10-6, м2/сек],MATCH(MIN(IF(Пр2_Физические_характеристики_воздуха[Температура, °С]&gt;=K6,Пр2_Физические_характеристики_воздуха[Температура, °С],"")),Пр2_Физические_характеристики_воздуха[Температура, °С],0),0),"Ошибка")*10^-6</f>
        <v>1.445e-5</v>
      </c>
      <c r="L15" s="181">
        <f t="array" ref="L15">IFERROR(INDEX(Пр2_Физические_характеристики_воздуха[Кинематическая вязкость,
ν*10-6, м2/сек],MATCH(MIN(IF(Пр2_Физические_характеристики_воздуха[Температура, °С]&gt;=L6,Пр2_Физические_характеристики_воздуха[Температура, °С],"")),Пр2_Физические_характеристики_воздуха[Температура, °С],0),0),"Ошибка")*10^-6</f>
        <v>1.445e-5</v>
      </c>
      <c r="M15" s="179"/>
    </row>
    <row r="16" ht="36" spans="1:13">
      <c r="A16" s="173" t="s">
        <v>293</v>
      </c>
      <c r="B16" s="177"/>
      <c r="C16" s="181">
        <f t="array" ref="C16">IFERROR(INDEX(Пр2_Физические_характеристики_воздуха[Критерий Прандтля Pr],MATCH(MIN(IF(Пр2_Физические_характеристики_воздуха[Температура, °С]&gt;=C6,Пр2_Физические_характеристики_воздуха[Температура, °С],"")),Пр2_Физические_характеристики_воздуха[Температура, °С],0),0),"Ошибка")</f>
        <v>0.69375</v>
      </c>
      <c r="D16" s="181">
        <f t="array" ref="D16">IFERROR(INDEX(Пр2_Физические_характеристики_воздуха[Критерий Прандтля Pr],MATCH(MIN(IF(Пр2_Физические_характеристики_воздуха[Температура, °С]&gt;=D6,Пр2_Физические_характеристики_воздуха[Температура, °С],"")),Пр2_Физические_характеристики_воздуха[Температура, °С],0),0),"Ошибка")</f>
        <v>0.695</v>
      </c>
      <c r="E16" s="181">
        <f t="array" ref="E16">IFERROR(INDEX(Пр2_Физические_характеристики_воздуха[Критерий Прандтля Pr],MATCH(MIN(IF(Пр2_Физические_характеристики_воздуха[Температура, °С]&gt;=E6,Пр2_Физические_характеристики_воздуха[Температура, °С],"")),Пр2_Физические_характеристики_воздуха[Температура, °С],0),0),"Ошибка")</f>
        <v>0.695</v>
      </c>
      <c r="F16" s="181">
        <f t="array" ref="F16">IFERROR(INDEX(Пр2_Физические_характеристики_воздуха[Критерий Прандтля Pr],MATCH(MIN(IF(Пр2_Физические_характеристики_воздуха[Температура, °С]&gt;=F6,Пр2_Физические_характеристики_воздуха[Температура, °С],"")),Пр2_Физические_характеристики_воздуха[Температура, °С],0),0),"Ошибка")</f>
        <v>0.695</v>
      </c>
      <c r="G16" s="181">
        <f t="array" ref="G16">IFERROR(INDEX(Пр2_Физические_характеристики_воздуха[Критерий Прандтля Pr],MATCH(MIN(IF(Пр2_Физические_характеристики_воздуха[Температура, °С]&gt;=G6,Пр2_Физические_характеристики_воздуха[Температура, °С],"")),Пр2_Физические_характеристики_воздуха[Температура, °С],0),0),"Ошибка")</f>
        <v>0.695</v>
      </c>
      <c r="H16" s="181">
        <f t="array" ref="H16">IFERROR(INDEX(Пр2_Физические_характеристики_воздуха[Критерий Прандтля Pr],MATCH(MIN(IF(Пр2_Физические_характеристики_воздуха[Температура, °С]&gt;=H6,Пр2_Физические_характеристики_воздуха[Температура, °С],"")),Пр2_Физические_характеристики_воздуха[Температура, °С],0),0),"Ошибка")</f>
        <v>0.695</v>
      </c>
      <c r="I16" s="181">
        <f t="array" ref="I16">IFERROR(INDEX(Пр2_Физические_характеристики_воздуха[Критерий Прандтля Pr],MATCH(MIN(IF(Пр2_Физические_характеристики_воздуха[Температура, °С]&gt;=I6,Пр2_Физические_характеристики_воздуха[Температура, °С],"")),Пр2_Физические_характеристики_воздуха[Температура, °С],0),0),"Ошибка")</f>
        <v>0.69875</v>
      </c>
      <c r="J16" s="181">
        <f t="array" ref="J16">IFERROR(INDEX(Пр2_Физические_характеристики_воздуха[Критерий Прандтля Pr],MATCH(MIN(IF(Пр2_Физические_характеристики_воздуха[Температура, °С]&gt;=J6,Пр2_Физические_характеристики_воздуха[Температура, °С],"")),Пр2_Физические_характеристики_воздуха[Температура, °С],0),0),"Ошибка")</f>
        <v>0.69875</v>
      </c>
      <c r="K16" s="181">
        <f t="array" ref="K16">IFERROR(INDEX(Пр2_Физические_характеристики_воздуха[Критерий Прандтля Pr],MATCH(MIN(IF(Пр2_Физические_характеристики_воздуха[Температура, °С]&gt;=K6,Пр2_Физические_характеристики_воздуха[Температура, °С],"")),Пр2_Физические_характеристики_воздуха[Температура, °С],0),0),"Ошибка")</f>
        <v>0.69875</v>
      </c>
      <c r="L16" s="181">
        <f t="array" ref="L16">IFERROR(INDEX(Пр2_Физические_характеристики_воздуха[Критерий Прандтля Pr],MATCH(MIN(IF(Пр2_Физические_характеристики_воздуха[Температура, °С]&gt;=L6,Пр2_Физические_характеристики_воздуха[Температура, °С],"")),Пр2_Физические_характеристики_воздуха[Температура, °С],0),0),"Ошибка")</f>
        <v>0.69875</v>
      </c>
      <c r="M16" s="179"/>
    </row>
    <row r="17" ht="36" spans="1:13">
      <c r="A17" s="173" t="s">
        <v>294</v>
      </c>
      <c r="B17" s="177"/>
      <c r="C17" s="181">
        <f t="array" ref="C17">IFERROR(INDEX(Пр2_Физические_характеристики_воздуха[Критерий Прандтля Pr],MATCH(MIN(IF(Пр2_Физические_характеристики_воздуха[Температура, °С]&gt;=Таб2!C$18,Пр2_Физические_характеристики_воздуха[Температура, °С],"")),Пр2_Физические_характеристики_воздуха[Температура, °С],0),0),"Ошибка")</f>
        <v>0.69</v>
      </c>
      <c r="D17" s="181">
        <f t="array" ref="D17">IFERROR(INDEX(Пр2_Физические_характеристики_воздуха[Критерий Прандтля Pr],MATCH(MIN(IF(Пр2_Физические_характеристики_воздуха[Температура, °С]&gt;=Таб2!$D$18,Пр2_Физические_характеристики_воздуха[Температура, °С],"")),Пр2_Физические_характеристики_воздуха[Температура, °С],0),0),"Ошибка")</f>
        <v>0.69125</v>
      </c>
      <c r="E17" s="181">
        <f t="array" ref="E17">IFERROR(INDEX(Пр2_Физические_характеристики_воздуха[Критерий Прандтля Pr],MATCH(MIN(IF(Пр2_Физические_характеристики_воздуха[Температура, °С]&gt;=Таб2!$E$18,Пр2_Физические_характеристики_воздуха[Температура, °С],"")),Пр2_Физические_характеристики_воздуха[Температура, °С],0),0),"Ошибка")</f>
        <v>0.6925</v>
      </c>
      <c r="F17" s="181">
        <f t="array" ref="F17">IFERROR(INDEX(Пр2_Физические_характеристики_воздуха[Критерий Прандтля Pr],MATCH(MIN(IF(Пр2_Физические_характеристики_воздуха[Температура, °С]&gt;=Таб2!$F$18,Пр2_Физические_характеристики_воздуха[Температура, °С],"")),Пр2_Физические_характеристики_воздуха[Температура, °С],0),0),"Ошибка")</f>
        <v>0.69375</v>
      </c>
      <c r="G17" s="181">
        <f t="array" ref="G17">IFERROR(INDEX(Пр2_Физические_характеристики_воздуха[Критерий Прандтля Pr],MATCH(MIN(IF(Пр2_Физические_характеристики_воздуха[Температура, °С]&gt;=Таб2!$G$18,Пр2_Физические_характеристики_воздуха[Температура, °С],"")),Пр2_Физические_характеристики_воздуха[Температура, °С],0),0),"Ошибка")</f>
        <v>0.69375</v>
      </c>
      <c r="H17" s="181">
        <f t="array" ref="H17">IFERROR(INDEX(Пр2_Физические_характеристики_воздуха[Критерий Прандтля Pr],MATCH(MIN(IF(Пр2_Физические_характеристики_воздуха[Температура, °С]&gt;=Таб2!$H$18,Пр2_Физические_характеристики_воздуха[Температура, °С],"")),Пр2_Физические_характеристики_воздуха[Температура, °С],0),0),"Ошибка")</f>
        <v>0.69375</v>
      </c>
      <c r="I17" s="181">
        <f t="array" ref="I17">IFERROR(INDEX(Пр2_Физические_характеристики_воздуха[Критерий Прандтля Pr],MATCH(MIN(IF(Пр2_Физические_характеристики_воздуха[Температура, °С]&gt;=Таб2!$I$18,Пр2_Физические_характеристики_воздуха[Температура, °С],"")),Пр2_Физические_характеристики_воздуха[Температура, °С],0),0),"Ошибка")</f>
        <v>0.7</v>
      </c>
      <c r="J17" s="181">
        <f t="array" ref="J17">IFERROR(INDEX(Пр2_Физические_характеристики_воздуха[Критерий Прандтля Pr],MATCH(MIN(IF(Пр2_Физические_характеристики_воздуха[Температура, °С]&gt;=Таб2!$I$18,Пр2_Физические_характеристики_воздуха[Температура, °С],"")),Пр2_Физические_характеристики_воздуха[Температура, °С],0),0),"Ошибка")</f>
        <v>0.7</v>
      </c>
      <c r="K17" s="181">
        <f t="array" ref="K17">IFERROR(INDEX(Пр2_Физические_характеристики_воздуха[Критерий Прандтля Pr],MATCH(MIN(IF(Пр2_Физические_характеристики_воздуха[Температура, °С]&gt;=Таб2!$I$18,Пр2_Физические_характеристики_воздуха[Температура, °С],"")),Пр2_Физические_характеристики_воздуха[Температура, °С],0),0),"Ошибка")</f>
        <v>0.7</v>
      </c>
      <c r="L17" s="181">
        <f t="array" ref="L17">IFERROR(INDEX(Пр2_Физические_характеристики_воздуха[Критерий Прандтля Pr],MATCH(MIN(IF(Пр2_Физические_характеристики_воздуха[Температура, °С]&gt;=Таб2!$I$18,Пр2_Физические_характеристики_воздуха[Температура, °С],"")),Пр2_Физические_характеристики_воздуха[Температура, °С],0),0),"Ошибка")</f>
        <v>0.7</v>
      </c>
      <c r="M17" s="179"/>
    </row>
    <row r="18" ht="36" spans="1:13">
      <c r="A18" s="173" t="s">
        <v>295</v>
      </c>
      <c r="B18" s="165" t="s">
        <v>296</v>
      </c>
      <c r="C18" s="175">
        <f>C2*Таб5!C3*C14</f>
        <v>12674.8229220065</v>
      </c>
      <c r="D18" s="175">
        <f>D2*Таб5!D3*D14</f>
        <v>145647.798552995</v>
      </c>
      <c r="E18" s="175">
        <f>E2*Таб5!E3*E14</f>
        <v>12545.7359230758</v>
      </c>
      <c r="F18" s="175">
        <f>F2*Таб5!F3*F14</f>
        <v>38250.3253808515</v>
      </c>
      <c r="G18" s="175">
        <f>G2*Таб5!G3*G14</f>
        <v>4240.5523761498</v>
      </c>
      <c r="H18" s="175">
        <f>H2*Таб5!H3*H14</f>
        <v>38250.3253808515</v>
      </c>
      <c r="I18" s="175" t="e">
        <f>I2*Таб5!I3*I14</f>
        <v>#DIV/0!</v>
      </c>
      <c r="J18" s="175" t="e">
        <f>J2*Таб5!J3*J14</f>
        <v>#DIV/0!</v>
      </c>
      <c r="K18" s="175" t="e">
        <f>K2*Таб5!K3*K14</f>
        <v>#DIV/0!</v>
      </c>
      <c r="L18" s="175" t="e">
        <f>L2*Таб5!L3*L14</f>
        <v>#DIV/0!</v>
      </c>
      <c r="M18" s="179"/>
    </row>
    <row r="19" ht="36" spans="1:13">
      <c r="A19" s="173" t="s">
        <v>297</v>
      </c>
      <c r="B19" s="165" t="s">
        <v>296</v>
      </c>
      <c r="C19" s="175">
        <f>C3*Таб5!C4*C14</f>
        <v>0</v>
      </c>
      <c r="D19" s="175">
        <f>D3*Таб5!D4*D14</f>
        <v>0</v>
      </c>
      <c r="E19" s="175">
        <f>E3*Таб5!E4*E14</f>
        <v>0</v>
      </c>
      <c r="F19" s="175">
        <f>F3*Таб5!F4*F14</f>
        <v>0</v>
      </c>
      <c r="G19" s="175">
        <f>G3*Таб5!G4*G14</f>
        <v>0</v>
      </c>
      <c r="H19" s="175">
        <f>H3*Таб5!H4*H14</f>
        <v>0</v>
      </c>
      <c r="I19" s="175" t="e">
        <f>I3*Таб5!I4*I14</f>
        <v>#DIV/0!</v>
      </c>
      <c r="J19" s="175" t="e">
        <f>J3*Таб5!J4*J14</f>
        <v>#DIV/0!</v>
      </c>
      <c r="K19" s="175" t="e">
        <f>K3*Таб5!K4*K14</f>
        <v>#DIV/0!</v>
      </c>
      <c r="L19" s="175" t="e">
        <f>L3*Таб5!L4*L14</f>
        <v>#DIV/0!</v>
      </c>
      <c r="M19" s="179"/>
    </row>
    <row r="20" ht="36" spans="1:13">
      <c r="A20" s="173" t="s">
        <v>298</v>
      </c>
      <c r="B20" s="165" t="s">
        <v>20</v>
      </c>
      <c r="C20" s="182">
        <f>(C18+C19)/Таб6!C38/1000000</f>
        <v>0.00824995008677769</v>
      </c>
      <c r="D20" s="182">
        <f>(D18+D19)/Таб6!D38/1000000</f>
        <v>0.0187259363961524</v>
      </c>
      <c r="E20" s="182">
        <f>(E18+E19)/Таб6!E38/1000000</f>
        <v>0.0152890681425415</v>
      </c>
      <c r="F20" s="182">
        <f>(F18+F19)/Таб6!F38/1000000</f>
        <v>0.0180760339538207</v>
      </c>
      <c r="G20" s="182">
        <f>(G18+G19)/Таб6!G38/1000000</f>
        <v>0.0231600602778258</v>
      </c>
      <c r="H20" s="182">
        <f>(H18+H19)/Таб6!H38/1000000</f>
        <v>0.0338477189295281</v>
      </c>
      <c r="I20" s="182" t="e">
        <f>(I18+I19)/Таб6!I38/1000000</f>
        <v>#DIV/0!</v>
      </c>
      <c r="J20" s="182" t="e">
        <f>(J18+J19)/Таб6!J38/1000000</f>
        <v>#DIV/0!</v>
      </c>
      <c r="K20" s="182" t="e">
        <f>(K18+K19)/Таб6!K38/1000000</f>
        <v>#DIV/0!</v>
      </c>
      <c r="L20" s="182" t="e">
        <f>(L18+L19)/Таб6!L38/1000000</f>
        <v>#DIV/0!</v>
      </c>
      <c r="M20" s="187"/>
    </row>
    <row r="21" ht="36" spans="1:13">
      <c r="A21" s="183" t="s">
        <v>298</v>
      </c>
      <c r="B21" s="184"/>
      <c r="C21" s="185" t="str">
        <f t="shared" ref="C21:I21" si="14">IF(C20&gt;=0.07,"МНОГО!",IF(C20&lt;0.01,"МАЛО!","ПРАВИЛЬНО!"))</f>
        <v>МАЛО!</v>
      </c>
      <c r="D21" s="185" t="str">
        <f t="shared" si="14"/>
        <v>ПРАВИЛЬНО!</v>
      </c>
      <c r="E21" s="185" t="str">
        <f t="shared" si="14"/>
        <v>ПРАВИЛЬНО!</v>
      </c>
      <c r="F21" s="185" t="str">
        <f t="shared" si="14"/>
        <v>ПРАВИЛЬНО!</v>
      </c>
      <c r="G21" s="185" t="str">
        <f t="shared" si="14"/>
        <v>ПРАВИЛЬНО!</v>
      </c>
      <c r="H21" s="185" t="str">
        <f t="shared" si="14"/>
        <v>ПРАВИЛЬНО!</v>
      </c>
      <c r="I21" s="185" t="e">
        <f t="shared" si="14"/>
        <v>#DIV/0!</v>
      </c>
      <c r="J21" s="185" t="e">
        <f t="shared" ref="J21:L21" si="15">IF(J20&gt;=0.07,"МНОГО!",IF(J20&lt;0.01,"МАЛО!","ПРАВИЛЬНО!"))</f>
        <v>#DIV/0!</v>
      </c>
      <c r="K21" s="185" t="e">
        <f t="shared" si="15"/>
        <v>#DIV/0!</v>
      </c>
      <c r="L21" s="185" t="e">
        <f t="shared" si="15"/>
        <v>#DIV/0!</v>
      </c>
      <c r="M21" s="187"/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"/>
  <dimension ref="A1:AD100"/>
  <sheetViews>
    <sheetView zoomScale="40" zoomScaleNormal="40" topLeftCell="A2" workbookViewId="0">
      <selection activeCell="C9" sqref="C9"/>
    </sheetView>
  </sheetViews>
  <sheetFormatPr defaultColWidth="9" defaultRowHeight="14.4"/>
  <cols>
    <col min="1" max="1" width="20.1111111111111" customWidth="1"/>
    <col min="2" max="2" width="35.8888888888889" customWidth="1"/>
    <col min="3" max="3" width="31.8888888888889" customWidth="1"/>
    <col min="4" max="4" width="31.5555555555556" customWidth="1"/>
    <col min="5" max="5" width="33.1111111111111" customWidth="1"/>
    <col min="6" max="6" width="10.8888888888889" customWidth="1"/>
    <col min="7" max="7" width="14.4444444444444" customWidth="1"/>
    <col min="8" max="8" width="11.8888888888889" customWidth="1"/>
    <col min="9" max="9" width="6.88888888888889" customWidth="1"/>
    <col min="10" max="10" width="11.1111111111111" customWidth="1"/>
    <col min="12" max="13" width="11.1111111111111" customWidth="1"/>
    <col min="15" max="15" width="11.1111111111111" customWidth="1"/>
    <col min="18" max="18" width="12.4444444444444" style="117" customWidth="1"/>
    <col min="19" max="19" width="9.11111111111111" customWidth="1"/>
    <col min="20" max="20" width="11.8888888888889" customWidth="1"/>
    <col min="21" max="21" width="9.11111111111111" customWidth="1"/>
    <col min="22" max="22" width="8.55555555555556" customWidth="1"/>
    <col min="23" max="24" width="11.1111111111111" customWidth="1"/>
  </cols>
  <sheetData>
    <row r="1" ht="40.35" spans="1:18">
      <c r="A1" s="118" t="s">
        <v>299</v>
      </c>
      <c r="B1" s="119" t="s">
        <v>1</v>
      </c>
      <c r="C1" s="119" t="s">
        <v>40</v>
      </c>
      <c r="D1" s="119" t="s">
        <v>41</v>
      </c>
      <c r="E1" s="119" t="s">
        <v>42</v>
      </c>
      <c r="F1" s="119" t="s">
        <v>43</v>
      </c>
      <c r="G1" s="119" t="s">
        <v>44</v>
      </c>
      <c r="H1" s="119" t="s">
        <v>45</v>
      </c>
      <c r="I1" s="119" t="s">
        <v>46</v>
      </c>
      <c r="R1"/>
    </row>
    <row r="2" ht="80.7" spans="1:18">
      <c r="A2" s="120" t="s">
        <v>51</v>
      </c>
      <c r="B2" s="121" t="s">
        <v>52</v>
      </c>
      <c r="C2" s="122" t="str">
        <f>Таб2!$C$2</f>
        <v>Воротник</v>
      </c>
      <c r="D2" s="122" t="str">
        <f>Таб2!$D$2</f>
        <v>Радиационная
шахта</v>
      </c>
      <c r="E2" s="122" t="str">
        <f>Таб2!$E$2</f>
        <v>Холодная
воронка 1</v>
      </c>
      <c r="F2" s="122" t="str">
        <f>Таб2!$F$2</f>
        <v>Конвективная
шахта</v>
      </c>
      <c r="G2" s="122" t="str">
        <f>Таб2!$G$2</f>
        <v>Переход</v>
      </c>
      <c r="H2" s="122" t="str">
        <f>Таб2!$H$2</f>
        <v>Газоохладитель
без ширмы</v>
      </c>
      <c r="I2" s="122">
        <f>Таб2!$I$2</f>
        <v>0</v>
      </c>
      <c r="R2"/>
    </row>
    <row r="3" ht="100.5" spans="1:18">
      <c r="A3" s="120" t="s">
        <v>300</v>
      </c>
      <c r="B3" s="121" t="s">
        <v>207</v>
      </c>
      <c r="C3" s="122">
        <f>Таб6!$C$23</f>
        <v>20.0008848317021</v>
      </c>
      <c r="D3" s="122">
        <f>Таб6!$D$23</f>
        <v>18.4654345265679</v>
      </c>
      <c r="E3" s="122">
        <f>Таб6!$E$23</f>
        <v>10.6884710485135</v>
      </c>
      <c r="F3" s="122">
        <f>Таб6!$F$23</f>
        <v>9.87421014750435</v>
      </c>
      <c r="G3" s="122">
        <f>Таб6!$G$23</f>
        <v>7.76353759415097</v>
      </c>
      <c r="H3" s="122">
        <f>Таб6!$H$23</f>
        <v>7.58043995427955</v>
      </c>
      <c r="I3" s="122">
        <f>Таб6!$I$23</f>
        <v>6.4521712846986</v>
      </c>
      <c r="R3"/>
    </row>
    <row r="4" ht="60.9" spans="1:18">
      <c r="A4" s="120" t="s">
        <v>301</v>
      </c>
      <c r="B4" s="121" t="s">
        <v>302</v>
      </c>
      <c r="C4" s="122">
        <f>Таб6!$C$24</f>
        <v>1170</v>
      </c>
      <c r="D4" s="122">
        <f>Таб6!$D$24</f>
        <v>720</v>
      </c>
      <c r="E4" s="122">
        <f>Таб6!$E$24</f>
        <v>654</v>
      </c>
      <c r="F4" s="122">
        <f>Таб6!$F$24</f>
        <v>513</v>
      </c>
      <c r="G4" s="122">
        <f>Таб6!$G$24</f>
        <v>502</v>
      </c>
      <c r="H4" s="122">
        <f>Таб6!$H$24</f>
        <v>431</v>
      </c>
      <c r="I4" s="122">
        <f>Таб6!$I$24</f>
        <v>431</v>
      </c>
      <c r="R4"/>
    </row>
    <row r="5" ht="60.9" spans="1:18">
      <c r="A5" s="120" t="s">
        <v>303</v>
      </c>
      <c r="B5" s="121" t="s">
        <v>302</v>
      </c>
      <c r="C5" s="122">
        <f>Таб4!$D$3</f>
        <v>251</v>
      </c>
      <c r="D5" s="122">
        <f>Таб4!$D$3</f>
        <v>251</v>
      </c>
      <c r="E5" s="122">
        <f>Таб4!$D$3</f>
        <v>251</v>
      </c>
      <c r="F5" s="122">
        <f>Таб4!$D$3</f>
        <v>251</v>
      </c>
      <c r="G5" s="122">
        <f>Таб4!$D$3</f>
        <v>251</v>
      </c>
      <c r="H5" s="122">
        <f>Таб4!$D$3</f>
        <v>251</v>
      </c>
      <c r="I5" s="122">
        <f>Таб4!$D$3</f>
        <v>251</v>
      </c>
      <c r="R5"/>
    </row>
    <row r="6" ht="41.1" spans="1:18">
      <c r="A6" s="120" t="s">
        <v>304</v>
      </c>
      <c r="B6" s="121" t="s">
        <v>302</v>
      </c>
      <c r="C6" s="122">
        <f>Таб8!$D$18</f>
        <v>958.443606894833</v>
      </c>
      <c r="D6" s="122">
        <f>Таб8!$E$18</f>
        <v>668.962591960619</v>
      </c>
      <c r="E6" s="122">
        <f>Таб8!$F$18</f>
        <v>435.166155488801</v>
      </c>
      <c r="F6" s="122">
        <f>Таб8!$G$18</f>
        <v>327.456109139915</v>
      </c>
      <c r="G6" s="122">
        <f>Таб8!$H$18</f>
        <v>256.460683937894</v>
      </c>
      <c r="H6" s="122">
        <f>Таб8!$I$18</f>
        <v>213.536346774748</v>
      </c>
      <c r="I6" s="122" t="e">
        <f>Таб8!$J$18</f>
        <v>#DIV/0!</v>
      </c>
      <c r="R6"/>
    </row>
    <row r="7" ht="41.1" spans="1:18">
      <c r="A7" s="120" t="s">
        <v>305</v>
      </c>
      <c r="B7" s="121" t="s">
        <v>306</v>
      </c>
      <c r="C7" s="122">
        <f>Таб8!$D$73</f>
        <v>45.7636507019414</v>
      </c>
      <c r="D7" s="122">
        <f>Таб8!$E$73</f>
        <v>41.1664247702084</v>
      </c>
      <c r="E7" s="122">
        <f>Таб8!$F$73</f>
        <v>36.719600390213</v>
      </c>
      <c r="F7" s="122">
        <f>Таб8!$G$73</f>
        <v>29.8001756236256</v>
      </c>
      <c r="G7" s="122">
        <f>Таб8!$H$73</f>
        <v>26.5709368368798</v>
      </c>
      <c r="H7" s="122">
        <f>Таб8!$I$73</f>
        <v>24.1476496771139</v>
      </c>
      <c r="I7" s="122" t="e">
        <f>Таб8!$J$73</f>
        <v>#DIV/0!</v>
      </c>
      <c r="R7"/>
    </row>
    <row r="8" ht="60.9" spans="1:18">
      <c r="A8" s="120" t="s">
        <v>307</v>
      </c>
      <c r="B8" s="121" t="s">
        <v>308</v>
      </c>
      <c r="C8" s="122">
        <f>Таб5!$C$7</f>
        <v>59.3275</v>
      </c>
      <c r="D8" s="122">
        <f>Таб5!$D$7</f>
        <v>468.608354</v>
      </c>
      <c r="E8" s="122">
        <f>Таб5!$E$7</f>
        <v>85.40555</v>
      </c>
      <c r="F8" s="122">
        <f>Таб5!$F$7</f>
        <v>362.4</v>
      </c>
      <c r="G8" s="122">
        <f>Таб5!$G$7</f>
        <v>44.52</v>
      </c>
      <c r="H8" s="122">
        <f>Таб5!$H$7</f>
        <v>362.4</v>
      </c>
      <c r="I8" s="122">
        <f>Таб5!$I$7</f>
        <v>0</v>
      </c>
      <c r="R8"/>
    </row>
    <row r="9" ht="60.9" spans="1:18">
      <c r="A9" s="120" t="s">
        <v>309</v>
      </c>
      <c r="B9" s="121" t="s">
        <v>20</v>
      </c>
      <c r="C9" s="123">
        <f>Таб5!$C$8</f>
        <v>1</v>
      </c>
      <c r="D9" s="123">
        <f>Таб5!$D$8</f>
        <v>1</v>
      </c>
      <c r="E9" s="123">
        <f>Таб5!$E$8</f>
        <v>1</v>
      </c>
      <c r="F9" s="123">
        <f>Таб5!$F$8</f>
        <v>1</v>
      </c>
      <c r="G9" s="123">
        <f>Таб5!$G$8</f>
        <v>1</v>
      </c>
      <c r="H9" s="123">
        <f>Таб5!$H$8</f>
        <v>1</v>
      </c>
      <c r="I9" s="123" t="e">
        <f>Таб5!$I$8</f>
        <v>#DIV/0!</v>
      </c>
      <c r="R9"/>
    </row>
    <row r="10" ht="60.9" spans="1:18">
      <c r="A10" s="120" t="s">
        <v>310</v>
      </c>
      <c r="B10" s="121" t="s">
        <v>20</v>
      </c>
      <c r="C10" s="123">
        <f>Таб5!$C$9</f>
        <v>0</v>
      </c>
      <c r="D10" s="123">
        <f>Таб5!$D$9</f>
        <v>0</v>
      </c>
      <c r="E10" s="123">
        <f>Таб5!$E$9</f>
        <v>0</v>
      </c>
      <c r="F10" s="123">
        <f>Таб5!$F$9</f>
        <v>0</v>
      </c>
      <c r="G10" s="123">
        <f>Таб5!$G$9</f>
        <v>0</v>
      </c>
      <c r="H10" s="123">
        <f>Таб5!$H$9</f>
        <v>0</v>
      </c>
      <c r="I10" s="123" t="e">
        <f>Таб5!$I$9</f>
        <v>#DIV/0!</v>
      </c>
      <c r="R10"/>
    </row>
    <row r="11" ht="60.9" spans="1:18">
      <c r="A11" s="120" t="s">
        <v>311</v>
      </c>
      <c r="B11" s="121" t="s">
        <v>207</v>
      </c>
      <c r="C11" s="122">
        <f>Таб8!$D$80</f>
        <v>1.53530720007852</v>
      </c>
      <c r="D11" s="122">
        <f>Таб8!$E$80</f>
        <v>7.61389743285978</v>
      </c>
      <c r="E11" s="122">
        <f>Таб8!$F$80</f>
        <v>0.805176633447651</v>
      </c>
      <c r="F11" s="122">
        <f>Таб8!$G$80</f>
        <v>2.08646988822</v>
      </c>
      <c r="G11" s="122">
        <f>Таб8!$H$80</f>
        <v>0.178992498574643</v>
      </c>
      <c r="H11" s="122">
        <f>Таб8!$I$80</f>
        <v>1.1025210138182</v>
      </c>
      <c r="I11" s="122" t="e">
        <f>Таб8!$J$80</f>
        <v>#DIV/0!</v>
      </c>
      <c r="R11"/>
    </row>
    <row r="12" ht="60.9" spans="1:18">
      <c r="A12" s="120" t="s">
        <v>312</v>
      </c>
      <c r="B12" s="121"/>
      <c r="C12" s="122">
        <f>Таб8!$D$82</f>
        <v>-0.00763321772842388</v>
      </c>
      <c r="D12" s="122">
        <f>Таб8!$E$82</f>
        <v>0.0024002736442873</v>
      </c>
      <c r="E12" s="122">
        <f>Таб8!$F$82</f>
        <v>0.00352300196368936</v>
      </c>
      <c r="F12" s="122">
        <f>Таб8!$G$82</f>
        <v>-0.00415851625018421</v>
      </c>
      <c r="G12" s="122">
        <f>Таб8!$H$82</f>
        <v>-0.000757090933692659</v>
      </c>
      <c r="H12" s="122">
        <f>Таб8!$I$82</f>
        <v>-0.00980046022365058</v>
      </c>
      <c r="I12" s="122" t="e">
        <f>Таб8!$J$82</f>
        <v>#DIV/0!</v>
      </c>
      <c r="R12"/>
    </row>
    <row r="13" ht="60.9" spans="1:18">
      <c r="A13" s="120" t="s">
        <v>313</v>
      </c>
      <c r="B13" s="121" t="s">
        <v>20</v>
      </c>
      <c r="C13" s="124">
        <f>Таб8!$D$84</f>
        <v>0.076761963932966</v>
      </c>
      <c r="D13" s="124">
        <f>Таб8!$E$84</f>
        <v>0.380678029843535</v>
      </c>
      <c r="E13" s="124">
        <f>Таб8!$F$84</f>
        <v>0.0402570506366508</v>
      </c>
      <c r="F13" s="124">
        <f>Таб8!$G$84</f>
        <v>0.104318879178429</v>
      </c>
      <c r="G13" s="124">
        <f>Таб8!$H$84</f>
        <v>0.00894922900065571</v>
      </c>
      <c r="H13" s="124">
        <f>Таб8!$I$84</f>
        <v>0.0551236119349416</v>
      </c>
      <c r="I13" s="124" t="e">
        <f>Таб8!$J$84</f>
        <v>#DIV/0!</v>
      </c>
      <c r="R13"/>
    </row>
    <row r="14" ht="60.9" spans="1:18">
      <c r="A14" s="120" t="s">
        <v>314</v>
      </c>
      <c r="B14" s="121" t="s">
        <v>212</v>
      </c>
      <c r="C14" s="125">
        <f>Таб8!$D$87/1000</f>
        <v>0.00251844515053037</v>
      </c>
      <c r="D14" s="125">
        <f>Таб8!$E$87/1000</f>
        <v>0.0124894764158213</v>
      </c>
      <c r="E14" s="125">
        <f>Таб8!$F$87/1000</f>
        <v>0.00132077358050747</v>
      </c>
      <c r="F14" s="125">
        <f>Таб8!$G$87/1000</f>
        <v>0.00342254629656304</v>
      </c>
      <c r="G14" s="125">
        <f>Таб8!$H$87/1000</f>
        <v>0.000293610809610981</v>
      </c>
      <c r="H14" s="125">
        <f>Таб8!$I$87/1000</f>
        <v>0.00180852320660404</v>
      </c>
      <c r="I14" s="125" t="e">
        <f>Таб8!$J$87/1000</f>
        <v>#DIV/0!</v>
      </c>
      <c r="R14"/>
    </row>
    <row r="15" ht="80.7" spans="1:18">
      <c r="A15" s="120" t="s">
        <v>205</v>
      </c>
      <c r="B15" s="121" t="s">
        <v>315</v>
      </c>
      <c r="C15" s="125">
        <f>Таб8!$D$79/1000</f>
        <v>25.8785082816319</v>
      </c>
      <c r="D15" s="125">
        <f>Таб8!$E$79/1000</f>
        <v>16.247890947458</v>
      </c>
      <c r="E15" s="125">
        <f>Таб8!$F$79/1000</f>
        <v>9.42768512640749</v>
      </c>
      <c r="F15" s="125">
        <f>Таб8!$G$79/1000</f>
        <v>5.75736724122517</v>
      </c>
      <c r="G15" s="125">
        <f>Таб8!$H$79/1000</f>
        <v>4.02049637409351</v>
      </c>
      <c r="H15" s="125">
        <f>Таб8!$I$79/1000</f>
        <v>3.04227652819593</v>
      </c>
      <c r="I15" s="125" t="e">
        <f>Таб8!$J$79/1000</f>
        <v>#DIV/0!</v>
      </c>
      <c r="R15"/>
    </row>
    <row r="16" ht="99.75" spans="1:18">
      <c r="A16" s="126" t="s">
        <v>316</v>
      </c>
      <c r="B16" s="127" t="s">
        <v>317</v>
      </c>
      <c r="C16" s="128">
        <f>$C$8/$C$14</f>
        <v>23557.1936071373</v>
      </c>
      <c r="D16" s="128">
        <f>$D$8/$D$14</f>
        <v>37520.2561258998</v>
      </c>
      <c r="E16" s="128">
        <f>$E$8/$E$14</f>
        <v>64663.2785970668</v>
      </c>
      <c r="F16" s="128">
        <f>$F$8/$F$14</f>
        <v>105886.076797245</v>
      </c>
      <c r="G16" s="128">
        <f>$G$8/$G$14</f>
        <v>151629.29477626</v>
      </c>
      <c r="H16" s="128">
        <f>$H$8/$H$14</f>
        <v>200384.489774116</v>
      </c>
      <c r="I16" s="128" t="e">
        <f>$I$8/$I$14</f>
        <v>#DIV/0!</v>
      </c>
      <c r="R16"/>
    </row>
    <row r="17" spans="1:18">
      <c r="A17" s="117"/>
      <c r="B17" s="117"/>
      <c r="N17" s="117"/>
      <c r="R17"/>
    </row>
    <row r="18" spans="1:18">
      <c r="A18" s="117"/>
      <c r="B18" s="117"/>
      <c r="N18" s="117"/>
      <c r="R18"/>
    </row>
    <row r="19" spans="1:18">
      <c r="A19" s="117"/>
      <c r="B19" s="117"/>
      <c r="N19" s="117"/>
      <c r="R19"/>
    </row>
    <row r="20" spans="1:18">
      <c r="A20" s="117"/>
      <c r="B20" s="117"/>
      <c r="N20" s="117"/>
      <c r="R20"/>
    </row>
    <row r="21" spans="1:18">
      <c r="A21" s="117"/>
      <c r="B21" s="117"/>
      <c r="N21" s="117"/>
      <c r="R21"/>
    </row>
    <row r="22" spans="1:18">
      <c r="A22" s="117"/>
      <c r="B22" s="117"/>
      <c r="N22" s="117"/>
      <c r="R22"/>
    </row>
    <row r="23" spans="1:18">
      <c r="A23" s="117"/>
      <c r="B23" s="117"/>
      <c r="N23" s="117"/>
      <c r="R23"/>
    </row>
    <row r="24" spans="1:18">
      <c r="A24" s="117"/>
      <c r="B24" s="117"/>
      <c r="N24" s="117"/>
      <c r="R24"/>
    </row>
    <row r="25" spans="1:18">
      <c r="A25" s="117"/>
      <c r="B25" s="117"/>
      <c r="N25" s="117"/>
      <c r="R25"/>
    </row>
    <row r="26" ht="72" spans="1:18">
      <c r="A26" s="129" t="s">
        <v>318</v>
      </c>
      <c r="B26" s="130" t="s">
        <v>319</v>
      </c>
      <c r="C26" s="130" t="s">
        <v>320</v>
      </c>
      <c r="D26" s="130" t="s">
        <v>321</v>
      </c>
      <c r="E26" s="130" t="s">
        <v>322</v>
      </c>
      <c r="G26" s="131" t="s">
        <v>323</v>
      </c>
      <c r="H26" s="131" t="s">
        <v>324</v>
      </c>
      <c r="I26" s="131" t="s">
        <v>325</v>
      </c>
      <c r="J26" s="130" t="s">
        <v>319</v>
      </c>
      <c r="K26" s="130" t="s">
        <v>320</v>
      </c>
      <c r="L26" s="130" t="s">
        <v>321</v>
      </c>
      <c r="M26" s="130" t="s">
        <v>322</v>
      </c>
      <c r="N26" s="131" t="s">
        <v>326</v>
      </c>
      <c r="R26"/>
    </row>
    <row r="27" ht="86.4" spans="1:18">
      <c r="A27" s="129" t="s">
        <v>327</v>
      </c>
      <c r="B27" s="132">
        <v>1160</v>
      </c>
      <c r="C27" s="133">
        <v>132.68</v>
      </c>
      <c r="D27" s="133">
        <v>3.28789701032702</v>
      </c>
      <c r="E27" s="133">
        <v>2.00438431307851</v>
      </c>
      <c r="G27" s="27" t="s">
        <v>327</v>
      </c>
      <c r="H27" s="27">
        <v>10</v>
      </c>
      <c r="I27" s="27">
        <v>48</v>
      </c>
      <c r="J27" s="134">
        <f>SUMIF($A:$A,Таблица14[[#This Row],[Зона нагрева]],B:B)</f>
        <v>1160</v>
      </c>
      <c r="K27" s="135">
        <f>SUMIF($A:$A,Таблица14[[#This Row],[Зона нагрева]],C:C)</f>
        <v>154.216192031781</v>
      </c>
      <c r="L27" s="136">
        <f>SUMIF($A:$A,Таблица14[[#This Row],[Зона нагрева]],D:D)</f>
        <v>1173.36465897426</v>
      </c>
      <c r="M27" s="136">
        <f>SUMIF($A:$A,Таблица14[[#This Row],[Зона нагрева]],E:E)</f>
        <v>255.522829463609</v>
      </c>
      <c r="N27" s="137" t="str">
        <f>Таблица14[[#This Row],[Зона нагрева]]&amp;CHAR(10)&amp;TEXT(Таблица14[[#This Row],[Температура газов на выходе из КУ, оC ]],"0")&amp;"оС"&amp;CHAR(10)&amp;TEXT(Таблица14[[#This Row],[Площадь поверхности нагрева, м2 ]],"0,0")&amp;"м2"&amp;CHAR(10)&amp;TEXT(Таблица14[[#This Row],[Выработка насыщенного пара, т/ч ]],"0,0")&amp;"т/ч"&amp;CHAR(10)&amp;TEXT(Таблица14[[#This Row],[Количество полезного тепла, Гкал/ч ]],"0,0")&amp;"Гкал/ч"</f>
        <v>Зона_1
1160оС
154,2м2
1173,4т/ч
255,5Гкал/ч</v>
      </c>
      <c r="R27"/>
    </row>
    <row r="28" ht="86.4" spans="1:18">
      <c r="A28" s="129" t="s">
        <v>328</v>
      </c>
      <c r="B28" s="132">
        <v>1114</v>
      </c>
      <c r="C28" s="133">
        <v>65</v>
      </c>
      <c r="D28" s="133">
        <v>1.422607161446</v>
      </c>
      <c r="E28" s="133">
        <v>0.867256933267474</v>
      </c>
      <c r="G28" s="27" t="s">
        <v>328</v>
      </c>
      <c r="H28" s="27">
        <v>22</v>
      </c>
      <c r="I28" s="27">
        <v>62</v>
      </c>
      <c r="J28" s="134">
        <f>SUMIF($A:$A,Таблица14[[#This Row],[Зона нагрева]],B:B)</f>
        <v>1114</v>
      </c>
      <c r="K28" s="135">
        <f>SUMIF($A:$A,Таблица14[[#This Row],[Зона нагрева]],C:C)</f>
        <v>91.0793319594277</v>
      </c>
      <c r="L28" s="136">
        <f>SUMIF($A:$A,Таблица14[[#This Row],[Зона нагрева]],D:D)</f>
        <v>721.80328519129</v>
      </c>
      <c r="M28" s="136">
        <f>SUMIF($A:$A,Таблица14[[#This Row],[Зона нагрева]],E:E)</f>
        <v>264.356733349089</v>
      </c>
      <c r="N28" s="137" t="str">
        <f>Таблица14[[#This Row],[Зона нагрева]]&amp;CHAR(10)&amp;TEXT(Таблица14[[#This Row],[Температура газов на выходе из КУ, оC ]],"0")&amp;"оС"&amp;CHAR(10)&amp;TEXT(Таблица14[[#This Row],[Площадь поверхности нагрева, м2 ]],"0,0")&amp;"м2"&amp;CHAR(10)&amp;TEXT(Таблица14[[#This Row],[Выработка насыщенного пара, т/ч ]],"0,0")&amp;"т/ч"&amp;CHAR(10)&amp;TEXT(Таблица14[[#This Row],[Количество полезного тепла, Гкал/ч ]],"0,0")&amp;"Гкал/ч"</f>
        <v>Зона_2
1114оС
91,1м2
721,8т/ч
264,4Гкал/ч</v>
      </c>
      <c r="R28"/>
    </row>
    <row r="29" ht="86.4" spans="1:18">
      <c r="A29" s="129" t="s">
        <v>329</v>
      </c>
      <c r="B29" s="132">
        <v>884</v>
      </c>
      <c r="C29" s="133">
        <v>487.5</v>
      </c>
      <c r="D29" s="133">
        <v>7.82717466754533</v>
      </c>
      <c r="E29" s="133">
        <v>4.77164159037723</v>
      </c>
      <c r="G29" s="27" t="s">
        <v>329</v>
      </c>
      <c r="H29" s="27">
        <v>38</v>
      </c>
      <c r="I29" s="27">
        <v>40</v>
      </c>
      <c r="J29" s="134">
        <f>SUMIF($A:$A,Таблица14[[#This Row],[Зона нагрева]],B:B)</f>
        <v>884</v>
      </c>
      <c r="K29" s="135">
        <f>SUMIF($A:$A,Таблица14[[#This Row],[Зона нагрева]],C:C)</f>
        <v>498.993647681961</v>
      </c>
      <c r="L29" s="136">
        <f>SUMIF($A:$A,Таблица14[[#This Row],[Зона нагрева]],D:D)</f>
        <v>661.867431718182</v>
      </c>
      <c r="M29" s="136">
        <f>SUMIF($A:$A,Таблица14[[#This Row],[Зона нагрева]],E:E)</f>
        <v>257.092415170885</v>
      </c>
      <c r="N29" s="137" t="str">
        <f>Таблица14[[#This Row],[Зона нагрева]]&amp;CHAR(10)&amp;TEXT(Таблица14[[#This Row],[Температура газов на выходе из КУ, оC ]],"0")&amp;"оС"&amp;CHAR(10)&amp;TEXT(Таблица14[[#This Row],[Площадь поверхности нагрева, м2 ]],"0,0")&amp;"м2"&amp;CHAR(10)&amp;TEXT(Таблица14[[#This Row],[Выработка насыщенного пара, т/ч ]],"0,0")&amp;"т/ч"&amp;CHAR(10)&amp;TEXT(Таблица14[[#This Row],[Количество полезного тепла, Гкал/ч ]],"0,0")&amp;"Гкал/ч"</f>
        <v>Зона_3
884оС
499,0м2
661,9т/ч
257,1Гкал/ч</v>
      </c>
      <c r="R29"/>
    </row>
    <row r="30" ht="86.4" spans="1:18">
      <c r="A30" s="129" t="s">
        <v>330</v>
      </c>
      <c r="B30" s="132">
        <v>816</v>
      </c>
      <c r="C30" s="133">
        <v>143</v>
      </c>
      <c r="D30" s="133">
        <v>1.77834807770583</v>
      </c>
      <c r="E30" s="133">
        <v>1.08412549996277</v>
      </c>
      <c r="G30" s="27" t="s">
        <v>330</v>
      </c>
      <c r="H30" s="27">
        <v>50</v>
      </c>
      <c r="I30" s="27">
        <v>11</v>
      </c>
      <c r="J30" s="134">
        <f>SUMIF($A:$A,Таблица14[[#This Row],[Зона нагрева]],B:B)</f>
        <v>816</v>
      </c>
      <c r="K30" s="135">
        <f>SUMIF($A:$A,Таблица14[[#This Row],[Зона нагрева]],C:C)</f>
        <v>154.960680035724</v>
      </c>
      <c r="L30" s="136">
        <f>SUMIF($A:$A,Таблица14[[#This Row],[Зона нагрева]],D:D)</f>
        <v>514.882666956884</v>
      </c>
      <c r="M30" s="136">
        <f>SUMIF($A:$A,Таблица14[[#This Row],[Зона нагрева]],E:E)</f>
        <v>255.506671796526</v>
      </c>
      <c r="N30" s="137" t="str">
        <f>Таблица14[[#This Row],[Зона нагрева]]&amp;CHAR(10)&amp;TEXT(Таблица14[[#This Row],[Температура газов на выходе из КУ, оC ]],"0")&amp;"оС"&amp;CHAR(10)&amp;TEXT(Таблица14[[#This Row],[Площадь поверхности нагрева, м2 ]],"0,0")&amp;"м2"&amp;CHAR(10)&amp;TEXT(Таблица14[[#This Row],[Выработка насыщенного пара, т/ч ]],"0,0")&amp;"т/ч"&amp;CHAR(10)&amp;TEXT(Таблица14[[#This Row],[Количество полезного тепла, Гкал/ч ]],"0,0")&amp;"Гкал/ч"</f>
        <v>Зона_4
816оС
155,0м2
514,9т/ч
255,5Гкал/ч</v>
      </c>
      <c r="R30"/>
    </row>
    <row r="31" ht="86.4" spans="1:18">
      <c r="A31" s="129" t="s">
        <v>331</v>
      </c>
      <c r="B31" s="132">
        <v>716</v>
      </c>
      <c r="C31" s="133">
        <v>312</v>
      </c>
      <c r="D31" s="133">
        <v>3.04795463601683</v>
      </c>
      <c r="E31" s="133">
        <v>1.85810943597635</v>
      </c>
      <c r="G31" s="27" t="s">
        <v>331</v>
      </c>
      <c r="H31" s="27">
        <v>60</v>
      </c>
      <c r="I31" s="27">
        <v>52</v>
      </c>
      <c r="J31" s="134">
        <f>SUMIF($A:$A,Таблица14[[#This Row],[Зона нагрева]],B:B)</f>
        <v>716</v>
      </c>
      <c r="K31" s="135">
        <f>SUMIF($A:$A,Таблица14[[#This Row],[Зона нагрева]],C:C)</f>
        <v>319.942530092726</v>
      </c>
      <c r="L31" s="136">
        <f>SUMIF($A:$A,Таблица14[[#This Row],[Зона нагрева]],D:D)</f>
        <v>505.056903865017</v>
      </c>
      <c r="M31" s="136">
        <f>SUMIF($A:$A,Таблица14[[#This Row],[Зона нагрева]],E:E)</f>
        <v>253.151720245587</v>
      </c>
      <c r="N31" s="137" t="str">
        <f>Таблица14[[#This Row],[Зона нагрева]]&amp;CHAR(10)&amp;TEXT(Таблица14[[#This Row],[Температура газов на выходе из КУ, оC ]],"0")&amp;"оС"&amp;CHAR(10)&amp;TEXT(Таблица14[[#This Row],[Площадь поверхности нагрева, м2 ]],"0,0")&amp;"м2"&amp;CHAR(10)&amp;TEXT(Таблица14[[#This Row],[Выработка насыщенного пара, т/ч ]],"0,0")&amp;"т/ч"&amp;CHAR(10)&amp;TEXT(Таблица14[[#This Row],[Количество полезного тепла, Гкал/ч ]],"0,0")&amp;"Гкал/ч"</f>
        <v>Зона_5
716оС
319,9м2
505,1т/ч
253,2Гкал/ч</v>
      </c>
      <c r="R31"/>
    </row>
    <row r="32" ht="86.4" spans="1:18">
      <c r="A32" s="129" t="s">
        <v>332</v>
      </c>
      <c r="B32" s="132">
        <v>591</v>
      </c>
      <c r="C32" s="133">
        <v>302.5</v>
      </c>
      <c r="D32" s="133">
        <v>3.15127957304646</v>
      </c>
      <c r="E32" s="133">
        <v>1.92109890379773</v>
      </c>
      <c r="G32" s="27" t="s">
        <v>332</v>
      </c>
      <c r="H32" s="27">
        <v>74</v>
      </c>
      <c r="I32" s="27">
        <v>83</v>
      </c>
      <c r="J32" s="134">
        <f>SUMIF($A:$A,Таблица14[[#This Row],[Зона нагрева]],B:B)</f>
        <v>591</v>
      </c>
      <c r="K32" s="135">
        <f>SUMIF($A:$A,Таблица14[[#This Row],[Зона нагрева]],C:C)</f>
        <v>311.182960968098</v>
      </c>
      <c r="L32" s="136">
        <f>SUMIF($A:$A,Таблица14[[#This Row],[Зона нагрева]],D:D)</f>
        <v>434.206403184981</v>
      </c>
      <c r="M32" s="136">
        <f>SUMIF($A:$A,Таблица14[[#This Row],[Зона нагрева]],E:E)</f>
        <v>254.729622110402</v>
      </c>
      <c r="N32" s="137" t="str">
        <f>Таблица14[[#This Row],[Зона нагрева]]&amp;CHAR(10)&amp;TEXT(Таблица14[[#This Row],[Температура газов на выходе из КУ, оC ]],"0")&amp;"оС"&amp;CHAR(10)&amp;TEXT(Таблица14[[#This Row],[Площадь поверхности нагрева, м2 ]],"0,0")&amp;"м2"&amp;CHAR(10)&amp;TEXT(Таблица14[[#This Row],[Выработка насыщенного пара, т/ч ]],"0,0")&amp;"т/ч"&amp;CHAR(10)&amp;TEXT(Таблица14[[#This Row],[Количество полезного тепла, Гкал/ч ]],"0,0")&amp;"Гкал/ч"</f>
        <v>Зона_6
591оС
311,2м2
434,2т/ч
254,7Гкал/ч</v>
      </c>
      <c r="R32"/>
    </row>
    <row r="33" spans="1:18">
      <c r="A33" s="129" t="s">
        <v>333</v>
      </c>
      <c r="B33" s="132">
        <v>570</v>
      </c>
      <c r="C33" s="133">
        <v>144</v>
      </c>
      <c r="D33" s="133">
        <v>0.751586004517478</v>
      </c>
      <c r="E33" s="133">
        <v>0.45818564044205</v>
      </c>
      <c r="G33" s="27" t="s">
        <v>333</v>
      </c>
      <c r="H33" s="27">
        <v>74</v>
      </c>
      <c r="I33" s="27">
        <v>50</v>
      </c>
      <c r="J33" s="134" t="e">
        <f>SUMIF($A:$A,Таблица14[[#This Row],[Зона нагрева]],B:B)</f>
        <v>#DIV/0!</v>
      </c>
      <c r="K33" s="135" t="e">
        <f>SUMIF($A:$A,Таблица14[[#This Row],[Зона нагрева]],C:C)</f>
        <v>#DIV/0!</v>
      </c>
      <c r="L33" s="136" t="e">
        <f>SUMIF($A:$A,Таблица14[[#This Row],[Зона нагрева]],D:D)</f>
        <v>#DIV/0!</v>
      </c>
      <c r="M33" s="136" t="e">
        <f>SUMIF($A:$A,Таблица14[[#This Row],[Зона нагрева]],E:E)</f>
        <v>#DIV/0!</v>
      </c>
      <c r="N33" s="137" t="e">
        <f>Таблица14[[#This Row],[Зона нагрева]]&amp;CHAR(10)&amp;TEXT(Таблица14[[#This Row],[Температура газов на выходе из КУ, оC ]],"0")&amp;"оС"&amp;CHAR(10)&amp;TEXT(Таблица14[[#This Row],[Площадь поверхности нагрева, м2 ]],"0,0")&amp;"м2"&amp;CHAR(10)&amp;TEXT(Таблица14[[#This Row],[Выработка насыщенного пара, т/ч ]],"0,0")&amp;"т/ч"&amp;CHAR(10)&amp;TEXT(Таблица14[[#This Row],[Количество полезного тепла, Гкал/ч ]],"0,0")&amp;"Гкал/ч"</f>
        <v>#DIV/0!</v>
      </c>
      <c r="R33"/>
    </row>
    <row r="34" spans="7:18">
      <c r="G34" s="27"/>
      <c r="H34" s="27"/>
      <c r="I34" s="27"/>
      <c r="J34" s="134"/>
      <c r="L34" s="136"/>
      <c r="M34" s="136"/>
      <c r="O34" s="135"/>
      <c r="P34" s="137"/>
      <c r="R34"/>
    </row>
    <row r="40" spans="28:28">
      <c r="AB40" t="s">
        <v>334</v>
      </c>
    </row>
    <row r="84" s="116" customFormat="1" ht="108" spans="1:25">
      <c r="A84" s="138" t="s">
        <v>335</v>
      </c>
      <c r="B84" s="139" t="s">
        <v>51</v>
      </c>
      <c r="C84" s="139" t="s">
        <v>336</v>
      </c>
      <c r="D84" s="140" t="s">
        <v>337</v>
      </c>
      <c r="E84" s="140" t="s">
        <v>338</v>
      </c>
      <c r="F84" s="140" t="s">
        <v>339</v>
      </c>
      <c r="G84" s="140" t="s">
        <v>340</v>
      </c>
      <c r="H84" s="140" t="s">
        <v>341</v>
      </c>
      <c r="I84" s="149" t="s">
        <v>342</v>
      </c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</row>
    <row r="85" s="116" customFormat="1" ht="18" spans="1:25">
      <c r="A85" s="141" t="s">
        <v>327</v>
      </c>
      <c r="B85" s="46" t="str">
        <f>Таб2!$C$2</f>
        <v>Воротник</v>
      </c>
      <c r="C85" s="142">
        <f>Таб6!$C$23</f>
        <v>20.0008848317021</v>
      </c>
      <c r="D85" s="143">
        <f>Таб6!$C$24</f>
        <v>1170</v>
      </c>
      <c r="E85" s="143">
        <f>Таб4!$D$3</f>
        <v>251</v>
      </c>
      <c r="F85" s="143">
        <f>Таб8!$D$18</f>
        <v>958.443606894833</v>
      </c>
      <c r="G85" s="144">
        <f>Таб8!$D$73</f>
        <v>45.7636507019414</v>
      </c>
      <c r="H85" s="143">
        <f>Таб5!$C$7</f>
        <v>59.3275</v>
      </c>
      <c r="I85" s="156">
        <f>Таб5!$C$8</f>
        <v>1</v>
      </c>
      <c r="J85" s="157"/>
      <c r="K85" s="158"/>
      <c r="L85" s="159"/>
      <c r="M85" s="160"/>
      <c r="N85" s="161"/>
      <c r="O85" s="158"/>
      <c r="P85" s="158"/>
      <c r="Q85" s="172"/>
      <c r="R85" s="166"/>
      <c r="S85" s="166"/>
      <c r="T85" s="166"/>
      <c r="U85" s="166"/>
      <c r="V85" s="166"/>
      <c r="W85" s="166"/>
      <c r="X85" s="172"/>
      <c r="Y85" s="172"/>
    </row>
    <row r="86" s="116" customFormat="1" ht="36" spans="1:25">
      <c r="A86" s="141" t="s">
        <v>328</v>
      </c>
      <c r="B86" s="46" t="str">
        <f>Таб2!$D$2</f>
        <v>Радиационная
шахта</v>
      </c>
      <c r="C86" s="142">
        <f>Таб6!$D$23</f>
        <v>18.4654345265679</v>
      </c>
      <c r="D86" s="143">
        <f>Таб6!$D$24</f>
        <v>720</v>
      </c>
      <c r="E86" s="143">
        <f>Таб4!$D$3</f>
        <v>251</v>
      </c>
      <c r="F86" s="143">
        <f>Таб8!$E$18</f>
        <v>668.962591960619</v>
      </c>
      <c r="G86" s="144">
        <f>Таб8!$E$73</f>
        <v>41.1664247702084</v>
      </c>
      <c r="H86" s="143">
        <f>Таб5!$D$7</f>
        <v>468.608354</v>
      </c>
      <c r="I86" s="156">
        <f>Таб5!$D$8</f>
        <v>1</v>
      </c>
      <c r="J86" s="157"/>
      <c r="K86" s="158"/>
      <c r="L86" s="162"/>
      <c r="M86" s="162"/>
      <c r="N86" s="162"/>
      <c r="O86" s="162"/>
      <c r="P86" s="162"/>
      <c r="Q86" s="162"/>
      <c r="R86" s="162"/>
      <c r="S86" s="166"/>
      <c r="T86" s="166"/>
      <c r="U86" s="166"/>
      <c r="V86" s="166"/>
      <c r="W86" s="166"/>
      <c r="X86" s="166"/>
      <c r="Y86" s="166"/>
    </row>
    <row r="87" s="116" customFormat="1" ht="36" spans="1:25">
      <c r="A87" s="141" t="s">
        <v>329</v>
      </c>
      <c r="B87" s="46" t="str">
        <f>Таб2!$E$2</f>
        <v>Холодная
воронка 1</v>
      </c>
      <c r="C87" s="142">
        <f>Таб6!$E$23</f>
        <v>10.6884710485135</v>
      </c>
      <c r="D87" s="143">
        <f>Таб6!$E$24</f>
        <v>654</v>
      </c>
      <c r="E87" s="143">
        <f>Таб4!$D$3</f>
        <v>251</v>
      </c>
      <c r="F87" s="143">
        <f>Таб8!$F$18</f>
        <v>435.166155488801</v>
      </c>
      <c r="G87" s="144">
        <f>Таб8!$F$73</f>
        <v>36.719600390213</v>
      </c>
      <c r="H87" s="143">
        <f>Таб5!$E$7</f>
        <v>85.40555</v>
      </c>
      <c r="I87" s="156">
        <f>Таб5!$E$8</f>
        <v>1</v>
      </c>
      <c r="J87" s="157"/>
      <c r="K87" s="158"/>
      <c r="L87" s="159"/>
      <c r="M87" s="160"/>
      <c r="N87" s="161"/>
      <c r="O87" s="158"/>
      <c r="P87" s="158"/>
      <c r="Q87" s="172"/>
      <c r="R87" s="166"/>
      <c r="S87" s="166"/>
      <c r="T87" s="166"/>
      <c r="U87" s="166"/>
      <c r="V87" s="166"/>
      <c r="W87" s="166"/>
      <c r="X87" s="166"/>
      <c r="Y87" s="166"/>
    </row>
    <row r="88" s="116" customFormat="1" ht="36" spans="1:17">
      <c r="A88" s="141" t="s">
        <v>330</v>
      </c>
      <c r="B88" s="46" t="str">
        <f>Таб2!$F$2</f>
        <v>Конвективная
шахта</v>
      </c>
      <c r="C88" s="142">
        <f>Таб6!$F$23</f>
        <v>9.87421014750435</v>
      </c>
      <c r="D88" s="143">
        <f>Таб6!$F$24</f>
        <v>513</v>
      </c>
      <c r="E88" s="143">
        <f>Таб4!$D$3</f>
        <v>251</v>
      </c>
      <c r="F88" s="143">
        <f>Таб8!$G$18</f>
        <v>327.456109139915</v>
      </c>
      <c r="G88" s="144">
        <f>Таб8!$G$73</f>
        <v>29.8001756236256</v>
      </c>
      <c r="H88" s="143">
        <f>Таб5!$F$7</f>
        <v>362.4</v>
      </c>
      <c r="I88" s="156">
        <f>Таб5!$F$8</f>
        <v>1</v>
      </c>
      <c r="J88" s="157"/>
      <c r="K88" s="158"/>
      <c r="L88" s="159"/>
      <c r="M88" s="160"/>
      <c r="N88" s="161"/>
      <c r="O88" s="158"/>
      <c r="P88" s="158"/>
      <c r="Q88" s="172"/>
    </row>
    <row r="89" s="116" customFormat="1" ht="18" spans="1:17">
      <c r="A89" s="141" t="s">
        <v>331</v>
      </c>
      <c r="B89" s="46" t="str">
        <f>Таб2!$G$2</f>
        <v>Переход</v>
      </c>
      <c r="C89" s="142">
        <f>Таб6!$G$23</f>
        <v>7.76353759415097</v>
      </c>
      <c r="D89" s="143">
        <f>Таб6!$G$24</f>
        <v>502</v>
      </c>
      <c r="E89" s="143">
        <f>Таб4!$D$3</f>
        <v>251</v>
      </c>
      <c r="F89" s="143">
        <f>Таб8!$H$18</f>
        <v>256.460683937894</v>
      </c>
      <c r="G89" s="144">
        <f>Таб8!$H$73</f>
        <v>26.5709368368798</v>
      </c>
      <c r="H89" s="143">
        <f>Таб5!$G$7</f>
        <v>44.52</v>
      </c>
      <c r="I89" s="156">
        <f>Таб5!$G$8</f>
        <v>1</v>
      </c>
      <c r="J89" s="157"/>
      <c r="K89" s="158"/>
      <c r="L89" s="159"/>
      <c r="M89" s="160"/>
      <c r="N89" s="161"/>
      <c r="O89" s="158"/>
      <c r="P89" s="158"/>
      <c r="Q89" s="172"/>
    </row>
    <row r="90" s="116" customFormat="1" ht="36" spans="1:17">
      <c r="A90" s="141" t="s">
        <v>332</v>
      </c>
      <c r="B90" s="46" t="str">
        <f>Таб2!$H$2</f>
        <v>Газоохладитель
без ширмы</v>
      </c>
      <c r="C90" s="142">
        <f>Таб6!$H$23</f>
        <v>7.58043995427955</v>
      </c>
      <c r="D90" s="143">
        <f>Таб6!$H$24</f>
        <v>431</v>
      </c>
      <c r="E90" s="143">
        <f>Таб4!$D$3</f>
        <v>251</v>
      </c>
      <c r="F90" s="143">
        <f>Таб8!$I$18</f>
        <v>213.536346774748</v>
      </c>
      <c r="G90" s="144">
        <f>Таб8!$I$73</f>
        <v>24.1476496771139</v>
      </c>
      <c r="H90" s="143">
        <f>Таб5!$H$7</f>
        <v>362.4</v>
      </c>
      <c r="I90" s="156">
        <f>Таб5!$H$8</f>
        <v>1</v>
      </c>
      <c r="J90" s="157"/>
      <c r="K90" s="158"/>
      <c r="L90" s="159"/>
      <c r="M90" s="160"/>
      <c r="N90" s="161"/>
      <c r="O90" s="158"/>
      <c r="P90" s="158"/>
      <c r="Q90" s="172"/>
    </row>
    <row r="91" s="116" customFormat="1" ht="18" spans="1:17">
      <c r="A91" s="145" t="s">
        <v>333</v>
      </c>
      <c r="B91" s="51">
        <f>Таб2!$I$2</f>
        <v>0</v>
      </c>
      <c r="C91" s="146">
        <f>Таб6!$I$23</f>
        <v>6.4521712846986</v>
      </c>
      <c r="D91" s="147">
        <f>Таб6!$I$24</f>
        <v>431</v>
      </c>
      <c r="E91" s="147">
        <f>Таб4!$D$3</f>
        <v>251</v>
      </c>
      <c r="F91" s="147" t="e">
        <f>Таб8!$J$18</f>
        <v>#DIV/0!</v>
      </c>
      <c r="G91" s="148" t="e">
        <f>Таб8!$J$73</f>
        <v>#DIV/0!</v>
      </c>
      <c r="H91" s="147">
        <f>Таб5!$I$7</f>
        <v>0</v>
      </c>
      <c r="I91" s="163" t="e">
        <f>Таб5!$I$8</f>
        <v>#DIV/0!</v>
      </c>
      <c r="J91" s="157"/>
      <c r="K91" s="158"/>
      <c r="L91" s="159"/>
      <c r="M91" s="160"/>
      <c r="N91" s="161"/>
      <c r="O91" s="158"/>
      <c r="P91" s="158"/>
      <c r="Q91" s="172"/>
    </row>
    <row r="92" s="116" customFormat="1" ht="18" spans="13:28">
      <c r="M92" s="164"/>
      <c r="N92" s="165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</row>
    <row r="93" s="116" customFormat="1" ht="198" spans="1:30">
      <c r="A93" s="138" t="s">
        <v>335</v>
      </c>
      <c r="B93" s="140" t="s">
        <v>343</v>
      </c>
      <c r="C93" s="140" t="s">
        <v>344</v>
      </c>
      <c r="D93" s="140" t="s">
        <v>313</v>
      </c>
      <c r="E93" s="140" t="s">
        <v>345</v>
      </c>
      <c r="F93" s="140" t="s">
        <v>346</v>
      </c>
      <c r="G93" s="149" t="s">
        <v>347</v>
      </c>
      <c r="H93" s="150" t="s">
        <v>348</v>
      </c>
      <c r="I93" s="150" t="s">
        <v>349</v>
      </c>
      <c r="J93" s="150" t="s">
        <v>298</v>
      </c>
      <c r="K93" s="150" t="s">
        <v>350</v>
      </c>
      <c r="L93" s="139" t="s">
        <v>312</v>
      </c>
      <c r="M93" s="139" t="s">
        <v>351</v>
      </c>
      <c r="O93" s="164"/>
      <c r="P93" s="165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</row>
    <row r="94" s="116" customFormat="1" ht="18" spans="1:30">
      <c r="A94" s="141" t="s">
        <v>327</v>
      </c>
      <c r="B94" s="151">
        <f>Таб5!$C$9</f>
        <v>0</v>
      </c>
      <c r="C94" s="144">
        <f>Таб8!$D$80</f>
        <v>1.53530720007852</v>
      </c>
      <c r="D94" s="152">
        <f>Таб8!$D$84</f>
        <v>0.076761963932966</v>
      </c>
      <c r="E94" s="144">
        <f>Таб8!$D$87</f>
        <v>2.51844515053037</v>
      </c>
      <c r="F94" s="144">
        <f>Таб8!$D$79/1000</f>
        <v>25.8785082816319</v>
      </c>
      <c r="G94" s="144">
        <f>$H$85/$E$94</f>
        <v>23.5571936071374</v>
      </c>
      <c r="H94" s="142">
        <f>Таб8!D2</f>
        <v>1.5565107291369</v>
      </c>
      <c r="I94" s="142" t="str">
        <f>Таб8!D3</f>
        <v>ПРАВИЛЬНО!</v>
      </c>
      <c r="J94" s="167">
        <f>Таб7!C20</f>
        <v>0.00824995008677769</v>
      </c>
      <c r="K94" s="142" t="str">
        <f>Таб7!C21</f>
        <v>МАЛО!</v>
      </c>
      <c r="L94" s="168">
        <f>Таб8!$D$82</f>
        <v>-0.00763321772842388</v>
      </c>
      <c r="M94" s="142" t="str">
        <f>Таб8!D83</f>
        <v>ПРАВИЛЬНО!</v>
      </c>
      <c r="O94" s="164"/>
      <c r="P94" s="165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</row>
    <row r="95" s="116" customFormat="1" ht="18" spans="1:30">
      <c r="A95" s="141" t="s">
        <v>328</v>
      </c>
      <c r="B95" s="151">
        <f>Таб5!$D$9</f>
        <v>0</v>
      </c>
      <c r="C95" s="144">
        <f>Таб8!$E$80</f>
        <v>7.61389743285978</v>
      </c>
      <c r="D95" s="152">
        <f>Таб8!$E$84</f>
        <v>0.380678029843535</v>
      </c>
      <c r="E95" s="144">
        <f>Таб8!$E$87</f>
        <v>12.4894764158213</v>
      </c>
      <c r="F95" s="144">
        <f>Таб8!$E$79/1000</f>
        <v>16.247890947458</v>
      </c>
      <c r="G95" s="144">
        <f>$H$86/$E$95</f>
        <v>37.5202561258998</v>
      </c>
      <c r="H95" s="142">
        <f>Таб8!E2</f>
        <v>0.616208168248985</v>
      </c>
      <c r="I95" s="142" t="str">
        <f>Таб8!E3</f>
        <v>МАЛО!</v>
      </c>
      <c r="J95" s="167">
        <f>Таб7!D20</f>
        <v>0.0187259363961524</v>
      </c>
      <c r="K95" s="169" t="str">
        <f>Таб7!D21</f>
        <v>ПРАВИЛЬНО!</v>
      </c>
      <c r="L95" s="168">
        <f>Таб8!$E$82</f>
        <v>0.0024002736442873</v>
      </c>
      <c r="M95" s="142" t="str">
        <f>Таб8!E83</f>
        <v>ПРАВИЛЬНО!</v>
      </c>
      <c r="O95" s="164"/>
      <c r="P95" s="165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</row>
    <row r="96" s="116" customFormat="1" ht="18" spans="1:30">
      <c r="A96" s="141" t="s">
        <v>329</v>
      </c>
      <c r="B96" s="151">
        <f>Таб5!$E$9</f>
        <v>0</v>
      </c>
      <c r="C96" s="144">
        <f>Таб8!$F$80</f>
        <v>0.805176633447651</v>
      </c>
      <c r="D96" s="152">
        <f>Таб8!$F$84</f>
        <v>0.0402570506366508</v>
      </c>
      <c r="E96" s="144">
        <f>Таб8!$F$87</f>
        <v>1.32077358050747</v>
      </c>
      <c r="F96" s="144">
        <f>Таб8!$F$79/1000</f>
        <v>9.42768512640749</v>
      </c>
      <c r="G96" s="144">
        <f>$H$87/$E$96</f>
        <v>64.6632785970668</v>
      </c>
      <c r="H96" s="142">
        <f>Таб8!F2</f>
        <v>2.3290869917854</v>
      </c>
      <c r="I96" s="142" t="str">
        <f>Таб8!F3</f>
        <v>МНОГО!</v>
      </c>
      <c r="J96" s="167">
        <f>Таб7!E20</f>
        <v>0.0152890681425415</v>
      </c>
      <c r="K96" s="169" t="str">
        <f>Таб7!E21</f>
        <v>ПРАВИЛЬНО!</v>
      </c>
      <c r="L96" s="168">
        <f>Таб8!$F$82</f>
        <v>0.00352300196368936</v>
      </c>
      <c r="M96" s="169" t="str">
        <f>Таб8!F83</f>
        <v>ПРАВИЛЬНО!</v>
      </c>
      <c r="O96" s="164"/>
      <c r="P96" s="165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</row>
    <row r="97" s="116" customFormat="1" ht="18" spans="1:30">
      <c r="A97" s="141" t="s">
        <v>330</v>
      </c>
      <c r="B97" s="151">
        <f>Таб5!$F$9</f>
        <v>0</v>
      </c>
      <c r="C97" s="144">
        <f>Таб8!$G$80</f>
        <v>2.08646988822</v>
      </c>
      <c r="D97" s="152">
        <f>Таб8!$G$84</f>
        <v>0.104318879178429</v>
      </c>
      <c r="E97" s="144">
        <f>Таб8!$G$87</f>
        <v>3.42254629656304</v>
      </c>
      <c r="F97" s="144">
        <f>Таб8!$G$79/1000</f>
        <v>5.75736724122517</v>
      </c>
      <c r="G97" s="144">
        <f>$H$88/$E$97</f>
        <v>105.886076797245</v>
      </c>
      <c r="H97" s="142">
        <f>Таб8!G2</f>
        <v>1.68826617826618</v>
      </c>
      <c r="I97" s="142" t="str">
        <f>Таб8!G3</f>
        <v>ПРАВИЛЬНО!</v>
      </c>
      <c r="J97" s="167">
        <f>Таб7!F20</f>
        <v>0.0180760339538207</v>
      </c>
      <c r="K97" s="169" t="str">
        <f>Таб7!F21</f>
        <v>ПРАВИЛЬНО!</v>
      </c>
      <c r="L97" s="168">
        <f>Таб8!$G$82</f>
        <v>-0.00415851625018421</v>
      </c>
      <c r="M97" s="169" t="str">
        <f>Таб8!G83</f>
        <v>ПРАВИЛЬНО!</v>
      </c>
      <c r="O97" s="164"/>
      <c r="P97" s="165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</row>
    <row r="98" s="116" customFormat="1" ht="18" spans="1:30">
      <c r="A98" s="141" t="s">
        <v>331</v>
      </c>
      <c r="B98" s="151">
        <f>Таб5!$G$9</f>
        <v>0</v>
      </c>
      <c r="C98" s="144">
        <f>Таб8!$H$80</f>
        <v>0.178992498574643</v>
      </c>
      <c r="D98" s="152">
        <f>Таб8!$H$84</f>
        <v>0.00894922900065571</v>
      </c>
      <c r="E98" s="144">
        <f>Таб8!$H$87</f>
        <v>0.293610809610981</v>
      </c>
      <c r="F98" s="144">
        <f>Таб8!$H$79/1000</f>
        <v>4.02049637409351</v>
      </c>
      <c r="G98" s="144">
        <f>$H$89/$E$98</f>
        <v>151.62929477626</v>
      </c>
      <c r="H98" s="142">
        <f>Таб8!H2</f>
        <v>0.631148085785183</v>
      </c>
      <c r="I98" s="142" t="str">
        <f>Таб8!H3</f>
        <v>МАЛО!</v>
      </c>
      <c r="J98" s="167">
        <f>Таб7!G20</f>
        <v>0.0231600602778258</v>
      </c>
      <c r="K98" s="169" t="str">
        <f>Таб7!G21</f>
        <v>ПРАВИЛЬНО!</v>
      </c>
      <c r="L98" s="168">
        <f>Таб8!$H$82</f>
        <v>-0.000757090933692659</v>
      </c>
      <c r="M98" s="169" t="str">
        <f>Таб8!H83</f>
        <v>ПРАВИЛЬНО!</v>
      </c>
      <c r="O98" s="164"/>
      <c r="P98" s="165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</row>
    <row r="99" s="116" customFormat="1" ht="18" spans="1:13">
      <c r="A99" s="141" t="s">
        <v>332</v>
      </c>
      <c r="B99" s="151">
        <f>Таб5!$H$9</f>
        <v>0</v>
      </c>
      <c r="C99" s="144">
        <f>Таб8!$I$80</f>
        <v>1.1025210138182</v>
      </c>
      <c r="D99" s="152">
        <f>Таб8!$I$84</f>
        <v>0.0551236119349416</v>
      </c>
      <c r="E99" s="144">
        <f>Таб8!$I$87</f>
        <v>1.80852320660404</v>
      </c>
      <c r="F99" s="144">
        <f>Таб8!$I$79/1000</f>
        <v>3.04227652819593</v>
      </c>
      <c r="G99" s="144">
        <f>$H$90/$E$99</f>
        <v>200.384489774116</v>
      </c>
      <c r="H99" s="142">
        <f>Таб8!I2</f>
        <v>1.43365588115588</v>
      </c>
      <c r="I99" s="142" t="str">
        <f>Таб8!I3</f>
        <v>МАЛО!</v>
      </c>
      <c r="J99" s="170">
        <f>Таб7!H20</f>
        <v>0.0338477189295281</v>
      </c>
      <c r="K99" s="169" t="str">
        <f>Таб7!H21</f>
        <v>ПРАВИЛЬНО!</v>
      </c>
      <c r="L99" s="168">
        <f>Таб8!$I$82</f>
        <v>-0.00980046022365058</v>
      </c>
      <c r="M99" s="169" t="str">
        <f>Таб8!I83</f>
        <v>ПРАВИЛЬНО!</v>
      </c>
    </row>
    <row r="100" s="116" customFormat="1" ht="18" spans="1:13">
      <c r="A100" s="145" t="s">
        <v>333</v>
      </c>
      <c r="B100" s="153" t="e">
        <f>Таб5!$I$9</f>
        <v>#DIV/0!</v>
      </c>
      <c r="C100" s="148" t="e">
        <f>Таб8!$J$80</f>
        <v>#DIV/0!</v>
      </c>
      <c r="D100" s="154" t="e">
        <f>Таб8!$J$84</f>
        <v>#DIV/0!</v>
      </c>
      <c r="E100" s="148" t="e">
        <f>Таб8!$J$87</f>
        <v>#DIV/0!</v>
      </c>
      <c r="F100" s="148" t="e">
        <f>Таб8!$J$79/1000</f>
        <v>#DIV/0!</v>
      </c>
      <c r="G100" s="148" t="e">
        <f>$H$91/$E$100</f>
        <v>#DIV/0!</v>
      </c>
      <c r="H100" s="142" t="e">
        <f>Таб8!J2</f>
        <v>#DIV/0!</v>
      </c>
      <c r="I100" s="142" t="e">
        <f>Таб8!J3</f>
        <v>#DIV/0!</v>
      </c>
      <c r="J100" s="170" t="e">
        <f>Таб7!I20</f>
        <v>#DIV/0!</v>
      </c>
      <c r="K100" s="142" t="e">
        <f>Таб7!I21</f>
        <v>#DIV/0!</v>
      </c>
      <c r="L100" s="171" t="e">
        <f>Таб8!$J$82</f>
        <v>#DIV/0!</v>
      </c>
      <c r="M100" s="169" t="e">
        <f>Таб8!J83</f>
        <v>#DIV/0!</v>
      </c>
    </row>
  </sheetData>
  <pageMargins left="0.7" right="0.7" top="0.75" bottom="0.75" header="0.3" footer="0.3"/>
  <pageSetup paperSize="9" orientation="portrait" horizontalDpi="300"/>
  <headerFooter/>
  <drawing r:id="rId2"/>
  <tableParts count="4"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55" zoomScaleNormal="55" workbookViewId="0">
      <selection activeCell="L50" sqref="L50"/>
    </sheetView>
  </sheetViews>
  <sheetFormatPr defaultColWidth="9" defaultRowHeight="14.4" outlineLevelCol="5"/>
  <cols>
    <col min="1" max="4" width="27.6666666666667" customWidth="1"/>
  </cols>
  <sheetData>
    <row r="1" ht="54" spans="1:6">
      <c r="A1" s="57" t="s">
        <v>352</v>
      </c>
      <c r="B1" s="39" t="s">
        <v>353</v>
      </c>
      <c r="C1" s="39" t="s">
        <v>354</v>
      </c>
      <c r="D1" s="81" t="s">
        <v>355</v>
      </c>
      <c r="F1" s="113"/>
    </row>
    <row r="2" ht="18" spans="1:4">
      <c r="A2" s="105">
        <v>0</v>
      </c>
      <c r="B2" s="75">
        <v>11.9</v>
      </c>
      <c r="C2" s="75">
        <v>1.96</v>
      </c>
      <c r="D2" s="114">
        <v>0.74</v>
      </c>
    </row>
    <row r="3" ht="18" spans="1:4">
      <c r="A3" s="105">
        <v>100</v>
      </c>
      <c r="B3" s="75">
        <v>20.8</v>
      </c>
      <c r="C3" s="75">
        <v>2.69</v>
      </c>
      <c r="D3" s="114">
        <v>0.7</v>
      </c>
    </row>
    <row r="4" ht="18" spans="1:4">
      <c r="A4" s="105">
        <v>200</v>
      </c>
      <c r="B4" s="75">
        <v>31.6</v>
      </c>
      <c r="C4" s="75">
        <v>3.45</v>
      </c>
      <c r="D4" s="114">
        <v>0.67</v>
      </c>
    </row>
    <row r="5" ht="18" spans="1:4">
      <c r="A5" s="105">
        <v>300</v>
      </c>
      <c r="B5" s="75">
        <v>43.9</v>
      </c>
      <c r="C5" s="75">
        <v>4.16</v>
      </c>
      <c r="D5" s="114">
        <v>0.65</v>
      </c>
    </row>
    <row r="6" ht="18" spans="1:4">
      <c r="A6" s="105">
        <v>400</v>
      </c>
      <c r="B6" s="75">
        <v>57.8</v>
      </c>
      <c r="C6" s="75">
        <v>4.9</v>
      </c>
      <c r="D6" s="114">
        <v>0.64</v>
      </c>
    </row>
    <row r="7" ht="18" spans="1:4">
      <c r="A7" s="105">
        <v>500</v>
      </c>
      <c r="B7" s="75">
        <v>73</v>
      </c>
      <c r="C7" s="75">
        <v>5.64</v>
      </c>
      <c r="D7" s="114">
        <v>0.62</v>
      </c>
    </row>
    <row r="8" ht="18" spans="1:4">
      <c r="A8" s="105">
        <v>600</v>
      </c>
      <c r="B8" s="75">
        <v>89.4</v>
      </c>
      <c r="C8" s="75">
        <v>6.38</v>
      </c>
      <c r="D8" s="114">
        <v>0.61</v>
      </c>
    </row>
    <row r="9" ht="18" spans="1:4">
      <c r="A9" s="105">
        <v>700</v>
      </c>
      <c r="B9" s="75">
        <v>107</v>
      </c>
      <c r="C9" s="75">
        <v>7.11</v>
      </c>
      <c r="D9" s="114">
        <v>0.6</v>
      </c>
    </row>
    <row r="10" ht="18" spans="1:4">
      <c r="A10" s="105">
        <v>800</v>
      </c>
      <c r="B10" s="75">
        <v>126</v>
      </c>
      <c r="C10" s="75">
        <v>7.87</v>
      </c>
      <c r="D10" s="114">
        <v>0.59</v>
      </c>
    </row>
    <row r="11" ht="18" spans="1:4">
      <c r="A11" s="105">
        <v>900</v>
      </c>
      <c r="B11" s="75">
        <v>146</v>
      </c>
      <c r="C11" s="75">
        <v>8.61</v>
      </c>
      <c r="D11" s="114">
        <v>0.58</v>
      </c>
    </row>
    <row r="12" ht="18" spans="1:4">
      <c r="A12" s="105">
        <v>1000</v>
      </c>
      <c r="B12" s="75">
        <v>167</v>
      </c>
      <c r="C12" s="75">
        <v>9.37</v>
      </c>
      <c r="D12" s="114">
        <v>0.58</v>
      </c>
    </row>
    <row r="13" ht="18" spans="1:4">
      <c r="A13" s="105">
        <v>1100</v>
      </c>
      <c r="B13" s="75">
        <v>188</v>
      </c>
      <c r="C13" s="75">
        <v>10.1</v>
      </c>
      <c r="D13" s="114">
        <v>0.57</v>
      </c>
    </row>
    <row r="14" ht="18" spans="1:4">
      <c r="A14" s="105">
        <v>1200</v>
      </c>
      <c r="B14" s="75">
        <v>211</v>
      </c>
      <c r="C14" s="75">
        <v>10.8</v>
      </c>
      <c r="D14" s="114">
        <v>0.56</v>
      </c>
    </row>
    <row r="15" ht="18" spans="1:4">
      <c r="A15" s="105">
        <v>1300</v>
      </c>
      <c r="B15" s="75">
        <v>234</v>
      </c>
      <c r="C15" s="75">
        <v>11.6</v>
      </c>
      <c r="D15" s="114">
        <v>0.55</v>
      </c>
    </row>
    <row r="16" ht="18" spans="1:4">
      <c r="A16" s="105">
        <v>1400</v>
      </c>
      <c r="B16" s="75">
        <v>258</v>
      </c>
      <c r="C16" s="75">
        <v>12.4</v>
      </c>
      <c r="D16" s="114">
        <v>0.54</v>
      </c>
    </row>
    <row r="17" ht="18" spans="1:4">
      <c r="A17" s="105">
        <v>1500</v>
      </c>
      <c r="B17" s="75">
        <v>282</v>
      </c>
      <c r="C17" s="75">
        <v>13.2</v>
      </c>
      <c r="D17" s="114">
        <v>0.53</v>
      </c>
    </row>
    <row r="18" ht="18" spans="1:4">
      <c r="A18" s="105">
        <v>1600</v>
      </c>
      <c r="B18" s="75">
        <v>307</v>
      </c>
      <c r="C18" s="75">
        <v>14</v>
      </c>
      <c r="D18" s="114">
        <v>0.52</v>
      </c>
    </row>
    <row r="19" ht="18" spans="1:4">
      <c r="A19" s="105">
        <v>1700</v>
      </c>
      <c r="B19" s="75">
        <v>333</v>
      </c>
      <c r="C19" s="75">
        <v>14.9</v>
      </c>
      <c r="D19" s="114">
        <v>0.51</v>
      </c>
    </row>
    <row r="20" ht="18" spans="1:4">
      <c r="A20" s="105">
        <v>1800</v>
      </c>
      <c r="B20" s="75">
        <v>361</v>
      </c>
      <c r="C20" s="75">
        <v>15.6</v>
      </c>
      <c r="D20" s="114">
        <v>0.5</v>
      </c>
    </row>
    <row r="21" ht="18" spans="1:4">
      <c r="A21" s="105">
        <v>1900</v>
      </c>
      <c r="B21" s="75">
        <v>389</v>
      </c>
      <c r="C21" s="75">
        <v>16.3</v>
      </c>
      <c r="D21" s="114">
        <v>0.49</v>
      </c>
    </row>
    <row r="22" ht="18" spans="1:4">
      <c r="A22" s="105">
        <v>2000</v>
      </c>
      <c r="B22" s="75">
        <v>419</v>
      </c>
      <c r="C22" s="75">
        <v>17.1</v>
      </c>
      <c r="D22" s="114">
        <v>0.49</v>
      </c>
    </row>
    <row r="23" ht="18" spans="1:4">
      <c r="A23" s="110">
        <v>2100</v>
      </c>
      <c r="B23" s="75">
        <v>450</v>
      </c>
      <c r="C23" s="75">
        <v>17.8</v>
      </c>
      <c r="D23" s="114">
        <v>0.48</v>
      </c>
    </row>
    <row r="24" ht="18" spans="1:4">
      <c r="A24" s="111">
        <v>2200</v>
      </c>
      <c r="B24" s="79">
        <v>482</v>
      </c>
      <c r="C24" s="79">
        <v>18.6</v>
      </c>
      <c r="D24" s="115">
        <v>0.47</v>
      </c>
    </row>
    <row r="25" ht="18" spans="1:4">
      <c r="A25" s="104" t="s">
        <v>356</v>
      </c>
      <c r="B25" s="79"/>
      <c r="C25" s="79"/>
      <c r="D25" s="115"/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zoomScale="70" zoomScaleNormal="70" workbookViewId="0">
      <selection activeCell="C15" sqref="A2:D30"/>
    </sheetView>
  </sheetViews>
  <sheetFormatPr defaultColWidth="9" defaultRowHeight="14.4" outlineLevelCol="5"/>
  <cols>
    <col min="1" max="4" width="18" customWidth="1"/>
  </cols>
  <sheetData>
    <row r="1" ht="72" spans="1:6">
      <c r="A1" s="57" t="s">
        <v>352</v>
      </c>
      <c r="B1" s="39" t="s">
        <v>353</v>
      </c>
      <c r="C1" s="39" t="s">
        <v>354</v>
      </c>
      <c r="D1" s="81" t="s">
        <v>355</v>
      </c>
      <c r="F1" s="104"/>
    </row>
    <row r="2" ht="18" spans="1:4">
      <c r="A2" s="105">
        <v>0</v>
      </c>
      <c r="B2" s="75">
        <v>13.2</v>
      </c>
      <c r="C2" s="75">
        <v>2.09</v>
      </c>
      <c r="D2" s="106">
        <v>0.7</v>
      </c>
    </row>
    <row r="3" ht="18" spans="1:4">
      <c r="A3" s="105">
        <f>AVERAGE(A2,A4)</f>
        <v>12.5</v>
      </c>
      <c r="B3" s="107">
        <f>AVERAGE(B2,B4)</f>
        <v>14.45</v>
      </c>
      <c r="C3" s="108">
        <f>AVERAGE(C2,C4)</f>
        <v>2.17125</v>
      </c>
      <c r="D3" s="109">
        <f>AVERAGE(D2,D4)</f>
        <v>0.69875</v>
      </c>
    </row>
    <row r="4" ht="18" spans="1:4">
      <c r="A4" s="105">
        <f>AVERAGE(A2,A5)</f>
        <v>25</v>
      </c>
      <c r="B4" s="107">
        <f>AVERAGE(B2,B5)</f>
        <v>15.7</v>
      </c>
      <c r="C4" s="108">
        <f>AVERAGE(C2,C5)</f>
        <v>2.2525</v>
      </c>
      <c r="D4" s="109">
        <f>AVERAGE(D2,D5)</f>
        <v>0.6975</v>
      </c>
    </row>
    <row r="5" ht="18" spans="1:4">
      <c r="A5" s="105">
        <f>AVERAGE(A2,A9)</f>
        <v>50</v>
      </c>
      <c r="B5" s="107">
        <f>AVERAGE(B2,B9)</f>
        <v>18.2</v>
      </c>
      <c r="C5" s="108">
        <f>AVERAGE(C2,C9)</f>
        <v>2.415</v>
      </c>
      <c r="D5" s="109">
        <f>AVERAGE(D2,D9)</f>
        <v>0.695</v>
      </c>
    </row>
    <row r="6" ht="18" spans="1:4">
      <c r="A6" s="105">
        <f>AVERAGE(A5,A7)</f>
        <v>62.5</v>
      </c>
      <c r="B6" s="107">
        <f>AVERAGE(B5,B7)</f>
        <v>19.45</v>
      </c>
      <c r="C6" s="108">
        <f>AVERAGE(C5,C7)</f>
        <v>2.49625</v>
      </c>
      <c r="D6" s="109">
        <f>AVERAGE(D5,D7)</f>
        <v>0.69375</v>
      </c>
    </row>
    <row r="7" ht="18" spans="1:4">
      <c r="A7" s="105">
        <f>AVERAGE(A5,A9)</f>
        <v>75</v>
      </c>
      <c r="B7" s="107">
        <f>AVERAGE(B5,B9)</f>
        <v>20.7</v>
      </c>
      <c r="C7" s="108">
        <f>AVERAGE(C5,C9)</f>
        <v>2.5775</v>
      </c>
      <c r="D7" s="109">
        <f>AVERAGE(D5,D9)</f>
        <v>0.6925</v>
      </c>
    </row>
    <row r="8" ht="18" spans="1:4">
      <c r="A8" s="105">
        <f>AVERAGE(A7,A9)</f>
        <v>87.5</v>
      </c>
      <c r="B8" s="107">
        <f>AVERAGE(B7,B9)</f>
        <v>21.95</v>
      </c>
      <c r="C8" s="108">
        <f>AVERAGE(C7,C9)</f>
        <v>2.65875</v>
      </c>
      <c r="D8" s="109">
        <f>AVERAGE(D7,D9)</f>
        <v>0.69125</v>
      </c>
    </row>
    <row r="9" ht="18" spans="1:4">
      <c r="A9" s="105">
        <v>100</v>
      </c>
      <c r="B9" s="75">
        <v>23.2</v>
      </c>
      <c r="C9" s="75">
        <v>2.74</v>
      </c>
      <c r="D9" s="106">
        <v>0.69</v>
      </c>
    </row>
    <row r="10" ht="18" spans="1:4">
      <c r="A10" s="105">
        <v>200</v>
      </c>
      <c r="B10" s="75">
        <v>34.8</v>
      </c>
      <c r="C10" s="75">
        <v>3.35</v>
      </c>
      <c r="D10" s="106">
        <v>0.69</v>
      </c>
    </row>
    <row r="11" ht="18" spans="1:4">
      <c r="A11" s="105">
        <v>300</v>
      </c>
      <c r="B11" s="75">
        <v>48.2</v>
      </c>
      <c r="C11" s="75">
        <v>3.85</v>
      </c>
      <c r="D11" s="106">
        <v>0.69</v>
      </c>
    </row>
    <row r="12" ht="18" spans="1:4">
      <c r="A12" s="105">
        <v>400</v>
      </c>
      <c r="B12" s="75">
        <v>62.9</v>
      </c>
      <c r="C12" s="75">
        <v>4.34</v>
      </c>
      <c r="D12" s="106">
        <v>0.7</v>
      </c>
    </row>
    <row r="13" ht="18" spans="1:4">
      <c r="A13" s="105">
        <v>500</v>
      </c>
      <c r="B13" s="75">
        <v>79.3</v>
      </c>
      <c r="C13" s="75">
        <v>4.83</v>
      </c>
      <c r="D13" s="106">
        <v>0.7</v>
      </c>
    </row>
    <row r="14" ht="18" spans="1:4">
      <c r="A14" s="105">
        <v>600</v>
      </c>
      <c r="B14" s="75">
        <v>96.7</v>
      </c>
      <c r="C14" s="75">
        <v>5.29</v>
      </c>
      <c r="D14" s="106">
        <v>0.71</v>
      </c>
    </row>
    <row r="15" ht="18" spans="1:4">
      <c r="A15" s="105">
        <v>700</v>
      </c>
      <c r="B15" s="75">
        <v>115</v>
      </c>
      <c r="C15" s="75">
        <v>5.73</v>
      </c>
      <c r="D15" s="106">
        <v>0.71</v>
      </c>
    </row>
    <row r="16" ht="18" spans="1:4">
      <c r="A16" s="105">
        <v>800</v>
      </c>
      <c r="B16" s="75">
        <v>135</v>
      </c>
      <c r="C16" s="75">
        <v>6.14</v>
      </c>
      <c r="D16" s="106">
        <v>0.72</v>
      </c>
    </row>
    <row r="17" ht="18" spans="1:4">
      <c r="A17" s="105">
        <v>900</v>
      </c>
      <c r="B17" s="75">
        <v>155</v>
      </c>
      <c r="C17" s="75">
        <v>6.54</v>
      </c>
      <c r="D17" s="106">
        <v>0.72</v>
      </c>
    </row>
    <row r="18" ht="18" spans="1:4">
      <c r="A18" s="105">
        <v>1000</v>
      </c>
      <c r="B18" s="75">
        <v>177</v>
      </c>
      <c r="C18" s="75">
        <v>6.92</v>
      </c>
      <c r="D18" s="106">
        <v>0.72</v>
      </c>
    </row>
    <row r="19" ht="18" spans="1:4">
      <c r="A19" s="105">
        <v>1100</v>
      </c>
      <c r="B19" s="75">
        <v>200</v>
      </c>
      <c r="C19" s="75">
        <v>7.28</v>
      </c>
      <c r="D19" s="106">
        <v>0.72</v>
      </c>
    </row>
    <row r="20" ht="18" spans="1:4">
      <c r="A20" s="105">
        <v>1200</v>
      </c>
      <c r="B20" s="75">
        <v>223</v>
      </c>
      <c r="C20" s="75">
        <v>7.63</v>
      </c>
      <c r="D20" s="106">
        <v>0.73</v>
      </c>
    </row>
    <row r="21" ht="18" spans="1:4">
      <c r="A21" s="105">
        <v>1300</v>
      </c>
      <c r="B21" s="75">
        <v>247</v>
      </c>
      <c r="C21" s="75">
        <v>7.97</v>
      </c>
      <c r="D21" s="106">
        <v>0.73</v>
      </c>
    </row>
    <row r="22" ht="18" spans="1:4">
      <c r="A22" s="105">
        <v>1400</v>
      </c>
      <c r="B22" s="75">
        <v>273</v>
      </c>
      <c r="C22" s="75">
        <v>8.3</v>
      </c>
      <c r="D22" s="106">
        <v>0.73</v>
      </c>
    </row>
    <row r="23" ht="18" spans="1:4">
      <c r="A23" s="105">
        <v>1500</v>
      </c>
      <c r="B23" s="75">
        <v>300</v>
      </c>
      <c r="C23" s="75">
        <v>8.62</v>
      </c>
      <c r="D23" s="106">
        <v>0.73</v>
      </c>
    </row>
    <row r="24" ht="18" spans="1:4">
      <c r="A24" s="105">
        <v>1600</v>
      </c>
      <c r="B24" s="75">
        <v>327</v>
      </c>
      <c r="C24" s="75">
        <v>8.93</v>
      </c>
      <c r="D24" s="106">
        <v>0.74</v>
      </c>
    </row>
    <row r="25" ht="18" spans="1:4">
      <c r="A25" s="105">
        <v>1700</v>
      </c>
      <c r="B25" s="75">
        <v>355</v>
      </c>
      <c r="C25" s="75">
        <v>9.24</v>
      </c>
      <c r="D25" s="106">
        <v>0.74</v>
      </c>
    </row>
    <row r="26" ht="18" spans="1:4">
      <c r="A26" s="105">
        <v>1800</v>
      </c>
      <c r="B26" s="75">
        <v>384</v>
      </c>
      <c r="C26" s="75">
        <v>9.55</v>
      </c>
      <c r="D26" s="106">
        <v>0.74</v>
      </c>
    </row>
    <row r="27" ht="18" spans="1:4">
      <c r="A27" s="105">
        <v>1900</v>
      </c>
      <c r="B27" s="75">
        <v>415</v>
      </c>
      <c r="C27" s="75">
        <v>9.85</v>
      </c>
      <c r="D27" s="106">
        <v>0.74</v>
      </c>
    </row>
    <row r="28" ht="18" spans="1:4">
      <c r="A28" s="105">
        <v>2000</v>
      </c>
      <c r="B28" s="75">
        <v>448</v>
      </c>
      <c r="C28" s="75">
        <v>10.2</v>
      </c>
      <c r="D28" s="106">
        <v>0.74</v>
      </c>
    </row>
    <row r="29" ht="18" spans="1:4">
      <c r="A29" s="110">
        <v>2100</v>
      </c>
      <c r="B29" s="75">
        <v>478</v>
      </c>
      <c r="C29" s="75">
        <v>10.4</v>
      </c>
      <c r="D29" s="106">
        <v>0.75</v>
      </c>
    </row>
    <row r="30" ht="18" spans="1:4">
      <c r="A30" s="111">
        <v>2200</v>
      </c>
      <c r="B30" s="79">
        <v>511</v>
      </c>
      <c r="C30" s="79">
        <v>10.7</v>
      </c>
      <c r="D30" s="112">
        <v>0.75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8"/>
  <sheetViews>
    <sheetView zoomScale="55" zoomScaleNormal="55" topLeftCell="A388" workbookViewId="0">
      <selection activeCell="M13" sqref="M13"/>
    </sheetView>
  </sheetViews>
  <sheetFormatPr defaultColWidth="9" defaultRowHeight="14.4"/>
  <cols>
    <col min="1" max="1" width="25.6666666666667" customWidth="1"/>
    <col min="2" max="2" width="23.3333333333333" customWidth="1"/>
    <col min="3" max="3" width="35" customWidth="1"/>
    <col min="4" max="4" width="45.5555555555556" customWidth="1"/>
    <col min="5" max="5" width="51.8888888888889" customWidth="1"/>
    <col min="6" max="6" width="53.1111111111111" customWidth="1"/>
    <col min="7" max="7" width="59.4444444444444" customWidth="1"/>
    <col min="8" max="8" width="51.8888888888889" customWidth="1"/>
    <col min="9" max="9" width="56.4444444444444" customWidth="1"/>
    <col min="10" max="10" width="62.6666666666667" customWidth="1"/>
    <col min="11" max="11" width="52.6666666666667" customWidth="1"/>
  </cols>
  <sheetData>
    <row r="1" ht="18.15" spans="1:11">
      <c r="A1" s="84" t="s">
        <v>357</v>
      </c>
      <c r="B1" s="85" t="s">
        <v>358</v>
      </c>
      <c r="C1" s="86" t="s">
        <v>359</v>
      </c>
      <c r="D1" s="87" t="s">
        <v>360</v>
      </c>
      <c r="E1" s="88" t="s">
        <v>361</v>
      </c>
      <c r="F1" s="87" t="s">
        <v>362</v>
      </c>
      <c r="G1" s="88" t="s">
        <v>363</v>
      </c>
      <c r="H1" s="88" t="s">
        <v>364</v>
      </c>
      <c r="I1" s="87" t="s">
        <v>365</v>
      </c>
      <c r="J1" s="88" t="s">
        <v>366</v>
      </c>
      <c r="K1" s="102" t="s">
        <v>367</v>
      </c>
    </row>
    <row r="2" ht="18" spans="1:11">
      <c r="A2" s="89">
        <v>0</v>
      </c>
      <c r="B2" s="90">
        <v>0.006108</v>
      </c>
      <c r="C2" s="90">
        <v>273.15</v>
      </c>
      <c r="D2" s="91">
        <v>0.0010002</v>
      </c>
      <c r="E2" s="92">
        <v>206.321</v>
      </c>
      <c r="F2" s="93">
        <f>-0.04</f>
        <v>-0.04</v>
      </c>
      <c r="G2" s="94">
        <v>2501</v>
      </c>
      <c r="H2" s="94">
        <v>2501</v>
      </c>
      <c r="I2" s="91">
        <f>-0.0002</f>
        <v>-0.0002</v>
      </c>
      <c r="J2" s="91">
        <v>9.1565</v>
      </c>
      <c r="K2" s="91">
        <v>9.1567</v>
      </c>
    </row>
    <row r="3" ht="18" spans="1:11">
      <c r="A3" s="95">
        <v>0.01</v>
      </c>
      <c r="B3" s="96">
        <v>0.006112</v>
      </c>
      <c r="C3" s="96">
        <v>273.16</v>
      </c>
      <c r="D3" s="97">
        <v>0.00100022</v>
      </c>
      <c r="E3" s="98">
        <v>206.175</v>
      </c>
      <c r="F3" s="99">
        <v>0.000614</v>
      </c>
      <c r="G3" s="100">
        <v>2501</v>
      </c>
      <c r="H3" s="100">
        <v>2501</v>
      </c>
      <c r="I3" s="97">
        <v>0</v>
      </c>
      <c r="J3" s="97">
        <v>9.1562</v>
      </c>
      <c r="K3" s="97">
        <v>9.1562</v>
      </c>
    </row>
    <row r="4" ht="18" spans="1:11">
      <c r="A4" s="101">
        <v>1</v>
      </c>
      <c r="B4" s="96">
        <v>0.006566</v>
      </c>
      <c r="C4" s="96">
        <v>274.15</v>
      </c>
      <c r="D4" s="97">
        <v>0.0010001</v>
      </c>
      <c r="E4" s="98">
        <v>192.611</v>
      </c>
      <c r="F4" s="99">
        <v>4.17</v>
      </c>
      <c r="G4" s="100">
        <v>2502.8</v>
      </c>
      <c r="H4" s="100">
        <v>2498.6</v>
      </c>
      <c r="I4" s="97">
        <v>0.0152</v>
      </c>
      <c r="J4" s="97">
        <v>9.1298</v>
      </c>
      <c r="K4" s="97">
        <v>9.1146</v>
      </c>
    </row>
    <row r="5" ht="18" spans="1:11">
      <c r="A5" s="101">
        <v>2</v>
      </c>
      <c r="B5" s="96">
        <v>0.007054</v>
      </c>
      <c r="C5" s="96">
        <v>275.15</v>
      </c>
      <c r="D5" s="97">
        <v>0.0010001</v>
      </c>
      <c r="E5" s="98">
        <v>179.935</v>
      </c>
      <c r="F5" s="99">
        <v>8.39</v>
      </c>
      <c r="G5" s="100">
        <v>2504.7</v>
      </c>
      <c r="H5" s="100">
        <v>2496.3</v>
      </c>
      <c r="I5" s="97">
        <v>0.0306</v>
      </c>
      <c r="J5" s="97">
        <v>9.1035</v>
      </c>
      <c r="K5" s="97">
        <v>9.0729</v>
      </c>
    </row>
    <row r="6" ht="18" spans="1:11">
      <c r="A6" s="101">
        <v>3</v>
      </c>
      <c r="B6" s="96">
        <v>0.007575</v>
      </c>
      <c r="C6" s="96">
        <v>276.15</v>
      </c>
      <c r="D6" s="97">
        <v>0.001</v>
      </c>
      <c r="E6" s="98">
        <v>168.165</v>
      </c>
      <c r="F6" s="99">
        <v>12.6</v>
      </c>
      <c r="G6" s="100">
        <v>2506.5</v>
      </c>
      <c r="H6" s="100">
        <v>2493.9</v>
      </c>
      <c r="I6" s="97">
        <v>0.0459</v>
      </c>
      <c r="J6" s="97">
        <v>9.0773</v>
      </c>
      <c r="K6" s="97">
        <v>9.0314</v>
      </c>
    </row>
    <row r="7" ht="18" spans="1:11">
      <c r="A7" s="101">
        <v>4</v>
      </c>
      <c r="B7" s="96">
        <v>0.008129</v>
      </c>
      <c r="C7" s="96">
        <v>277.15</v>
      </c>
      <c r="D7" s="97">
        <v>0.001</v>
      </c>
      <c r="E7" s="98">
        <v>157.267</v>
      </c>
      <c r="F7" s="99">
        <v>16.8</v>
      </c>
      <c r="G7" s="100">
        <v>2508.3</v>
      </c>
      <c r="H7" s="100">
        <v>2491.5</v>
      </c>
      <c r="I7" s="97">
        <v>0.0611</v>
      </c>
      <c r="J7" s="97">
        <v>9.0514</v>
      </c>
      <c r="K7" s="97">
        <v>8.9903</v>
      </c>
    </row>
    <row r="8" ht="18" spans="1:11">
      <c r="A8" s="101">
        <v>5</v>
      </c>
      <c r="B8" s="96">
        <v>0.008718</v>
      </c>
      <c r="C8" s="96">
        <v>278.15</v>
      </c>
      <c r="D8" s="97">
        <v>0.001</v>
      </c>
      <c r="E8" s="98">
        <v>147.167</v>
      </c>
      <c r="F8" s="99">
        <v>21.01</v>
      </c>
      <c r="G8" s="100">
        <v>2510.2</v>
      </c>
      <c r="H8" s="100">
        <v>2489.2</v>
      </c>
      <c r="I8" s="97">
        <v>0.0762</v>
      </c>
      <c r="J8" s="97">
        <v>9.0258</v>
      </c>
      <c r="K8" s="97">
        <v>8.9496</v>
      </c>
    </row>
    <row r="9" ht="18" spans="1:11">
      <c r="A9" s="101">
        <v>6</v>
      </c>
      <c r="B9" s="96">
        <v>0.009346</v>
      </c>
      <c r="C9" s="96">
        <v>279.15</v>
      </c>
      <c r="D9" s="97">
        <v>0.001</v>
      </c>
      <c r="E9" s="98">
        <v>137.768</v>
      </c>
      <c r="F9" s="99">
        <v>25.21</v>
      </c>
      <c r="G9" s="100">
        <v>2512</v>
      </c>
      <c r="H9" s="100">
        <v>2486.8</v>
      </c>
      <c r="I9" s="97">
        <v>0.0913</v>
      </c>
      <c r="J9" s="97">
        <v>9.0003</v>
      </c>
      <c r="K9" s="97">
        <v>8.909</v>
      </c>
    </row>
    <row r="10" ht="18" spans="1:11">
      <c r="A10" s="101">
        <v>7</v>
      </c>
      <c r="B10" s="96">
        <v>0.010012</v>
      </c>
      <c r="C10" s="96">
        <v>280.15</v>
      </c>
      <c r="D10" s="97">
        <v>0.0010001</v>
      </c>
      <c r="E10" s="98">
        <v>129.061</v>
      </c>
      <c r="F10" s="99">
        <v>29.41</v>
      </c>
      <c r="G10" s="100">
        <v>2513.9</v>
      </c>
      <c r="H10" s="100">
        <v>2484.5</v>
      </c>
      <c r="I10" s="97">
        <v>0.1063</v>
      </c>
      <c r="J10" s="97">
        <v>8.9751</v>
      </c>
      <c r="K10" s="97">
        <v>8.8688</v>
      </c>
    </row>
    <row r="11" ht="18" spans="1:11">
      <c r="A11" s="101">
        <v>8</v>
      </c>
      <c r="B11" s="96">
        <v>0.010721</v>
      </c>
      <c r="C11" s="96">
        <v>281.15</v>
      </c>
      <c r="D11" s="97">
        <v>0.0010001</v>
      </c>
      <c r="E11" s="98">
        <v>120.952</v>
      </c>
      <c r="F11" s="99">
        <v>33.6</v>
      </c>
      <c r="G11" s="100">
        <v>2515.7</v>
      </c>
      <c r="H11" s="100">
        <v>2482.1</v>
      </c>
      <c r="I11" s="97">
        <v>0.1213</v>
      </c>
      <c r="J11" s="97">
        <v>8.9501</v>
      </c>
      <c r="K11" s="97">
        <v>8.8288</v>
      </c>
    </row>
    <row r="12" ht="18" spans="1:11">
      <c r="A12" s="101">
        <v>9</v>
      </c>
      <c r="B12" s="96">
        <v>0.011473</v>
      </c>
      <c r="C12" s="96">
        <v>282.15</v>
      </c>
      <c r="D12" s="97">
        <v>0.0010002</v>
      </c>
      <c r="E12" s="98">
        <v>113.423</v>
      </c>
      <c r="F12" s="99">
        <v>37.8</v>
      </c>
      <c r="G12" s="100">
        <v>2517.3</v>
      </c>
      <c r="H12" s="100">
        <v>2479.7</v>
      </c>
      <c r="I12" s="97">
        <v>0.1362</v>
      </c>
      <c r="J12" s="97">
        <v>8.9254</v>
      </c>
      <c r="K12" s="97">
        <v>8.7892</v>
      </c>
    </row>
    <row r="13" ht="18" spans="1:11">
      <c r="A13" s="101">
        <v>10</v>
      </c>
      <c r="B13" s="96">
        <v>0.012271</v>
      </c>
      <c r="C13" s="96">
        <v>283.15</v>
      </c>
      <c r="D13" s="97">
        <v>0.0010003</v>
      </c>
      <c r="E13" s="98">
        <v>106.419</v>
      </c>
      <c r="F13" s="99">
        <v>41.99</v>
      </c>
      <c r="G13" s="100">
        <v>2519.4</v>
      </c>
      <c r="H13" s="100">
        <v>2477.4</v>
      </c>
      <c r="I13" s="97">
        <v>0.151</v>
      </c>
      <c r="J13" s="97">
        <v>8.9009</v>
      </c>
      <c r="K13" s="97">
        <v>8.7499</v>
      </c>
    </row>
    <row r="14" ht="18" spans="1:11">
      <c r="A14" s="101">
        <v>11</v>
      </c>
      <c r="B14" s="96">
        <v>0.013118</v>
      </c>
      <c r="C14" s="96">
        <v>284.15</v>
      </c>
      <c r="D14" s="97">
        <v>0.0010003</v>
      </c>
      <c r="E14" s="98">
        <v>99.896</v>
      </c>
      <c r="F14" s="99">
        <v>46.19</v>
      </c>
      <c r="G14" s="100">
        <v>2521.2</v>
      </c>
      <c r="H14" s="100">
        <v>2475</v>
      </c>
      <c r="I14" s="97">
        <v>0.1658</v>
      </c>
      <c r="J14" s="97">
        <v>8.8766</v>
      </c>
      <c r="K14" s="97">
        <v>8.7108</v>
      </c>
    </row>
    <row r="15" ht="18" spans="1:11">
      <c r="A15" s="101">
        <v>12</v>
      </c>
      <c r="B15" s="96">
        <v>0.014015</v>
      </c>
      <c r="C15" s="96">
        <v>285.15</v>
      </c>
      <c r="D15" s="97">
        <v>0.0010004</v>
      </c>
      <c r="E15" s="98">
        <v>93.828</v>
      </c>
      <c r="F15" s="99">
        <v>50.38</v>
      </c>
      <c r="G15" s="100">
        <v>2523</v>
      </c>
      <c r="H15" s="100">
        <v>2472.6</v>
      </c>
      <c r="I15" s="97">
        <v>0.1806</v>
      </c>
      <c r="J15" s="97">
        <v>8.8525</v>
      </c>
      <c r="K15" s="97">
        <v>8.6719</v>
      </c>
    </row>
    <row r="16" ht="18" spans="1:11">
      <c r="A16" s="101">
        <v>13</v>
      </c>
      <c r="B16" s="96">
        <v>0.014967</v>
      </c>
      <c r="C16" s="96">
        <v>286.15</v>
      </c>
      <c r="D16" s="97">
        <v>0.0010006</v>
      </c>
      <c r="E16" s="98">
        <v>88.165</v>
      </c>
      <c r="F16" s="99">
        <v>54.37</v>
      </c>
      <c r="G16" s="100">
        <v>2524.9</v>
      </c>
      <c r="H16" s="100">
        <v>2470.2</v>
      </c>
      <c r="I16" s="97">
        <v>0.1952</v>
      </c>
      <c r="J16" s="97">
        <v>8.8286</v>
      </c>
      <c r="K16" s="97">
        <v>8.6334</v>
      </c>
    </row>
    <row r="17" ht="18" spans="1:11">
      <c r="A17" s="101">
        <v>14</v>
      </c>
      <c r="B17" s="96">
        <v>0.015974</v>
      </c>
      <c r="C17" s="96">
        <v>287.15</v>
      </c>
      <c r="D17" s="97">
        <v>0.0010007</v>
      </c>
      <c r="E17" s="98">
        <v>82.893</v>
      </c>
      <c r="F17" s="99">
        <v>58.75</v>
      </c>
      <c r="G17" s="100">
        <v>2526.7</v>
      </c>
      <c r="H17" s="100">
        <v>2467.9</v>
      </c>
      <c r="I17" s="97">
        <v>0.2098</v>
      </c>
      <c r="J17" s="97">
        <v>8.805</v>
      </c>
      <c r="K17" s="97">
        <v>8.5952</v>
      </c>
    </row>
    <row r="18" ht="18" spans="1:11">
      <c r="A18" s="101">
        <v>15</v>
      </c>
      <c r="B18" s="96">
        <v>0.017041</v>
      </c>
      <c r="C18" s="96">
        <v>288.15</v>
      </c>
      <c r="D18" s="97">
        <v>0.0010008</v>
      </c>
      <c r="E18" s="98">
        <v>77.97</v>
      </c>
      <c r="F18" s="99">
        <v>62.94</v>
      </c>
      <c r="G18" s="100">
        <v>2528.6</v>
      </c>
      <c r="H18" s="100">
        <v>2465.7</v>
      </c>
      <c r="I18" s="97">
        <v>0.2243</v>
      </c>
      <c r="J18" s="97">
        <v>8.7815</v>
      </c>
      <c r="K18" s="97">
        <v>8.5572</v>
      </c>
    </row>
    <row r="19" ht="18" spans="1:11">
      <c r="A19" s="101">
        <v>15.5</v>
      </c>
      <c r="B19" s="96">
        <v>0.017698</v>
      </c>
      <c r="C19" s="96">
        <v>288.65</v>
      </c>
      <c r="D19" s="97">
        <v>0.0010009</v>
      </c>
      <c r="E19" s="98">
        <v>75.632</v>
      </c>
      <c r="F19" s="99">
        <v>65.03</v>
      </c>
      <c r="G19" s="100">
        <v>2529.3</v>
      </c>
      <c r="H19" s="100">
        <v>2464.3</v>
      </c>
      <c r="I19" s="97">
        <v>0.2316</v>
      </c>
      <c r="J19" s="97">
        <v>8.7699</v>
      </c>
      <c r="K19" s="97">
        <v>8.5383</v>
      </c>
    </row>
    <row r="20" ht="18" spans="1:11">
      <c r="A20" s="101">
        <v>16</v>
      </c>
      <c r="B20" s="96">
        <v>0.01817</v>
      </c>
      <c r="C20" s="96">
        <v>289.15</v>
      </c>
      <c r="D20" s="97">
        <v>0.001001</v>
      </c>
      <c r="E20" s="98">
        <v>73.376</v>
      </c>
      <c r="F20" s="99">
        <v>67.13</v>
      </c>
      <c r="G20" s="100">
        <v>2530.4</v>
      </c>
      <c r="H20" s="100">
        <v>2463.3</v>
      </c>
      <c r="I20" s="97">
        <v>0.2388</v>
      </c>
      <c r="J20" s="97">
        <v>8.7583</v>
      </c>
      <c r="K20" s="97">
        <v>8.5195</v>
      </c>
    </row>
    <row r="21" ht="18" spans="1:11">
      <c r="A21" s="101">
        <v>16.5</v>
      </c>
      <c r="B21" s="96">
        <v>0.018759</v>
      </c>
      <c r="C21" s="96">
        <v>289.65</v>
      </c>
      <c r="D21" s="97">
        <v>0.0010011</v>
      </c>
      <c r="E21" s="98">
        <v>71.194</v>
      </c>
      <c r="F21" s="99">
        <v>69.22</v>
      </c>
      <c r="G21" s="100">
        <v>2531.3</v>
      </c>
      <c r="H21" s="100">
        <v>2462.1</v>
      </c>
      <c r="I21" s="97">
        <v>0.246</v>
      </c>
      <c r="J21" s="97">
        <v>8.7468</v>
      </c>
      <c r="K21" s="97">
        <v>8.5008</v>
      </c>
    </row>
    <row r="22" ht="18" spans="1:11">
      <c r="A22" s="101">
        <v>17</v>
      </c>
      <c r="B22" s="96">
        <v>0.019364</v>
      </c>
      <c r="C22" s="96">
        <v>290.15</v>
      </c>
      <c r="D22" s="97">
        <v>0.0010012</v>
      </c>
      <c r="E22" s="98">
        <v>69.087</v>
      </c>
      <c r="F22" s="99">
        <v>71.31</v>
      </c>
      <c r="G22" s="100">
        <v>2532.2</v>
      </c>
      <c r="H22" s="100">
        <v>2460.9</v>
      </c>
      <c r="I22" s="97">
        <v>0.2533</v>
      </c>
      <c r="J22" s="97">
        <v>8.7353</v>
      </c>
      <c r="K22" s="97">
        <v>8.482</v>
      </c>
    </row>
    <row r="23" ht="18" spans="1:11">
      <c r="A23" s="101">
        <v>17.5</v>
      </c>
      <c r="B23" s="96">
        <v>0.019986</v>
      </c>
      <c r="C23" s="96">
        <v>290.65</v>
      </c>
      <c r="D23" s="97">
        <v>0.0010012</v>
      </c>
      <c r="E23" s="98">
        <v>67.061</v>
      </c>
      <c r="F23" s="99">
        <v>73.4</v>
      </c>
      <c r="G23" s="100">
        <v>2533.1</v>
      </c>
      <c r="H23" s="100">
        <v>2459.7</v>
      </c>
      <c r="I23" s="97">
        <v>0.2605</v>
      </c>
      <c r="J23" s="97">
        <v>8.7239</v>
      </c>
      <c r="K23" s="97">
        <v>8.4634</v>
      </c>
    </row>
    <row r="24" ht="18" spans="1:11">
      <c r="A24" s="101">
        <v>18</v>
      </c>
      <c r="B24" s="96">
        <v>0.020626</v>
      </c>
      <c r="C24" s="96">
        <v>291.15</v>
      </c>
      <c r="D24" s="97">
        <v>0.0010013</v>
      </c>
      <c r="E24" s="98">
        <v>65.08</v>
      </c>
      <c r="F24" s="99">
        <v>75.5</v>
      </c>
      <c r="G24" s="100">
        <v>2534</v>
      </c>
      <c r="H24" s="100">
        <v>2458.3</v>
      </c>
      <c r="I24" s="97">
        <v>0.2677</v>
      </c>
      <c r="J24" s="97">
        <v>8.7125</v>
      </c>
      <c r="K24" s="97">
        <v>8.4448</v>
      </c>
    </row>
    <row r="25" ht="18" spans="1:11">
      <c r="A25" s="101">
        <v>18.5</v>
      </c>
      <c r="B25" s="96">
        <v>0.021284</v>
      </c>
      <c r="C25" s="96">
        <v>291.65</v>
      </c>
      <c r="D25" s="97">
        <v>0.0010014</v>
      </c>
      <c r="E25" s="98">
        <v>63.175</v>
      </c>
      <c r="F25" s="99">
        <v>77.59</v>
      </c>
      <c r="G25" s="100">
        <v>2535</v>
      </c>
      <c r="H25" s="100">
        <v>2457.4</v>
      </c>
      <c r="I25" s="97">
        <v>0.2748</v>
      </c>
      <c r="J25" s="97">
        <v>8.7011</v>
      </c>
      <c r="K25" s="97">
        <v>8.4263</v>
      </c>
    </row>
    <row r="26" ht="18" spans="1:11">
      <c r="A26" s="101">
        <v>19</v>
      </c>
      <c r="B26" s="96">
        <v>0.02196</v>
      </c>
      <c r="C26" s="96">
        <v>292.15</v>
      </c>
      <c r="D26" s="97">
        <v>0.0010015</v>
      </c>
      <c r="E26" s="98">
        <v>61.334</v>
      </c>
      <c r="F26" s="99">
        <v>79.68</v>
      </c>
      <c r="G26" s="100">
        <v>2535.9</v>
      </c>
      <c r="H26" s="100">
        <v>2456.2</v>
      </c>
      <c r="I26" s="97">
        <v>0.282</v>
      </c>
      <c r="J26" s="97">
        <v>8.6898</v>
      </c>
      <c r="K26" s="97">
        <v>8.4078</v>
      </c>
    </row>
    <row r="27" ht="18" spans="1:11">
      <c r="A27" s="101">
        <v>19.5</v>
      </c>
      <c r="B27" s="96">
        <v>0.022654</v>
      </c>
      <c r="C27" s="96">
        <v>292.65</v>
      </c>
      <c r="D27" s="97">
        <v>0.0010016</v>
      </c>
      <c r="E27" s="98">
        <v>59.556</v>
      </c>
      <c r="F27" s="99">
        <v>81.77</v>
      </c>
      <c r="G27" s="100">
        <v>2536.8</v>
      </c>
      <c r="H27" s="100">
        <v>2455</v>
      </c>
      <c r="I27" s="97">
        <v>0.2892</v>
      </c>
      <c r="J27" s="97">
        <v>8.6786</v>
      </c>
      <c r="K27" s="97">
        <v>8.3894</v>
      </c>
    </row>
    <row r="28" ht="18" spans="1:11">
      <c r="A28" s="101">
        <v>20</v>
      </c>
      <c r="B28" s="96">
        <v>0.023368</v>
      </c>
      <c r="C28" s="96">
        <v>293.15</v>
      </c>
      <c r="D28" s="97">
        <v>0.0010017</v>
      </c>
      <c r="E28" s="98">
        <v>57.833</v>
      </c>
      <c r="F28" s="99">
        <v>83.86</v>
      </c>
      <c r="G28" s="100">
        <v>2537.7</v>
      </c>
      <c r="H28" s="100">
        <v>2453.8</v>
      </c>
      <c r="I28" s="97">
        <v>0.2963</v>
      </c>
      <c r="J28" s="97">
        <v>8.6674</v>
      </c>
      <c r="K28" s="97">
        <v>8.3711</v>
      </c>
    </row>
    <row r="29" ht="18" spans="1:11">
      <c r="A29" s="101">
        <v>20.5</v>
      </c>
      <c r="B29" s="96">
        <v>0.024102</v>
      </c>
      <c r="C29" s="96">
        <v>293.65</v>
      </c>
      <c r="D29" s="97">
        <v>0.0010018</v>
      </c>
      <c r="E29" s="98">
        <v>56.166</v>
      </c>
      <c r="F29" s="99">
        <v>85.95</v>
      </c>
      <c r="G29" s="100">
        <v>2538.6</v>
      </c>
      <c r="H29" s="100">
        <v>2452.6</v>
      </c>
      <c r="I29" s="97">
        <v>0.3034</v>
      </c>
      <c r="J29" s="97">
        <v>8.6563</v>
      </c>
      <c r="K29" s="97">
        <v>8.3529</v>
      </c>
    </row>
    <row r="30" ht="18" spans="1:11">
      <c r="A30" s="101">
        <v>21</v>
      </c>
      <c r="B30" s="96">
        <v>0.024855</v>
      </c>
      <c r="C30" s="96">
        <v>294.15</v>
      </c>
      <c r="D30" s="97">
        <v>0.0010019</v>
      </c>
      <c r="E30" s="98">
        <v>54.356</v>
      </c>
      <c r="F30" s="99">
        <v>88.04</v>
      </c>
      <c r="G30" s="100">
        <v>2539.5</v>
      </c>
      <c r="H30" s="100">
        <v>2451.5</v>
      </c>
      <c r="I30" s="97">
        <v>0.3105</v>
      </c>
      <c r="J30" s="97">
        <v>8.6452</v>
      </c>
      <c r="K30" s="97">
        <v>8.3347</v>
      </c>
    </row>
    <row r="31" ht="18" spans="1:11">
      <c r="A31" s="101">
        <v>21.5</v>
      </c>
      <c r="B31" s="96">
        <v>0.025629</v>
      </c>
      <c r="C31" s="96">
        <v>294.65</v>
      </c>
      <c r="D31" s="97">
        <v>0.001002</v>
      </c>
      <c r="E31" s="98">
        <v>52.997</v>
      </c>
      <c r="F31" s="99">
        <v>90.13</v>
      </c>
      <c r="G31" s="100">
        <v>2540.4</v>
      </c>
      <c r="H31" s="100">
        <v>2450.3</v>
      </c>
      <c r="I31" s="97">
        <v>0.3176</v>
      </c>
      <c r="J31" s="97">
        <v>8.6342</v>
      </c>
      <c r="K31" s="97">
        <v>8.3166</v>
      </c>
    </row>
    <row r="32" ht="18" spans="1:11">
      <c r="A32" s="101">
        <v>22</v>
      </c>
      <c r="B32" s="96">
        <v>0.026424</v>
      </c>
      <c r="C32" s="96">
        <v>295.15</v>
      </c>
      <c r="D32" s="97">
        <v>0.0010022</v>
      </c>
      <c r="E32" s="98">
        <v>51.488</v>
      </c>
      <c r="F32" s="99">
        <v>92.22</v>
      </c>
      <c r="G32" s="100">
        <v>2541.4</v>
      </c>
      <c r="H32" s="100">
        <v>2449.2</v>
      </c>
      <c r="I32" s="97">
        <v>0.3247</v>
      </c>
      <c r="J32" s="97">
        <v>8.6232</v>
      </c>
      <c r="K32" s="97">
        <v>8.2985</v>
      </c>
    </row>
    <row r="33" ht="18" spans="1:11">
      <c r="A33" s="101">
        <v>22.5</v>
      </c>
      <c r="B33" s="96">
        <v>0.027241</v>
      </c>
      <c r="C33" s="96">
        <v>295.65</v>
      </c>
      <c r="D33" s="97">
        <v>0.0010023</v>
      </c>
      <c r="E33" s="98">
        <v>50.027</v>
      </c>
      <c r="F33" s="99">
        <v>94.32</v>
      </c>
      <c r="G33" s="100">
        <v>2542.3</v>
      </c>
      <c r="H33" s="100">
        <v>2448</v>
      </c>
      <c r="I33" s="97">
        <v>0.3318</v>
      </c>
      <c r="J33" s="97">
        <v>8.6123</v>
      </c>
      <c r="K33" s="97">
        <v>8.2805</v>
      </c>
    </row>
    <row r="34" ht="18" spans="1:11">
      <c r="A34" s="101">
        <v>23</v>
      </c>
      <c r="B34" s="96">
        <v>0.028079</v>
      </c>
      <c r="C34" s="96">
        <v>296.15</v>
      </c>
      <c r="D34" s="97">
        <v>0.0010024</v>
      </c>
      <c r="E34" s="98">
        <v>48.615</v>
      </c>
      <c r="F34" s="99">
        <v>96.41</v>
      </c>
      <c r="G34" s="100">
        <v>2543.2</v>
      </c>
      <c r="H34" s="100">
        <v>2446.8</v>
      </c>
      <c r="I34" s="97">
        <v>0.3389</v>
      </c>
      <c r="J34" s="97">
        <v>8.6014</v>
      </c>
      <c r="K34" s="97">
        <v>8.2625</v>
      </c>
    </row>
    <row r="35" ht="18" spans="1:11">
      <c r="A35" s="101">
        <v>23.5</v>
      </c>
      <c r="B35" s="96">
        <v>0.02894</v>
      </c>
      <c r="C35" s="96">
        <v>296.65</v>
      </c>
      <c r="D35" s="97">
        <v>0.0010025</v>
      </c>
      <c r="E35" s="98">
        <v>47.247</v>
      </c>
      <c r="F35" s="99">
        <v>98.5</v>
      </c>
      <c r="G35" s="100">
        <v>2544.1</v>
      </c>
      <c r="H35" s="100">
        <v>2445.6</v>
      </c>
      <c r="I35" s="97">
        <v>0.3459</v>
      </c>
      <c r="J35" s="97">
        <v>8.5905</v>
      </c>
      <c r="K35" s="97">
        <v>8.2446</v>
      </c>
    </row>
    <row r="36" ht="18" spans="1:11">
      <c r="A36" s="101">
        <v>24</v>
      </c>
      <c r="B36" s="96">
        <v>0.029824</v>
      </c>
      <c r="C36" s="96">
        <v>297.15</v>
      </c>
      <c r="D36" s="97">
        <v>0.0010026</v>
      </c>
      <c r="E36" s="98">
        <v>45.923</v>
      </c>
      <c r="F36" s="99">
        <v>100.59</v>
      </c>
      <c r="G36" s="100">
        <v>2545</v>
      </c>
      <c r="H36" s="100">
        <v>2444.4</v>
      </c>
      <c r="I36" s="97">
        <v>0.353</v>
      </c>
      <c r="J36" s="97">
        <v>8.5797</v>
      </c>
      <c r="K36" s="97">
        <v>8.2267</v>
      </c>
    </row>
    <row r="37" ht="18" spans="1:11">
      <c r="A37" s="101">
        <v>24.5</v>
      </c>
      <c r="B37" s="96">
        <v>0.030731</v>
      </c>
      <c r="C37" s="96">
        <v>297.65</v>
      </c>
      <c r="D37" s="97">
        <v>0.0010028</v>
      </c>
      <c r="E37" s="98">
        <v>44.641</v>
      </c>
      <c r="F37" s="99">
        <v>102.68</v>
      </c>
      <c r="G37" s="100">
        <v>2545.9</v>
      </c>
      <c r="H37" s="100">
        <v>2443.2</v>
      </c>
      <c r="I37" s="97">
        <v>0.36</v>
      </c>
      <c r="J37" s="97">
        <v>8.569</v>
      </c>
      <c r="K37" s="97">
        <v>8.209</v>
      </c>
    </row>
    <row r="38" ht="18" spans="1:11">
      <c r="A38" s="101">
        <v>25</v>
      </c>
      <c r="B38" s="96">
        <v>0.031663</v>
      </c>
      <c r="C38" s="96">
        <v>298.15</v>
      </c>
      <c r="D38" s="97">
        <v>0.0010029</v>
      </c>
      <c r="E38" s="98">
        <v>43.399</v>
      </c>
      <c r="F38" s="99">
        <v>104.77</v>
      </c>
      <c r="G38" s="100">
        <v>2546.8</v>
      </c>
      <c r="H38" s="100">
        <v>2442</v>
      </c>
      <c r="I38" s="97">
        <v>0.367</v>
      </c>
      <c r="J38" s="97">
        <v>8.5583</v>
      </c>
      <c r="K38" s="97">
        <v>8.1913</v>
      </c>
    </row>
    <row r="39" ht="18" spans="1:11">
      <c r="A39" s="101">
        <v>25.5</v>
      </c>
      <c r="B39" s="96">
        <v>0.032619</v>
      </c>
      <c r="C39" s="96">
        <v>298.65</v>
      </c>
      <c r="D39" s="97">
        <v>0.001003</v>
      </c>
      <c r="E39" s="98">
        <v>42.196</v>
      </c>
      <c r="F39" s="99">
        <v>106.86</v>
      </c>
      <c r="G39" s="100">
        <v>2547.7</v>
      </c>
      <c r="H39" s="100">
        <v>2440.8</v>
      </c>
      <c r="I39" s="97">
        <v>0.374</v>
      </c>
      <c r="J39" s="97">
        <v>8.5476</v>
      </c>
      <c r="K39" s="97">
        <f>Пр3!$J39-Пр3!$I39</f>
        <v>8.1736</v>
      </c>
    </row>
    <row r="40" ht="18" spans="1:11">
      <c r="A40" s="101">
        <v>26</v>
      </c>
      <c r="B40" s="96">
        <v>0.0336</v>
      </c>
      <c r="C40" s="96">
        <v>299.15</v>
      </c>
      <c r="D40" s="97">
        <v>0.0010032</v>
      </c>
      <c r="E40" s="98">
        <v>41.031</v>
      </c>
      <c r="F40" s="99">
        <v>108.95</v>
      </c>
      <c r="G40" s="100">
        <v>2548.6</v>
      </c>
      <c r="H40" s="100">
        <v>2439.6</v>
      </c>
      <c r="I40" s="97">
        <v>0.381</v>
      </c>
      <c r="J40" s="97">
        <v>8.537</v>
      </c>
      <c r="K40" s="97">
        <f>Пр3!$J40-Пр3!$I40</f>
        <v>8.156</v>
      </c>
    </row>
    <row r="41" ht="18" spans="1:11">
      <c r="A41" s="101">
        <v>26.5</v>
      </c>
      <c r="B41" s="96">
        <v>0.034606</v>
      </c>
      <c r="C41" s="96">
        <v>299.65</v>
      </c>
      <c r="D41" s="97">
        <v>0.0010033</v>
      </c>
      <c r="E41" s="98">
        <v>39.904</v>
      </c>
      <c r="F41" s="99">
        <v>111.04</v>
      </c>
      <c r="G41" s="100">
        <v>2549.3</v>
      </c>
      <c r="H41" s="100">
        <v>2438.5</v>
      </c>
      <c r="I41" s="97">
        <v>0.388</v>
      </c>
      <c r="J41" s="97">
        <v>8.5264</v>
      </c>
      <c r="K41" s="97">
        <f>Пр3!$J41-Пр3!$I41</f>
        <v>8.1384</v>
      </c>
    </row>
    <row r="42" ht="18" spans="1:11">
      <c r="A42" s="101">
        <v>27</v>
      </c>
      <c r="B42" s="96">
        <v>0.035639</v>
      </c>
      <c r="C42" s="96">
        <v>300.15</v>
      </c>
      <c r="D42" s="97">
        <v>0.0010034</v>
      </c>
      <c r="E42" s="98">
        <v>38.811</v>
      </c>
      <c r="F42" s="99">
        <v>113.13</v>
      </c>
      <c r="G42" s="100">
        <v>2550.4</v>
      </c>
      <c r="H42" s="100">
        <v>2437.3</v>
      </c>
      <c r="I42" s="97">
        <v>0.3949</v>
      </c>
      <c r="J42" s="97">
        <v>8.5159</v>
      </c>
      <c r="K42" s="97">
        <f>Пр3!$J42-Пр3!$I42</f>
        <v>8.121</v>
      </c>
    </row>
    <row r="43" ht="18" spans="1:11">
      <c r="A43" s="101">
        <v>27.5</v>
      </c>
      <c r="B43" s="96">
        <v>0.036698</v>
      </c>
      <c r="C43" s="96">
        <v>300.65</v>
      </c>
      <c r="D43" s="97">
        <v>0.0010036</v>
      </c>
      <c r="E43" s="98">
        <v>37.752</v>
      </c>
      <c r="F43" s="99">
        <v>115.22</v>
      </c>
      <c r="G43" s="100">
        <v>2551.4</v>
      </c>
      <c r="H43" s="100">
        <v>2436.2</v>
      </c>
      <c r="I43" s="97">
        <v>0.4019</v>
      </c>
      <c r="J43" s="97">
        <v>8.5064</v>
      </c>
      <c r="K43" s="97">
        <v>8.1045</v>
      </c>
    </row>
    <row r="44" ht="18" spans="1:11">
      <c r="A44" s="101">
        <v>28</v>
      </c>
      <c r="B44" s="96">
        <v>0.037785</v>
      </c>
      <c r="C44" s="96">
        <v>301.15</v>
      </c>
      <c r="D44" s="97">
        <v>0.0010037</v>
      </c>
      <c r="E44" s="98">
        <v>36.726</v>
      </c>
      <c r="F44" s="99">
        <v>117.31</v>
      </c>
      <c r="G44" s="100">
        <v>2552.3</v>
      </c>
      <c r="H44" s="100">
        <v>2435</v>
      </c>
      <c r="I44" s="97">
        <v>0.4088</v>
      </c>
      <c r="J44" s="97">
        <v>8.495</v>
      </c>
      <c r="K44" s="97">
        <v>8.0862</v>
      </c>
    </row>
    <row r="45" ht="18" spans="1:11">
      <c r="A45" s="101">
        <v>28.5</v>
      </c>
      <c r="B45" s="96">
        <v>0.0389</v>
      </c>
      <c r="C45" s="96">
        <v>301.65</v>
      </c>
      <c r="D45" s="97">
        <v>0.0010039</v>
      </c>
      <c r="E45" s="98">
        <v>35.732</v>
      </c>
      <c r="F45" s="99">
        <v>119.4</v>
      </c>
      <c r="G45" s="100">
        <v>2553.2</v>
      </c>
      <c r="H45" s="100">
        <v>2433.8</v>
      </c>
      <c r="I45" s="97">
        <v>0.4158</v>
      </c>
      <c r="J45" s="97">
        <v>8.4846</v>
      </c>
      <c r="K45" s="97">
        <v>8.0688</v>
      </c>
    </row>
    <row r="46" ht="18" spans="1:11">
      <c r="A46" s="101">
        <v>29</v>
      </c>
      <c r="B46" s="96">
        <v>0.040043</v>
      </c>
      <c r="C46" s="96">
        <v>302.15</v>
      </c>
      <c r="D46" s="97">
        <v>0.001004</v>
      </c>
      <c r="E46" s="98">
        <v>34.768</v>
      </c>
      <c r="F46" s="99">
        <v>121.48</v>
      </c>
      <c r="G46" s="100">
        <v>2554.1</v>
      </c>
      <c r="H46" s="100">
        <v>2432.6</v>
      </c>
      <c r="I46" s="97">
        <v>0.4227</v>
      </c>
      <c r="J46" s="97">
        <v>8.4743</v>
      </c>
      <c r="K46" s="97">
        <v>8.0516</v>
      </c>
    </row>
    <row r="47" ht="18" spans="1:11">
      <c r="A47" s="101">
        <v>29.5</v>
      </c>
      <c r="B47" s="96">
        <v>0.041215</v>
      </c>
      <c r="C47" s="96">
        <v>302.65</v>
      </c>
      <c r="D47" s="97">
        <v>0.0010042</v>
      </c>
      <c r="E47" s="98">
        <v>33.834</v>
      </c>
      <c r="F47" s="99">
        <v>123.57</v>
      </c>
      <c r="G47" s="100">
        <v>2555</v>
      </c>
      <c r="H47" s="100">
        <v>2431.4</v>
      </c>
      <c r="I47" s="97">
        <v>0.4296</v>
      </c>
      <c r="J47" s="97">
        <v>8.464</v>
      </c>
      <c r="K47" s="97">
        <v>8.0344</v>
      </c>
    </row>
    <row r="48" ht="18" spans="1:11">
      <c r="A48" s="101">
        <v>30</v>
      </c>
      <c r="B48" s="96">
        <v>0.042417</v>
      </c>
      <c r="C48" s="96">
        <v>303.15</v>
      </c>
      <c r="D48" s="97">
        <v>0.0010043</v>
      </c>
      <c r="E48" s="98">
        <v>32.929</v>
      </c>
      <c r="F48" s="99">
        <v>125.66</v>
      </c>
      <c r="G48" s="100">
        <v>2555.9</v>
      </c>
      <c r="H48" s="100">
        <v>2430.2</v>
      </c>
      <c r="I48" s="97">
        <v>0.4365</v>
      </c>
      <c r="J48" s="97">
        <v>8.4537</v>
      </c>
      <c r="K48" s="97">
        <v>8.0172</v>
      </c>
    </row>
    <row r="49" ht="18" spans="1:11">
      <c r="A49" s="101">
        <v>30.5</v>
      </c>
      <c r="B49" s="96">
        <v>0.04365</v>
      </c>
      <c r="C49" s="96">
        <v>303.65</v>
      </c>
      <c r="D49" s="97">
        <v>0.0010045</v>
      </c>
      <c r="E49" s="98">
        <v>32.05</v>
      </c>
      <c r="F49" s="99">
        <v>127.75</v>
      </c>
      <c r="G49" s="100">
        <v>2556.8</v>
      </c>
      <c r="H49" s="100">
        <v>2429</v>
      </c>
      <c r="I49" s="97">
        <v>0.4434</v>
      </c>
      <c r="J49" s="97">
        <v>8.4435</v>
      </c>
      <c r="K49" s="97">
        <v>8.0001</v>
      </c>
    </row>
    <row r="50" ht="18" spans="1:11">
      <c r="A50" s="101">
        <v>31</v>
      </c>
      <c r="B50" s="96">
        <v>0.044913</v>
      </c>
      <c r="C50" s="96">
        <v>304.15</v>
      </c>
      <c r="D50" s="97">
        <v>0.0010046</v>
      </c>
      <c r="E50" s="98">
        <v>31.199</v>
      </c>
      <c r="F50" s="99">
        <v>129.84</v>
      </c>
      <c r="G50" s="100">
        <v>2557.7</v>
      </c>
      <c r="H50" s="100">
        <v>2427.9</v>
      </c>
      <c r="I50" s="97">
        <v>0.4503</v>
      </c>
      <c r="J50" s="97">
        <v>8.4334</v>
      </c>
      <c r="K50" s="97">
        <v>7.9831</v>
      </c>
    </row>
    <row r="51" ht="18" spans="1:11">
      <c r="A51" s="101">
        <v>31.5</v>
      </c>
      <c r="B51" s="96">
        <v>0.046208</v>
      </c>
      <c r="C51" s="96">
        <v>304.65</v>
      </c>
      <c r="D51" s="97">
        <v>0.0010048</v>
      </c>
      <c r="E51" s="98">
        <v>30.373</v>
      </c>
      <c r="F51" s="99">
        <v>131.93</v>
      </c>
      <c r="G51" s="100">
        <v>2558.6</v>
      </c>
      <c r="H51" s="100">
        <v>2426.7</v>
      </c>
      <c r="I51" s="97">
        <v>0.4571</v>
      </c>
      <c r="J51" s="97">
        <v>8.4233</v>
      </c>
      <c r="K51" s="97">
        <v>7.9662</v>
      </c>
    </row>
    <row r="52" ht="18" spans="1:11">
      <c r="A52" s="101">
        <v>32</v>
      </c>
      <c r="B52" s="96">
        <v>0.047536</v>
      </c>
      <c r="C52" s="96">
        <v>305.15</v>
      </c>
      <c r="D52" s="97">
        <v>0.0010049</v>
      </c>
      <c r="E52" s="98">
        <v>29.372</v>
      </c>
      <c r="F52" s="99">
        <v>134.02</v>
      </c>
      <c r="G52" s="100">
        <v>2559.5</v>
      </c>
      <c r="H52" s="100">
        <v>2425.5</v>
      </c>
      <c r="I52" s="97">
        <v>0.464</v>
      </c>
      <c r="J52" s="97">
        <v>8.4132</v>
      </c>
      <c r="K52" s="97">
        <v>7.9492</v>
      </c>
    </row>
    <row r="53" ht="18" spans="1:11">
      <c r="A53" s="101">
        <v>32.5</v>
      </c>
      <c r="B53" s="96">
        <v>0.048896</v>
      </c>
      <c r="C53" s="96">
        <v>305.65</v>
      </c>
      <c r="D53" s="97">
        <v>0.0010051</v>
      </c>
      <c r="E53" s="98">
        <v>28.796</v>
      </c>
      <c r="F53" s="99">
        <v>136.11</v>
      </c>
      <c r="G53" s="100">
        <v>2560.4</v>
      </c>
      <c r="H53" s="100">
        <v>2424.3</v>
      </c>
      <c r="I53" s="97">
        <v>0.4708</v>
      </c>
      <c r="J53" s="97">
        <v>8.4031</v>
      </c>
      <c r="K53" s="97">
        <v>7.9323</v>
      </c>
    </row>
    <row r="54" ht="18" spans="1:11">
      <c r="A54" s="101">
        <v>33</v>
      </c>
      <c r="B54" s="96">
        <v>0.05029</v>
      </c>
      <c r="C54" s="96">
        <v>306.15</v>
      </c>
      <c r="D54" s="97">
        <v>0.0010053</v>
      </c>
      <c r="E54" s="98">
        <v>28.042</v>
      </c>
      <c r="F54" s="99">
        <v>138.2</v>
      </c>
      <c r="G54" s="100">
        <v>2561.4</v>
      </c>
      <c r="H54" s="100">
        <v>2423.2</v>
      </c>
      <c r="I54" s="97">
        <v>0.4777</v>
      </c>
      <c r="J54" s="97">
        <v>8.3932</v>
      </c>
      <c r="K54" s="97">
        <v>7.9155</v>
      </c>
    </row>
    <row r="55" ht="18" spans="1:11">
      <c r="A55" s="101">
        <v>33.5</v>
      </c>
      <c r="B55" s="96">
        <v>0.051718</v>
      </c>
      <c r="C55" s="96">
        <v>306.65</v>
      </c>
      <c r="D55" s="97">
        <v>0.0010054</v>
      </c>
      <c r="E55" s="98">
        <v>27.312</v>
      </c>
      <c r="F55" s="99">
        <v>140.29</v>
      </c>
      <c r="G55" s="100">
        <v>2562.3</v>
      </c>
      <c r="H55" s="100">
        <v>2422</v>
      </c>
      <c r="I55" s="97">
        <v>0.4845</v>
      </c>
      <c r="J55" s="97">
        <v>8.3832</v>
      </c>
      <c r="K55" s="97">
        <v>7.8987</v>
      </c>
    </row>
    <row r="56" ht="18" spans="1:11">
      <c r="A56" s="101">
        <v>34</v>
      </c>
      <c r="B56" s="96">
        <v>0.053182</v>
      </c>
      <c r="C56" s="96">
        <v>307.15</v>
      </c>
      <c r="D56" s="97">
        <v>0.0010056</v>
      </c>
      <c r="E56" s="98">
        <v>26.602</v>
      </c>
      <c r="F56" s="99">
        <v>142.38</v>
      </c>
      <c r="G56" s="100">
        <v>2563.2</v>
      </c>
      <c r="H56" s="100">
        <v>2420.8</v>
      </c>
      <c r="I56" s="97">
        <v>0.4913</v>
      </c>
      <c r="J56" s="97">
        <v>8.3733</v>
      </c>
      <c r="K56" s="97">
        <v>7.882</v>
      </c>
    </row>
    <row r="57" ht="18" spans="1:11">
      <c r="A57" s="101">
        <v>34.5</v>
      </c>
      <c r="B57" s="96">
        <v>0.054681</v>
      </c>
      <c r="C57" s="96">
        <v>307.65</v>
      </c>
      <c r="D57" s="97">
        <v>0.0010058</v>
      </c>
      <c r="E57" s="98">
        <v>25.914</v>
      </c>
      <c r="F57" s="99">
        <v>144.47</v>
      </c>
      <c r="G57" s="100">
        <v>2564.1</v>
      </c>
      <c r="H57" s="100">
        <v>2419.6</v>
      </c>
      <c r="I57" s="97">
        <v>0.4981</v>
      </c>
      <c r="J57" s="97">
        <v>8.3634</v>
      </c>
      <c r="K57" s="97">
        <v>7.8653</v>
      </c>
    </row>
    <row r="58" ht="18" spans="1:11">
      <c r="A58" s="101">
        <v>35</v>
      </c>
      <c r="B58" s="96">
        <v>0.056217</v>
      </c>
      <c r="C58" s="96">
        <v>308.15</v>
      </c>
      <c r="D58" s="97">
        <v>0.001006</v>
      </c>
      <c r="E58" s="98">
        <v>25.246</v>
      </c>
      <c r="F58" s="99">
        <v>146.56</v>
      </c>
      <c r="G58" s="100">
        <v>2565</v>
      </c>
      <c r="H58" s="100">
        <v>2418.4</v>
      </c>
      <c r="I58" s="97">
        <v>0.5049</v>
      </c>
      <c r="J58" s="97">
        <v>8.3536</v>
      </c>
      <c r="K58" s="97">
        <v>7.8487</v>
      </c>
    </row>
    <row r="59" ht="18" spans="1:11">
      <c r="A59" s="101">
        <v>36</v>
      </c>
      <c r="B59" s="96">
        <v>0.059401</v>
      </c>
      <c r="C59" s="96">
        <v>309.15</v>
      </c>
      <c r="D59" s="97">
        <v>0.0010063</v>
      </c>
      <c r="E59" s="98">
        <v>23.968</v>
      </c>
      <c r="F59" s="99">
        <v>150.74</v>
      </c>
      <c r="G59" s="100">
        <v>2566.8</v>
      </c>
      <c r="H59" s="100">
        <v>2416.1</v>
      </c>
      <c r="I59" s="97">
        <v>0.5184</v>
      </c>
      <c r="J59" s="97">
        <v>8.3341</v>
      </c>
      <c r="K59" s="97">
        <v>7.8157</v>
      </c>
    </row>
    <row r="60" ht="18" spans="1:11">
      <c r="A60" s="101">
        <v>37</v>
      </c>
      <c r="B60" s="96">
        <v>0.06274</v>
      </c>
      <c r="C60" s="96">
        <v>310.15</v>
      </c>
      <c r="D60" s="97">
        <v>0.0010067</v>
      </c>
      <c r="E60" s="98">
        <v>22.764</v>
      </c>
      <c r="F60" s="99">
        <v>154.92</v>
      </c>
      <c r="G60" s="100">
        <v>2568.6</v>
      </c>
      <c r="H60" s="100">
        <v>2413.7</v>
      </c>
      <c r="I60" s="97">
        <v>0.5319</v>
      </c>
      <c r="J60" s="97">
        <v>8.3147</v>
      </c>
      <c r="K60" s="97">
        <v>7.7828</v>
      </c>
    </row>
    <row r="61" ht="18" spans="1:11">
      <c r="A61" s="101">
        <v>38</v>
      </c>
      <c r="B61" s="96">
        <v>0.06624</v>
      </c>
      <c r="C61" s="96">
        <v>311.15</v>
      </c>
      <c r="D61" s="97">
        <v>0.001007</v>
      </c>
      <c r="E61" s="98">
        <v>21.629</v>
      </c>
      <c r="F61" s="99">
        <v>159.09</v>
      </c>
      <c r="G61" s="100">
        <v>2570.4</v>
      </c>
      <c r="H61" s="100">
        <v>2411.3</v>
      </c>
      <c r="I61" s="97">
        <v>0.5453</v>
      </c>
      <c r="J61" s="97">
        <v>8.2955</v>
      </c>
      <c r="K61" s="97">
        <v>7.7502</v>
      </c>
    </row>
    <row r="62" ht="18" spans="1:11">
      <c r="A62" s="101">
        <v>39</v>
      </c>
      <c r="B62" s="96">
        <v>0.069907</v>
      </c>
      <c r="C62" s="96">
        <v>312.15</v>
      </c>
      <c r="D62" s="97">
        <v>0.0010074</v>
      </c>
      <c r="E62" s="98">
        <v>20.558</v>
      </c>
      <c r="F62" s="99">
        <v>163.27</v>
      </c>
      <c r="G62" s="100">
        <v>2572.2</v>
      </c>
      <c r="H62" s="100">
        <v>2408.9</v>
      </c>
      <c r="I62" s="97">
        <v>0.5588</v>
      </c>
      <c r="J62" s="97">
        <v>8.2765</v>
      </c>
      <c r="K62" s="97">
        <v>7.7177</v>
      </c>
    </row>
    <row r="63" ht="18" spans="1:11">
      <c r="A63" s="101">
        <v>40</v>
      </c>
      <c r="B63" s="96">
        <v>0.073749</v>
      </c>
      <c r="C63" s="96">
        <v>313.15</v>
      </c>
      <c r="D63" s="97">
        <v>0.0010078</v>
      </c>
      <c r="E63" s="98">
        <v>19.548</v>
      </c>
      <c r="F63" s="99">
        <v>167.45</v>
      </c>
      <c r="G63" s="100">
        <v>2574</v>
      </c>
      <c r="H63" s="100">
        <v>2406.5</v>
      </c>
      <c r="I63" s="97">
        <v>0.5721</v>
      </c>
      <c r="J63" s="97">
        <v>8.2576</v>
      </c>
      <c r="K63" s="97">
        <v>7.6855</v>
      </c>
    </row>
    <row r="64" ht="18" spans="1:11">
      <c r="A64" s="101">
        <v>41</v>
      </c>
      <c r="B64" s="96">
        <v>0.077772</v>
      </c>
      <c r="C64" s="96">
        <v>314.15</v>
      </c>
      <c r="D64" s="97">
        <v>0.0010082</v>
      </c>
      <c r="E64" s="98">
        <v>18.594</v>
      </c>
      <c r="F64" s="99">
        <v>171.63</v>
      </c>
      <c r="G64" s="100">
        <v>2575.8</v>
      </c>
      <c r="H64" s="100">
        <v>2404.2</v>
      </c>
      <c r="I64" s="97">
        <v>0.5854</v>
      </c>
      <c r="J64" s="97">
        <v>8.2389</v>
      </c>
      <c r="K64" s="97">
        <v>7.6535</v>
      </c>
    </row>
    <row r="65" ht="18" spans="1:11">
      <c r="A65" s="101">
        <v>42</v>
      </c>
      <c r="B65" s="96">
        <v>0.081983</v>
      </c>
      <c r="C65" s="96">
        <v>315.15</v>
      </c>
      <c r="D65" s="97">
        <v>0.0010086</v>
      </c>
      <c r="E65" s="98">
        <v>17.694</v>
      </c>
      <c r="F65" s="99">
        <v>175.81</v>
      </c>
      <c r="G65" s="100">
        <v>2577.6</v>
      </c>
      <c r="H65" s="100">
        <v>2401.8</v>
      </c>
      <c r="I65" s="97">
        <v>0.5987</v>
      </c>
      <c r="J65" s="97">
        <v>8.2203</v>
      </c>
      <c r="K65" s="97">
        <v>7.6216</v>
      </c>
    </row>
    <row r="66" ht="18" spans="1:11">
      <c r="A66" s="101">
        <v>43</v>
      </c>
      <c r="B66" s="96">
        <v>0.08639</v>
      </c>
      <c r="C66" s="96">
        <v>316.15</v>
      </c>
      <c r="D66" s="97">
        <v>0.001009</v>
      </c>
      <c r="E66" s="98">
        <v>16.843</v>
      </c>
      <c r="F66" s="99">
        <v>179.99</v>
      </c>
      <c r="G66" s="100">
        <v>2579.4</v>
      </c>
      <c r="H66" s="100">
        <v>2399.4</v>
      </c>
      <c r="I66" s="97">
        <v>0.612</v>
      </c>
      <c r="J66" s="97">
        <v>8.2019</v>
      </c>
      <c r="K66" s="97">
        <v>7.5899</v>
      </c>
    </row>
    <row r="67" ht="18" spans="1:11">
      <c r="A67" s="101">
        <v>44</v>
      </c>
      <c r="B67" s="96">
        <v>0.090998</v>
      </c>
      <c r="C67" s="96">
        <v>317.15</v>
      </c>
      <c r="D67" s="97">
        <v>0.0010094</v>
      </c>
      <c r="E67" s="98">
        <v>16.039</v>
      </c>
      <c r="F67" s="99">
        <v>184.17</v>
      </c>
      <c r="G67" s="100">
        <v>2581.1</v>
      </c>
      <c r="H67" s="100">
        <v>2396.9</v>
      </c>
      <c r="I67" s="97">
        <v>0.6252</v>
      </c>
      <c r="J67" s="97">
        <v>8.1836</v>
      </c>
      <c r="K67" s="97">
        <v>7.5584</v>
      </c>
    </row>
    <row r="68" ht="18" spans="1:11">
      <c r="A68" s="101">
        <v>45</v>
      </c>
      <c r="B68" s="96">
        <v>0.093817</v>
      </c>
      <c r="C68" s="96">
        <v>318.15</v>
      </c>
      <c r="D68" s="97">
        <v>0.0010099</v>
      </c>
      <c r="E68" s="98">
        <v>15.278</v>
      </c>
      <c r="F68" s="99">
        <v>188.35</v>
      </c>
      <c r="G68" s="100">
        <v>2582.9</v>
      </c>
      <c r="H68" s="100">
        <v>2394.5</v>
      </c>
      <c r="I68" s="97">
        <v>0.6383</v>
      </c>
      <c r="J68" s="97">
        <v>8.1655</v>
      </c>
      <c r="K68" s="97">
        <v>7.5272</v>
      </c>
    </row>
    <row r="69" ht="18" spans="1:11">
      <c r="A69" s="101">
        <v>46</v>
      </c>
      <c r="B69" s="96">
        <v>0.10085</v>
      </c>
      <c r="C69" s="96">
        <v>319.15</v>
      </c>
      <c r="D69" s="97">
        <v>0.0010103</v>
      </c>
      <c r="E69" s="98">
        <v>14.559</v>
      </c>
      <c r="F69" s="99">
        <v>192.53</v>
      </c>
      <c r="G69" s="100">
        <v>2584.7</v>
      </c>
      <c r="H69" s="100">
        <v>2392.2</v>
      </c>
      <c r="I69" s="97">
        <v>0.6514</v>
      </c>
      <c r="J69" s="97">
        <v>8.1475</v>
      </c>
      <c r="K69" s="97">
        <v>7.4961</v>
      </c>
    </row>
    <row r="70" ht="18" spans="1:11">
      <c r="A70" s="101">
        <v>47</v>
      </c>
      <c r="B70" s="96">
        <v>0.10612</v>
      </c>
      <c r="C70" s="96">
        <v>320.15</v>
      </c>
      <c r="D70" s="97">
        <v>0.0010107</v>
      </c>
      <c r="E70" s="98">
        <v>13.879</v>
      </c>
      <c r="F70" s="99">
        <v>196.71</v>
      </c>
      <c r="G70" s="100">
        <v>2586.5</v>
      </c>
      <c r="H70" s="100">
        <v>2389.8</v>
      </c>
      <c r="I70" s="97">
        <v>0.6645</v>
      </c>
      <c r="J70" s="97">
        <v>8.1297</v>
      </c>
      <c r="K70" s="97">
        <v>7.4652</v>
      </c>
    </row>
    <row r="71" ht="18" spans="1:11">
      <c r="A71" s="101">
        <v>48</v>
      </c>
      <c r="B71" s="96">
        <v>0.11161</v>
      </c>
      <c r="C71" s="96">
        <v>321.15</v>
      </c>
      <c r="D71" s="97">
        <v>0.0010112</v>
      </c>
      <c r="E71" s="98">
        <v>13.236</v>
      </c>
      <c r="F71" s="99">
        <v>200.89</v>
      </c>
      <c r="G71" s="100">
        <v>2588.3</v>
      </c>
      <c r="H71" s="100">
        <v>2387.4</v>
      </c>
      <c r="I71" s="97">
        <v>0.6776</v>
      </c>
      <c r="J71" s="97">
        <v>8.1121</v>
      </c>
      <c r="K71" s="97">
        <v>7.4345</v>
      </c>
    </row>
    <row r="72" ht="18" spans="1:11">
      <c r="A72" s="101">
        <v>49</v>
      </c>
      <c r="B72" s="96">
        <v>0.11735</v>
      </c>
      <c r="C72" s="96">
        <v>322.15</v>
      </c>
      <c r="D72" s="97">
        <v>0.0010116</v>
      </c>
      <c r="E72" s="98">
        <v>12.626</v>
      </c>
      <c r="F72" s="99">
        <v>205.07</v>
      </c>
      <c r="G72" s="100">
        <v>2590.1</v>
      </c>
      <c r="H72" s="100">
        <v>2385</v>
      </c>
      <c r="I72" s="97">
        <v>0.6906</v>
      </c>
      <c r="J72" s="97">
        <v>8.0945</v>
      </c>
      <c r="K72" s="97">
        <v>7.4039</v>
      </c>
    </row>
    <row r="73" ht="18" spans="1:11">
      <c r="A73" s="101">
        <v>50</v>
      </c>
      <c r="B73" s="96">
        <v>0.12335</v>
      </c>
      <c r="C73" s="96">
        <v>323.15</v>
      </c>
      <c r="D73" s="97">
        <v>0.0010121</v>
      </c>
      <c r="E73" s="98">
        <v>12.048</v>
      </c>
      <c r="F73" s="99">
        <v>209.26</v>
      </c>
      <c r="G73" s="100">
        <v>2591.8</v>
      </c>
      <c r="H73" s="100">
        <v>2382.5</v>
      </c>
      <c r="I73" s="97">
        <v>0.7035</v>
      </c>
      <c r="J73" s="97">
        <v>8.0771</v>
      </c>
      <c r="K73" s="97">
        <v>7.3736</v>
      </c>
    </row>
    <row r="74" ht="18" spans="1:11">
      <c r="A74" s="101">
        <v>51</v>
      </c>
      <c r="B74" s="96">
        <v>0.1296</v>
      </c>
      <c r="C74" s="96">
        <v>324.15</v>
      </c>
      <c r="D74" s="97">
        <v>0.0010126</v>
      </c>
      <c r="E74" s="98">
        <v>11.301</v>
      </c>
      <c r="F74" s="99">
        <v>213.44</v>
      </c>
      <c r="G74" s="100">
        <v>2593.6</v>
      </c>
      <c r="H74" s="100">
        <v>2380.2</v>
      </c>
      <c r="I74" s="97">
        <v>0.7164</v>
      </c>
      <c r="J74" s="97">
        <v>8.0598</v>
      </c>
      <c r="K74" s="97">
        <v>7.3434</v>
      </c>
    </row>
    <row r="75" ht="18" spans="1:11">
      <c r="A75" s="101">
        <v>52</v>
      </c>
      <c r="B75" s="96">
        <v>0.13612</v>
      </c>
      <c r="C75" s="96">
        <v>325.15</v>
      </c>
      <c r="D75" s="97">
        <v>0.0010131</v>
      </c>
      <c r="E75" s="98">
        <v>10.982</v>
      </c>
      <c r="F75" s="99">
        <v>217.62</v>
      </c>
      <c r="G75" s="100">
        <v>2595.4</v>
      </c>
      <c r="H75" s="100">
        <v>2377.8</v>
      </c>
      <c r="I75" s="97">
        <v>0.7293</v>
      </c>
      <c r="J75" s="97">
        <v>8.0427</v>
      </c>
      <c r="K75" s="97">
        <v>7.3134</v>
      </c>
    </row>
    <row r="76" ht="18" spans="1:11">
      <c r="A76" s="101">
        <v>53</v>
      </c>
      <c r="B76" s="96">
        <v>0.14292</v>
      </c>
      <c r="C76" s="96">
        <v>326.15</v>
      </c>
      <c r="D76" s="97">
        <v>0.0010136</v>
      </c>
      <c r="E76" s="98">
        <v>10.49</v>
      </c>
      <c r="F76" s="99">
        <v>221.8</v>
      </c>
      <c r="G76" s="100">
        <v>2597.2</v>
      </c>
      <c r="H76" s="100">
        <v>2375.4</v>
      </c>
      <c r="I76" s="97">
        <v>0.7422</v>
      </c>
      <c r="J76" s="97">
        <v>8.0258</v>
      </c>
      <c r="K76" s="97">
        <v>7.2836</v>
      </c>
    </row>
    <row r="77" ht="18" spans="1:11">
      <c r="A77" s="101">
        <v>54</v>
      </c>
      <c r="B77" s="96">
        <v>0.15001</v>
      </c>
      <c r="C77" s="96">
        <v>327.15</v>
      </c>
      <c r="D77" s="97">
        <v>0.001014</v>
      </c>
      <c r="E77" s="98">
        <v>10.024</v>
      </c>
      <c r="F77" s="99">
        <v>225.98</v>
      </c>
      <c r="G77" s="100">
        <v>2598.9</v>
      </c>
      <c r="H77" s="100">
        <v>2372.9</v>
      </c>
      <c r="I77" s="97">
        <v>0.755</v>
      </c>
      <c r="J77" s="96">
        <v>8.0089</v>
      </c>
      <c r="K77" s="97">
        <v>7.2539</v>
      </c>
    </row>
    <row r="78" ht="18" spans="1:11">
      <c r="A78" s="101">
        <v>55</v>
      </c>
      <c r="B78" s="96">
        <v>0.1574</v>
      </c>
      <c r="C78" s="96">
        <v>328.15</v>
      </c>
      <c r="D78" s="97">
        <v>0.0010145</v>
      </c>
      <c r="E78" s="98">
        <v>9.5812</v>
      </c>
      <c r="F78" s="99">
        <v>230.17</v>
      </c>
      <c r="G78" s="100">
        <v>2600.7</v>
      </c>
      <c r="H78" s="100">
        <v>2370.5</v>
      </c>
      <c r="I78" s="97">
        <v>0.7677</v>
      </c>
      <c r="J78" s="96">
        <v>7.9922</v>
      </c>
      <c r="K78" s="97">
        <v>7.2245</v>
      </c>
    </row>
    <row r="79" ht="18" spans="1:11">
      <c r="A79" s="101">
        <v>56</v>
      </c>
      <c r="B79" s="96">
        <v>0.1651</v>
      </c>
      <c r="C79" s="96">
        <v>329.15</v>
      </c>
      <c r="D79" s="97">
        <v>0.001015</v>
      </c>
      <c r="E79" s="98">
        <v>9.1609</v>
      </c>
      <c r="F79" s="99">
        <v>234.35</v>
      </c>
      <c r="G79" s="100">
        <v>2602.4</v>
      </c>
      <c r="H79" s="100">
        <v>2368.1</v>
      </c>
      <c r="I79" s="97">
        <v>0.7804</v>
      </c>
      <c r="J79" s="96">
        <v>7.9756</v>
      </c>
      <c r="K79" s="97">
        <v>7.1952</v>
      </c>
    </row>
    <row r="80" ht="18" spans="1:11">
      <c r="A80" s="101">
        <v>57</v>
      </c>
      <c r="B80" s="96">
        <v>0.17312</v>
      </c>
      <c r="C80" s="96">
        <v>330.15</v>
      </c>
      <c r="D80" s="97">
        <v>0.0010156</v>
      </c>
      <c r="E80" s="98">
        <v>8.7618</v>
      </c>
      <c r="F80" s="99">
        <v>238.54</v>
      </c>
      <c r="G80" s="100">
        <v>2604.2</v>
      </c>
      <c r="H80" s="100">
        <v>2365.7</v>
      </c>
      <c r="I80" s="97">
        <v>0.7931</v>
      </c>
      <c r="J80" s="96">
        <v>7.9591</v>
      </c>
      <c r="K80" s="97">
        <v>7.166</v>
      </c>
    </row>
    <row r="81" ht="18" spans="1:11">
      <c r="A81" s="101">
        <v>58</v>
      </c>
      <c r="B81" s="96">
        <v>0.18146</v>
      </c>
      <c r="C81" s="96">
        <v>331.15</v>
      </c>
      <c r="D81" s="97">
        <v>0.0010161</v>
      </c>
      <c r="E81" s="98">
        <v>8.3831</v>
      </c>
      <c r="F81" s="99">
        <v>242.72</v>
      </c>
      <c r="G81" s="100">
        <v>2606</v>
      </c>
      <c r="H81" s="100">
        <v>2363.3</v>
      </c>
      <c r="I81" s="97">
        <v>0.8058</v>
      </c>
      <c r="J81" s="96">
        <v>7.9428</v>
      </c>
      <c r="K81" s="97">
        <v>7.137</v>
      </c>
    </row>
    <row r="82" ht="18" spans="1:11">
      <c r="A82" s="101">
        <v>59</v>
      </c>
      <c r="B82" s="96">
        <v>0.19015</v>
      </c>
      <c r="C82" s="96">
        <v>332.15</v>
      </c>
      <c r="D82" s="97">
        <v>0.0010166</v>
      </c>
      <c r="E82" s="98">
        <v>8.0229</v>
      </c>
      <c r="F82" s="99">
        <v>246.91</v>
      </c>
      <c r="G82" s="100">
        <v>2607.7</v>
      </c>
      <c r="H82" s="100">
        <v>2360.8</v>
      </c>
      <c r="I82" s="97">
        <v>0.8184</v>
      </c>
      <c r="J82" s="96">
        <v>7.9266</v>
      </c>
      <c r="K82" s="97">
        <v>7.1082</v>
      </c>
    </row>
    <row r="83" ht="18" spans="1:11">
      <c r="A83" s="101">
        <v>60</v>
      </c>
      <c r="B83" s="96">
        <v>0.19919</v>
      </c>
      <c r="C83" s="96">
        <v>333.15</v>
      </c>
      <c r="D83" s="97">
        <v>0.0010171</v>
      </c>
      <c r="E83" s="98">
        <v>7.6807</v>
      </c>
      <c r="F83" s="99">
        <v>251.09</v>
      </c>
      <c r="G83" s="100">
        <v>2609.5</v>
      </c>
      <c r="H83" s="100">
        <v>2358.4</v>
      </c>
      <c r="I83" s="97">
        <v>0.831</v>
      </c>
      <c r="J83" s="96">
        <v>7.9106</v>
      </c>
      <c r="K83" s="97">
        <v>7.0796</v>
      </c>
    </row>
    <row r="84" ht="18" spans="1:11">
      <c r="A84" s="101">
        <v>61</v>
      </c>
      <c r="B84" s="96">
        <v>0.20859</v>
      </c>
      <c r="C84" s="96">
        <v>334.15</v>
      </c>
      <c r="D84" s="97">
        <v>0.0010177</v>
      </c>
      <c r="E84" s="98">
        <v>7.3554</v>
      </c>
      <c r="F84" s="99">
        <v>255.28</v>
      </c>
      <c r="G84" s="100">
        <v>2611.2</v>
      </c>
      <c r="H84" s="100">
        <v>2355.9</v>
      </c>
      <c r="I84" s="97">
        <v>0.8435</v>
      </c>
      <c r="J84" s="96">
        <v>7.8946</v>
      </c>
      <c r="K84" s="97">
        <v>7.0511</v>
      </c>
    </row>
    <row r="85" ht="18" spans="1:11">
      <c r="A85" s="101">
        <v>62</v>
      </c>
      <c r="B85" s="96">
        <v>0.21837</v>
      </c>
      <c r="C85" s="96">
        <v>335.15</v>
      </c>
      <c r="D85" s="97">
        <v>0.0010182</v>
      </c>
      <c r="E85" s="98">
        <v>7.0458</v>
      </c>
      <c r="F85" s="99">
        <v>259.46</v>
      </c>
      <c r="G85" s="100">
        <v>2613</v>
      </c>
      <c r="H85" s="100">
        <v>2353.5</v>
      </c>
      <c r="I85" s="97">
        <v>0.856</v>
      </c>
      <c r="J85" s="96">
        <v>7.8788</v>
      </c>
      <c r="K85" s="97">
        <v>7.0228</v>
      </c>
    </row>
    <row r="86" ht="18" spans="1:11">
      <c r="A86" s="101">
        <v>63</v>
      </c>
      <c r="B86" s="96">
        <v>0.22854</v>
      </c>
      <c r="C86" s="96">
        <v>336.15</v>
      </c>
      <c r="D86" s="97">
        <v>0.0010188</v>
      </c>
      <c r="E86" s="98">
        <v>6.7512</v>
      </c>
      <c r="F86" s="99">
        <v>263.65</v>
      </c>
      <c r="G86" s="100">
        <v>2614.7</v>
      </c>
      <c r="H86" s="100">
        <v>2351.1</v>
      </c>
      <c r="I86" s="97">
        <v>0.8685</v>
      </c>
      <c r="J86" s="96">
        <v>7.8631</v>
      </c>
      <c r="K86" s="97">
        <v>6.9946</v>
      </c>
    </row>
    <row r="87" ht="18" spans="1:11">
      <c r="A87" s="101">
        <v>64</v>
      </c>
      <c r="B87" s="96">
        <v>0.2391</v>
      </c>
      <c r="C87" s="96">
        <v>337.15</v>
      </c>
      <c r="D87" s="97">
        <v>0.0010193</v>
      </c>
      <c r="E87" s="98">
        <v>6.4711</v>
      </c>
      <c r="F87" s="99">
        <v>267.84</v>
      </c>
      <c r="G87" s="100">
        <v>2616.4</v>
      </c>
      <c r="H87" s="100">
        <v>2348.6</v>
      </c>
      <c r="I87" s="97">
        <v>0.8809</v>
      </c>
      <c r="J87" s="96">
        <v>7.8475</v>
      </c>
      <c r="K87" s="97">
        <v>6.9666</v>
      </c>
    </row>
    <row r="88" ht="18" spans="1:11">
      <c r="A88" s="101">
        <v>65</v>
      </c>
      <c r="B88" s="96">
        <v>0.25008</v>
      </c>
      <c r="C88" s="96">
        <v>338.15</v>
      </c>
      <c r="D88" s="97">
        <v>0.0010199</v>
      </c>
      <c r="E88" s="98">
        <v>6.2042</v>
      </c>
      <c r="F88" s="99">
        <v>272.02</v>
      </c>
      <c r="G88" s="100">
        <v>2618.2</v>
      </c>
      <c r="H88" s="100">
        <v>2346.2</v>
      </c>
      <c r="I88" s="97">
        <v>0.8933</v>
      </c>
      <c r="J88" s="96">
        <v>7.832</v>
      </c>
      <c r="K88" s="97">
        <v>6.9387</v>
      </c>
    </row>
    <row r="89" ht="18" spans="1:11">
      <c r="A89" s="101">
        <v>66</v>
      </c>
      <c r="B89" s="96">
        <v>0.26148</v>
      </c>
      <c r="C89" s="96">
        <v>339.15</v>
      </c>
      <c r="D89" s="97">
        <v>0.0010205</v>
      </c>
      <c r="E89" s="98">
        <v>5.9502</v>
      </c>
      <c r="F89" s="99">
        <v>276.21</v>
      </c>
      <c r="G89" s="100">
        <v>2619.9</v>
      </c>
      <c r="H89" s="100">
        <v>2343.7</v>
      </c>
      <c r="I89" s="97">
        <v>0.9057</v>
      </c>
      <c r="J89" s="96">
        <v>7.8167</v>
      </c>
      <c r="K89" s="97">
        <v>6.911</v>
      </c>
    </row>
    <row r="90" ht="18" spans="1:11">
      <c r="A90" s="101">
        <v>67</v>
      </c>
      <c r="B90" s="96">
        <v>0.27332</v>
      </c>
      <c r="C90" s="96">
        <v>340.15</v>
      </c>
      <c r="D90" s="97">
        <v>0.0010211</v>
      </c>
      <c r="E90" s="98">
        <v>5.7082</v>
      </c>
      <c r="F90" s="99">
        <v>280.4</v>
      </c>
      <c r="G90" s="100">
        <v>2621.6</v>
      </c>
      <c r="H90" s="100">
        <v>2341.2</v>
      </c>
      <c r="I90" s="97">
        <v>0.918</v>
      </c>
      <c r="J90" s="96">
        <v>7.8015</v>
      </c>
      <c r="K90" s="97">
        <v>6.8835</v>
      </c>
    </row>
    <row r="91" ht="18" spans="1:11">
      <c r="A91" s="101">
        <v>68</v>
      </c>
      <c r="B91" s="96">
        <v>0.28561</v>
      </c>
      <c r="C91" s="96">
        <v>341.15</v>
      </c>
      <c r="D91" s="97">
        <v>0.0010217</v>
      </c>
      <c r="E91" s="98">
        <v>5.4775</v>
      </c>
      <c r="F91" s="99">
        <v>284.59</v>
      </c>
      <c r="G91" s="100">
        <v>2623.3</v>
      </c>
      <c r="H91" s="100">
        <v>2338.7</v>
      </c>
      <c r="I91" s="97">
        <v>0.9303</v>
      </c>
      <c r="J91" s="96">
        <v>7.7864</v>
      </c>
      <c r="K91" s="97">
        <v>6.8561</v>
      </c>
    </row>
    <row r="92" ht="18" spans="1:11">
      <c r="A92" s="101">
        <v>69</v>
      </c>
      <c r="B92" s="96">
        <v>0.29837</v>
      </c>
      <c r="C92" s="96">
        <v>342.15</v>
      </c>
      <c r="D92" s="97">
        <v>0.0010222</v>
      </c>
      <c r="E92" s="98">
        <v>5.2576</v>
      </c>
      <c r="F92" s="99">
        <v>288.78</v>
      </c>
      <c r="G92" s="100">
        <v>2625.1</v>
      </c>
      <c r="H92" s="100">
        <v>2336.3</v>
      </c>
      <c r="I92" s="97">
        <v>0.9426</v>
      </c>
      <c r="J92" s="96">
        <v>7.7714</v>
      </c>
      <c r="K92" s="97">
        <v>6.8288</v>
      </c>
    </row>
    <row r="93" ht="18" spans="1:11">
      <c r="A93" s="101">
        <v>70</v>
      </c>
      <c r="B93" s="96">
        <v>0.31161</v>
      </c>
      <c r="C93" s="96">
        <v>343.15</v>
      </c>
      <c r="D93" s="97">
        <v>0.0010228</v>
      </c>
      <c r="E93" s="98">
        <v>5.0479</v>
      </c>
      <c r="F93" s="99">
        <v>292.97</v>
      </c>
      <c r="G93" s="100">
        <v>2626.8</v>
      </c>
      <c r="H93" s="100">
        <v>2333.8</v>
      </c>
      <c r="I93" s="97">
        <v>0.9548</v>
      </c>
      <c r="J93" s="96">
        <v>7.7565</v>
      </c>
      <c r="K93" s="97">
        <v>6.8017</v>
      </c>
    </row>
    <row r="94" ht="18" spans="1:11">
      <c r="A94" s="101">
        <v>71</v>
      </c>
      <c r="B94" s="96">
        <v>0.32533</v>
      </c>
      <c r="C94" s="96">
        <v>344.15</v>
      </c>
      <c r="D94" s="97">
        <v>0.0010235</v>
      </c>
      <c r="E94" s="98">
        <v>4.8481</v>
      </c>
      <c r="F94" s="99">
        <v>297.16</v>
      </c>
      <c r="G94" s="100">
        <v>2628.5</v>
      </c>
      <c r="H94" s="100">
        <v>2331.3</v>
      </c>
      <c r="I94" s="97">
        <v>0.967</v>
      </c>
      <c r="J94" s="96">
        <v>7.7417</v>
      </c>
      <c r="K94" s="97">
        <v>6.7747</v>
      </c>
    </row>
    <row r="95" ht="18" spans="1:11">
      <c r="A95" s="101">
        <v>72</v>
      </c>
      <c r="B95" s="96">
        <v>0.33957</v>
      </c>
      <c r="C95" s="96">
        <v>345.15</v>
      </c>
      <c r="D95" s="97">
        <v>0.0010241</v>
      </c>
      <c r="E95" s="98">
        <v>4.6574</v>
      </c>
      <c r="F95" s="99">
        <v>301.36</v>
      </c>
      <c r="G95" s="100">
        <v>2630.2</v>
      </c>
      <c r="H95" s="100">
        <v>2328.8</v>
      </c>
      <c r="I95" s="97">
        <v>0.9792</v>
      </c>
      <c r="J95" s="96">
        <v>7.727</v>
      </c>
      <c r="K95" s="97">
        <v>6.7478</v>
      </c>
    </row>
    <row r="96" ht="18" spans="1:11">
      <c r="A96" s="101">
        <v>73</v>
      </c>
      <c r="B96" s="96">
        <v>0.35433</v>
      </c>
      <c r="C96" s="96">
        <v>346.15</v>
      </c>
      <c r="D96" s="97">
        <v>0.0010247</v>
      </c>
      <c r="E96" s="98">
        <v>4.4753</v>
      </c>
      <c r="F96" s="99">
        <v>305.55</v>
      </c>
      <c r="G96" s="100">
        <v>2631.9</v>
      </c>
      <c r="H96" s="100">
        <v>2326.3</v>
      </c>
      <c r="I96" s="97">
        <v>0.9913</v>
      </c>
      <c r="J96" s="96">
        <v>7.7125</v>
      </c>
      <c r="K96" s="97">
        <v>6.7212</v>
      </c>
    </row>
    <row r="97" ht="18" spans="1:11">
      <c r="A97" s="101">
        <v>74</v>
      </c>
      <c r="B97" s="96">
        <v>0.36963</v>
      </c>
      <c r="C97" s="96">
        <v>347.15</v>
      </c>
      <c r="D97" s="97">
        <v>0.0010253</v>
      </c>
      <c r="E97" s="98">
        <v>4.3015</v>
      </c>
      <c r="F97" s="99">
        <v>309.74</v>
      </c>
      <c r="G97" s="100">
        <v>2633.6</v>
      </c>
      <c r="H97" s="100">
        <v>2323.9</v>
      </c>
      <c r="I97" s="97">
        <v>1.0034</v>
      </c>
      <c r="J97" s="96">
        <v>7.698</v>
      </c>
      <c r="K97" s="97">
        <v>6.6946</v>
      </c>
    </row>
    <row r="98" ht="18" spans="1:11">
      <c r="A98" s="101">
        <v>75</v>
      </c>
      <c r="B98" s="96">
        <v>0.38548</v>
      </c>
      <c r="C98" s="96">
        <v>348.15</v>
      </c>
      <c r="D98" s="97">
        <v>0.0010259</v>
      </c>
      <c r="E98" s="98">
        <v>4.1356</v>
      </c>
      <c r="F98" s="99">
        <v>313.94</v>
      </c>
      <c r="G98" s="100">
        <v>2635.3</v>
      </c>
      <c r="H98" s="100">
        <v>2321.4</v>
      </c>
      <c r="I98" s="97">
        <v>1.0154</v>
      </c>
      <c r="J98" s="96">
        <v>7.6837</v>
      </c>
      <c r="K98" s="97">
        <v>6.6683</v>
      </c>
    </row>
    <row r="99" ht="18" spans="1:11">
      <c r="A99" s="101">
        <v>76</v>
      </c>
      <c r="B99" s="96">
        <v>0.4019</v>
      </c>
      <c r="C99" s="96">
        <v>349.15</v>
      </c>
      <c r="D99" s="97">
        <v>0.0010266</v>
      </c>
      <c r="E99" s="98">
        <v>3.9771</v>
      </c>
      <c r="F99" s="99">
        <v>318.13</v>
      </c>
      <c r="G99" s="100">
        <v>2637</v>
      </c>
      <c r="H99" s="100">
        <v>2318.9</v>
      </c>
      <c r="I99" s="97">
        <v>1.0275</v>
      </c>
      <c r="J99" s="96">
        <v>7.6694</v>
      </c>
      <c r="K99" s="97">
        <v>6.6419</v>
      </c>
    </row>
    <row r="100" ht="18" spans="1:11">
      <c r="A100" s="101">
        <v>77</v>
      </c>
      <c r="B100" s="96">
        <v>0.4189</v>
      </c>
      <c r="C100" s="96">
        <v>350.15</v>
      </c>
      <c r="D100" s="97">
        <v>0.0010272</v>
      </c>
      <c r="E100" s="98">
        <v>3.8257</v>
      </c>
      <c r="F100" s="99">
        <v>322.33</v>
      </c>
      <c r="G100" s="100">
        <v>2638.7</v>
      </c>
      <c r="H100" s="100">
        <v>2316.4</v>
      </c>
      <c r="I100" s="97">
        <v>1.0395</v>
      </c>
      <c r="J100" s="96">
        <v>7.6553</v>
      </c>
      <c r="K100" s="97">
        <v>6.6158</v>
      </c>
    </row>
    <row r="101" ht="18" spans="1:11">
      <c r="A101" s="101">
        <v>78</v>
      </c>
      <c r="B101" s="96">
        <v>0.4365</v>
      </c>
      <c r="C101" s="96">
        <v>351.15</v>
      </c>
      <c r="D101" s="97">
        <v>0.0010279</v>
      </c>
      <c r="E101" s="98">
        <v>3.6811</v>
      </c>
      <c r="F101" s="99">
        <v>326.52</v>
      </c>
      <c r="G101" s="100">
        <v>2640.4</v>
      </c>
      <c r="H101" s="100">
        <v>2313.9</v>
      </c>
      <c r="I101" s="97">
        <v>1.0514</v>
      </c>
      <c r="J101" s="96">
        <v>7.6413</v>
      </c>
      <c r="K101" s="97">
        <v>6.5899</v>
      </c>
    </row>
    <row r="102" ht="18" spans="1:11">
      <c r="A102" s="101">
        <v>79</v>
      </c>
      <c r="B102" s="96">
        <v>0.45473</v>
      </c>
      <c r="C102" s="96">
        <v>352.15</v>
      </c>
      <c r="D102" s="97">
        <v>0.0010285</v>
      </c>
      <c r="E102" s="98">
        <v>3.5427</v>
      </c>
      <c r="F102" s="99">
        <v>330.72</v>
      </c>
      <c r="G102" s="100">
        <v>2642.1</v>
      </c>
      <c r="H102" s="100">
        <v>2311.4</v>
      </c>
      <c r="I102" s="97">
        <v>1.0634</v>
      </c>
      <c r="J102" s="96">
        <v>7.6274</v>
      </c>
      <c r="K102" s="97">
        <v>6.564</v>
      </c>
    </row>
    <row r="103" ht="18" spans="1:11">
      <c r="A103" s="101">
        <v>80</v>
      </c>
      <c r="B103" s="96">
        <v>0.47359</v>
      </c>
      <c r="C103" s="96">
        <v>353.15</v>
      </c>
      <c r="D103" s="97">
        <v>0.0010292</v>
      </c>
      <c r="E103" s="98">
        <v>3.4104</v>
      </c>
      <c r="F103" s="99">
        <v>334.92</v>
      </c>
      <c r="G103" s="100">
        <v>2643.8</v>
      </c>
      <c r="H103" s="100">
        <v>2308.9</v>
      </c>
      <c r="I103" s="97">
        <v>1.0752</v>
      </c>
      <c r="J103" s="96">
        <v>7.6135</v>
      </c>
      <c r="K103" s="97">
        <v>6.5383</v>
      </c>
    </row>
    <row r="104" ht="18" spans="1:11">
      <c r="A104" s="101">
        <v>81</v>
      </c>
      <c r="B104" s="96">
        <v>0.4931</v>
      </c>
      <c r="C104" s="96">
        <v>354.15</v>
      </c>
      <c r="D104" s="97">
        <v>0.0010299</v>
      </c>
      <c r="E104" s="98">
        <v>3.2839</v>
      </c>
      <c r="F104" s="99">
        <v>339.11</v>
      </c>
      <c r="G104" s="100">
        <v>2645.4</v>
      </c>
      <c r="H104" s="100">
        <v>2306.3</v>
      </c>
      <c r="I104" s="97">
        <v>1.0871</v>
      </c>
      <c r="J104" s="96">
        <v>7.5998</v>
      </c>
      <c r="K104" s="97">
        <v>6.5127</v>
      </c>
    </row>
    <row r="105" ht="18" spans="1:11">
      <c r="A105" s="101">
        <v>82</v>
      </c>
      <c r="B105" s="96">
        <v>0.51328</v>
      </c>
      <c r="C105" s="96">
        <v>355.15</v>
      </c>
      <c r="D105" s="97">
        <v>0.0010305</v>
      </c>
      <c r="E105" s="98">
        <v>3.1629</v>
      </c>
      <c r="F105" s="99">
        <v>343.31</v>
      </c>
      <c r="G105" s="100">
        <v>2647.1</v>
      </c>
      <c r="H105" s="100">
        <v>2303.8</v>
      </c>
      <c r="I105" s="97">
        <v>1.099</v>
      </c>
      <c r="J105" s="96">
        <v>7.5862</v>
      </c>
      <c r="K105" s="97">
        <v>6.4872</v>
      </c>
    </row>
    <row r="106" ht="18" spans="1:11">
      <c r="A106" s="101">
        <v>83</v>
      </c>
      <c r="B106" s="96">
        <v>0.53415</v>
      </c>
      <c r="C106" s="96">
        <v>356.15</v>
      </c>
      <c r="D106" s="97">
        <v>0.0010312</v>
      </c>
      <c r="E106" s="98">
        <v>3.0471</v>
      </c>
      <c r="F106" s="99">
        <v>347.51</v>
      </c>
      <c r="G106" s="100">
        <v>2648.8</v>
      </c>
      <c r="H106" s="100">
        <v>2301.3</v>
      </c>
      <c r="I106" s="97">
        <v>1.1108</v>
      </c>
      <c r="J106" s="96">
        <v>7.5726</v>
      </c>
      <c r="K106" s="97">
        <v>6.4618</v>
      </c>
    </row>
    <row r="107" ht="18" spans="1:11">
      <c r="A107" s="101">
        <v>84</v>
      </c>
      <c r="B107" s="96">
        <v>0.55572</v>
      </c>
      <c r="C107" s="96">
        <v>357.15</v>
      </c>
      <c r="D107" s="97">
        <v>0.0010319</v>
      </c>
      <c r="E107" s="98">
        <v>2.9362</v>
      </c>
      <c r="F107" s="99">
        <v>351.71</v>
      </c>
      <c r="G107" s="100">
        <v>2650.4</v>
      </c>
      <c r="H107" s="100">
        <v>2298.7</v>
      </c>
      <c r="I107" s="97">
        <v>1.1225</v>
      </c>
      <c r="J107" s="96">
        <v>7.5592</v>
      </c>
      <c r="K107" s="97">
        <v>6.4367</v>
      </c>
    </row>
    <row r="108" ht="18" spans="1:11">
      <c r="A108" s="101">
        <v>85</v>
      </c>
      <c r="B108" s="96">
        <v>0.57803</v>
      </c>
      <c r="C108" s="96">
        <v>358.15</v>
      </c>
      <c r="D108" s="97">
        <v>0.0010326</v>
      </c>
      <c r="E108" s="98">
        <v>2.83</v>
      </c>
      <c r="F108" s="99">
        <v>355.92</v>
      </c>
      <c r="G108" s="100">
        <v>2652.1</v>
      </c>
      <c r="H108" s="100">
        <v>2296.2</v>
      </c>
      <c r="I108" s="97">
        <v>1.1343</v>
      </c>
      <c r="J108" s="96">
        <v>7.5459</v>
      </c>
      <c r="K108" s="97">
        <v>6.4116</v>
      </c>
    </row>
    <row r="109" ht="18" spans="1:11">
      <c r="A109" s="101">
        <v>86</v>
      </c>
      <c r="B109" s="96">
        <v>0.60107</v>
      </c>
      <c r="C109" s="96">
        <v>359.15</v>
      </c>
      <c r="D109" s="97">
        <v>0.0010333</v>
      </c>
      <c r="E109" s="98">
        <v>2.7284</v>
      </c>
      <c r="F109" s="99">
        <v>360.12</v>
      </c>
      <c r="G109" s="100">
        <v>2653.7</v>
      </c>
      <c r="H109" s="100">
        <v>2293.6</v>
      </c>
      <c r="I109" s="97">
        <v>1.146</v>
      </c>
      <c r="J109" s="96">
        <v>7.5326</v>
      </c>
      <c r="K109" s="97">
        <v>6.3866</v>
      </c>
    </row>
    <row r="110" ht="18" spans="1:11">
      <c r="A110" s="101">
        <v>87</v>
      </c>
      <c r="B110" s="96">
        <v>0.62488</v>
      </c>
      <c r="C110" s="96">
        <v>360.15</v>
      </c>
      <c r="D110" s="97">
        <v>0.001034</v>
      </c>
      <c r="E110" s="98">
        <v>2.6309</v>
      </c>
      <c r="F110" s="99">
        <v>364.32</v>
      </c>
      <c r="G110" s="100">
        <v>2655.4</v>
      </c>
      <c r="H110" s="100">
        <v>2291.1</v>
      </c>
      <c r="I110" s="97">
        <v>1.1577</v>
      </c>
      <c r="J110" s="96">
        <v>7.5195</v>
      </c>
      <c r="K110" s="97">
        <v>6.3618</v>
      </c>
    </row>
    <row r="111" ht="18" spans="1:11">
      <c r="A111" s="101">
        <v>88</v>
      </c>
      <c r="B111" s="96">
        <v>0.64947</v>
      </c>
      <c r="C111" s="96">
        <v>361.15</v>
      </c>
      <c r="D111" s="97">
        <v>0.0010347</v>
      </c>
      <c r="E111" s="98">
        <v>2.5376</v>
      </c>
      <c r="F111" s="99">
        <v>368.53</v>
      </c>
      <c r="G111" s="100">
        <v>2657</v>
      </c>
      <c r="H111" s="100">
        <v>2288.5</v>
      </c>
      <c r="I111" s="97">
        <v>1.1693</v>
      </c>
      <c r="J111" s="96">
        <v>7.5064</v>
      </c>
      <c r="K111" s="97">
        <v>6.3371</v>
      </c>
    </row>
    <row r="112" ht="18" spans="1:11">
      <c r="A112" s="101">
        <v>89</v>
      </c>
      <c r="B112" s="96">
        <v>0.67486</v>
      </c>
      <c r="C112" s="96">
        <v>362.15</v>
      </c>
      <c r="D112" s="97">
        <v>0.0010354</v>
      </c>
      <c r="E112" s="98">
        <v>2.4482</v>
      </c>
      <c r="F112" s="99">
        <v>372.73</v>
      </c>
      <c r="G112" s="100">
        <v>2658.7</v>
      </c>
      <c r="H112" s="100">
        <v>2286</v>
      </c>
      <c r="I112" s="97">
        <v>1.1809</v>
      </c>
      <c r="J112" s="96">
        <v>7.4934</v>
      </c>
      <c r="K112" s="97">
        <v>6.3125</v>
      </c>
    </row>
    <row r="113" ht="18" spans="1:11">
      <c r="A113" s="101">
        <v>90</v>
      </c>
      <c r="B113" s="96">
        <v>0.70108</v>
      </c>
      <c r="C113" s="96">
        <v>363.15</v>
      </c>
      <c r="D113" s="97">
        <v>0.0010361</v>
      </c>
      <c r="E113" s="98">
        <v>2.3624</v>
      </c>
      <c r="F113" s="99">
        <v>376.94</v>
      </c>
      <c r="G113" s="100">
        <v>2660.3</v>
      </c>
      <c r="H113" s="100">
        <v>2283.4</v>
      </c>
      <c r="I113" s="97">
        <v>1.1925</v>
      </c>
      <c r="J113" s="96">
        <v>7.4805</v>
      </c>
      <c r="K113" s="97">
        <v>6.288</v>
      </c>
    </row>
    <row r="114" ht="18" spans="1:11">
      <c r="A114" s="101">
        <v>91</v>
      </c>
      <c r="B114" s="96">
        <v>0.72814</v>
      </c>
      <c r="C114" s="96">
        <v>364.15</v>
      </c>
      <c r="D114" s="97">
        <v>0.0010369</v>
      </c>
      <c r="E114" s="98">
        <v>2.2801</v>
      </c>
      <c r="F114" s="99">
        <v>381.15</v>
      </c>
      <c r="G114" s="100">
        <v>2661.9</v>
      </c>
      <c r="H114" s="100">
        <v>2280.7</v>
      </c>
      <c r="I114" s="97">
        <v>1.2041</v>
      </c>
      <c r="J114" s="96">
        <v>7.4677</v>
      </c>
      <c r="K114" s="97">
        <v>6.2636</v>
      </c>
    </row>
    <row r="115" ht="18" spans="1:11">
      <c r="A115" s="101">
        <v>92</v>
      </c>
      <c r="B115" s="96">
        <v>0.75607</v>
      </c>
      <c r="C115" s="96">
        <v>365.15</v>
      </c>
      <c r="D115" s="97">
        <v>0.0010376</v>
      </c>
      <c r="E115" s="98">
        <v>2.2012</v>
      </c>
      <c r="F115" s="99">
        <v>385.36</v>
      </c>
      <c r="G115" s="100">
        <v>2663.5</v>
      </c>
      <c r="H115" s="100">
        <v>2278.1</v>
      </c>
      <c r="I115" s="97">
        <v>1.2156</v>
      </c>
      <c r="J115" s="96">
        <v>7.455</v>
      </c>
      <c r="K115" s="97">
        <v>6.2394</v>
      </c>
    </row>
    <row r="116" ht="18" spans="1:11">
      <c r="A116" s="101">
        <v>93</v>
      </c>
      <c r="B116" s="96">
        <v>0.78488</v>
      </c>
      <c r="C116" s="96">
        <v>366.15</v>
      </c>
      <c r="D116" s="97">
        <v>0.0010384</v>
      </c>
      <c r="E116" s="98">
        <v>2.1256</v>
      </c>
      <c r="F116" s="99">
        <v>389.57</v>
      </c>
      <c r="G116" s="100">
        <v>2665.2</v>
      </c>
      <c r="H116" s="100">
        <v>2275.6</v>
      </c>
      <c r="I116" s="97">
        <v>1.2271</v>
      </c>
      <c r="J116" s="96">
        <v>7.4424</v>
      </c>
      <c r="K116" s="97">
        <v>6.2153</v>
      </c>
    </row>
    <row r="117" ht="18" spans="1:11">
      <c r="A117" s="101">
        <v>94</v>
      </c>
      <c r="B117" s="96">
        <v>0.8146</v>
      </c>
      <c r="C117" s="96">
        <v>367.15</v>
      </c>
      <c r="D117" s="97">
        <v>0.0010391</v>
      </c>
      <c r="E117" s="98">
        <v>2.0529</v>
      </c>
      <c r="F117" s="99">
        <v>393.78</v>
      </c>
      <c r="G117" s="100">
        <v>2666.8</v>
      </c>
      <c r="H117" s="100">
        <v>2273</v>
      </c>
      <c r="I117" s="97">
        <v>1.2386</v>
      </c>
      <c r="J117" s="96">
        <v>7.4299</v>
      </c>
      <c r="K117" s="97">
        <v>6.1913</v>
      </c>
    </row>
    <row r="118" ht="18" spans="1:11">
      <c r="A118" s="101">
        <v>95</v>
      </c>
      <c r="B118" s="96">
        <v>0.84525</v>
      </c>
      <c r="C118" s="96">
        <v>368.15</v>
      </c>
      <c r="D118" s="97">
        <v>0.0010398</v>
      </c>
      <c r="E118" s="98">
        <v>1.9832</v>
      </c>
      <c r="F118" s="99">
        <v>397.99</v>
      </c>
      <c r="G118" s="100">
        <v>2668.4</v>
      </c>
      <c r="H118" s="100">
        <v>2270.4</v>
      </c>
      <c r="I118" s="97">
        <v>1.25</v>
      </c>
      <c r="J118" s="96">
        <v>7.4174</v>
      </c>
      <c r="K118" s="97">
        <v>6.1674</v>
      </c>
    </row>
    <row r="119" ht="18" spans="1:11">
      <c r="A119" s="101">
        <v>96</v>
      </c>
      <c r="B119" s="96">
        <v>0.87685</v>
      </c>
      <c r="C119" s="96">
        <v>369.15</v>
      </c>
      <c r="D119" s="97">
        <v>0.0010406</v>
      </c>
      <c r="E119" s="98">
        <v>1.9163</v>
      </c>
      <c r="F119" s="99">
        <v>402.2</v>
      </c>
      <c r="G119" s="100">
        <v>2670</v>
      </c>
      <c r="H119" s="100">
        <v>2267.8</v>
      </c>
      <c r="I119" s="97">
        <v>1.2615</v>
      </c>
      <c r="J119" s="96">
        <v>7.4051</v>
      </c>
      <c r="K119" s="97">
        <v>6.1436</v>
      </c>
    </row>
    <row r="120" ht="18" spans="1:11">
      <c r="A120" s="101">
        <v>97</v>
      </c>
      <c r="B120" s="96">
        <v>0.90943</v>
      </c>
      <c r="C120" s="96">
        <v>370.15</v>
      </c>
      <c r="D120" s="97">
        <v>0.0010414</v>
      </c>
      <c r="E120" s="98">
        <v>1.852</v>
      </c>
      <c r="F120" s="99">
        <v>406.42</v>
      </c>
      <c r="G120" s="100">
        <v>2671.6</v>
      </c>
      <c r="H120" s="100">
        <v>2265.2</v>
      </c>
      <c r="I120" s="97">
        <v>1.2729</v>
      </c>
      <c r="J120" s="96">
        <v>7.3928</v>
      </c>
      <c r="K120" s="97">
        <v>6.1199</v>
      </c>
    </row>
    <row r="121" ht="18" spans="1:11">
      <c r="A121" s="101">
        <v>98</v>
      </c>
      <c r="B121" s="96">
        <v>0.94301</v>
      </c>
      <c r="C121" s="96">
        <v>371.15</v>
      </c>
      <c r="D121" s="97">
        <v>0.0010421</v>
      </c>
      <c r="E121" s="98">
        <v>1.7902</v>
      </c>
      <c r="F121" s="99">
        <v>410.63</v>
      </c>
      <c r="G121" s="100">
        <v>2673.2</v>
      </c>
      <c r="H121" s="100">
        <v>2262.6</v>
      </c>
      <c r="I121" s="97">
        <v>1.2842</v>
      </c>
      <c r="J121" s="96">
        <v>7.3806</v>
      </c>
      <c r="K121" s="97">
        <v>6.0964</v>
      </c>
    </row>
    <row r="122" ht="18" spans="1:11">
      <c r="A122" s="101">
        <v>99</v>
      </c>
      <c r="B122" s="96">
        <v>0.9776</v>
      </c>
      <c r="C122" s="96">
        <v>372.15</v>
      </c>
      <c r="D122" s="97">
        <v>0.0010429</v>
      </c>
      <c r="E122" s="98">
        <v>1.7309</v>
      </c>
      <c r="F122" s="99">
        <v>414.85</v>
      </c>
      <c r="G122" s="100">
        <v>2674.8</v>
      </c>
      <c r="H122" s="100">
        <v>2259.9</v>
      </c>
      <c r="I122" s="97">
        <v>1.2956</v>
      </c>
      <c r="J122" s="96">
        <v>7.3685</v>
      </c>
      <c r="K122" s="97">
        <v>6.0729</v>
      </c>
    </row>
    <row r="123" ht="18" spans="1:11">
      <c r="A123" s="103">
        <v>100</v>
      </c>
      <c r="B123" s="96">
        <v>1.01325</v>
      </c>
      <c r="C123" s="96">
        <v>373.15</v>
      </c>
      <c r="D123" s="97">
        <v>0.0010437</v>
      </c>
      <c r="E123" s="98">
        <v>1.6738</v>
      </c>
      <c r="F123" s="99">
        <v>419.06</v>
      </c>
      <c r="G123" s="100">
        <v>2676.3</v>
      </c>
      <c r="H123" s="100">
        <v>2257.2</v>
      </c>
      <c r="I123" s="97">
        <v>1.3069</v>
      </c>
      <c r="J123" s="96">
        <v>7.3564</v>
      </c>
      <c r="K123" s="97">
        <v>6.0495</v>
      </c>
    </row>
    <row r="124" ht="18" spans="1:11">
      <c r="A124" s="103">
        <v>101</v>
      </c>
      <c r="B124" s="96">
        <v>1.05</v>
      </c>
      <c r="C124" s="96">
        <v>374.15</v>
      </c>
      <c r="D124" s="97">
        <v>0.0010445</v>
      </c>
      <c r="E124" s="98">
        <v>1.619</v>
      </c>
      <c r="F124" s="99">
        <v>423.28</v>
      </c>
      <c r="G124" s="100">
        <v>2677.9</v>
      </c>
      <c r="H124" s="100">
        <v>2254.6</v>
      </c>
      <c r="I124" s="97">
        <v>1.3182</v>
      </c>
      <c r="J124" s="96">
        <v>7.3445</v>
      </c>
      <c r="K124" s="97">
        <v>6.0263</v>
      </c>
    </row>
    <row r="125" ht="18" spans="1:11">
      <c r="A125" s="103">
        <v>102</v>
      </c>
      <c r="B125" s="96">
        <v>1.0878</v>
      </c>
      <c r="C125" s="96">
        <v>375.15</v>
      </c>
      <c r="D125" s="97">
        <v>0.0010453</v>
      </c>
      <c r="E125" s="98">
        <v>1.5664</v>
      </c>
      <c r="F125" s="99">
        <v>427.5</v>
      </c>
      <c r="G125" s="100">
        <v>2679.5</v>
      </c>
      <c r="H125" s="100">
        <v>2252</v>
      </c>
      <c r="I125" s="97">
        <v>1.3294</v>
      </c>
      <c r="J125" s="96">
        <v>7.3326</v>
      </c>
      <c r="K125" s="97">
        <v>6.0032</v>
      </c>
    </row>
    <row r="126" ht="18" spans="1:11">
      <c r="A126" s="103">
        <v>103</v>
      </c>
      <c r="B126" s="96">
        <v>1.1267</v>
      </c>
      <c r="C126" s="96">
        <v>376.15</v>
      </c>
      <c r="D126" s="97">
        <v>0.0010461</v>
      </c>
      <c r="E126" s="98">
        <v>1.5157</v>
      </c>
      <c r="F126" s="99">
        <v>431.73</v>
      </c>
      <c r="G126" s="100">
        <v>2681</v>
      </c>
      <c r="H126" s="100">
        <v>2249.3</v>
      </c>
      <c r="I126" s="97">
        <v>1.3406</v>
      </c>
      <c r="J126" s="96">
        <v>7.3208</v>
      </c>
      <c r="K126" s="97">
        <v>5.9802</v>
      </c>
    </row>
    <row r="127" ht="18" spans="1:11">
      <c r="A127" s="103">
        <v>104</v>
      </c>
      <c r="B127" s="96">
        <v>1.1668</v>
      </c>
      <c r="C127" s="96">
        <v>377.15</v>
      </c>
      <c r="D127" s="97">
        <v>0.0010469</v>
      </c>
      <c r="E127" s="98">
        <v>1.4669</v>
      </c>
      <c r="F127" s="99">
        <v>435.95</v>
      </c>
      <c r="G127" s="100">
        <v>2682.6</v>
      </c>
      <c r="H127" s="100">
        <v>2246.6</v>
      </c>
      <c r="I127" s="97">
        <v>1.3518</v>
      </c>
      <c r="J127" s="96">
        <v>7.309</v>
      </c>
      <c r="K127" s="97">
        <v>5.9572</v>
      </c>
    </row>
    <row r="128" ht="18" spans="1:11">
      <c r="A128" s="103">
        <v>105</v>
      </c>
      <c r="B128" s="96">
        <v>1.208</v>
      </c>
      <c r="C128" s="96">
        <v>378.15</v>
      </c>
      <c r="D128" s="97">
        <v>0.0010477</v>
      </c>
      <c r="E128" s="98">
        <v>1.42</v>
      </c>
      <c r="F128" s="99">
        <v>440.17</v>
      </c>
      <c r="G128" s="100">
        <v>2684.1</v>
      </c>
      <c r="H128" s="100">
        <v>2243.9</v>
      </c>
      <c r="I128" s="97">
        <v>1.363</v>
      </c>
      <c r="J128" s="96">
        <v>7.2974</v>
      </c>
      <c r="K128" s="97">
        <v>5.9344</v>
      </c>
    </row>
    <row r="129" ht="18" spans="1:11">
      <c r="A129" s="103">
        <v>106</v>
      </c>
      <c r="B129" s="96">
        <v>1.2504</v>
      </c>
      <c r="C129" s="96">
        <v>379.15</v>
      </c>
      <c r="D129" s="97">
        <v>0.0010485</v>
      </c>
      <c r="E129" s="98">
        <v>1.3749</v>
      </c>
      <c r="F129" s="99">
        <v>444.4</v>
      </c>
      <c r="G129" s="100">
        <v>2685.7</v>
      </c>
      <c r="H129" s="100">
        <v>2241.3</v>
      </c>
      <c r="I129" s="97">
        <v>1.3742</v>
      </c>
      <c r="J129" s="96">
        <v>7.2858</v>
      </c>
      <c r="K129" s="97">
        <v>5.9116</v>
      </c>
    </row>
    <row r="130" ht="18" spans="1:11">
      <c r="A130" s="103">
        <v>107</v>
      </c>
      <c r="B130" s="96">
        <v>1.2941</v>
      </c>
      <c r="C130" s="96">
        <v>380.15</v>
      </c>
      <c r="D130" s="97">
        <v>0.0010494</v>
      </c>
      <c r="E130" s="98">
        <v>1.3315</v>
      </c>
      <c r="F130" s="99">
        <v>448.63</v>
      </c>
      <c r="G130" s="100">
        <v>2687.2</v>
      </c>
      <c r="H130" s="100">
        <v>2238.6</v>
      </c>
      <c r="I130" s="97">
        <v>1.3853</v>
      </c>
      <c r="J130" s="96">
        <v>7.2743</v>
      </c>
      <c r="K130" s="97">
        <v>5.889</v>
      </c>
    </row>
    <row r="131" ht="18" spans="1:11">
      <c r="A131" s="103">
        <v>108</v>
      </c>
      <c r="B131" s="96">
        <v>1.339</v>
      </c>
      <c r="C131" s="96">
        <v>381.15</v>
      </c>
      <c r="D131" s="97">
        <v>0.0010502</v>
      </c>
      <c r="E131" s="98">
        <v>1.2897</v>
      </c>
      <c r="F131" s="99">
        <v>452.85</v>
      </c>
      <c r="G131" s="100">
        <v>2688.8</v>
      </c>
      <c r="H131" s="100">
        <v>2235.9</v>
      </c>
      <c r="I131" s="97">
        <v>1.3964</v>
      </c>
      <c r="J131" s="96">
        <v>7.2629</v>
      </c>
      <c r="K131" s="97">
        <v>5.8665</v>
      </c>
    </row>
    <row r="132" ht="18" spans="1:11">
      <c r="A132" s="103">
        <v>109</v>
      </c>
      <c r="B132" s="96">
        <v>1.3852</v>
      </c>
      <c r="C132" s="96">
        <v>382.15</v>
      </c>
      <c r="D132" s="97">
        <v>0.001051</v>
      </c>
      <c r="E132" s="98">
        <v>1.2494</v>
      </c>
      <c r="F132" s="99">
        <v>457.08</v>
      </c>
      <c r="G132" s="100">
        <v>2690.3</v>
      </c>
      <c r="H132" s="100">
        <v>2233.2</v>
      </c>
      <c r="I132" s="97">
        <v>1.4074</v>
      </c>
      <c r="J132" s="96">
        <v>7.2515</v>
      </c>
      <c r="K132" s="97">
        <v>5.8441</v>
      </c>
    </row>
    <row r="133" ht="18" spans="1:11">
      <c r="A133" s="103">
        <v>110</v>
      </c>
      <c r="B133" s="96">
        <v>1.4326</v>
      </c>
      <c r="C133" s="96">
        <v>383.15</v>
      </c>
      <c r="D133" s="97">
        <v>0.0010519</v>
      </c>
      <c r="E133" s="98">
        <v>1.2106</v>
      </c>
      <c r="F133" s="99">
        <v>461.32</v>
      </c>
      <c r="G133" s="100">
        <v>2691.8</v>
      </c>
      <c r="H133" s="100">
        <v>2230.5</v>
      </c>
      <c r="I133" s="97">
        <v>1.4185</v>
      </c>
      <c r="J133" s="96">
        <v>7.2402</v>
      </c>
      <c r="K133" s="97">
        <v>5.8217</v>
      </c>
    </row>
    <row r="134" ht="18" spans="1:11">
      <c r="A134" s="103">
        <v>111</v>
      </c>
      <c r="B134" s="96">
        <v>1.4814</v>
      </c>
      <c r="C134" s="96">
        <v>384.15</v>
      </c>
      <c r="D134" s="97">
        <v>0.0010527</v>
      </c>
      <c r="E134" s="98">
        <v>1.1733</v>
      </c>
      <c r="F134" s="99">
        <v>465.55</v>
      </c>
      <c r="G134" s="100">
        <v>2693.3</v>
      </c>
      <c r="H134" s="100">
        <v>2227.7</v>
      </c>
      <c r="I134" s="97">
        <v>1.4295</v>
      </c>
      <c r="J134" s="96">
        <v>7.229</v>
      </c>
      <c r="K134" s="97">
        <v>5.7995</v>
      </c>
    </row>
    <row r="135" ht="18" spans="1:11">
      <c r="A135" s="103">
        <v>112</v>
      </c>
      <c r="B135" s="96">
        <v>1.5316</v>
      </c>
      <c r="C135" s="96">
        <v>385.15</v>
      </c>
      <c r="D135" s="97">
        <v>0.0010536</v>
      </c>
      <c r="E135" s="98">
        <v>1.1373</v>
      </c>
      <c r="F135" s="99">
        <v>469.78</v>
      </c>
      <c r="G135" s="100">
        <v>2694.8</v>
      </c>
      <c r="H135" s="100">
        <v>2225</v>
      </c>
      <c r="I135" s="97">
        <v>1.4405</v>
      </c>
      <c r="J135" s="96">
        <v>7.2179</v>
      </c>
      <c r="K135" s="97">
        <v>5.7774</v>
      </c>
    </row>
    <row r="136" ht="18" spans="1:11">
      <c r="A136" s="103">
        <v>113</v>
      </c>
      <c r="B136" s="96">
        <v>1.5832</v>
      </c>
      <c r="C136" s="96">
        <v>386.15</v>
      </c>
      <c r="D136" s="97">
        <v>0.0010544</v>
      </c>
      <c r="E136" s="98">
        <v>1.1025</v>
      </c>
      <c r="F136" s="99">
        <v>474.02</v>
      </c>
      <c r="G136" s="100">
        <v>2696.3</v>
      </c>
      <c r="H136" s="100">
        <v>2222.3</v>
      </c>
      <c r="I136" s="97">
        <v>1.4515</v>
      </c>
      <c r="J136" s="96">
        <v>7.2068</v>
      </c>
      <c r="K136" s="97">
        <v>5.7553</v>
      </c>
    </row>
    <row r="137" ht="18" spans="1:11">
      <c r="A137" s="103">
        <v>114</v>
      </c>
      <c r="B137" s="96">
        <v>1.6361</v>
      </c>
      <c r="C137" s="96">
        <v>387.15</v>
      </c>
      <c r="D137" s="97">
        <v>0.0010553</v>
      </c>
      <c r="E137" s="98">
        <v>1.0691</v>
      </c>
      <c r="F137" s="99">
        <v>478.26</v>
      </c>
      <c r="G137" s="100">
        <v>2697.8</v>
      </c>
      <c r="H137" s="100">
        <v>2219.5</v>
      </c>
      <c r="I137" s="97">
        <v>1.4624</v>
      </c>
      <c r="J137" s="96">
        <v>7.1958</v>
      </c>
      <c r="K137" s="97">
        <v>5.7334</v>
      </c>
    </row>
    <row r="138" ht="18" spans="1:11">
      <c r="A138" s="103">
        <v>115</v>
      </c>
      <c r="B138" s="96">
        <v>1.6905</v>
      </c>
      <c r="C138" s="96">
        <v>388.15</v>
      </c>
      <c r="D138" s="97">
        <v>0.0010562</v>
      </c>
      <c r="E138" s="98">
        <v>1.0369</v>
      </c>
      <c r="F138" s="99">
        <v>482.5</v>
      </c>
      <c r="G138" s="100">
        <v>2699.3</v>
      </c>
      <c r="H138" s="100">
        <v>2216.8</v>
      </c>
      <c r="I138" s="97">
        <v>1.4733</v>
      </c>
      <c r="J138" s="96">
        <v>7.1848</v>
      </c>
      <c r="K138" s="97">
        <v>5.7115</v>
      </c>
    </row>
    <row r="139" ht="18" spans="1:11">
      <c r="A139" s="103">
        <v>116</v>
      </c>
      <c r="B139" s="96">
        <v>1.7464</v>
      </c>
      <c r="C139" s="96">
        <v>389.15</v>
      </c>
      <c r="D139" s="97">
        <v>0.001057</v>
      </c>
      <c r="E139" s="98">
        <v>1.0058</v>
      </c>
      <c r="F139" s="99">
        <v>486.74</v>
      </c>
      <c r="G139" s="100">
        <v>2700.8</v>
      </c>
      <c r="H139" s="100">
        <v>2214.1</v>
      </c>
      <c r="I139" s="97">
        <v>1.4842</v>
      </c>
      <c r="J139" s="96">
        <v>7.1739</v>
      </c>
      <c r="K139" s="97">
        <v>5.6897</v>
      </c>
    </row>
    <row r="140" ht="18" spans="1:11">
      <c r="A140" s="103">
        <v>117</v>
      </c>
      <c r="B140" s="96">
        <v>1.8038</v>
      </c>
      <c r="C140" s="96">
        <v>390.15</v>
      </c>
      <c r="D140" s="97">
        <v>0.0010579</v>
      </c>
      <c r="E140" s="98">
        <v>0.97583</v>
      </c>
      <c r="F140" s="99">
        <v>490.98</v>
      </c>
      <c r="G140" s="100">
        <v>2702.2</v>
      </c>
      <c r="H140" s="100">
        <v>2211.2</v>
      </c>
      <c r="I140" s="97">
        <v>1.4951</v>
      </c>
      <c r="J140" s="96">
        <v>7.1631</v>
      </c>
      <c r="K140" s="97">
        <v>5.668</v>
      </c>
    </row>
    <row r="141" ht="18" spans="1:11">
      <c r="A141" s="103">
        <v>118</v>
      </c>
      <c r="B141" s="96">
        <v>1.8628</v>
      </c>
      <c r="C141" s="96">
        <v>391.15</v>
      </c>
      <c r="D141" s="97">
        <v>0.0010588</v>
      </c>
      <c r="E141" s="98">
        <v>0.94687</v>
      </c>
      <c r="F141" s="99">
        <v>495.22</v>
      </c>
      <c r="G141" s="100">
        <v>2703.7</v>
      </c>
      <c r="H141" s="100">
        <v>2208.5</v>
      </c>
      <c r="I141" s="96">
        <v>1.506</v>
      </c>
      <c r="J141" s="96">
        <v>7.1524</v>
      </c>
      <c r="K141" s="97">
        <v>5.6464</v>
      </c>
    </row>
    <row r="142" ht="18" spans="1:11">
      <c r="A142" s="103">
        <v>119</v>
      </c>
      <c r="B142" s="96">
        <v>1.9233</v>
      </c>
      <c r="C142" s="96">
        <v>392.15</v>
      </c>
      <c r="D142" s="97">
        <v>0.0010597</v>
      </c>
      <c r="E142" s="98">
        <v>0.91896</v>
      </c>
      <c r="F142" s="99">
        <v>499.47</v>
      </c>
      <c r="G142" s="100">
        <v>2705.2</v>
      </c>
      <c r="H142" s="100">
        <v>2205.7</v>
      </c>
      <c r="I142" s="97">
        <v>1.5168</v>
      </c>
      <c r="J142" s="97">
        <v>7.1417</v>
      </c>
      <c r="K142" s="97">
        <v>5.6249</v>
      </c>
    </row>
    <row r="143" ht="18" spans="1:11">
      <c r="A143" s="103">
        <v>120</v>
      </c>
      <c r="B143" s="96">
        <v>1.9854</v>
      </c>
      <c r="C143" s="96">
        <v>393.15</v>
      </c>
      <c r="D143" s="97">
        <v>0.0010606</v>
      </c>
      <c r="E143" s="98">
        <v>0.89202</v>
      </c>
      <c r="F143" s="99">
        <v>503.7</v>
      </c>
      <c r="G143" s="100">
        <v>2706.6</v>
      </c>
      <c r="H143" s="100">
        <v>2202.9</v>
      </c>
      <c r="I143" s="97">
        <v>1.5276</v>
      </c>
      <c r="J143" s="97">
        <v>7.131</v>
      </c>
      <c r="K143" s="97">
        <v>5.6034</v>
      </c>
    </row>
    <row r="144" ht="18" spans="1:11">
      <c r="A144" s="103">
        <v>121</v>
      </c>
      <c r="B144" s="96">
        <v>2.0491</v>
      </c>
      <c r="C144" s="96">
        <v>394.15</v>
      </c>
      <c r="D144" s="97">
        <v>0.0010615</v>
      </c>
      <c r="E144" s="98">
        <v>0.86603</v>
      </c>
      <c r="F144" s="99">
        <v>508</v>
      </c>
      <c r="G144" s="100">
        <v>2708.1</v>
      </c>
      <c r="H144" s="100">
        <v>2200.1</v>
      </c>
      <c r="I144" s="97">
        <v>1.5384</v>
      </c>
      <c r="J144" s="97">
        <v>7.1205</v>
      </c>
      <c r="K144" s="97">
        <v>5.5821</v>
      </c>
    </row>
    <row r="145" ht="18" spans="1:11">
      <c r="A145" s="103">
        <v>122</v>
      </c>
      <c r="B145" s="96">
        <v>2.1145</v>
      </c>
      <c r="C145" s="96">
        <v>395.15</v>
      </c>
      <c r="D145" s="97">
        <v>0.0010625</v>
      </c>
      <c r="E145" s="98">
        <v>0.84092</v>
      </c>
      <c r="F145" s="99">
        <v>512.2</v>
      </c>
      <c r="G145" s="100">
        <v>2709.5</v>
      </c>
      <c r="H145" s="100">
        <v>2197.3</v>
      </c>
      <c r="I145" s="97">
        <v>1.5491</v>
      </c>
      <c r="J145" s="97">
        <v>7.11</v>
      </c>
      <c r="K145" s="97">
        <v>5.5609</v>
      </c>
    </row>
    <row r="146" ht="18" spans="1:11">
      <c r="A146" s="103">
        <v>123</v>
      </c>
      <c r="B146" s="96">
        <v>2.1815</v>
      </c>
      <c r="C146" s="96">
        <v>396.15</v>
      </c>
      <c r="D146" s="97">
        <v>0.0010634</v>
      </c>
      <c r="E146" s="98">
        <v>0.81671</v>
      </c>
      <c r="F146" s="99">
        <v>516.5</v>
      </c>
      <c r="G146" s="100">
        <v>2710.9</v>
      </c>
      <c r="H146" s="100">
        <v>2194.4</v>
      </c>
      <c r="I146" s="97">
        <v>1.5599</v>
      </c>
      <c r="J146" s="97">
        <v>7.0996</v>
      </c>
      <c r="K146" s="97">
        <v>5.5397</v>
      </c>
    </row>
    <row r="147" ht="18" spans="1:11">
      <c r="A147" s="103">
        <v>124</v>
      </c>
      <c r="B147" s="96">
        <v>2.2503</v>
      </c>
      <c r="C147" s="96">
        <v>397.15</v>
      </c>
      <c r="D147" s="97">
        <v>0.0010643</v>
      </c>
      <c r="E147" s="98">
        <v>0.7933</v>
      </c>
      <c r="F147" s="99">
        <v>520.7</v>
      </c>
      <c r="G147" s="100">
        <v>2712.3</v>
      </c>
      <c r="H147" s="100">
        <v>2191.6</v>
      </c>
      <c r="I147" s="97">
        <v>1.5706</v>
      </c>
      <c r="J147" s="97">
        <v>7.0892</v>
      </c>
      <c r="K147" s="97">
        <v>5.5186</v>
      </c>
    </row>
    <row r="148" ht="18" spans="1:11">
      <c r="A148" s="103">
        <v>125</v>
      </c>
      <c r="B148" s="96">
        <v>2.3209</v>
      </c>
      <c r="C148" s="96">
        <v>398.15</v>
      </c>
      <c r="D148" s="97">
        <v>0.0010652</v>
      </c>
      <c r="E148" s="98">
        <v>0.77067</v>
      </c>
      <c r="F148" s="99">
        <v>525</v>
      </c>
      <c r="G148" s="100">
        <v>2713.8</v>
      </c>
      <c r="H148" s="100">
        <v>2188.8</v>
      </c>
      <c r="I148" s="97">
        <v>1.5813</v>
      </c>
      <c r="J148" s="97">
        <v>7.0788</v>
      </c>
      <c r="K148" s="97">
        <v>5.4975</v>
      </c>
    </row>
    <row r="149" ht="18" spans="1:11">
      <c r="A149" s="103">
        <v>126</v>
      </c>
      <c r="B149" s="96">
        <v>2.3932</v>
      </c>
      <c r="C149" s="96">
        <v>399.15</v>
      </c>
      <c r="D149" s="97">
        <v>0.0010662</v>
      </c>
      <c r="E149" s="98">
        <v>0.74884</v>
      </c>
      <c r="F149" s="99">
        <v>529.2</v>
      </c>
      <c r="G149" s="100">
        <v>2715.2</v>
      </c>
      <c r="H149" s="100">
        <v>2186</v>
      </c>
      <c r="I149" s="97">
        <v>1.5919</v>
      </c>
      <c r="J149" s="97">
        <v>7.0686</v>
      </c>
      <c r="K149" s="97">
        <v>5.4767</v>
      </c>
    </row>
    <row r="150" ht="18" spans="1:11">
      <c r="A150" s="103">
        <v>127</v>
      </c>
      <c r="B150" s="96">
        <v>2.4674</v>
      </c>
      <c r="C150" s="96">
        <v>400.15</v>
      </c>
      <c r="D150" s="97">
        <v>0.0010671</v>
      </c>
      <c r="E150" s="98">
        <v>0.72771</v>
      </c>
      <c r="F150" s="99">
        <v>533.5</v>
      </c>
      <c r="G150" s="100">
        <v>2716.6</v>
      </c>
      <c r="H150" s="100">
        <v>2183.1</v>
      </c>
      <c r="I150" s="97">
        <v>1.6026</v>
      </c>
      <c r="J150" s="97">
        <v>7.0584</v>
      </c>
      <c r="K150" s="97">
        <v>5.4558</v>
      </c>
    </row>
    <row r="151" ht="18" spans="1:11">
      <c r="A151" s="103">
        <v>128</v>
      </c>
      <c r="B151" s="96">
        <v>2.5434</v>
      </c>
      <c r="C151" s="96">
        <v>401.15</v>
      </c>
      <c r="D151" s="97">
        <v>0.0010681</v>
      </c>
      <c r="E151" s="98">
        <v>0.70732</v>
      </c>
      <c r="F151" s="99">
        <v>537.8</v>
      </c>
      <c r="G151" s="100">
        <v>2717.9</v>
      </c>
      <c r="H151" s="100">
        <v>2180.1</v>
      </c>
      <c r="I151" s="97">
        <v>1.6132</v>
      </c>
      <c r="J151" s="97">
        <v>7.0482</v>
      </c>
      <c r="K151" s="97">
        <v>5.435</v>
      </c>
    </row>
    <row r="152" ht="18" spans="1:11">
      <c r="A152" s="103">
        <v>129</v>
      </c>
      <c r="B152" s="96">
        <v>2.6213</v>
      </c>
      <c r="C152" s="96">
        <v>402.15</v>
      </c>
      <c r="D152" s="97">
        <v>0.001069</v>
      </c>
      <c r="E152" s="98">
        <v>0.6876</v>
      </c>
      <c r="F152" s="99">
        <v>542</v>
      </c>
      <c r="G152" s="100">
        <v>2719.3</v>
      </c>
      <c r="H152" s="100">
        <v>2177.3</v>
      </c>
      <c r="I152" s="97">
        <v>1.6238</v>
      </c>
      <c r="J152" s="97">
        <v>7.0382</v>
      </c>
      <c r="K152" s="97">
        <v>5.4144</v>
      </c>
    </row>
    <row r="153" ht="18" spans="1:11">
      <c r="A153" s="103">
        <v>130</v>
      </c>
      <c r="B153" s="96">
        <v>2.7012</v>
      </c>
      <c r="C153" s="96">
        <v>403.15</v>
      </c>
      <c r="D153" s="97">
        <v>0.00107</v>
      </c>
      <c r="E153" s="98">
        <v>0.66851</v>
      </c>
      <c r="F153" s="99">
        <v>546.3</v>
      </c>
      <c r="G153" s="100">
        <v>2720.7</v>
      </c>
      <c r="H153" s="100">
        <v>2174.4</v>
      </c>
      <c r="I153" s="97">
        <v>1.6344</v>
      </c>
      <c r="J153" s="97">
        <v>7.0281</v>
      </c>
      <c r="K153" s="97">
        <v>5.3937</v>
      </c>
    </row>
    <row r="154" ht="18" spans="1:11">
      <c r="A154" s="103">
        <v>131</v>
      </c>
      <c r="B154" s="96">
        <v>2.783</v>
      </c>
      <c r="C154" s="96">
        <v>404.15</v>
      </c>
      <c r="D154" s="97">
        <v>0.001071</v>
      </c>
      <c r="E154" s="98">
        <v>0.65007</v>
      </c>
      <c r="F154" s="99">
        <v>550.6</v>
      </c>
      <c r="G154" s="100">
        <v>2722.1</v>
      </c>
      <c r="H154" s="100">
        <v>2171.5</v>
      </c>
      <c r="I154" s="97">
        <v>1.6449</v>
      </c>
      <c r="J154" s="97">
        <v>7.0181</v>
      </c>
      <c r="K154" s="97">
        <v>5.3732</v>
      </c>
    </row>
    <row r="155" ht="18" spans="1:11">
      <c r="A155" s="103">
        <v>132</v>
      </c>
      <c r="B155" s="96">
        <v>2.8668</v>
      </c>
      <c r="C155" s="96">
        <v>405.15</v>
      </c>
      <c r="D155" s="97">
        <v>0.001072</v>
      </c>
      <c r="E155" s="98">
        <v>0.63223</v>
      </c>
      <c r="F155" s="99">
        <v>554.8</v>
      </c>
      <c r="G155" s="100">
        <v>2723.4</v>
      </c>
      <c r="H155" s="100">
        <v>2168.6</v>
      </c>
      <c r="I155" s="97">
        <v>1.6555</v>
      </c>
      <c r="J155" s="97">
        <v>7.0082</v>
      </c>
      <c r="K155" s="97">
        <v>5.3527</v>
      </c>
    </row>
    <row r="156" ht="18" spans="1:11">
      <c r="A156" s="103">
        <v>133</v>
      </c>
      <c r="B156" s="96">
        <v>2.9527</v>
      </c>
      <c r="C156" s="96">
        <v>406.15</v>
      </c>
      <c r="D156" s="97">
        <v>0.001073</v>
      </c>
      <c r="E156" s="98">
        <v>0.61498</v>
      </c>
      <c r="F156" s="99">
        <v>559.1</v>
      </c>
      <c r="G156" s="100">
        <v>2724.8</v>
      </c>
      <c r="H156" s="100">
        <v>2165.7</v>
      </c>
      <c r="I156" s="97">
        <v>1.666</v>
      </c>
      <c r="J156" s="97">
        <v>6.9983</v>
      </c>
      <c r="K156" s="97">
        <v>5.3323</v>
      </c>
    </row>
    <row r="157" ht="18" spans="1:11">
      <c r="A157" s="103">
        <v>134</v>
      </c>
      <c r="B157" s="96">
        <v>3.0406</v>
      </c>
      <c r="C157" s="96">
        <v>407.15</v>
      </c>
      <c r="D157" s="97">
        <v>0.001074</v>
      </c>
      <c r="E157" s="98">
        <v>0.59827</v>
      </c>
      <c r="F157" s="99">
        <v>563.4</v>
      </c>
      <c r="G157" s="100">
        <v>2726.1</v>
      </c>
      <c r="H157" s="100">
        <v>2162.7</v>
      </c>
      <c r="I157" s="97">
        <v>1.6765</v>
      </c>
      <c r="J157" s="97">
        <v>6.9885</v>
      </c>
      <c r="K157" s="97">
        <v>5.312</v>
      </c>
    </row>
    <row r="158" ht="18" spans="1:11">
      <c r="A158" s="103">
        <v>135</v>
      </c>
      <c r="B158" s="96">
        <v>3.1306</v>
      </c>
      <c r="C158" s="96">
        <v>408.15</v>
      </c>
      <c r="D158" s="97">
        <v>0.001075</v>
      </c>
      <c r="E158" s="98">
        <v>0.58212</v>
      </c>
      <c r="F158" s="99">
        <v>567.7</v>
      </c>
      <c r="G158" s="100">
        <v>2727.4</v>
      </c>
      <c r="H158" s="100">
        <v>2159.7</v>
      </c>
      <c r="I158" s="97">
        <v>1.6869</v>
      </c>
      <c r="J158" s="97">
        <v>6.9787</v>
      </c>
      <c r="K158" s="97">
        <v>5.2918</v>
      </c>
    </row>
    <row r="159" ht="18" spans="1:11">
      <c r="A159" s="103">
        <v>136</v>
      </c>
      <c r="B159" s="96">
        <v>3.2227</v>
      </c>
      <c r="C159" s="96">
        <v>409.15</v>
      </c>
      <c r="D159" s="97">
        <v>0.001076</v>
      </c>
      <c r="E159" s="98">
        <v>0.56649</v>
      </c>
      <c r="F159" s="99">
        <v>572</v>
      </c>
      <c r="G159" s="100">
        <v>2728.8</v>
      </c>
      <c r="H159" s="100">
        <v>2156.8</v>
      </c>
      <c r="I159" s="97">
        <v>1.6974</v>
      </c>
      <c r="J159" s="97">
        <v>6.969</v>
      </c>
      <c r="K159" s="97">
        <v>5.2716</v>
      </c>
    </row>
    <row r="160" ht="18" spans="1:11">
      <c r="A160" s="103">
        <v>137</v>
      </c>
      <c r="B160" s="96">
        <v>3.3171</v>
      </c>
      <c r="C160" s="96">
        <v>410.15</v>
      </c>
      <c r="D160" s="97">
        <v>0.001077</v>
      </c>
      <c r="E160" s="98">
        <v>0.55134</v>
      </c>
      <c r="F160" s="99">
        <v>576.2</v>
      </c>
      <c r="G160" s="100">
        <v>2730.1</v>
      </c>
      <c r="H160" s="100">
        <v>2153.9</v>
      </c>
      <c r="I160" s="97">
        <v>1.7078</v>
      </c>
      <c r="J160" s="97">
        <v>6.9594</v>
      </c>
      <c r="K160" s="97">
        <v>5.2516</v>
      </c>
    </row>
    <row r="161" ht="18" spans="1:11">
      <c r="A161" s="103">
        <v>138</v>
      </c>
      <c r="B161" s="96">
        <v>3.4137</v>
      </c>
      <c r="C161" s="96">
        <v>411.15</v>
      </c>
      <c r="D161" s="97">
        <v>0.001078</v>
      </c>
      <c r="E161" s="98">
        <v>0.5367</v>
      </c>
      <c r="F161" s="99">
        <v>580.5</v>
      </c>
      <c r="G161" s="100">
        <v>2731.4</v>
      </c>
      <c r="H161" s="100">
        <v>2150.9</v>
      </c>
      <c r="I161" s="97">
        <v>1.7182</v>
      </c>
      <c r="J161" s="97">
        <v>6.9498</v>
      </c>
      <c r="K161" s="97">
        <v>5.2316</v>
      </c>
    </row>
    <row r="162" ht="18" spans="1:11">
      <c r="A162" s="103">
        <v>139</v>
      </c>
      <c r="B162" s="96">
        <v>3.5125</v>
      </c>
      <c r="C162" s="96">
        <v>412.15</v>
      </c>
      <c r="D162" s="97">
        <v>0.001079</v>
      </c>
      <c r="E162" s="98">
        <v>0.52249</v>
      </c>
      <c r="F162" s="99">
        <v>584.8</v>
      </c>
      <c r="G162" s="100">
        <v>2732.7</v>
      </c>
      <c r="H162" s="100">
        <v>2147.9</v>
      </c>
      <c r="I162" s="97">
        <v>1.7286</v>
      </c>
      <c r="J162" s="97">
        <v>6.9402</v>
      </c>
      <c r="K162" s="97">
        <v>5.2116</v>
      </c>
    </row>
    <row r="163" ht="18" spans="1:11">
      <c r="A163" s="103">
        <v>140</v>
      </c>
      <c r="B163" s="96">
        <v>3.6136</v>
      </c>
      <c r="C163" s="96">
        <v>413.15</v>
      </c>
      <c r="D163" s="97">
        <v>0.0010801</v>
      </c>
      <c r="E163" s="98">
        <v>0.50875</v>
      </c>
      <c r="F163" s="99">
        <v>589.1</v>
      </c>
      <c r="G163" s="100">
        <v>2734</v>
      </c>
      <c r="H163" s="100">
        <v>2144.9</v>
      </c>
      <c r="I163" s="97">
        <v>1.739</v>
      </c>
      <c r="J163" s="97">
        <v>6.9307</v>
      </c>
      <c r="K163" s="97">
        <v>5.1917</v>
      </c>
    </row>
    <row r="164" ht="18" spans="1:11">
      <c r="A164" s="103">
        <v>141</v>
      </c>
      <c r="B164" s="96">
        <v>3.717</v>
      </c>
      <c r="C164" s="96">
        <v>414.15</v>
      </c>
      <c r="D164" s="97">
        <v>0.0010811</v>
      </c>
      <c r="E164" s="98">
        <v>0.49544</v>
      </c>
      <c r="F164" s="99">
        <v>593.4</v>
      </c>
      <c r="G164" s="100">
        <v>2735.2</v>
      </c>
      <c r="H164" s="100">
        <v>2141.8</v>
      </c>
      <c r="I164" s="97">
        <v>1.7493</v>
      </c>
      <c r="J164" s="97">
        <v>6.9212</v>
      </c>
      <c r="K164" s="97">
        <v>5.1719</v>
      </c>
    </row>
    <row r="165" ht="18" spans="1:11">
      <c r="A165" s="103">
        <v>142</v>
      </c>
      <c r="B165" s="96">
        <v>3.8228</v>
      </c>
      <c r="C165" s="96">
        <v>415.15</v>
      </c>
      <c r="D165" s="97">
        <v>0.0010822</v>
      </c>
      <c r="E165" s="98">
        <v>0.48255</v>
      </c>
      <c r="F165" s="99">
        <v>597.7</v>
      </c>
      <c r="G165" s="100">
        <v>2736.5</v>
      </c>
      <c r="H165" s="100">
        <v>2138.8</v>
      </c>
      <c r="I165" s="97">
        <v>1.7597</v>
      </c>
      <c r="J165" s="97">
        <v>6.9118</v>
      </c>
      <c r="K165" s="97">
        <v>5.1521</v>
      </c>
    </row>
    <row r="166" ht="18" spans="1:11">
      <c r="A166" s="103">
        <v>143</v>
      </c>
      <c r="B166" s="96">
        <v>3.9311</v>
      </c>
      <c r="C166" s="96">
        <v>416.15</v>
      </c>
      <c r="D166" s="97">
        <v>0.0010832</v>
      </c>
      <c r="E166" s="98">
        <v>0.47004</v>
      </c>
      <c r="F166" s="99">
        <v>602</v>
      </c>
      <c r="G166" s="100">
        <v>2737.8</v>
      </c>
      <c r="H166" s="100">
        <v>2135.8</v>
      </c>
      <c r="I166" s="97">
        <v>1.77</v>
      </c>
      <c r="J166" s="97">
        <v>6.9024</v>
      </c>
      <c r="K166" s="97">
        <v>5.1324</v>
      </c>
    </row>
    <row r="167" ht="18" spans="1:11">
      <c r="A167" s="103">
        <v>144</v>
      </c>
      <c r="B167" s="96">
        <v>4.0418</v>
      </c>
      <c r="C167" s="96">
        <v>417.15</v>
      </c>
      <c r="D167" s="97">
        <v>0.0010843</v>
      </c>
      <c r="E167" s="98">
        <v>0.45792</v>
      </c>
      <c r="F167" s="99">
        <v>606.3</v>
      </c>
      <c r="G167" s="100">
        <v>2739</v>
      </c>
      <c r="H167" s="100">
        <v>2132.7</v>
      </c>
      <c r="I167" s="97">
        <v>1.7803</v>
      </c>
      <c r="J167" s="97">
        <v>6.8931</v>
      </c>
      <c r="K167" s="97">
        <v>5.1128</v>
      </c>
    </row>
    <row r="168" ht="18" spans="1:11">
      <c r="A168" s="103">
        <v>145</v>
      </c>
      <c r="B168" s="96">
        <v>4.155</v>
      </c>
      <c r="C168" s="96">
        <v>418.15</v>
      </c>
      <c r="D168" s="97">
        <v>0.0010853</v>
      </c>
      <c r="E168" s="98">
        <v>0.44618</v>
      </c>
      <c r="F168" s="99">
        <v>610.6</v>
      </c>
      <c r="G168" s="100">
        <v>2740.3</v>
      </c>
      <c r="H168" s="100">
        <v>2129.7</v>
      </c>
      <c r="I168" s="97">
        <v>1.7906</v>
      </c>
      <c r="J168" s="97">
        <v>6.8838</v>
      </c>
      <c r="K168" s="97">
        <v>5.0932</v>
      </c>
    </row>
    <row r="169" ht="18" spans="1:11">
      <c r="A169" s="103">
        <v>146</v>
      </c>
      <c r="B169" s="96">
        <v>4.2707</v>
      </c>
      <c r="C169" s="96">
        <v>419.15</v>
      </c>
      <c r="D169" s="97">
        <v>0.0010864</v>
      </c>
      <c r="E169" s="98">
        <v>0.4348</v>
      </c>
      <c r="F169" s="99">
        <v>614.9</v>
      </c>
      <c r="G169" s="100">
        <v>2741.5</v>
      </c>
      <c r="H169" s="100">
        <v>2126.6</v>
      </c>
      <c r="I169" s="97">
        <v>1.8008</v>
      </c>
      <c r="J169" s="97">
        <v>6.8746</v>
      </c>
      <c r="K169" s="97">
        <v>5.0738</v>
      </c>
    </row>
    <row r="170" ht="18" spans="1:11">
      <c r="A170" s="103">
        <v>147</v>
      </c>
      <c r="B170" s="96">
        <v>4.389</v>
      </c>
      <c r="C170" s="96">
        <v>420.15</v>
      </c>
      <c r="D170" s="97">
        <v>0.0010875</v>
      </c>
      <c r="E170" s="98">
        <v>0.42376</v>
      </c>
      <c r="F170" s="99">
        <v>619.2</v>
      </c>
      <c r="G170" s="100">
        <v>2742.7</v>
      </c>
      <c r="H170" s="100">
        <v>2123.5</v>
      </c>
      <c r="I170" s="97">
        <v>1.811</v>
      </c>
      <c r="J170" s="97">
        <v>6.8654</v>
      </c>
      <c r="K170" s="97">
        <v>5.0544</v>
      </c>
    </row>
    <row r="171" ht="18" spans="1:11">
      <c r="A171" s="103">
        <v>148</v>
      </c>
      <c r="B171" s="96">
        <v>4.5099</v>
      </c>
      <c r="C171" s="96">
        <v>421.15</v>
      </c>
      <c r="D171" s="97">
        <v>0.0010886</v>
      </c>
      <c r="E171" s="98">
        <v>0.41306</v>
      </c>
      <c r="F171" s="99">
        <v>623.5</v>
      </c>
      <c r="G171" s="100">
        <v>2743.9</v>
      </c>
      <c r="H171" s="100">
        <v>2120.4</v>
      </c>
      <c r="I171" s="97">
        <v>1.8213</v>
      </c>
      <c r="J171" s="97">
        <v>6.8563</v>
      </c>
      <c r="K171" s="97">
        <v>5.035</v>
      </c>
    </row>
    <row r="172" ht="18" spans="1:11">
      <c r="A172" s="103">
        <v>149</v>
      </c>
      <c r="B172" s="96">
        <v>4.6334</v>
      </c>
      <c r="C172" s="96">
        <v>422.15</v>
      </c>
      <c r="D172" s="97">
        <v>0.0010897</v>
      </c>
      <c r="E172" s="98">
        <v>0.40269</v>
      </c>
      <c r="F172" s="99">
        <v>627.8</v>
      </c>
      <c r="G172" s="100">
        <v>2745.1</v>
      </c>
      <c r="H172" s="100">
        <v>2117.3</v>
      </c>
      <c r="I172" s="97">
        <v>1.8315</v>
      </c>
      <c r="J172" s="97">
        <v>6.8472</v>
      </c>
      <c r="K172" s="97">
        <v>5.0157</v>
      </c>
    </row>
    <row r="173" ht="18" spans="1:11">
      <c r="A173" s="103">
        <v>150</v>
      </c>
      <c r="B173" s="96">
        <v>4.7597</v>
      </c>
      <c r="C173" s="96">
        <v>423.15</v>
      </c>
      <c r="D173" s="97">
        <v>0.0010908</v>
      </c>
      <c r="E173" s="98">
        <v>0.39261</v>
      </c>
      <c r="F173" s="99">
        <v>632.2</v>
      </c>
      <c r="G173" s="100">
        <v>2746.3</v>
      </c>
      <c r="H173" s="100">
        <v>2114.1</v>
      </c>
      <c r="I173" s="97">
        <v>1.8416</v>
      </c>
      <c r="J173" s="97">
        <v>6.8381</v>
      </c>
      <c r="K173" s="97">
        <v>4.9965</v>
      </c>
    </row>
    <row r="174" ht="18" spans="1:11">
      <c r="A174" s="103">
        <v>151</v>
      </c>
      <c r="B174" s="96">
        <v>4.8887</v>
      </c>
      <c r="C174" s="96">
        <v>424.15</v>
      </c>
      <c r="D174" s="97">
        <v>0.0010919</v>
      </c>
      <c r="E174" s="98">
        <v>0.38284</v>
      </c>
      <c r="F174" s="99">
        <v>636.5</v>
      </c>
      <c r="G174" s="100">
        <v>2747.5</v>
      </c>
      <c r="H174" s="100">
        <v>2111</v>
      </c>
      <c r="I174" s="97">
        <v>1.8518</v>
      </c>
      <c r="J174" s="97">
        <v>6.8291</v>
      </c>
      <c r="K174" s="97">
        <v>4.9773</v>
      </c>
    </row>
    <row r="175" ht="18" spans="1:11">
      <c r="A175" s="103">
        <v>152</v>
      </c>
      <c r="B175" s="96">
        <v>5.0205</v>
      </c>
      <c r="C175" s="96">
        <v>425.15</v>
      </c>
      <c r="D175" s="97">
        <v>0.001093</v>
      </c>
      <c r="E175" s="98">
        <v>0.37337</v>
      </c>
      <c r="F175" s="99">
        <v>640.8</v>
      </c>
      <c r="G175" s="100">
        <v>2748.7</v>
      </c>
      <c r="H175" s="100">
        <v>2107.9</v>
      </c>
      <c r="I175" s="97">
        <v>1.8619</v>
      </c>
      <c r="J175" s="97">
        <v>6.8201</v>
      </c>
      <c r="K175" s="97">
        <v>4.9582</v>
      </c>
    </row>
    <row r="176" ht="18" spans="1:11">
      <c r="A176" s="103">
        <v>153</v>
      </c>
      <c r="B176" s="96">
        <v>5.1552</v>
      </c>
      <c r="C176" s="96">
        <v>426.15</v>
      </c>
      <c r="D176" s="97">
        <v>0.0010941</v>
      </c>
      <c r="E176" s="98">
        <v>0.36416</v>
      </c>
      <c r="F176" s="99">
        <v>645.1</v>
      </c>
      <c r="G176" s="100">
        <v>2749.8</v>
      </c>
      <c r="H176" s="100">
        <v>2104.7</v>
      </c>
      <c r="I176" s="97">
        <v>1.8721</v>
      </c>
      <c r="J176" s="97">
        <v>6.8112</v>
      </c>
      <c r="K176" s="97">
        <v>4.9391</v>
      </c>
    </row>
    <row r="177" ht="18" spans="1:11">
      <c r="A177" s="103">
        <v>154</v>
      </c>
      <c r="B177" s="96">
        <v>5.2926</v>
      </c>
      <c r="C177" s="96">
        <v>427.15</v>
      </c>
      <c r="D177" s="97">
        <v>0.0010953</v>
      </c>
      <c r="E177" s="98">
        <v>0.35524</v>
      </c>
      <c r="F177" s="99">
        <v>649.5</v>
      </c>
      <c r="G177" s="100">
        <v>2751</v>
      </c>
      <c r="H177" s="100">
        <v>2101.5</v>
      </c>
      <c r="I177" s="97">
        <v>1.8822</v>
      </c>
      <c r="J177" s="97">
        <v>6.8023</v>
      </c>
      <c r="K177" s="97">
        <v>4.9201</v>
      </c>
    </row>
    <row r="178" ht="18" spans="1:11">
      <c r="A178" s="103">
        <v>155</v>
      </c>
      <c r="B178" s="96">
        <v>5.4331</v>
      </c>
      <c r="C178" s="96">
        <v>428.15</v>
      </c>
      <c r="D178" s="97">
        <v>0.0010964</v>
      </c>
      <c r="E178" s="98">
        <v>0.34656</v>
      </c>
      <c r="F178" s="99">
        <v>653.8</v>
      </c>
      <c r="G178" s="100">
        <v>2752.1</v>
      </c>
      <c r="H178" s="100">
        <v>2098.3</v>
      </c>
      <c r="I178" s="97">
        <v>1.8923</v>
      </c>
      <c r="J178" s="97">
        <v>6.7934</v>
      </c>
      <c r="K178" s="97">
        <v>4.9011</v>
      </c>
    </row>
    <row r="179" ht="18" spans="1:11">
      <c r="A179" s="103">
        <v>156</v>
      </c>
      <c r="B179" s="96">
        <v>5.5764</v>
      </c>
      <c r="C179" s="96">
        <v>429.15</v>
      </c>
      <c r="D179" s="97">
        <v>0.0010976</v>
      </c>
      <c r="E179" s="98">
        <v>0.33815</v>
      </c>
      <c r="F179" s="99">
        <v>658.1</v>
      </c>
      <c r="G179" s="100">
        <v>2753.3</v>
      </c>
      <c r="H179" s="100">
        <v>2095.2</v>
      </c>
      <c r="I179" s="97">
        <v>1.9023</v>
      </c>
      <c r="J179" s="97">
        <v>6.7846</v>
      </c>
      <c r="K179" s="97">
        <v>4.8823</v>
      </c>
    </row>
    <row r="180" ht="18" spans="1:11">
      <c r="A180" s="103">
        <v>157</v>
      </c>
      <c r="B180" s="96">
        <v>5.7228</v>
      </c>
      <c r="C180" s="96">
        <v>430.15</v>
      </c>
      <c r="D180" s="97">
        <v>0.0010987</v>
      </c>
      <c r="E180" s="98">
        <v>0.32998</v>
      </c>
      <c r="F180" s="99">
        <v>662.4</v>
      </c>
      <c r="G180" s="100">
        <v>2754.4</v>
      </c>
      <c r="H180" s="100">
        <v>2092</v>
      </c>
      <c r="I180" s="97">
        <v>1.9124</v>
      </c>
      <c r="J180" s="97">
        <v>6.7759</v>
      </c>
      <c r="K180" s="97">
        <v>4.8635</v>
      </c>
    </row>
    <row r="181" ht="18" spans="1:11">
      <c r="A181" s="103">
        <v>158</v>
      </c>
      <c r="B181" s="96">
        <v>5.8722</v>
      </c>
      <c r="C181" s="96">
        <v>431.15</v>
      </c>
      <c r="D181" s="97">
        <v>0.0010999</v>
      </c>
      <c r="E181" s="98">
        <v>0.32205</v>
      </c>
      <c r="F181" s="99">
        <v>666.8</v>
      </c>
      <c r="G181" s="100">
        <v>2755.5</v>
      </c>
      <c r="H181" s="100">
        <v>2088.7</v>
      </c>
      <c r="I181" s="97">
        <v>1.9224</v>
      </c>
      <c r="J181" s="97">
        <v>6.7671</v>
      </c>
      <c r="K181" s="97">
        <v>4.8447</v>
      </c>
    </row>
    <row r="182" ht="18" spans="1:11">
      <c r="A182" s="103">
        <v>159</v>
      </c>
      <c r="B182" s="96">
        <v>6.0248</v>
      </c>
      <c r="C182" s="96">
        <v>432.15</v>
      </c>
      <c r="D182" s="97">
        <v>0.001101</v>
      </c>
      <c r="E182" s="98">
        <v>0.31434</v>
      </c>
      <c r="F182" s="99">
        <v>671.1</v>
      </c>
      <c r="G182" s="100">
        <v>2756.6</v>
      </c>
      <c r="H182" s="100">
        <v>2085.5</v>
      </c>
      <c r="I182" s="97">
        <v>1.9325</v>
      </c>
      <c r="J182" s="97">
        <v>6.7584</v>
      </c>
      <c r="K182" s="97">
        <v>4.8259</v>
      </c>
    </row>
    <row r="183" ht="18" spans="1:11">
      <c r="A183" s="103">
        <v>160</v>
      </c>
      <c r="B183" s="96">
        <v>6.1804</v>
      </c>
      <c r="C183" s="96">
        <v>433.15</v>
      </c>
      <c r="D183" s="97">
        <v>0.0011022</v>
      </c>
      <c r="E183" s="98">
        <v>0.30685</v>
      </c>
      <c r="F183" s="99">
        <v>675.5</v>
      </c>
      <c r="G183" s="100">
        <v>2757.7</v>
      </c>
      <c r="H183" s="100">
        <v>2082.2</v>
      </c>
      <c r="I183" s="97">
        <v>1.9425</v>
      </c>
      <c r="J183" s="97">
        <v>6.7498</v>
      </c>
      <c r="K183" s="97">
        <v>4.8073</v>
      </c>
    </row>
    <row r="184" ht="18" spans="1:11">
      <c r="A184" s="103">
        <v>161</v>
      </c>
      <c r="B184" s="96">
        <v>6.3393</v>
      </c>
      <c r="C184" s="96">
        <v>434.15</v>
      </c>
      <c r="D184" s="97">
        <v>0.0011034</v>
      </c>
      <c r="E184" s="98">
        <v>0.29957</v>
      </c>
      <c r="F184" s="99">
        <v>679.8</v>
      </c>
      <c r="G184" s="100">
        <v>2758.8</v>
      </c>
      <c r="H184" s="100">
        <v>2079</v>
      </c>
      <c r="I184" s="97">
        <v>1.9525</v>
      </c>
      <c r="J184" s="97">
        <v>6.7412</v>
      </c>
      <c r="K184" s="97">
        <v>4.7887</v>
      </c>
    </row>
    <row r="185" ht="18" spans="1:11">
      <c r="A185" s="103">
        <v>162</v>
      </c>
      <c r="B185" s="96">
        <v>6.5014</v>
      </c>
      <c r="C185" s="96">
        <v>435.15</v>
      </c>
      <c r="D185" s="97">
        <v>0.0011046</v>
      </c>
      <c r="E185" s="98">
        <v>0.2925</v>
      </c>
      <c r="F185" s="99">
        <v>684.2</v>
      </c>
      <c r="G185" s="100">
        <v>2759.8</v>
      </c>
      <c r="H185" s="100">
        <v>2075.6</v>
      </c>
      <c r="I185" s="97">
        <v>1.9624</v>
      </c>
      <c r="J185" s="97">
        <v>6.7326</v>
      </c>
      <c r="K185" s="97">
        <v>4.7702</v>
      </c>
    </row>
    <row r="186" ht="18" spans="1:11">
      <c r="A186" s="103">
        <v>163</v>
      </c>
      <c r="B186" s="96">
        <v>6.6668</v>
      </c>
      <c r="C186" s="96">
        <v>436.15</v>
      </c>
      <c r="D186" s="97">
        <v>0.0011058</v>
      </c>
      <c r="E186" s="98">
        <v>0.28563</v>
      </c>
      <c r="F186" s="99">
        <v>688.5</v>
      </c>
      <c r="G186" s="100">
        <v>2760.9</v>
      </c>
      <c r="H186" s="100">
        <v>2072.4</v>
      </c>
      <c r="I186" s="97">
        <v>1.9724</v>
      </c>
      <c r="J186" s="97">
        <v>6.724</v>
      </c>
      <c r="K186" s="97">
        <v>4.7516</v>
      </c>
    </row>
    <row r="187" ht="18" spans="1:11">
      <c r="A187" s="103">
        <v>164</v>
      </c>
      <c r="B187" s="96">
        <v>6.8355</v>
      </c>
      <c r="C187" s="96">
        <v>437.15</v>
      </c>
      <c r="D187" s="97">
        <v>0.001107</v>
      </c>
      <c r="E187" s="98">
        <v>0.27896</v>
      </c>
      <c r="F187" s="99">
        <v>692.9</v>
      </c>
      <c r="G187" s="100">
        <v>2761.9</v>
      </c>
      <c r="H187" s="100">
        <v>2069</v>
      </c>
      <c r="I187" s="97">
        <v>1.9823</v>
      </c>
      <c r="J187" s="97">
        <v>6.7155</v>
      </c>
      <c r="K187" s="97">
        <v>4.7332</v>
      </c>
    </row>
    <row r="188" ht="18" spans="1:11">
      <c r="A188" s="103">
        <v>165</v>
      </c>
      <c r="B188" s="96">
        <v>7.0075</v>
      </c>
      <c r="C188" s="96">
        <v>438.15</v>
      </c>
      <c r="D188" s="97">
        <v>0.0011082</v>
      </c>
      <c r="E188" s="98">
        <v>0.27246</v>
      </c>
      <c r="F188" s="99">
        <v>697.3</v>
      </c>
      <c r="G188" s="100">
        <v>2763</v>
      </c>
      <c r="H188" s="100">
        <v>2065.7</v>
      </c>
      <c r="I188" s="97">
        <v>1.9922</v>
      </c>
      <c r="J188" s="97">
        <v>6.707</v>
      </c>
      <c r="K188" s="97">
        <v>4.7148</v>
      </c>
    </row>
    <row r="189" ht="18" spans="1:11">
      <c r="A189" s="103">
        <v>166</v>
      </c>
      <c r="B189" s="96">
        <v>7.183</v>
      </c>
      <c r="C189" s="96">
        <v>439.15</v>
      </c>
      <c r="D189" s="97">
        <v>0.0011095</v>
      </c>
      <c r="E189" s="98">
        <v>0.26615</v>
      </c>
      <c r="F189" s="99">
        <v>701.6</v>
      </c>
      <c r="G189" s="100">
        <v>2764</v>
      </c>
      <c r="H189" s="100">
        <v>2062.4</v>
      </c>
      <c r="I189" s="97">
        <v>2.0022</v>
      </c>
      <c r="J189" s="97">
        <v>6.6986</v>
      </c>
      <c r="K189" s="97">
        <v>4.6964</v>
      </c>
    </row>
    <row r="190" ht="18" spans="1:11">
      <c r="A190" s="103">
        <v>167</v>
      </c>
      <c r="B190" s="96">
        <v>7.362</v>
      </c>
      <c r="C190" s="96">
        <v>440.15</v>
      </c>
      <c r="D190" s="97">
        <v>0.0011107</v>
      </c>
      <c r="E190" s="98">
        <v>0.26001</v>
      </c>
      <c r="F190" s="99">
        <v>706</v>
      </c>
      <c r="G190" s="100">
        <v>2765</v>
      </c>
      <c r="H190" s="100">
        <v>2059</v>
      </c>
      <c r="I190" s="97">
        <v>2.012</v>
      </c>
      <c r="J190" s="97">
        <v>6.6902</v>
      </c>
      <c r="K190" s="97">
        <v>4.6782</v>
      </c>
    </row>
    <row r="191" ht="18" spans="1:11">
      <c r="A191" s="103">
        <v>168</v>
      </c>
      <c r="B191" s="96">
        <v>7.5445</v>
      </c>
      <c r="C191" s="96">
        <v>441.15</v>
      </c>
      <c r="D191" s="97">
        <v>0.0011119</v>
      </c>
      <c r="E191" s="98">
        <v>0.25404</v>
      </c>
      <c r="F191" s="99">
        <v>710.4</v>
      </c>
      <c r="G191" s="100">
        <v>2766</v>
      </c>
      <c r="H191" s="100">
        <v>2055.6</v>
      </c>
      <c r="I191" s="97">
        <v>2.0219</v>
      </c>
      <c r="J191" s="97">
        <v>6.6818</v>
      </c>
      <c r="K191" s="97">
        <v>4.6599</v>
      </c>
    </row>
    <row r="192" ht="18" spans="1:11">
      <c r="A192" s="103">
        <v>169</v>
      </c>
      <c r="B192" s="96">
        <v>7.7305</v>
      </c>
      <c r="C192" s="96">
        <v>442.15</v>
      </c>
      <c r="D192" s="97">
        <v>0.0011132</v>
      </c>
      <c r="E192" s="98">
        <v>0.24824</v>
      </c>
      <c r="F192" s="99">
        <v>714.7</v>
      </c>
      <c r="G192" s="100">
        <v>2767</v>
      </c>
      <c r="H192" s="100">
        <v>2052.3</v>
      </c>
      <c r="I192" s="97">
        <v>2.0318</v>
      </c>
      <c r="J192" s="97">
        <v>6.6735</v>
      </c>
      <c r="K192" s="97">
        <v>4.6417</v>
      </c>
    </row>
    <row r="193" ht="18" spans="1:11">
      <c r="A193" s="103">
        <v>170</v>
      </c>
      <c r="B193" s="96">
        <v>7.9202</v>
      </c>
      <c r="C193" s="96">
        <v>443.15</v>
      </c>
      <c r="D193" s="97">
        <v>0.0011145</v>
      </c>
      <c r="E193" s="98">
        <v>0.24259</v>
      </c>
      <c r="F193" s="99">
        <v>719.1</v>
      </c>
      <c r="G193" s="100">
        <v>2768</v>
      </c>
      <c r="H193" s="100">
        <v>2048.9</v>
      </c>
      <c r="I193" s="97">
        <v>2.0416</v>
      </c>
      <c r="J193" s="97">
        <v>6.6652</v>
      </c>
      <c r="K193" s="97">
        <v>4.6236</v>
      </c>
    </row>
    <row r="194" ht="18" spans="1:11">
      <c r="A194" s="103">
        <v>171</v>
      </c>
      <c r="B194" s="96">
        <v>8.1136</v>
      </c>
      <c r="C194" s="96">
        <v>444.15</v>
      </c>
      <c r="D194" s="97">
        <v>0.0011157</v>
      </c>
      <c r="E194" s="98">
        <v>0.2371</v>
      </c>
      <c r="F194" s="99">
        <v>723.5</v>
      </c>
      <c r="G194" s="100">
        <v>2768.9</v>
      </c>
      <c r="H194" s="100">
        <v>2045.4</v>
      </c>
      <c r="I194" s="97">
        <v>2.0515</v>
      </c>
      <c r="J194" s="97">
        <v>6.6569</v>
      </c>
      <c r="K194" s="97">
        <v>4.6054</v>
      </c>
    </row>
    <row r="195" ht="18" spans="1:11">
      <c r="A195" s="103">
        <v>172</v>
      </c>
      <c r="B195" s="96">
        <v>8.3106</v>
      </c>
      <c r="C195" s="96">
        <v>445.15</v>
      </c>
      <c r="D195" s="97">
        <v>0.001117</v>
      </c>
      <c r="E195" s="98">
        <v>0.23176</v>
      </c>
      <c r="F195" s="99">
        <v>727.9</v>
      </c>
      <c r="G195" s="100">
        <v>2769.9</v>
      </c>
      <c r="H195" s="100">
        <v>2042</v>
      </c>
      <c r="I195" s="97">
        <v>2.0613</v>
      </c>
      <c r="J195" s="97">
        <v>6.6486</v>
      </c>
      <c r="K195" s="97">
        <v>4.5873</v>
      </c>
    </row>
    <row r="196" ht="18" spans="1:11">
      <c r="A196" s="103">
        <v>173</v>
      </c>
      <c r="B196" s="96">
        <v>8.5114</v>
      </c>
      <c r="C196" s="96">
        <v>446.15</v>
      </c>
      <c r="D196" s="97">
        <v>0.0011183</v>
      </c>
      <c r="E196" s="98">
        <v>0.22655</v>
      </c>
      <c r="F196" s="99">
        <v>732.3</v>
      </c>
      <c r="G196" s="100">
        <v>2770.8</v>
      </c>
      <c r="H196" s="100">
        <v>2038.5</v>
      </c>
      <c r="I196" s="97">
        <v>2.0711</v>
      </c>
      <c r="J196" s="97">
        <v>6.6404</v>
      </c>
      <c r="K196" s="97">
        <v>4.5693</v>
      </c>
    </row>
    <row r="197" ht="18" spans="1:11">
      <c r="A197" s="103">
        <v>174</v>
      </c>
      <c r="B197" s="96">
        <v>8.7161</v>
      </c>
      <c r="C197" s="96">
        <v>447.15</v>
      </c>
      <c r="D197" s="97">
        <v>0.0011196</v>
      </c>
      <c r="E197" s="98">
        <v>0.22149</v>
      </c>
      <c r="F197" s="99">
        <v>736.7</v>
      </c>
      <c r="G197" s="100">
        <v>2771.8</v>
      </c>
      <c r="H197" s="100">
        <v>2035.1</v>
      </c>
      <c r="I197" s="97">
        <v>2.0809</v>
      </c>
      <c r="J197" s="97">
        <v>6.6322</v>
      </c>
      <c r="K197" s="97">
        <v>4.5513</v>
      </c>
    </row>
    <row r="198" ht="18" spans="1:11">
      <c r="A198" s="103">
        <v>175</v>
      </c>
      <c r="B198" s="96">
        <v>8.9246</v>
      </c>
      <c r="C198" s="96">
        <v>448.15</v>
      </c>
      <c r="D198" s="97">
        <v>0.0011209</v>
      </c>
      <c r="E198" s="98">
        <v>0.21656</v>
      </c>
      <c r="F198" s="99">
        <v>741.1</v>
      </c>
      <c r="G198" s="100">
        <v>2772.7</v>
      </c>
      <c r="H198" s="100">
        <v>2031.6</v>
      </c>
      <c r="I198" s="97">
        <v>2.0906</v>
      </c>
      <c r="J198" s="97">
        <v>6.6241</v>
      </c>
      <c r="K198" s="97">
        <v>4.5335</v>
      </c>
    </row>
    <row r="199" ht="18" spans="1:11">
      <c r="A199" s="103">
        <v>176</v>
      </c>
      <c r="B199" s="96">
        <v>9.137</v>
      </c>
      <c r="C199" s="96">
        <v>449.15</v>
      </c>
      <c r="D199" s="97">
        <v>0.0011222</v>
      </c>
      <c r="E199" s="98">
        <v>0.21177</v>
      </c>
      <c r="F199" s="99">
        <v>745.5</v>
      </c>
      <c r="G199" s="100">
        <v>2773.6</v>
      </c>
      <c r="H199" s="100">
        <v>2028.1</v>
      </c>
      <c r="I199" s="97">
        <v>2.1004</v>
      </c>
      <c r="J199" s="97">
        <v>6.616</v>
      </c>
      <c r="K199" s="97">
        <v>4.5156</v>
      </c>
    </row>
    <row r="200" ht="18" spans="1:11">
      <c r="A200" s="103">
        <v>177</v>
      </c>
      <c r="B200" s="96">
        <v>9.3534</v>
      </c>
      <c r="C200" s="96">
        <v>450.15</v>
      </c>
      <c r="D200" s="97">
        <v>0.0011235</v>
      </c>
      <c r="E200" s="98">
        <v>0.2071</v>
      </c>
      <c r="F200" s="99">
        <v>749.9</v>
      </c>
      <c r="G200" s="100">
        <v>2774.5</v>
      </c>
      <c r="H200" s="100">
        <v>2024.6</v>
      </c>
      <c r="I200" s="97">
        <v>2.1101</v>
      </c>
      <c r="J200" s="97">
        <v>6.6079</v>
      </c>
      <c r="K200" s="97">
        <v>4.4978</v>
      </c>
    </row>
    <row r="201" ht="18" spans="1:11">
      <c r="A201" s="103">
        <v>178</v>
      </c>
      <c r="B201" s="96">
        <v>9.5739</v>
      </c>
      <c r="C201" s="96">
        <v>451.15</v>
      </c>
      <c r="D201" s="97">
        <v>0.0011248</v>
      </c>
      <c r="E201" s="98">
        <v>0.20255</v>
      </c>
      <c r="F201" s="99">
        <v>754.3</v>
      </c>
      <c r="G201" s="100">
        <v>2775.3</v>
      </c>
      <c r="H201" s="100">
        <v>2021</v>
      </c>
      <c r="I201" s="97">
        <v>2.1199</v>
      </c>
      <c r="J201" s="97">
        <v>6.5998</v>
      </c>
      <c r="K201" s="97">
        <v>4.4799</v>
      </c>
    </row>
    <row r="202" ht="18" spans="1:11">
      <c r="A202" s="103">
        <v>179</v>
      </c>
      <c r="B202" s="96">
        <v>9.7984</v>
      </c>
      <c r="C202" s="96">
        <v>452.15</v>
      </c>
      <c r="D202" s="97">
        <v>0.0011262</v>
      </c>
      <c r="E202" s="98">
        <v>0.19812</v>
      </c>
      <c r="F202" s="99">
        <v>758.7</v>
      </c>
      <c r="G202" s="100">
        <v>2776.2</v>
      </c>
      <c r="H202" s="100">
        <v>2017.5</v>
      </c>
      <c r="I202" s="97">
        <v>2.1296</v>
      </c>
      <c r="J202" s="97">
        <v>6.5918</v>
      </c>
      <c r="K202" s="97">
        <v>4.4622</v>
      </c>
    </row>
    <row r="203" ht="18" spans="1:11">
      <c r="A203" s="103">
        <v>180</v>
      </c>
      <c r="B203" s="96">
        <v>10.027</v>
      </c>
      <c r="C203" s="96">
        <v>453.15</v>
      </c>
      <c r="D203" s="97">
        <v>0.0011275</v>
      </c>
      <c r="E203" s="98">
        <v>0.19381</v>
      </c>
      <c r="F203" s="99">
        <v>763.1</v>
      </c>
      <c r="G203" s="100">
        <v>2777.1</v>
      </c>
      <c r="H203" s="100">
        <v>2014</v>
      </c>
      <c r="I203" s="97">
        <v>2.1393</v>
      </c>
      <c r="J203" s="97">
        <v>6.5838</v>
      </c>
      <c r="K203" s="97">
        <v>4.4445</v>
      </c>
    </row>
    <row r="204" ht="18" spans="1:11">
      <c r="A204" s="103">
        <v>181</v>
      </c>
      <c r="B204" s="96">
        <v>10.26</v>
      </c>
      <c r="C204" s="96">
        <v>454.15</v>
      </c>
      <c r="D204" s="97">
        <v>0.0011289</v>
      </c>
      <c r="E204" s="98">
        <v>0.1896</v>
      </c>
      <c r="F204" s="99">
        <v>767.5</v>
      </c>
      <c r="G204" s="100">
        <v>2777.9</v>
      </c>
      <c r="H204" s="100">
        <v>2010.4</v>
      </c>
      <c r="I204" s="97">
        <v>2.149</v>
      </c>
      <c r="J204" s="97">
        <v>6.5758</v>
      </c>
      <c r="K204" s="97">
        <v>4.4268</v>
      </c>
    </row>
    <row r="205" ht="18" spans="1:11">
      <c r="A205" s="103">
        <v>182</v>
      </c>
      <c r="B205" s="96">
        <v>10.497</v>
      </c>
      <c r="C205" s="96">
        <v>455.15</v>
      </c>
      <c r="D205" s="97">
        <v>0.0011302</v>
      </c>
      <c r="E205" s="98">
        <v>0.18551</v>
      </c>
      <c r="F205" s="99">
        <v>772</v>
      </c>
      <c r="G205" s="100">
        <v>2778.7</v>
      </c>
      <c r="H205" s="100">
        <v>2006.7</v>
      </c>
      <c r="I205" s="97">
        <v>2.1586</v>
      </c>
      <c r="J205" s="97">
        <v>6.5678</v>
      </c>
      <c r="K205" s="97">
        <v>4.4092</v>
      </c>
    </row>
    <row r="206" ht="18" spans="1:11">
      <c r="A206" s="103">
        <v>183</v>
      </c>
      <c r="B206" s="96">
        <v>10.738</v>
      </c>
      <c r="C206" s="96">
        <v>456.15</v>
      </c>
      <c r="D206" s="97">
        <v>0.0011316</v>
      </c>
      <c r="E206" s="98">
        <v>0.18153</v>
      </c>
      <c r="F206" s="99">
        <v>776.4</v>
      </c>
      <c r="G206" s="100">
        <v>2779.6</v>
      </c>
      <c r="H206" s="100">
        <v>2003.2</v>
      </c>
      <c r="I206" s="97">
        <v>2.1683</v>
      </c>
      <c r="J206" s="97">
        <v>6.5599</v>
      </c>
      <c r="K206" s="97">
        <v>4.3916</v>
      </c>
    </row>
    <row r="207" ht="18" spans="1:11">
      <c r="A207" s="103">
        <v>184</v>
      </c>
      <c r="B207" s="96">
        <v>10.984</v>
      </c>
      <c r="C207" s="96">
        <v>457.15</v>
      </c>
      <c r="D207" s="97">
        <v>0.001133</v>
      </c>
      <c r="E207" s="98">
        <v>0.17764</v>
      </c>
      <c r="F207" s="99">
        <v>780.8</v>
      </c>
      <c r="G207" s="100">
        <v>2780.4</v>
      </c>
      <c r="H207" s="100">
        <v>1999.6</v>
      </c>
      <c r="I207" s="97">
        <v>2.178</v>
      </c>
      <c r="J207" s="97">
        <v>6.552</v>
      </c>
      <c r="K207" s="97">
        <v>4.374</v>
      </c>
    </row>
    <row r="208" ht="18" spans="1:11">
      <c r="A208" s="103">
        <v>185</v>
      </c>
      <c r="B208" s="96">
        <v>11.234</v>
      </c>
      <c r="C208" s="96">
        <v>458.15</v>
      </c>
      <c r="D208" s="97">
        <v>0.0011344</v>
      </c>
      <c r="E208" s="98">
        <v>0.17385</v>
      </c>
      <c r="F208" s="99">
        <v>785.3</v>
      </c>
      <c r="G208" s="100">
        <v>2781.2</v>
      </c>
      <c r="H208" s="100">
        <v>1995.9</v>
      </c>
      <c r="I208" s="97">
        <v>2.1876</v>
      </c>
      <c r="J208" s="97">
        <v>6.5441</v>
      </c>
      <c r="K208" s="97">
        <v>4.3565</v>
      </c>
    </row>
    <row r="209" ht="18" spans="1:11">
      <c r="A209" s="103">
        <v>186</v>
      </c>
      <c r="B209" s="96">
        <v>11.488</v>
      </c>
      <c r="C209" s="96">
        <v>459.15</v>
      </c>
      <c r="D209" s="97">
        <v>0.0011358</v>
      </c>
      <c r="E209" s="98">
        <v>0.17017</v>
      </c>
      <c r="F209" s="99">
        <v>789.7</v>
      </c>
      <c r="G209" s="100">
        <v>2781.9</v>
      </c>
      <c r="H209" s="100">
        <v>1992.2</v>
      </c>
      <c r="I209" s="97">
        <v>2.1972</v>
      </c>
      <c r="J209" s="97">
        <v>6.5363</v>
      </c>
      <c r="K209" s="97">
        <v>4.3391</v>
      </c>
    </row>
    <row r="210" ht="18" spans="1:11">
      <c r="A210" s="103">
        <v>187</v>
      </c>
      <c r="B210" s="96">
        <v>11.748</v>
      </c>
      <c r="C210" s="96">
        <v>460.15</v>
      </c>
      <c r="D210" s="97">
        <v>0.0011372</v>
      </c>
      <c r="E210" s="98">
        <v>0.16656</v>
      </c>
      <c r="F210" s="99">
        <v>794.2</v>
      </c>
      <c r="G210" s="100">
        <v>2782.7</v>
      </c>
      <c r="H210" s="100">
        <v>1988.5</v>
      </c>
      <c r="I210" s="97">
        <v>2.2068</v>
      </c>
      <c r="J210" s="97">
        <v>6.5285</v>
      </c>
      <c r="K210" s="97">
        <v>4.3217</v>
      </c>
    </row>
    <row r="211" ht="18" spans="1:11">
      <c r="A211" s="103">
        <v>188</v>
      </c>
      <c r="B211" s="96">
        <v>12.011</v>
      </c>
      <c r="C211" s="96">
        <v>461.15</v>
      </c>
      <c r="D211" s="97">
        <v>0.0011386</v>
      </c>
      <c r="E211" s="98">
        <v>0.16306</v>
      </c>
      <c r="F211" s="99">
        <v>798.6</v>
      </c>
      <c r="G211" s="100">
        <v>2783.5</v>
      </c>
      <c r="H211" s="100">
        <v>1984.9</v>
      </c>
      <c r="I211" s="97">
        <v>2.2164</v>
      </c>
      <c r="J211" s="97">
        <v>6.5207</v>
      </c>
      <c r="K211" s="97">
        <v>4.3043</v>
      </c>
    </row>
    <row r="212" ht="18" spans="1:11">
      <c r="A212" s="103">
        <v>189</v>
      </c>
      <c r="B212" s="96">
        <v>12.279</v>
      </c>
      <c r="C212" s="96">
        <v>462.15</v>
      </c>
      <c r="D212" s="97">
        <v>0.0011401</v>
      </c>
      <c r="E212" s="98">
        <v>0.15964</v>
      </c>
      <c r="F212" s="99">
        <v>803.1</v>
      </c>
      <c r="G212" s="100">
        <v>2784.2</v>
      </c>
      <c r="H212" s="100">
        <v>1981.1</v>
      </c>
      <c r="I212" s="97">
        <v>2.226</v>
      </c>
      <c r="J212" s="97">
        <v>6.5129</v>
      </c>
      <c r="K212" s="97">
        <v>4.2869</v>
      </c>
    </row>
    <row r="213" ht="18" spans="1:11">
      <c r="A213" s="103">
        <v>190</v>
      </c>
      <c r="B213" s="96">
        <v>12.552</v>
      </c>
      <c r="C213" s="96">
        <v>463.15</v>
      </c>
      <c r="D213" s="97">
        <v>0.0011415</v>
      </c>
      <c r="E213" s="98">
        <v>0.15631</v>
      </c>
      <c r="F213" s="99">
        <v>807.5</v>
      </c>
      <c r="G213" s="100">
        <v>2784.9</v>
      </c>
      <c r="H213" s="100">
        <v>1977.4</v>
      </c>
      <c r="I213" s="97">
        <v>2.2356</v>
      </c>
      <c r="J213" s="97">
        <v>6.5052</v>
      </c>
      <c r="K213" s="97">
        <v>4.2696</v>
      </c>
    </row>
    <row r="214" ht="18" spans="1:11">
      <c r="A214" s="103">
        <v>191</v>
      </c>
      <c r="B214" s="96">
        <v>12.83</v>
      </c>
      <c r="C214" s="96">
        <v>464.15</v>
      </c>
      <c r="D214" s="97">
        <v>0.001143</v>
      </c>
      <c r="E214" s="98">
        <v>0.15305</v>
      </c>
      <c r="F214" s="99">
        <v>812</v>
      </c>
      <c r="G214" s="100">
        <v>2785.6</v>
      </c>
      <c r="H214" s="100">
        <v>1973.6</v>
      </c>
      <c r="I214" s="97">
        <v>2.2451</v>
      </c>
      <c r="J214" s="97">
        <v>6.4974</v>
      </c>
      <c r="K214" s="97">
        <v>4.2523</v>
      </c>
    </row>
    <row r="215" ht="18" spans="1:11">
      <c r="A215" s="103">
        <v>192</v>
      </c>
      <c r="B215" s="96">
        <v>13.112</v>
      </c>
      <c r="C215" s="96">
        <v>465.15</v>
      </c>
      <c r="D215" s="97">
        <v>0.0011444</v>
      </c>
      <c r="E215" s="98">
        <v>0.14988</v>
      </c>
      <c r="F215" s="99">
        <v>816.5</v>
      </c>
      <c r="G215" s="100">
        <v>2786.3</v>
      </c>
      <c r="H215" s="100">
        <v>1969.8</v>
      </c>
      <c r="I215" s="97">
        <v>2.2547</v>
      </c>
      <c r="J215" s="97">
        <v>6.4897</v>
      </c>
      <c r="K215" s="97">
        <v>4.235</v>
      </c>
    </row>
    <row r="216" ht="18" spans="1:11">
      <c r="A216" s="103">
        <v>193</v>
      </c>
      <c r="B216" s="96">
        <v>13.4</v>
      </c>
      <c r="C216" s="96">
        <v>466.15</v>
      </c>
      <c r="D216" s="97">
        <v>0.0011459</v>
      </c>
      <c r="E216" s="98">
        <v>0.14678</v>
      </c>
      <c r="F216" s="99">
        <v>820.9</v>
      </c>
      <c r="G216" s="100">
        <v>2787</v>
      </c>
      <c r="H216" s="100">
        <v>1966.1</v>
      </c>
      <c r="I216" s="97">
        <v>2.2642</v>
      </c>
      <c r="J216" s="97">
        <v>6.482</v>
      </c>
      <c r="K216" s="97">
        <v>4.2178</v>
      </c>
    </row>
    <row r="217" ht="18" spans="1:11">
      <c r="A217" s="103">
        <v>194</v>
      </c>
      <c r="B217" s="96">
        <v>13.692</v>
      </c>
      <c r="C217" s="96">
        <v>467.15</v>
      </c>
      <c r="D217" s="97">
        <v>0.0011474</v>
      </c>
      <c r="E217" s="98">
        <v>0.14376</v>
      </c>
      <c r="F217" s="99">
        <v>825.4</v>
      </c>
      <c r="G217" s="100">
        <v>2787.7</v>
      </c>
      <c r="H217" s="100">
        <v>1962.3</v>
      </c>
      <c r="I217" s="97">
        <v>2.2738</v>
      </c>
      <c r="J217" s="97">
        <v>6.4744</v>
      </c>
      <c r="K217" s="97">
        <v>4.2006</v>
      </c>
    </row>
    <row r="218" ht="18" spans="1:11">
      <c r="A218" s="103">
        <v>195</v>
      </c>
      <c r="B218" s="96">
        <v>13.989</v>
      </c>
      <c r="C218" s="96">
        <v>468.15</v>
      </c>
      <c r="D218" s="97">
        <v>0.0011489</v>
      </c>
      <c r="E218" s="98">
        <v>0.14082</v>
      </c>
      <c r="F218" s="99">
        <v>829.9</v>
      </c>
      <c r="G218" s="100">
        <v>2788.3</v>
      </c>
      <c r="H218" s="100">
        <v>1958.4</v>
      </c>
      <c r="I218" s="97">
        <v>2.2833</v>
      </c>
      <c r="J218" s="97">
        <v>6.4667</v>
      </c>
      <c r="K218" s="97">
        <v>4.1834</v>
      </c>
    </row>
    <row r="219" ht="18" spans="1:11">
      <c r="A219" s="103">
        <v>196</v>
      </c>
      <c r="B219" s="96">
        <v>14.291</v>
      </c>
      <c r="C219" s="96">
        <v>469.15</v>
      </c>
      <c r="D219" s="97">
        <v>0.0011504</v>
      </c>
      <c r="E219" s="98">
        <v>0.13795</v>
      </c>
      <c r="F219" s="99">
        <v>834.4</v>
      </c>
      <c r="G219" s="100">
        <v>2789</v>
      </c>
      <c r="H219" s="100">
        <v>1954.6</v>
      </c>
      <c r="I219" s="97">
        <v>2.2928</v>
      </c>
      <c r="J219" s="97">
        <v>6.4591</v>
      </c>
      <c r="K219" s="97">
        <v>4.1663</v>
      </c>
    </row>
    <row r="220" ht="18" spans="1:11">
      <c r="A220" s="103">
        <v>197</v>
      </c>
      <c r="B220" s="96">
        <v>14.598</v>
      </c>
      <c r="C220" s="96">
        <v>470.15</v>
      </c>
      <c r="D220" s="97">
        <v>0.0011519</v>
      </c>
      <c r="E220" s="98">
        <v>0.13515</v>
      </c>
      <c r="F220" s="99">
        <v>838.9</v>
      </c>
      <c r="G220" s="100">
        <v>2789.6</v>
      </c>
      <c r="H220" s="100">
        <v>1950.7</v>
      </c>
      <c r="I220" s="97">
        <v>2.3023</v>
      </c>
      <c r="J220" s="97">
        <v>6.4516</v>
      </c>
      <c r="K220" s="97">
        <v>4.1493</v>
      </c>
    </row>
    <row r="221" ht="18" spans="1:11">
      <c r="A221" s="103">
        <v>198</v>
      </c>
      <c r="B221" s="96">
        <v>14.91</v>
      </c>
      <c r="C221" s="96">
        <v>471.15</v>
      </c>
      <c r="D221" s="97">
        <v>0.0011534</v>
      </c>
      <c r="E221" s="98">
        <v>0.13242</v>
      </c>
      <c r="F221" s="99">
        <v>843.4</v>
      </c>
      <c r="G221" s="100">
        <v>2790.2</v>
      </c>
      <c r="H221" s="100">
        <v>1946.8</v>
      </c>
      <c r="I221" s="97">
        <v>2.3117</v>
      </c>
      <c r="J221" s="97">
        <v>6.444</v>
      </c>
      <c r="K221" s="97">
        <v>4.1323</v>
      </c>
    </row>
    <row r="222" ht="18" spans="1:11">
      <c r="A222" s="103">
        <v>199</v>
      </c>
      <c r="B222" s="96">
        <v>15.228</v>
      </c>
      <c r="C222" s="96">
        <v>472.15</v>
      </c>
      <c r="D222" s="97">
        <v>0.0011549</v>
      </c>
      <c r="E222" s="98">
        <v>0.12974</v>
      </c>
      <c r="F222" s="99">
        <v>847.9</v>
      </c>
      <c r="G222" s="100">
        <v>2790.8</v>
      </c>
      <c r="H222" s="100">
        <v>1942.9</v>
      </c>
      <c r="I222" s="97">
        <v>2.3212</v>
      </c>
      <c r="J222" s="97">
        <v>6.4364</v>
      </c>
      <c r="K222" s="97">
        <v>4.1152</v>
      </c>
    </row>
    <row r="223" ht="18" spans="1:11">
      <c r="A223" s="103">
        <v>200</v>
      </c>
      <c r="B223" s="96">
        <v>15.551</v>
      </c>
      <c r="C223" s="96">
        <v>473.15</v>
      </c>
      <c r="D223" s="97">
        <v>0.0011565</v>
      </c>
      <c r="E223" s="98">
        <v>0.12714</v>
      </c>
      <c r="F223" s="99">
        <v>852.4</v>
      </c>
      <c r="G223" s="100">
        <v>2791.4</v>
      </c>
      <c r="H223" s="100">
        <v>1939</v>
      </c>
      <c r="I223" s="97">
        <v>2.3307</v>
      </c>
      <c r="J223" s="97">
        <v>6.4289</v>
      </c>
      <c r="K223" s="97">
        <v>4.0982</v>
      </c>
    </row>
    <row r="224" ht="18" spans="1:11">
      <c r="A224" s="103">
        <v>201</v>
      </c>
      <c r="B224" s="96">
        <v>15.879</v>
      </c>
      <c r="C224" s="96">
        <v>474.15</v>
      </c>
      <c r="D224" s="97">
        <v>0.001158</v>
      </c>
      <c r="E224" s="98">
        <v>0.12459</v>
      </c>
      <c r="F224" s="99">
        <v>856.9</v>
      </c>
      <c r="G224" s="100">
        <v>2792</v>
      </c>
      <c r="H224" s="100">
        <v>1935.1</v>
      </c>
      <c r="I224" s="97">
        <v>2.3401</v>
      </c>
      <c r="J224" s="97">
        <v>6.4214</v>
      </c>
      <c r="K224" s="97">
        <v>4.0813</v>
      </c>
    </row>
    <row r="225" ht="18" spans="1:11">
      <c r="A225" s="103">
        <v>202</v>
      </c>
      <c r="B225" s="96">
        <v>16.212</v>
      </c>
      <c r="C225" s="96">
        <v>475.15</v>
      </c>
      <c r="D225" s="97">
        <v>0.0011596</v>
      </c>
      <c r="E225" s="98">
        <v>0.12211</v>
      </c>
      <c r="F225" s="99">
        <v>861.4</v>
      </c>
      <c r="G225" s="100">
        <v>2792.5</v>
      </c>
      <c r="H225" s="100">
        <v>1931.1</v>
      </c>
      <c r="I225" s="97">
        <v>2.3496</v>
      </c>
      <c r="J225" s="97">
        <v>6.4139</v>
      </c>
      <c r="K225" s="97">
        <v>4.0643</v>
      </c>
    </row>
    <row r="226" ht="18" spans="1:11">
      <c r="A226" s="103">
        <v>203</v>
      </c>
      <c r="B226" s="96">
        <v>16.551</v>
      </c>
      <c r="C226" s="96">
        <v>476.15</v>
      </c>
      <c r="D226" s="97">
        <v>0.0011612</v>
      </c>
      <c r="E226" s="98">
        <v>0.11968</v>
      </c>
      <c r="F226" s="99">
        <v>865.9</v>
      </c>
      <c r="G226" s="100">
        <v>2793.1</v>
      </c>
      <c r="H226" s="100">
        <v>1927.2</v>
      </c>
      <c r="I226" s="97">
        <v>2.359</v>
      </c>
      <c r="J226" s="97">
        <v>6.4064</v>
      </c>
      <c r="K226" s="97">
        <v>4.0474</v>
      </c>
    </row>
    <row r="227" ht="18" spans="1:11">
      <c r="A227" s="103">
        <v>204</v>
      </c>
      <c r="B227" s="96">
        <v>16.895</v>
      </c>
      <c r="C227" s="96">
        <v>477.15</v>
      </c>
      <c r="D227" s="97">
        <v>0.0011628</v>
      </c>
      <c r="E227" s="98">
        <v>0.11732</v>
      </c>
      <c r="F227" s="99">
        <v>870.5</v>
      </c>
      <c r="G227" s="100">
        <v>2793.6</v>
      </c>
      <c r="H227" s="100">
        <v>1923.1</v>
      </c>
      <c r="I227" s="97">
        <v>2.3684</v>
      </c>
      <c r="J227" s="97">
        <v>6.399</v>
      </c>
      <c r="K227" s="97">
        <v>4.0306</v>
      </c>
    </row>
    <row r="228" ht="18" spans="1:11">
      <c r="A228" s="103">
        <v>205</v>
      </c>
      <c r="B228" s="96">
        <v>17.245</v>
      </c>
      <c r="C228" s="96">
        <v>478.15</v>
      </c>
      <c r="D228" s="97">
        <v>0.0011644</v>
      </c>
      <c r="E228" s="98">
        <v>0.115</v>
      </c>
      <c r="F228" s="99">
        <v>875</v>
      </c>
      <c r="G228" s="100">
        <v>2794.1</v>
      </c>
      <c r="H228" s="100">
        <v>1919.1</v>
      </c>
      <c r="I228" s="97">
        <v>2.3778</v>
      </c>
      <c r="J228" s="97">
        <v>6.3915</v>
      </c>
      <c r="K228" s="97">
        <v>4.0137</v>
      </c>
    </row>
    <row r="229" ht="18" spans="1:11">
      <c r="A229" s="103">
        <v>206</v>
      </c>
      <c r="B229" s="96">
        <v>17.601</v>
      </c>
      <c r="C229" s="96">
        <v>479.15</v>
      </c>
      <c r="D229" s="97">
        <v>0.001166</v>
      </c>
      <c r="E229" s="98">
        <v>0.11274</v>
      </c>
      <c r="F229" s="99">
        <v>879.5</v>
      </c>
      <c r="G229" s="100">
        <v>2794.6</v>
      </c>
      <c r="H229" s="100">
        <v>1915.1</v>
      </c>
      <c r="I229" s="97">
        <v>2.3872</v>
      </c>
      <c r="J229" s="97">
        <v>6.3841</v>
      </c>
      <c r="K229" s="97">
        <v>3.9969</v>
      </c>
    </row>
    <row r="230" ht="18" spans="1:11">
      <c r="A230" s="103">
        <v>207</v>
      </c>
      <c r="B230" s="96">
        <v>17.962</v>
      </c>
      <c r="C230" s="96">
        <v>480.15</v>
      </c>
      <c r="D230" s="97">
        <v>0.0011676</v>
      </c>
      <c r="E230" s="98">
        <v>0.11054</v>
      </c>
      <c r="F230" s="99">
        <v>884.1</v>
      </c>
      <c r="G230" s="100">
        <v>2795.1</v>
      </c>
      <c r="H230" s="100">
        <v>1911</v>
      </c>
      <c r="I230" s="97">
        <v>2.3966</v>
      </c>
      <c r="J230" s="97">
        <v>6.3767</v>
      </c>
      <c r="K230" s="97">
        <v>3.9801</v>
      </c>
    </row>
    <row r="231" ht="18" spans="1:11">
      <c r="A231" s="103">
        <v>208</v>
      </c>
      <c r="B231" s="96">
        <v>18.329</v>
      </c>
      <c r="C231" s="96">
        <v>481.15</v>
      </c>
      <c r="D231" s="97">
        <v>0.0011693</v>
      </c>
      <c r="E231" s="98">
        <v>0.10838</v>
      </c>
      <c r="F231" s="99">
        <v>888.6</v>
      </c>
      <c r="G231" s="100">
        <v>2795.6</v>
      </c>
      <c r="H231" s="100">
        <v>1907</v>
      </c>
      <c r="I231" s="97">
        <v>2.406</v>
      </c>
      <c r="J231" s="97">
        <v>6.3693</v>
      </c>
      <c r="K231" s="97">
        <v>3.9633</v>
      </c>
    </row>
    <row r="232" ht="18" spans="1:11">
      <c r="A232" s="103">
        <v>209</v>
      </c>
      <c r="B232" s="96">
        <v>18.701</v>
      </c>
      <c r="C232" s="96">
        <v>482.15</v>
      </c>
      <c r="D232" s="97">
        <v>0.0011709</v>
      </c>
      <c r="E232" s="98">
        <v>0.10628</v>
      </c>
      <c r="F232" s="99">
        <v>893.2</v>
      </c>
      <c r="G232" s="100">
        <v>2796</v>
      </c>
      <c r="H232" s="100">
        <v>1902.8</v>
      </c>
      <c r="I232" s="97">
        <v>2.4153</v>
      </c>
      <c r="J232" s="97">
        <v>6.362</v>
      </c>
      <c r="K232" s="97">
        <v>3.9467</v>
      </c>
    </row>
    <row r="233" ht="18" spans="1:11">
      <c r="A233" s="103">
        <v>210</v>
      </c>
      <c r="B233" s="96">
        <v>19.079</v>
      </c>
      <c r="C233" s="96">
        <v>483.15</v>
      </c>
      <c r="D233" s="97">
        <v>0.0011726</v>
      </c>
      <c r="E233" s="98">
        <v>0.10422</v>
      </c>
      <c r="F233" s="99">
        <v>897.8</v>
      </c>
      <c r="G233" s="100">
        <v>2796.4</v>
      </c>
      <c r="H233" s="100">
        <v>1898.6</v>
      </c>
      <c r="I233" s="97">
        <v>2.4247</v>
      </c>
      <c r="J233" s="97">
        <v>6.3546</v>
      </c>
      <c r="K233" s="97">
        <v>3.9299</v>
      </c>
    </row>
    <row r="234" ht="18" spans="1:11">
      <c r="A234" s="103">
        <v>211</v>
      </c>
      <c r="B234" s="96">
        <v>19.464</v>
      </c>
      <c r="C234" s="96">
        <v>484.15</v>
      </c>
      <c r="D234" s="97">
        <v>0.0011743</v>
      </c>
      <c r="E234" s="98">
        <v>0.10221</v>
      </c>
      <c r="F234" s="99">
        <v>902.3</v>
      </c>
      <c r="G234" s="100">
        <v>2796.9</v>
      </c>
      <c r="H234" s="100">
        <v>1894.6</v>
      </c>
      <c r="I234" s="97">
        <v>2.4341</v>
      </c>
      <c r="J234" s="97">
        <v>6.3473</v>
      </c>
      <c r="K234" s="97">
        <v>3.9132</v>
      </c>
    </row>
    <row r="235" ht="18" spans="1:11">
      <c r="A235" s="103">
        <v>212</v>
      </c>
      <c r="B235" s="96">
        <v>19.855</v>
      </c>
      <c r="C235" s="96">
        <v>485.15</v>
      </c>
      <c r="D235" s="97">
        <v>0.001176</v>
      </c>
      <c r="E235" s="98">
        <v>0.10024</v>
      </c>
      <c r="F235" s="99">
        <v>906.9</v>
      </c>
      <c r="G235" s="100">
        <v>2797.3</v>
      </c>
      <c r="H235" s="100">
        <v>1890.4</v>
      </c>
      <c r="I235" s="97">
        <v>2.4434</v>
      </c>
      <c r="J235" s="97">
        <v>6.3399</v>
      </c>
      <c r="K235" s="97">
        <v>3.8965</v>
      </c>
    </row>
    <row r="236" ht="18" spans="1:11">
      <c r="A236" s="103">
        <v>213</v>
      </c>
      <c r="B236" s="96">
        <v>20.251</v>
      </c>
      <c r="C236" s="96">
        <v>486.15</v>
      </c>
      <c r="D236" s="97">
        <v>0.0011777</v>
      </c>
      <c r="E236" s="98">
        <v>0.09832</v>
      </c>
      <c r="F236" s="99">
        <v>911.5</v>
      </c>
      <c r="G236" s="100">
        <v>2797.7</v>
      </c>
      <c r="H236" s="100">
        <v>1886.2</v>
      </c>
      <c r="I236" s="97">
        <v>2.4527</v>
      </c>
      <c r="J236" s="97">
        <v>6.3326</v>
      </c>
      <c r="K236" s="97">
        <v>3.8799</v>
      </c>
    </row>
    <row r="237" ht="18" spans="1:11">
      <c r="A237" s="103">
        <v>214</v>
      </c>
      <c r="B237" s="96">
        <v>20.654</v>
      </c>
      <c r="C237" s="96">
        <v>487.15</v>
      </c>
      <c r="D237" s="97">
        <v>0.0011794</v>
      </c>
      <c r="E237" s="98">
        <v>0.09644</v>
      </c>
      <c r="F237" s="99">
        <v>916</v>
      </c>
      <c r="G237" s="100">
        <v>2798</v>
      </c>
      <c r="H237" s="100">
        <v>1882</v>
      </c>
      <c r="I237" s="97">
        <v>2.4621</v>
      </c>
      <c r="J237" s="97">
        <v>6.3253</v>
      </c>
      <c r="K237" s="97">
        <v>3.8632</v>
      </c>
    </row>
    <row r="238" ht="18" spans="1:11">
      <c r="A238" s="103">
        <v>215</v>
      </c>
      <c r="B238" s="96">
        <v>21.063</v>
      </c>
      <c r="C238" s="96">
        <v>488.15</v>
      </c>
      <c r="D238" s="97">
        <v>0.0011811</v>
      </c>
      <c r="E238" s="98">
        <v>0.0946</v>
      </c>
      <c r="F238" s="99">
        <v>920.6</v>
      </c>
      <c r="G238" s="100">
        <v>2798.4</v>
      </c>
      <c r="H238" s="100">
        <v>1877.8</v>
      </c>
      <c r="I238" s="97">
        <v>2.4714</v>
      </c>
      <c r="J238" s="97">
        <v>6.3181</v>
      </c>
      <c r="K238" s="97">
        <v>3.8467</v>
      </c>
    </row>
    <row r="239" ht="18" spans="1:11">
      <c r="A239" s="103">
        <v>216</v>
      </c>
      <c r="B239" s="96">
        <v>21.478</v>
      </c>
      <c r="C239" s="96">
        <v>489.15</v>
      </c>
      <c r="D239" s="97">
        <v>0.0011829</v>
      </c>
      <c r="E239" s="98">
        <v>0.09281</v>
      </c>
      <c r="F239" s="99">
        <v>925.2</v>
      </c>
      <c r="G239" s="100">
        <v>2798.7</v>
      </c>
      <c r="H239" s="100">
        <v>1873.5</v>
      </c>
      <c r="I239" s="97">
        <v>2.4807</v>
      </c>
      <c r="J239" s="97">
        <v>6.3108</v>
      </c>
      <c r="K239" s="97">
        <v>3.8301</v>
      </c>
    </row>
    <row r="240" ht="18" spans="1:11">
      <c r="A240" s="103">
        <v>217</v>
      </c>
      <c r="B240" s="96">
        <v>21.899</v>
      </c>
      <c r="C240" s="96">
        <v>490.15</v>
      </c>
      <c r="D240" s="97">
        <v>0.0011846</v>
      </c>
      <c r="E240" s="98">
        <v>0.09105</v>
      </c>
      <c r="F240" s="99">
        <v>929.8</v>
      </c>
      <c r="G240" s="100">
        <v>2799</v>
      </c>
      <c r="H240" s="100">
        <v>1869.2</v>
      </c>
      <c r="I240" s="97">
        <v>2.49</v>
      </c>
      <c r="J240" s="97">
        <v>6.3036</v>
      </c>
      <c r="K240" s="97">
        <v>3.8136</v>
      </c>
    </row>
    <row r="241" ht="18" spans="1:11">
      <c r="A241" s="103">
        <v>218</v>
      </c>
      <c r="B241" s="96">
        <v>22.327</v>
      </c>
      <c r="C241" s="96">
        <v>491.15</v>
      </c>
      <c r="D241" s="97">
        <v>0.0011864</v>
      </c>
      <c r="E241" s="98">
        <v>0.08934</v>
      </c>
      <c r="F241" s="99">
        <v>934.5</v>
      </c>
      <c r="G241" s="100">
        <v>2799.3</v>
      </c>
      <c r="H241" s="100">
        <v>1864.8</v>
      </c>
      <c r="I241" s="97">
        <v>2.4993</v>
      </c>
      <c r="J241" s="97">
        <v>6.2963</v>
      </c>
      <c r="K241" s="97">
        <v>3.797</v>
      </c>
    </row>
    <row r="242" ht="18" spans="1:11">
      <c r="A242" s="103">
        <v>219</v>
      </c>
      <c r="B242" s="96">
        <v>22.761</v>
      </c>
      <c r="C242" s="96">
        <v>492.15</v>
      </c>
      <c r="D242" s="97">
        <v>0.0011882</v>
      </c>
      <c r="E242" s="98">
        <v>0.08766</v>
      </c>
      <c r="F242" s="99">
        <v>939.1</v>
      </c>
      <c r="G242" s="100">
        <v>2799.6</v>
      </c>
      <c r="H242" s="100">
        <v>1880.5</v>
      </c>
      <c r="I242" s="97">
        <v>2.5086</v>
      </c>
      <c r="J242" s="97">
        <v>6.2891</v>
      </c>
      <c r="K242" s="97">
        <v>3.7805</v>
      </c>
    </row>
    <row r="243" ht="18" spans="1:11">
      <c r="A243" s="103">
        <v>220</v>
      </c>
      <c r="B243" s="96">
        <v>23.201</v>
      </c>
      <c r="C243" s="96">
        <v>493.15</v>
      </c>
      <c r="D243" s="97">
        <v>0.00119</v>
      </c>
      <c r="E243" s="98">
        <v>0.08602</v>
      </c>
      <c r="F243" s="99">
        <v>943.7</v>
      </c>
      <c r="G243" s="100">
        <v>2799.9</v>
      </c>
      <c r="H243" s="100">
        <v>1856.2</v>
      </c>
      <c r="I243" s="97">
        <v>2.5178</v>
      </c>
      <c r="J243" s="97">
        <v>6.2819</v>
      </c>
      <c r="K243" s="97">
        <v>3.7641</v>
      </c>
    </row>
    <row r="244" ht="18" spans="1:11">
      <c r="A244" s="103">
        <v>221</v>
      </c>
      <c r="B244" s="96">
        <v>23.648</v>
      </c>
      <c r="C244" s="96">
        <v>494.15</v>
      </c>
      <c r="D244" s="97">
        <v>0.0011918</v>
      </c>
      <c r="E244" s="98">
        <v>0.08441</v>
      </c>
      <c r="F244" s="99">
        <v>948.3</v>
      </c>
      <c r="G244" s="100">
        <v>2800.2</v>
      </c>
      <c r="H244" s="100">
        <v>1851.9</v>
      </c>
      <c r="I244" s="97">
        <v>2.5271</v>
      </c>
      <c r="J244" s="97">
        <v>6.2747</v>
      </c>
      <c r="K244" s="97">
        <v>3.7476</v>
      </c>
    </row>
    <row r="245" ht="18" spans="1:11">
      <c r="A245" s="103">
        <v>222</v>
      </c>
      <c r="B245" s="96">
        <v>24.102</v>
      </c>
      <c r="C245" s="96">
        <v>495.15</v>
      </c>
      <c r="D245" s="97">
        <v>0.0011936</v>
      </c>
      <c r="E245" s="98">
        <v>0.08284</v>
      </c>
      <c r="F245" s="99">
        <v>953</v>
      </c>
      <c r="G245" s="100">
        <v>2800.4</v>
      </c>
      <c r="H245" s="100">
        <v>1847.4</v>
      </c>
      <c r="I245" s="97">
        <v>2.5364</v>
      </c>
      <c r="J245" s="97">
        <v>6.2675</v>
      </c>
      <c r="K245" s="97">
        <v>3.7311</v>
      </c>
    </row>
    <row r="246" ht="18" spans="1:11">
      <c r="A246" s="103">
        <v>223</v>
      </c>
      <c r="B246" s="96">
        <v>24.563</v>
      </c>
      <c r="C246" s="96">
        <v>496.15</v>
      </c>
      <c r="D246" s="97">
        <v>0.0011954</v>
      </c>
      <c r="E246" s="98">
        <v>0.0813</v>
      </c>
      <c r="F246" s="99">
        <v>957.6</v>
      </c>
      <c r="G246" s="100">
        <v>2800.6</v>
      </c>
      <c r="H246" s="100">
        <v>1843</v>
      </c>
      <c r="I246" s="97">
        <v>2.5456</v>
      </c>
      <c r="J246" s="97">
        <v>6.2603</v>
      </c>
      <c r="K246" s="97">
        <v>3.7147</v>
      </c>
    </row>
    <row r="247" ht="18" spans="1:11">
      <c r="A247" s="103">
        <v>224</v>
      </c>
      <c r="B247" s="96">
        <v>25.03</v>
      </c>
      <c r="C247" s="96">
        <v>497.15</v>
      </c>
      <c r="D247" s="97">
        <v>0.0011973</v>
      </c>
      <c r="E247" s="98">
        <v>0.0798</v>
      </c>
      <c r="F247" s="99">
        <v>962.2</v>
      </c>
      <c r="G247" s="100">
        <v>2800.8</v>
      </c>
      <c r="H247" s="100">
        <v>1838.6</v>
      </c>
      <c r="I247" s="97">
        <v>2.5549</v>
      </c>
      <c r="J247" s="97">
        <v>6.2532</v>
      </c>
      <c r="K247" s="97">
        <v>3.6983</v>
      </c>
    </row>
    <row r="248" ht="18" spans="1:11">
      <c r="A248" s="103">
        <v>225</v>
      </c>
      <c r="B248" s="96">
        <v>25.504</v>
      </c>
      <c r="C248" s="96">
        <v>498.15</v>
      </c>
      <c r="D248" s="97">
        <v>0.0011992</v>
      </c>
      <c r="E248" s="98">
        <v>0.07833</v>
      </c>
      <c r="F248" s="99">
        <v>966.9</v>
      </c>
      <c r="G248" s="100">
        <v>2801</v>
      </c>
      <c r="H248" s="100">
        <v>1834.1</v>
      </c>
      <c r="I248" s="97">
        <v>2.5641</v>
      </c>
      <c r="J248" s="97">
        <v>6.246</v>
      </c>
      <c r="K248" s="97">
        <v>3.6819</v>
      </c>
    </row>
    <row r="249" ht="18" spans="1:11">
      <c r="A249" s="103">
        <v>226</v>
      </c>
      <c r="B249" s="96">
        <v>25.985</v>
      </c>
      <c r="C249" s="96">
        <v>499.15</v>
      </c>
      <c r="D249" s="97">
        <v>0.001201</v>
      </c>
      <c r="E249" s="98">
        <v>0.07689</v>
      </c>
      <c r="F249" s="99">
        <v>971.6</v>
      </c>
      <c r="G249" s="100">
        <v>2801.2</v>
      </c>
      <c r="H249" s="100">
        <v>1829.6</v>
      </c>
      <c r="I249" s="97">
        <v>2.5733</v>
      </c>
      <c r="J249" s="97">
        <v>6.2388</v>
      </c>
      <c r="K249" s="97">
        <v>3.6655</v>
      </c>
    </row>
    <row r="250" ht="18" spans="1:11">
      <c r="A250" s="103">
        <v>227</v>
      </c>
      <c r="B250" s="96">
        <v>26.473</v>
      </c>
      <c r="C250" s="96">
        <v>500.15</v>
      </c>
      <c r="D250" s="97">
        <v>0.0012029</v>
      </c>
      <c r="E250" s="98">
        <v>0.07548</v>
      </c>
      <c r="F250" s="99">
        <v>976.2</v>
      </c>
      <c r="G250" s="100">
        <v>2801.3</v>
      </c>
      <c r="H250" s="100">
        <v>1825.1</v>
      </c>
      <c r="I250" s="97">
        <v>2.5826</v>
      </c>
      <c r="J250" s="97">
        <v>6.2317</v>
      </c>
      <c r="K250" s="97">
        <v>3.6491</v>
      </c>
    </row>
    <row r="251" ht="18" spans="1:11">
      <c r="A251" s="103">
        <v>228</v>
      </c>
      <c r="B251" s="96">
        <v>26.968</v>
      </c>
      <c r="C251" s="96">
        <v>501.15</v>
      </c>
      <c r="D251" s="97">
        <v>0.0012048</v>
      </c>
      <c r="E251" s="98">
        <v>0.0741</v>
      </c>
      <c r="F251" s="99">
        <v>980.9</v>
      </c>
      <c r="G251" s="100">
        <v>2801.5</v>
      </c>
      <c r="H251" s="100">
        <v>1820.6</v>
      </c>
      <c r="I251" s="97">
        <v>2.5918</v>
      </c>
      <c r="J251" s="97">
        <v>6.2246</v>
      </c>
      <c r="K251" s="97">
        <v>3.6328</v>
      </c>
    </row>
    <row r="252" ht="18" spans="1:11">
      <c r="A252" s="103">
        <v>229</v>
      </c>
      <c r="B252" s="96">
        <v>27.47</v>
      </c>
      <c r="C252" s="96">
        <v>502.15</v>
      </c>
      <c r="D252" s="97">
        <v>0.0012068</v>
      </c>
      <c r="E252" s="98">
        <v>0.07275</v>
      </c>
      <c r="F252" s="99">
        <v>985.6</v>
      </c>
      <c r="G252" s="100">
        <v>2801.6</v>
      </c>
      <c r="H252" s="100">
        <v>1816</v>
      </c>
      <c r="I252" s="97">
        <v>2.601</v>
      </c>
      <c r="J252" s="97">
        <v>6.2175</v>
      </c>
      <c r="K252" s="97">
        <v>3.6165</v>
      </c>
    </row>
    <row r="253" ht="18" spans="1:11">
      <c r="A253" s="103">
        <v>230</v>
      </c>
      <c r="B253" s="96">
        <v>27.979</v>
      </c>
      <c r="C253" s="96">
        <v>503.15</v>
      </c>
      <c r="D253" s="97">
        <v>0.0012087</v>
      </c>
      <c r="E253" s="98">
        <v>0.07143</v>
      </c>
      <c r="F253" s="99">
        <v>990.3</v>
      </c>
      <c r="G253" s="100">
        <v>2801.7</v>
      </c>
      <c r="H253" s="100">
        <v>1811.4</v>
      </c>
      <c r="I253" s="97">
        <v>2.6102</v>
      </c>
      <c r="J253" s="97">
        <v>6.2104</v>
      </c>
      <c r="K253" s="97">
        <v>3.6002</v>
      </c>
    </row>
    <row r="254" ht="18" spans="1:11">
      <c r="A254" s="103">
        <v>231</v>
      </c>
      <c r="B254" s="96">
        <v>28.495</v>
      </c>
      <c r="C254" s="96">
        <v>504.15</v>
      </c>
      <c r="D254" s="97">
        <v>0.0012107</v>
      </c>
      <c r="E254" s="98">
        <v>0.07014</v>
      </c>
      <c r="F254" s="99">
        <v>995</v>
      </c>
      <c r="G254" s="100">
        <v>2801.8</v>
      </c>
      <c r="H254" s="100">
        <v>1806.8</v>
      </c>
      <c r="I254" s="97">
        <v>2.6194</v>
      </c>
      <c r="J254" s="97">
        <v>6.2033</v>
      </c>
      <c r="K254" s="97">
        <v>3.5839</v>
      </c>
    </row>
    <row r="255" ht="18" spans="1:11">
      <c r="A255" s="103">
        <v>232</v>
      </c>
      <c r="B255" s="96">
        <v>29.019</v>
      </c>
      <c r="C255" s="96">
        <v>505.15</v>
      </c>
      <c r="D255" s="97">
        <v>0.0012127</v>
      </c>
      <c r="E255" s="98">
        <v>0.06887</v>
      </c>
      <c r="F255" s="99">
        <v>999.7</v>
      </c>
      <c r="G255" s="100">
        <v>2801.8</v>
      </c>
      <c r="H255" s="100">
        <v>1802.1</v>
      </c>
      <c r="I255" s="97">
        <v>2.6286</v>
      </c>
      <c r="J255" s="97">
        <v>6.1962</v>
      </c>
      <c r="K255" s="97">
        <v>3.5676</v>
      </c>
    </row>
    <row r="256" ht="18" spans="1:11">
      <c r="A256" s="103">
        <v>233</v>
      </c>
      <c r="B256" s="96">
        <v>29.55</v>
      </c>
      <c r="C256" s="96">
        <v>506.15</v>
      </c>
      <c r="D256" s="97">
        <v>0.0012147</v>
      </c>
      <c r="E256" s="98">
        <v>0.06764</v>
      </c>
      <c r="F256" s="99">
        <v>1004.4</v>
      </c>
      <c r="G256" s="100">
        <v>2801.9</v>
      </c>
      <c r="H256" s="100">
        <v>1797.5</v>
      </c>
      <c r="I256" s="97">
        <v>2.6378</v>
      </c>
      <c r="J256" s="97">
        <v>6.1891</v>
      </c>
      <c r="K256" s="97">
        <v>3.5513</v>
      </c>
    </row>
    <row r="257" ht="18" spans="1:11">
      <c r="A257" s="103">
        <v>234</v>
      </c>
      <c r="B257" s="96">
        <v>30.089</v>
      </c>
      <c r="C257" s="96">
        <v>507.15</v>
      </c>
      <c r="D257" s="97">
        <v>0.0012167</v>
      </c>
      <c r="E257" s="98">
        <v>0.06642</v>
      </c>
      <c r="F257" s="99">
        <v>1009.1</v>
      </c>
      <c r="G257" s="100">
        <v>2801.9</v>
      </c>
      <c r="H257" s="100">
        <v>1792.8</v>
      </c>
      <c r="I257" s="97">
        <v>2.647</v>
      </c>
      <c r="J257" s="97">
        <v>6.182</v>
      </c>
      <c r="K257" s="97">
        <v>3.535</v>
      </c>
    </row>
    <row r="258" ht="18" spans="1:11">
      <c r="A258" s="103">
        <v>235</v>
      </c>
      <c r="B258" s="96">
        <v>30.635</v>
      </c>
      <c r="C258" s="96">
        <v>508.15</v>
      </c>
      <c r="D258" s="97">
        <v>0.0012186</v>
      </c>
      <c r="E258" s="98">
        <v>0.06523</v>
      </c>
      <c r="F258" s="99">
        <v>1013.9</v>
      </c>
      <c r="G258" s="100">
        <v>2801.9</v>
      </c>
      <c r="H258" s="100">
        <v>1788</v>
      </c>
      <c r="I258" s="97">
        <v>2.6562</v>
      </c>
      <c r="J258" s="97">
        <v>6.1749</v>
      </c>
      <c r="K258" s="97">
        <v>3.5187</v>
      </c>
    </row>
    <row r="259" ht="18" spans="1:11">
      <c r="A259" s="103">
        <v>236</v>
      </c>
      <c r="B259" s="96">
        <v>31.189</v>
      </c>
      <c r="C259" s="96">
        <v>509.15</v>
      </c>
      <c r="D259" s="97">
        <v>0.0012207</v>
      </c>
      <c r="E259" s="98">
        <v>0.06407</v>
      </c>
      <c r="F259" s="99">
        <v>1018.6</v>
      </c>
      <c r="G259" s="100">
        <v>2801.9</v>
      </c>
      <c r="H259" s="100">
        <v>1783.3</v>
      </c>
      <c r="I259" s="97">
        <v>2.6654</v>
      </c>
      <c r="J259" s="97">
        <v>6.1679</v>
      </c>
      <c r="K259" s="97">
        <v>3.5025</v>
      </c>
    </row>
    <row r="260" ht="18" spans="1:11">
      <c r="A260" s="103">
        <v>237</v>
      </c>
      <c r="B260" s="96">
        <v>31.75</v>
      </c>
      <c r="C260" s="96">
        <v>510.15</v>
      </c>
      <c r="D260" s="97">
        <v>0.0012228</v>
      </c>
      <c r="E260" s="98">
        <v>0.06293</v>
      </c>
      <c r="F260" s="99">
        <v>1023.4</v>
      </c>
      <c r="G260" s="100">
        <v>2801.9</v>
      </c>
      <c r="H260" s="100">
        <v>1778.5</v>
      </c>
      <c r="I260" s="97">
        <v>2.6746</v>
      </c>
      <c r="J260" s="97">
        <v>6.1608</v>
      </c>
      <c r="K260" s="97">
        <v>3.4862</v>
      </c>
    </row>
    <row r="261" ht="18" spans="1:11">
      <c r="A261" s="103">
        <v>238</v>
      </c>
      <c r="B261" s="96">
        <v>32.319</v>
      </c>
      <c r="C261" s="96">
        <v>511.15</v>
      </c>
      <c r="D261" s="97">
        <v>0.0012249</v>
      </c>
      <c r="E261" s="98">
        <v>0.06181</v>
      </c>
      <c r="F261" s="99">
        <v>1028.1</v>
      </c>
      <c r="G261" s="100">
        <v>2801.8</v>
      </c>
      <c r="H261" s="100">
        <v>1773.7</v>
      </c>
      <c r="I261" s="97">
        <v>2.6838</v>
      </c>
      <c r="J261" s="97">
        <v>6.1537</v>
      </c>
      <c r="K261" s="97">
        <v>3.4699</v>
      </c>
    </row>
    <row r="262" ht="18" spans="1:11">
      <c r="A262" s="103">
        <v>239</v>
      </c>
      <c r="B262" s="96">
        <v>32.896</v>
      </c>
      <c r="C262" s="96">
        <v>512.15</v>
      </c>
      <c r="D262" s="97">
        <v>0.001227</v>
      </c>
      <c r="E262" s="98">
        <v>0.06071</v>
      </c>
      <c r="F262" s="99">
        <v>1032.9</v>
      </c>
      <c r="G262" s="100">
        <v>2801.7</v>
      </c>
      <c r="H262" s="100">
        <v>1768.8</v>
      </c>
      <c r="I262" s="97">
        <v>2.6929</v>
      </c>
      <c r="J262" s="97">
        <v>6.1467</v>
      </c>
      <c r="K262" s="97">
        <v>3.4538</v>
      </c>
    </row>
    <row r="263" ht="18" spans="1:11">
      <c r="A263" s="103">
        <v>240</v>
      </c>
      <c r="B263" s="96">
        <v>33.48</v>
      </c>
      <c r="C263" s="96">
        <v>513.15</v>
      </c>
      <c r="D263" s="97">
        <v>0.0012291</v>
      </c>
      <c r="E263" s="98">
        <v>0.05964</v>
      </c>
      <c r="F263" s="99">
        <v>1037.6</v>
      </c>
      <c r="G263" s="100">
        <v>2801.6</v>
      </c>
      <c r="H263" s="100">
        <v>1764</v>
      </c>
      <c r="I263" s="97">
        <v>2.7021</v>
      </c>
      <c r="J263" s="97">
        <v>6.1397</v>
      </c>
      <c r="K263" s="97">
        <v>3.4376</v>
      </c>
    </row>
    <row r="264" ht="18" spans="1:11">
      <c r="A264" s="103">
        <v>241</v>
      </c>
      <c r="B264" s="96">
        <v>34.073</v>
      </c>
      <c r="C264" s="96">
        <v>514.15</v>
      </c>
      <c r="D264" s="97">
        <v>0.0012312</v>
      </c>
      <c r="E264" s="98">
        <v>0.05859</v>
      </c>
      <c r="F264" s="99">
        <v>1042.4</v>
      </c>
      <c r="G264" s="100">
        <v>2801.5</v>
      </c>
      <c r="H264" s="100">
        <v>1759.1</v>
      </c>
      <c r="I264" s="97">
        <v>2.7113</v>
      </c>
      <c r="J264" s="97">
        <v>6.1326</v>
      </c>
      <c r="K264" s="97">
        <v>3.4213</v>
      </c>
    </row>
    <row r="265" ht="18" spans="1:11">
      <c r="A265" s="103">
        <v>242</v>
      </c>
      <c r="B265" s="96">
        <v>34.674</v>
      </c>
      <c r="C265" s="96">
        <v>515.15</v>
      </c>
      <c r="D265" s="97">
        <v>0.0012334</v>
      </c>
      <c r="E265" s="98">
        <v>0.05756</v>
      </c>
      <c r="F265" s="99">
        <v>1047.2</v>
      </c>
      <c r="G265" s="100">
        <v>2801.4</v>
      </c>
      <c r="H265" s="100">
        <v>1754.2</v>
      </c>
      <c r="I265" s="97">
        <v>2.7204</v>
      </c>
      <c r="J265" s="97">
        <v>6.1256</v>
      </c>
      <c r="K265" s="97">
        <v>3.4052</v>
      </c>
    </row>
    <row r="266" ht="18" spans="1:11">
      <c r="A266" s="103">
        <v>243</v>
      </c>
      <c r="B266" s="96">
        <v>35.282</v>
      </c>
      <c r="C266" s="96">
        <v>516.15</v>
      </c>
      <c r="D266" s="97">
        <v>0.0012355</v>
      </c>
      <c r="E266" s="98">
        <v>0.05655</v>
      </c>
      <c r="F266" s="99">
        <v>1052</v>
      </c>
      <c r="G266" s="100">
        <v>2801.2</v>
      </c>
      <c r="H266" s="100">
        <v>1749.2</v>
      </c>
      <c r="I266" s="97">
        <v>2.7296</v>
      </c>
      <c r="J266" s="97">
        <v>6.1185</v>
      </c>
      <c r="K266" s="97">
        <v>3.3889</v>
      </c>
    </row>
    <row r="267" ht="18" spans="1:11">
      <c r="A267" s="103">
        <v>244</v>
      </c>
      <c r="B267" s="96">
        <v>35.899</v>
      </c>
      <c r="C267" s="96">
        <v>517.15</v>
      </c>
      <c r="D267" s="97">
        <v>0.0012377</v>
      </c>
      <c r="E267" s="98">
        <v>0.05556</v>
      </c>
      <c r="F267" s="99">
        <v>1056.8</v>
      </c>
      <c r="G267" s="100">
        <v>2801</v>
      </c>
      <c r="H267" s="100">
        <v>1744.2</v>
      </c>
      <c r="I267" s="97">
        <v>2.7387</v>
      </c>
      <c r="J267" s="97">
        <v>6.1115</v>
      </c>
      <c r="K267" s="97">
        <v>3.3728</v>
      </c>
    </row>
    <row r="268" ht="18" spans="1:11">
      <c r="A268" s="103">
        <v>245</v>
      </c>
      <c r="B268" s="96">
        <v>36.524</v>
      </c>
      <c r="C268" s="96">
        <v>518.15</v>
      </c>
      <c r="D268" s="97">
        <v>0.0012399</v>
      </c>
      <c r="E268" s="98">
        <v>0.05459</v>
      </c>
      <c r="F268" s="99">
        <v>1061.6</v>
      </c>
      <c r="G268" s="100">
        <v>2800.8</v>
      </c>
      <c r="H268" s="100">
        <v>1739.2</v>
      </c>
      <c r="I268" s="97">
        <v>2.7479</v>
      </c>
      <c r="J268" s="97">
        <v>6.1045</v>
      </c>
      <c r="K268" s="97">
        <v>3.3566</v>
      </c>
    </row>
    <row r="269" ht="18" spans="1:11">
      <c r="A269" s="103">
        <v>246</v>
      </c>
      <c r="B269" s="96">
        <v>37.158</v>
      </c>
      <c r="C269" s="96">
        <v>519.15</v>
      </c>
      <c r="D269" s="97">
        <v>0.0012422</v>
      </c>
      <c r="E269" s="98">
        <v>0.05364</v>
      </c>
      <c r="F269" s="99">
        <v>1066.5</v>
      </c>
      <c r="G269" s="100">
        <v>2800.6</v>
      </c>
      <c r="H269" s="100">
        <v>1734.1</v>
      </c>
      <c r="I269" s="97">
        <v>2.757</v>
      </c>
      <c r="J269" s="97">
        <v>6.0974</v>
      </c>
      <c r="K269" s="97">
        <v>3.3404</v>
      </c>
    </row>
    <row r="270" ht="18" spans="1:11">
      <c r="A270" s="103">
        <v>247</v>
      </c>
      <c r="B270" s="96">
        <v>37.8</v>
      </c>
      <c r="C270" s="96">
        <v>520.15</v>
      </c>
      <c r="D270" s="97">
        <v>0.0012444</v>
      </c>
      <c r="E270" s="98">
        <v>0.05271</v>
      </c>
      <c r="F270" s="99">
        <v>1071.3</v>
      </c>
      <c r="G270" s="100">
        <v>2800.4</v>
      </c>
      <c r="H270" s="100">
        <v>1729.1</v>
      </c>
      <c r="I270" s="97">
        <v>2.7662</v>
      </c>
      <c r="J270" s="97">
        <v>6.0904</v>
      </c>
      <c r="K270" s="97">
        <v>3.3242</v>
      </c>
    </row>
    <row r="271" ht="18" spans="1:11">
      <c r="A271" s="103">
        <v>248</v>
      </c>
      <c r="B271" s="96">
        <v>38.45</v>
      </c>
      <c r="C271" s="96">
        <v>521.15</v>
      </c>
      <c r="D271" s="97">
        <v>0.0012467</v>
      </c>
      <c r="E271" s="98">
        <v>0.0518</v>
      </c>
      <c r="F271" s="99">
        <v>1076.1</v>
      </c>
      <c r="G271" s="100">
        <v>2800.1</v>
      </c>
      <c r="H271" s="100">
        <v>1724</v>
      </c>
      <c r="I271" s="97">
        <v>2.7753</v>
      </c>
      <c r="J271" s="97">
        <v>6.0834</v>
      </c>
      <c r="K271" s="97">
        <v>3.3081</v>
      </c>
    </row>
    <row r="272" ht="18" spans="1:11">
      <c r="A272" s="103">
        <v>249</v>
      </c>
      <c r="B272" s="96">
        <v>39.109</v>
      </c>
      <c r="C272" s="96">
        <v>522.15</v>
      </c>
      <c r="D272" s="97">
        <v>0.001249</v>
      </c>
      <c r="E272" s="98">
        <v>0.0509</v>
      </c>
      <c r="F272" s="99">
        <v>1081</v>
      </c>
      <c r="G272" s="100">
        <v>2799.8</v>
      </c>
      <c r="H272" s="100">
        <v>1718.8</v>
      </c>
      <c r="I272" s="97">
        <v>2.7845</v>
      </c>
      <c r="J272" s="97">
        <v>6.0763</v>
      </c>
      <c r="K272" s="97">
        <v>3.2918</v>
      </c>
    </row>
    <row r="273" ht="18" spans="1:11">
      <c r="A273" s="103">
        <v>250</v>
      </c>
      <c r="B273" s="96">
        <v>39.776</v>
      </c>
      <c r="C273" s="96">
        <v>523.15</v>
      </c>
      <c r="D273" s="97">
        <v>0.0012513</v>
      </c>
      <c r="E273" s="98">
        <v>0.05002</v>
      </c>
      <c r="F273" s="99">
        <v>1085.8</v>
      </c>
      <c r="G273" s="100">
        <v>2799.5</v>
      </c>
      <c r="H273" s="100">
        <v>1713.7</v>
      </c>
      <c r="I273" s="97">
        <v>2.7936</v>
      </c>
      <c r="J273" s="97">
        <v>6.0693</v>
      </c>
      <c r="K273" s="97">
        <v>3.2757</v>
      </c>
    </row>
    <row r="274" ht="18" spans="1:11">
      <c r="A274" s="103">
        <v>251</v>
      </c>
      <c r="B274" s="96">
        <v>40.452</v>
      </c>
      <c r="C274" s="96">
        <v>524.15</v>
      </c>
      <c r="D274" s="97">
        <v>0.0012536</v>
      </c>
      <c r="E274" s="98">
        <v>0.04916</v>
      </c>
      <c r="F274" s="99">
        <v>1090.7</v>
      </c>
      <c r="G274" s="100">
        <v>2799.2</v>
      </c>
      <c r="H274" s="100">
        <v>1708.5</v>
      </c>
      <c r="I274" s="97">
        <v>2.8028</v>
      </c>
      <c r="J274" s="97">
        <v>6.0623</v>
      </c>
      <c r="K274" s="97">
        <v>3.2595</v>
      </c>
    </row>
    <row r="275" ht="18" spans="1:11">
      <c r="A275" s="103">
        <v>252</v>
      </c>
      <c r="B275" s="96">
        <v>41.137</v>
      </c>
      <c r="C275" s="96">
        <v>525.15</v>
      </c>
      <c r="D275" s="97">
        <v>0.001256</v>
      </c>
      <c r="E275" s="98">
        <v>0.04832</v>
      </c>
      <c r="F275" s="99">
        <v>1095.6</v>
      </c>
      <c r="G275" s="100">
        <v>2798.9</v>
      </c>
      <c r="H275" s="100">
        <v>1703.3</v>
      </c>
      <c r="I275" s="97">
        <v>2.8119</v>
      </c>
      <c r="J275" s="97">
        <v>6.0552</v>
      </c>
      <c r="K275" s="97">
        <v>3.2433</v>
      </c>
    </row>
    <row r="276" ht="18" spans="1:11">
      <c r="A276" s="103">
        <v>253</v>
      </c>
      <c r="B276" s="96">
        <v>41.83</v>
      </c>
      <c r="C276" s="96">
        <v>526.15</v>
      </c>
      <c r="D276" s="97">
        <v>0.0012584</v>
      </c>
      <c r="E276" s="98">
        <v>0.04749</v>
      </c>
      <c r="F276" s="99">
        <v>1100.5</v>
      </c>
      <c r="G276" s="100">
        <v>2798.5</v>
      </c>
      <c r="H276" s="100">
        <v>1698</v>
      </c>
      <c r="I276" s="97">
        <v>2.821</v>
      </c>
      <c r="J276" s="97">
        <v>6.0482</v>
      </c>
      <c r="K276" s="97">
        <v>3.2272</v>
      </c>
    </row>
    <row r="277" ht="18" spans="1:11">
      <c r="A277" s="103">
        <v>254</v>
      </c>
      <c r="B277" s="96">
        <v>42.533</v>
      </c>
      <c r="C277" s="96">
        <v>527.15</v>
      </c>
      <c r="D277" s="97">
        <v>0.0012608</v>
      </c>
      <c r="E277" s="98">
        <v>0.04668</v>
      </c>
      <c r="F277" s="99">
        <v>1105.4</v>
      </c>
      <c r="G277" s="100">
        <v>2798.1</v>
      </c>
      <c r="H277" s="100">
        <v>1692.7</v>
      </c>
      <c r="I277" s="97">
        <v>2.8302</v>
      </c>
      <c r="J277" s="97">
        <v>6.0412</v>
      </c>
      <c r="K277" s="97">
        <v>3.211</v>
      </c>
    </row>
    <row r="278" ht="18" spans="1:11">
      <c r="A278" s="103">
        <v>255</v>
      </c>
      <c r="B278" s="96">
        <v>43.245</v>
      </c>
      <c r="C278" s="96">
        <v>528.15</v>
      </c>
      <c r="D278" s="97">
        <v>0.0012632</v>
      </c>
      <c r="E278" s="98">
        <v>0.04588</v>
      </c>
      <c r="F278" s="99">
        <v>1110.3</v>
      </c>
      <c r="G278" s="100">
        <v>2797.7</v>
      </c>
      <c r="H278" s="100">
        <v>1687.4</v>
      </c>
      <c r="I278" s="97">
        <v>2.8393</v>
      </c>
      <c r="J278" s="97">
        <v>6.0341</v>
      </c>
      <c r="K278" s="97">
        <v>3.1948</v>
      </c>
    </row>
    <row r="279" ht="18" spans="1:11">
      <c r="A279" s="103">
        <v>256</v>
      </c>
      <c r="B279" s="96">
        <v>43.965</v>
      </c>
      <c r="C279" s="96">
        <v>529.15</v>
      </c>
      <c r="D279" s="97">
        <v>0.0012656</v>
      </c>
      <c r="E279" s="98">
        <v>0.0451</v>
      </c>
      <c r="F279" s="99">
        <v>1115.2</v>
      </c>
      <c r="G279" s="100">
        <v>2797.2</v>
      </c>
      <c r="H279" s="100">
        <v>1682</v>
      </c>
      <c r="I279" s="97">
        <v>2.8485</v>
      </c>
      <c r="J279" s="97">
        <v>6.0271</v>
      </c>
      <c r="K279" s="97">
        <v>3.1786</v>
      </c>
    </row>
    <row r="280" ht="18" spans="1:11">
      <c r="A280" s="103">
        <v>257</v>
      </c>
      <c r="B280" s="96">
        <v>44.695</v>
      </c>
      <c r="C280" s="96">
        <v>530.15</v>
      </c>
      <c r="D280" s="97">
        <v>0.0012681</v>
      </c>
      <c r="E280" s="98">
        <v>0.04434</v>
      </c>
      <c r="F280" s="99">
        <v>1120.2</v>
      </c>
      <c r="G280" s="100">
        <v>2796.8</v>
      </c>
      <c r="H280" s="100">
        <v>1676.6</v>
      </c>
      <c r="I280" s="97">
        <v>2.8576</v>
      </c>
      <c r="J280" s="97">
        <v>6.0201</v>
      </c>
      <c r="K280" s="97">
        <v>3.1625</v>
      </c>
    </row>
    <row r="281" ht="18" spans="1:11">
      <c r="A281" s="103">
        <v>258</v>
      </c>
      <c r="B281" s="96">
        <v>45.434</v>
      </c>
      <c r="C281" s="96">
        <v>531.15</v>
      </c>
      <c r="D281" s="97">
        <v>0.0012706</v>
      </c>
      <c r="E281" s="98">
        <v>0.04358</v>
      </c>
      <c r="F281" s="99">
        <v>1125.1</v>
      </c>
      <c r="G281" s="100">
        <v>2796.3</v>
      </c>
      <c r="H281" s="100">
        <v>1671.2</v>
      </c>
      <c r="I281" s="97">
        <v>2.8668</v>
      </c>
      <c r="J281" s="97">
        <v>6.013</v>
      </c>
      <c r="K281" s="97">
        <v>3.1462</v>
      </c>
    </row>
    <row r="282" ht="18" spans="1:11">
      <c r="A282" s="103">
        <v>259</v>
      </c>
      <c r="B282" s="96">
        <v>46.182</v>
      </c>
      <c r="C282" s="96">
        <v>532.15</v>
      </c>
      <c r="D282" s="97">
        <v>0.0012731</v>
      </c>
      <c r="E282" s="98">
        <v>0.04284</v>
      </c>
      <c r="F282" s="99">
        <v>1130.1</v>
      </c>
      <c r="G282" s="100">
        <v>2795.7</v>
      </c>
      <c r="H282" s="100">
        <v>1665.6</v>
      </c>
      <c r="I282" s="97">
        <v>2.8759</v>
      </c>
      <c r="J282" s="97">
        <v>6.006</v>
      </c>
      <c r="K282" s="97">
        <v>3.1301</v>
      </c>
    </row>
    <row r="283" ht="18" spans="1:11">
      <c r="A283" s="103">
        <v>260</v>
      </c>
      <c r="B283" s="96">
        <v>46.94</v>
      </c>
      <c r="C283" s="96">
        <v>533.15</v>
      </c>
      <c r="D283" s="97">
        <v>0.0012756</v>
      </c>
      <c r="E283" s="98">
        <v>0.04212</v>
      </c>
      <c r="F283" s="99">
        <v>1135</v>
      </c>
      <c r="G283" s="100">
        <v>2795.2</v>
      </c>
      <c r="H283" s="100">
        <v>1660.2</v>
      </c>
      <c r="I283" s="97">
        <v>2.885</v>
      </c>
      <c r="J283" s="97">
        <v>5.9989</v>
      </c>
      <c r="K283" s="97">
        <v>3.1139</v>
      </c>
    </row>
    <row r="284" ht="18" spans="1:11">
      <c r="A284" s="103">
        <v>261</v>
      </c>
      <c r="B284" s="96">
        <v>47.707</v>
      </c>
      <c r="C284" s="96">
        <v>534.15</v>
      </c>
      <c r="D284" s="97">
        <v>0.0012782</v>
      </c>
      <c r="E284" s="98">
        <v>0.04141</v>
      </c>
      <c r="F284" s="99">
        <v>1140</v>
      </c>
      <c r="G284" s="100">
        <v>2794.6</v>
      </c>
      <c r="H284" s="100">
        <v>1654.6</v>
      </c>
      <c r="I284" s="97">
        <v>2.8942</v>
      </c>
      <c r="J284" s="97">
        <v>5.9918</v>
      </c>
      <c r="K284" s="97">
        <v>3.0976</v>
      </c>
    </row>
    <row r="285" ht="18" spans="1:11">
      <c r="A285" s="103">
        <v>262</v>
      </c>
      <c r="B285" s="96">
        <v>48.484</v>
      </c>
      <c r="C285" s="96">
        <v>535.15</v>
      </c>
      <c r="D285" s="97">
        <v>0.0012808</v>
      </c>
      <c r="E285" s="98">
        <v>0.04071</v>
      </c>
      <c r="F285" s="99">
        <v>1145</v>
      </c>
      <c r="G285" s="100">
        <v>2794</v>
      </c>
      <c r="H285" s="100">
        <v>1649</v>
      </c>
      <c r="I285" s="97">
        <v>2.9033</v>
      </c>
      <c r="J285" s="97">
        <v>5.9847</v>
      </c>
      <c r="K285" s="97">
        <v>3.0814</v>
      </c>
    </row>
    <row r="286" ht="18" spans="1:11">
      <c r="A286" s="103">
        <v>263</v>
      </c>
      <c r="B286" s="96">
        <v>49.27</v>
      </c>
      <c r="C286" s="96">
        <v>536.15</v>
      </c>
      <c r="D286" s="97">
        <v>0.0012834</v>
      </c>
      <c r="E286" s="98">
        <v>0.04003</v>
      </c>
      <c r="F286" s="99">
        <v>1150</v>
      </c>
      <c r="G286" s="100">
        <v>2793.4</v>
      </c>
      <c r="H286" s="100">
        <v>1643.4</v>
      </c>
      <c r="I286" s="97">
        <v>2.9125</v>
      </c>
      <c r="J286" s="97">
        <v>5.9777</v>
      </c>
      <c r="K286" s="97">
        <v>3.0652</v>
      </c>
    </row>
    <row r="287" ht="18" spans="1:11">
      <c r="A287" s="103">
        <v>264</v>
      </c>
      <c r="B287" s="96">
        <v>50.066</v>
      </c>
      <c r="C287" s="96">
        <v>537.15</v>
      </c>
      <c r="D287" s="97">
        <v>0.0012861</v>
      </c>
      <c r="E287" s="98">
        <v>0.03936</v>
      </c>
      <c r="F287" s="99">
        <v>1155</v>
      </c>
      <c r="G287" s="100">
        <v>2792.8</v>
      </c>
      <c r="H287" s="100">
        <v>1637.8</v>
      </c>
      <c r="I287" s="97">
        <v>2.9216</v>
      </c>
      <c r="J287" s="97">
        <v>5.9706</v>
      </c>
      <c r="K287" s="97">
        <v>3.049</v>
      </c>
    </row>
    <row r="288" ht="18" spans="1:11">
      <c r="A288" s="103">
        <v>265</v>
      </c>
      <c r="B288" s="96">
        <v>50.872</v>
      </c>
      <c r="C288" s="96">
        <v>538.15</v>
      </c>
      <c r="D288" s="97">
        <v>0.0012887</v>
      </c>
      <c r="E288" s="98">
        <v>0.0387</v>
      </c>
      <c r="F288" s="99">
        <v>1160</v>
      </c>
      <c r="G288" s="100">
        <v>2792.1</v>
      </c>
      <c r="H288" s="100">
        <v>1632.1</v>
      </c>
      <c r="I288" s="97">
        <v>2.9358</v>
      </c>
      <c r="J288" s="97">
        <v>5.9635</v>
      </c>
      <c r="K288" s="97">
        <v>3.0277</v>
      </c>
    </row>
    <row r="289" ht="18" spans="1:11">
      <c r="A289" s="103">
        <v>266</v>
      </c>
      <c r="B289" s="96">
        <v>51.688</v>
      </c>
      <c r="C289" s="96">
        <v>539.15</v>
      </c>
      <c r="D289" s="97">
        <v>0.0012914</v>
      </c>
      <c r="E289" s="98">
        <v>0.03805</v>
      </c>
      <c r="F289" s="99">
        <v>1165.1</v>
      </c>
      <c r="G289" s="100">
        <v>2791.4</v>
      </c>
      <c r="H289" s="100">
        <v>1626.3</v>
      </c>
      <c r="I289" s="97">
        <v>2.9399</v>
      </c>
      <c r="J289" s="97">
        <v>5.9564</v>
      </c>
      <c r="K289" s="97">
        <v>3.0165</v>
      </c>
    </row>
    <row r="290" ht="18" spans="1:11">
      <c r="A290" s="103">
        <v>267</v>
      </c>
      <c r="B290" s="96">
        <v>52.514</v>
      </c>
      <c r="C290" s="96">
        <v>540.15</v>
      </c>
      <c r="D290" s="97">
        <v>0.0012942</v>
      </c>
      <c r="E290" s="98">
        <v>0.03741</v>
      </c>
      <c r="F290" s="99">
        <v>1170.1</v>
      </c>
      <c r="G290" s="100">
        <v>2790.7</v>
      </c>
      <c r="H290" s="100">
        <v>1620.6</v>
      </c>
      <c r="I290" s="97">
        <v>2.9491</v>
      </c>
      <c r="J290" s="97">
        <v>5.9492</v>
      </c>
      <c r="K290" s="97">
        <v>3.0001</v>
      </c>
    </row>
    <row r="291" ht="18" spans="1:11">
      <c r="A291" s="103">
        <v>268</v>
      </c>
      <c r="B291" s="96">
        <v>53.349</v>
      </c>
      <c r="C291" s="96">
        <v>541.15</v>
      </c>
      <c r="D291" s="97">
        <v>0.0012969</v>
      </c>
      <c r="E291" s="98">
        <v>0.03679</v>
      </c>
      <c r="F291" s="99">
        <v>1175.2</v>
      </c>
      <c r="G291" s="100">
        <v>2789.9</v>
      </c>
      <c r="H291" s="100">
        <v>1614.7</v>
      </c>
      <c r="I291" s="97">
        <v>2.9583</v>
      </c>
      <c r="J291" s="97">
        <v>5.9421</v>
      </c>
      <c r="K291" s="97">
        <v>2.9838</v>
      </c>
    </row>
    <row r="292" ht="18" spans="1:11">
      <c r="A292" s="103">
        <v>269</v>
      </c>
      <c r="B292" s="96">
        <v>54.195</v>
      </c>
      <c r="C292" s="96">
        <v>542.15</v>
      </c>
      <c r="D292" s="97">
        <v>0.0012997</v>
      </c>
      <c r="E292" s="98">
        <v>0.03617</v>
      </c>
      <c r="F292" s="99">
        <v>1180.3</v>
      </c>
      <c r="G292" s="100">
        <v>2789.1</v>
      </c>
      <c r="H292" s="100">
        <v>1608.8</v>
      </c>
      <c r="I292" s="97">
        <v>2.9675</v>
      </c>
      <c r="J292" s="97">
        <v>5.935</v>
      </c>
      <c r="K292" s="97">
        <v>2.9675</v>
      </c>
    </row>
    <row r="293" ht="18" spans="1:11">
      <c r="A293" s="103">
        <v>270</v>
      </c>
      <c r="B293" s="96">
        <v>55.051</v>
      </c>
      <c r="C293" s="96">
        <v>543.15</v>
      </c>
      <c r="D293" s="97">
        <v>0.0013025</v>
      </c>
      <c r="E293" s="98">
        <v>0.03557</v>
      </c>
      <c r="F293" s="99">
        <v>1185.4</v>
      </c>
      <c r="G293" s="100">
        <v>2788.3</v>
      </c>
      <c r="H293" s="100">
        <v>1602.9</v>
      </c>
      <c r="I293" s="97">
        <v>2.9766</v>
      </c>
      <c r="J293" s="97">
        <v>5.9278</v>
      </c>
      <c r="K293" s="97">
        <v>2.9512</v>
      </c>
    </row>
    <row r="294" ht="18" spans="1:11">
      <c r="A294" s="103">
        <v>271</v>
      </c>
      <c r="B294" s="96">
        <v>55.917</v>
      </c>
      <c r="C294" s="96">
        <v>544.15</v>
      </c>
      <c r="D294" s="97">
        <v>0.0013053</v>
      </c>
      <c r="E294" s="98">
        <v>0.03498</v>
      </c>
      <c r="F294" s="99">
        <v>1190.5</v>
      </c>
      <c r="G294" s="100">
        <v>2787.5</v>
      </c>
      <c r="H294" s="100">
        <v>1597</v>
      </c>
      <c r="I294" s="97">
        <v>2.9858</v>
      </c>
      <c r="J294" s="97">
        <v>5.9206</v>
      </c>
      <c r="K294" s="97">
        <v>2.9348</v>
      </c>
    </row>
    <row r="295" ht="18" spans="1:11">
      <c r="A295" s="103">
        <v>272</v>
      </c>
      <c r="B295" s="96">
        <v>56.794</v>
      </c>
      <c r="C295" s="96">
        <v>545.15</v>
      </c>
      <c r="D295" s="97">
        <v>0.0013082</v>
      </c>
      <c r="E295" s="98">
        <v>0.0344</v>
      </c>
      <c r="F295" s="99">
        <v>1195.6</v>
      </c>
      <c r="G295" s="100">
        <v>2786.6</v>
      </c>
      <c r="H295" s="100">
        <v>1591</v>
      </c>
      <c r="I295" s="97">
        <v>2.995</v>
      </c>
      <c r="J295" s="97">
        <v>5.9135</v>
      </c>
      <c r="K295" s="97">
        <v>2.9185</v>
      </c>
    </row>
    <row r="296" ht="18" spans="1:11">
      <c r="A296" s="103">
        <v>273</v>
      </c>
      <c r="B296" s="96">
        <v>57.681</v>
      </c>
      <c r="C296" s="96">
        <v>546.15</v>
      </c>
      <c r="D296" s="97">
        <v>0.0013111</v>
      </c>
      <c r="E296" s="98">
        <v>0.03383</v>
      </c>
      <c r="F296" s="99">
        <v>1200.7</v>
      </c>
      <c r="G296" s="100">
        <v>2785.7</v>
      </c>
      <c r="H296" s="100">
        <v>1585</v>
      </c>
      <c r="I296" s="97">
        <v>3.0042</v>
      </c>
      <c r="J296" s="97">
        <v>5.9063</v>
      </c>
      <c r="K296" s="97">
        <v>2.9021</v>
      </c>
    </row>
    <row r="297" ht="18" spans="1:11">
      <c r="A297" s="103">
        <v>274</v>
      </c>
      <c r="B297" s="96">
        <v>58.579</v>
      </c>
      <c r="C297" s="96">
        <v>547.15</v>
      </c>
      <c r="D297" s="97">
        <v>0.0013141</v>
      </c>
      <c r="E297" s="98">
        <v>0.03327</v>
      </c>
      <c r="F297" s="99">
        <v>1205.9</v>
      </c>
      <c r="G297" s="100">
        <v>2784.8</v>
      </c>
      <c r="H297" s="100">
        <v>1578.9</v>
      </c>
      <c r="I297" s="97">
        <v>3.0134</v>
      </c>
      <c r="J297" s="97">
        <v>5.8991</v>
      </c>
      <c r="K297" s="97">
        <v>2.8857</v>
      </c>
    </row>
    <row r="298" ht="18" spans="1:11">
      <c r="A298" s="103">
        <v>275</v>
      </c>
      <c r="B298" s="96">
        <v>59.487</v>
      </c>
      <c r="C298" s="96">
        <v>548.15</v>
      </c>
      <c r="D298" s="97">
        <v>0.001317</v>
      </c>
      <c r="E298" s="98">
        <v>0.03272</v>
      </c>
      <c r="F298" s="99">
        <v>1211</v>
      </c>
      <c r="G298" s="100">
        <v>2783.8</v>
      </c>
      <c r="H298" s="100">
        <v>1572.8</v>
      </c>
      <c r="I298" s="97">
        <v>3.0226</v>
      </c>
      <c r="J298" s="97">
        <v>5.8918</v>
      </c>
      <c r="K298" s="97">
        <v>2.8692</v>
      </c>
    </row>
    <row r="299" ht="18" spans="1:11">
      <c r="A299" s="103">
        <v>276</v>
      </c>
      <c r="B299" s="96">
        <v>60.406</v>
      </c>
      <c r="C299" s="96">
        <v>549.15</v>
      </c>
      <c r="D299" s="97">
        <v>0.00132</v>
      </c>
      <c r="E299" s="98">
        <v>0.03218</v>
      </c>
      <c r="F299" s="99">
        <v>1216.2</v>
      </c>
      <c r="G299" s="100">
        <v>2782.8</v>
      </c>
      <c r="H299" s="100">
        <v>1566.6</v>
      </c>
      <c r="I299" s="97">
        <v>3.0318</v>
      </c>
      <c r="J299" s="97">
        <v>5.8846</v>
      </c>
      <c r="K299" s="97">
        <v>2.8528</v>
      </c>
    </row>
    <row r="300" ht="18" spans="1:11">
      <c r="A300" s="103">
        <v>277</v>
      </c>
      <c r="B300" s="96">
        <v>61.336</v>
      </c>
      <c r="C300" s="96">
        <v>550.15</v>
      </c>
      <c r="D300" s="97">
        <v>0.0013231</v>
      </c>
      <c r="E300" s="98">
        <v>0.03164</v>
      </c>
      <c r="F300" s="99">
        <v>1221.4</v>
      </c>
      <c r="G300" s="100">
        <v>2781.8</v>
      </c>
      <c r="H300" s="100">
        <v>1560.4</v>
      </c>
      <c r="I300" s="97">
        <v>3.041</v>
      </c>
      <c r="J300" s="97">
        <v>5.8773</v>
      </c>
      <c r="K300" s="97">
        <v>2.8363</v>
      </c>
    </row>
    <row r="301" ht="18" spans="1:11">
      <c r="A301" s="103">
        <v>278</v>
      </c>
      <c r="B301" s="96">
        <v>62.277</v>
      </c>
      <c r="C301" s="96">
        <v>551.15</v>
      </c>
      <c r="D301" s="97">
        <v>0.0013261</v>
      </c>
      <c r="E301" s="98">
        <v>0.03112</v>
      </c>
      <c r="F301" s="99">
        <v>1226.6</v>
      </c>
      <c r="G301" s="100">
        <v>2780.8</v>
      </c>
      <c r="H301" s="100">
        <v>1554.2</v>
      </c>
      <c r="I301" s="97">
        <v>3.0502</v>
      </c>
      <c r="J301" s="97">
        <v>5.8701</v>
      </c>
      <c r="K301" s="97">
        <v>2.8199</v>
      </c>
    </row>
    <row r="302" ht="18" spans="1:11">
      <c r="A302" s="103">
        <v>279</v>
      </c>
      <c r="B302" s="96">
        <v>63.228</v>
      </c>
      <c r="C302" s="96">
        <v>552.15</v>
      </c>
      <c r="D302" s="97">
        <v>0.0013292</v>
      </c>
      <c r="E302" s="98">
        <v>0.03061</v>
      </c>
      <c r="F302" s="99">
        <v>1231.8</v>
      </c>
      <c r="G302" s="100">
        <v>2779.7</v>
      </c>
      <c r="H302" s="100">
        <v>1547.9</v>
      </c>
      <c r="I302" s="97">
        <v>3.0594</v>
      </c>
      <c r="J302" s="97">
        <v>5.8628</v>
      </c>
      <c r="K302" s="97">
        <v>2.8034</v>
      </c>
    </row>
    <row r="303" ht="18" spans="1:11">
      <c r="A303" s="103">
        <v>280</v>
      </c>
      <c r="B303" s="96">
        <v>64.191</v>
      </c>
      <c r="C303" s="96">
        <v>553.15</v>
      </c>
      <c r="D303" s="97">
        <v>0.0013324</v>
      </c>
      <c r="E303" s="98">
        <v>0.0301</v>
      </c>
      <c r="F303" s="99">
        <v>1237</v>
      </c>
      <c r="G303" s="100">
        <v>2778.6</v>
      </c>
      <c r="H303" s="100">
        <v>1541.6</v>
      </c>
      <c r="I303" s="97">
        <v>3.0687</v>
      </c>
      <c r="J303" s="97">
        <v>5.8555</v>
      </c>
      <c r="K303" s="97">
        <v>2.7868</v>
      </c>
    </row>
    <row r="304" ht="18" spans="1:11">
      <c r="A304" s="103">
        <v>281</v>
      </c>
      <c r="B304" s="96">
        <v>65.165</v>
      </c>
      <c r="C304" s="96">
        <v>554.15</v>
      </c>
      <c r="D304" s="97">
        <v>0.0013356</v>
      </c>
      <c r="E304" s="98">
        <v>0.02961</v>
      </c>
      <c r="F304" s="99">
        <v>1242.3</v>
      </c>
      <c r="G304" s="100">
        <v>2777.4</v>
      </c>
      <c r="H304" s="100">
        <v>1535.1</v>
      </c>
      <c r="I304" s="97">
        <v>3.0779</v>
      </c>
      <c r="J304" s="97">
        <v>5.8481</v>
      </c>
      <c r="K304" s="97">
        <v>2.7702</v>
      </c>
    </row>
    <row r="305" ht="18" spans="1:11">
      <c r="A305" s="103">
        <v>282</v>
      </c>
      <c r="B305" s="96">
        <v>66.15</v>
      </c>
      <c r="C305" s="96">
        <v>555.15</v>
      </c>
      <c r="D305" s="97">
        <v>0.0013388</v>
      </c>
      <c r="E305" s="98">
        <v>0.02912</v>
      </c>
      <c r="F305" s="99">
        <v>1247.6</v>
      </c>
      <c r="G305" s="100">
        <v>2776.2</v>
      </c>
      <c r="H305" s="100">
        <v>1528.6</v>
      </c>
      <c r="I305" s="97">
        <v>3.0872</v>
      </c>
      <c r="J305" s="97">
        <v>5.8408</v>
      </c>
      <c r="K305" s="97">
        <v>2.7536</v>
      </c>
    </row>
    <row r="306" ht="18" spans="1:11">
      <c r="A306" s="103">
        <v>283</v>
      </c>
      <c r="B306" s="96">
        <v>67.147</v>
      </c>
      <c r="C306" s="96">
        <v>556.15</v>
      </c>
      <c r="D306" s="97">
        <v>0.001342</v>
      </c>
      <c r="E306" s="98">
        <v>0.02864</v>
      </c>
      <c r="F306" s="99">
        <v>1252.8</v>
      </c>
      <c r="G306" s="100">
        <v>2775</v>
      </c>
      <c r="H306" s="100">
        <v>1522.2</v>
      </c>
      <c r="I306" s="97">
        <v>3.0964</v>
      </c>
      <c r="J306" s="97">
        <v>5.8334</v>
      </c>
      <c r="K306" s="97">
        <v>2.737</v>
      </c>
    </row>
    <row r="307" ht="18" spans="1:11">
      <c r="A307" s="103">
        <v>284</v>
      </c>
      <c r="B307" s="96">
        <v>68.155</v>
      </c>
      <c r="C307" s="96">
        <v>557.15</v>
      </c>
      <c r="D307" s="97">
        <v>0.0013453</v>
      </c>
      <c r="E307" s="98">
        <v>0.02817</v>
      </c>
      <c r="F307" s="99">
        <v>1258.1</v>
      </c>
      <c r="G307" s="100">
        <v>2773.7</v>
      </c>
      <c r="H307" s="100">
        <v>1515.6</v>
      </c>
      <c r="I307" s="97">
        <v>3.1057</v>
      </c>
      <c r="J307" s="97">
        <v>5.826</v>
      </c>
      <c r="K307" s="97">
        <v>2.7203</v>
      </c>
    </row>
    <row r="308" ht="18" spans="1:11">
      <c r="A308" s="103">
        <v>285</v>
      </c>
      <c r="B308" s="96">
        <v>69.174</v>
      </c>
      <c r="C308" s="96">
        <v>558.15</v>
      </c>
      <c r="D308" s="97">
        <v>0.0013487</v>
      </c>
      <c r="E308" s="98">
        <v>0.02771</v>
      </c>
      <c r="F308" s="99">
        <v>1263.4</v>
      </c>
      <c r="G308" s="100">
        <v>2772.4</v>
      </c>
      <c r="H308" s="100">
        <v>1509</v>
      </c>
      <c r="I308" s="97">
        <v>3.115</v>
      </c>
      <c r="J308" s="97">
        <v>5.8186</v>
      </c>
      <c r="K308" s="97">
        <v>2.7036</v>
      </c>
    </row>
    <row r="309" ht="18" spans="1:11">
      <c r="A309" s="103">
        <v>286</v>
      </c>
      <c r="B309" s="96">
        <v>70.206</v>
      </c>
      <c r="C309" s="96">
        <v>559.15</v>
      </c>
      <c r="D309" s="97">
        <v>0.001352</v>
      </c>
      <c r="E309" s="98">
        <v>0.02725</v>
      </c>
      <c r="F309" s="99">
        <v>1268.8</v>
      </c>
      <c r="G309" s="100">
        <v>2771.1</v>
      </c>
      <c r="H309" s="100">
        <v>1502.3</v>
      </c>
      <c r="I309" s="97">
        <v>3.1243</v>
      </c>
      <c r="J309" s="97">
        <v>5.8111</v>
      </c>
      <c r="K309" s="97">
        <v>2.6868</v>
      </c>
    </row>
    <row r="310" ht="18" spans="1:11">
      <c r="A310" s="103">
        <v>287</v>
      </c>
      <c r="B310" s="96">
        <v>71.249</v>
      </c>
      <c r="C310" s="96">
        <v>560.15</v>
      </c>
      <c r="D310" s="97">
        <v>0.0013554</v>
      </c>
      <c r="E310" s="98">
        <v>0.02681</v>
      </c>
      <c r="F310" s="99">
        <v>1274.1</v>
      </c>
      <c r="G310" s="100">
        <v>2769.8</v>
      </c>
      <c r="H310" s="100">
        <v>1495.7</v>
      </c>
      <c r="I310" s="97">
        <v>3.1336</v>
      </c>
      <c r="J310" s="97">
        <v>5.8036</v>
      </c>
      <c r="K310" s="97">
        <v>2.67</v>
      </c>
    </row>
    <row r="311" ht="18" spans="1:11">
      <c r="A311" s="103">
        <v>288</v>
      </c>
      <c r="B311" s="96">
        <v>72.303</v>
      </c>
      <c r="C311" s="96">
        <v>561.15</v>
      </c>
      <c r="D311" s="97">
        <v>0.0013589</v>
      </c>
      <c r="E311" s="98">
        <v>0.02637</v>
      </c>
      <c r="F311" s="99">
        <v>1279.5</v>
      </c>
      <c r="G311" s="100">
        <v>2768.4</v>
      </c>
      <c r="H311" s="100">
        <v>1488.9</v>
      </c>
      <c r="I311" s="97">
        <v>3.1429</v>
      </c>
      <c r="J311" s="97">
        <v>5.7961</v>
      </c>
      <c r="K311" s="97">
        <v>2.6532</v>
      </c>
    </row>
    <row r="312" ht="18" spans="1:11">
      <c r="A312" s="103">
        <v>289</v>
      </c>
      <c r="B312" s="96">
        <v>73.37</v>
      </c>
      <c r="C312" s="96">
        <v>562.15</v>
      </c>
      <c r="D312" s="97">
        <v>0.0013624</v>
      </c>
      <c r="E312" s="98">
        <v>0.02593</v>
      </c>
      <c r="F312" s="99">
        <v>1284.9</v>
      </c>
      <c r="G312" s="100">
        <v>2766.9</v>
      </c>
      <c r="H312" s="100">
        <v>1482</v>
      </c>
      <c r="I312" s="97">
        <v>3.1523</v>
      </c>
      <c r="J312" s="97">
        <v>5.7886</v>
      </c>
      <c r="K312" s="97">
        <v>2.6363</v>
      </c>
    </row>
    <row r="313" ht="18" spans="1:11">
      <c r="A313" s="103">
        <v>290</v>
      </c>
      <c r="B313" s="96">
        <v>74.448</v>
      </c>
      <c r="C313" s="96">
        <v>563.15</v>
      </c>
      <c r="D313" s="97">
        <v>0.0013659</v>
      </c>
      <c r="E313" s="98">
        <v>0.02551</v>
      </c>
      <c r="F313" s="99">
        <v>1290.3</v>
      </c>
      <c r="G313" s="100">
        <v>2765.4</v>
      </c>
      <c r="H313" s="100">
        <v>1475.1</v>
      </c>
      <c r="I313" s="97">
        <v>3.1616</v>
      </c>
      <c r="J313" s="97">
        <v>5.7811</v>
      </c>
      <c r="K313" s="97">
        <v>2.6195</v>
      </c>
    </row>
    <row r="314" ht="18" spans="1:11">
      <c r="A314" s="103">
        <v>291</v>
      </c>
      <c r="B314" s="96">
        <v>75.539</v>
      </c>
      <c r="C314" s="96">
        <v>564.15</v>
      </c>
      <c r="D314" s="97">
        <v>0.0013695</v>
      </c>
      <c r="E314" s="98">
        <v>0.02509</v>
      </c>
      <c r="F314" s="99">
        <v>1295.7</v>
      </c>
      <c r="G314" s="100">
        <v>2763.9</v>
      </c>
      <c r="H314" s="100">
        <v>1468.2</v>
      </c>
      <c r="I314" s="97">
        <v>3.171</v>
      </c>
      <c r="J314" s="97">
        <v>5.7735</v>
      </c>
      <c r="K314" s="97">
        <v>2.6025</v>
      </c>
    </row>
    <row r="315" ht="18" spans="1:11">
      <c r="A315" s="103">
        <v>292</v>
      </c>
      <c r="B315" s="96">
        <v>76.642</v>
      </c>
      <c r="C315" s="96">
        <v>565.15</v>
      </c>
      <c r="D315" s="97">
        <v>0.0013732</v>
      </c>
      <c r="E315" s="98">
        <v>0.02467</v>
      </c>
      <c r="F315" s="99">
        <v>1301.2</v>
      </c>
      <c r="G315" s="100">
        <v>2762.3</v>
      </c>
      <c r="H315" s="100">
        <v>1461.1</v>
      </c>
      <c r="I315" s="97">
        <v>3.1803</v>
      </c>
      <c r="J315" s="97">
        <v>5.7658</v>
      </c>
      <c r="K315" s="97">
        <v>2.5855</v>
      </c>
    </row>
    <row r="316" ht="18" spans="1:11">
      <c r="A316" s="103">
        <v>293</v>
      </c>
      <c r="B316" s="96">
        <v>77.757</v>
      </c>
      <c r="C316" s="96">
        <v>566.15</v>
      </c>
      <c r="D316" s="97">
        <v>0.0013769</v>
      </c>
      <c r="E316" s="98">
        <v>0.02427</v>
      </c>
      <c r="F316" s="99">
        <v>1306.6</v>
      </c>
      <c r="G316" s="100">
        <v>2760.8</v>
      </c>
      <c r="H316" s="100">
        <v>1454.1</v>
      </c>
      <c r="I316" s="97">
        <v>3.1897</v>
      </c>
      <c r="J316" s="97">
        <v>5.7582</v>
      </c>
      <c r="K316" s="97">
        <v>2.5685</v>
      </c>
    </row>
    <row r="317" ht="18" spans="1:11">
      <c r="A317" s="103">
        <v>294</v>
      </c>
      <c r="B317" s="96">
        <v>78.885</v>
      </c>
      <c r="C317" s="96">
        <v>567.15</v>
      </c>
      <c r="D317" s="97">
        <v>0.0013806</v>
      </c>
      <c r="E317" s="98">
        <v>0.02387</v>
      </c>
      <c r="F317" s="99">
        <v>1312.1</v>
      </c>
      <c r="G317" s="100">
        <v>2759.1</v>
      </c>
      <c r="H317" s="100">
        <v>1447</v>
      </c>
      <c r="I317" s="97">
        <v>3.1991</v>
      </c>
      <c r="J317" s="97">
        <v>5.7506</v>
      </c>
      <c r="K317" s="97">
        <v>2.5515</v>
      </c>
    </row>
    <row r="318" ht="18" spans="1:11">
      <c r="A318" s="103">
        <v>295</v>
      </c>
      <c r="B318" s="96">
        <v>80.025</v>
      </c>
      <c r="C318" s="96">
        <v>568.15</v>
      </c>
      <c r="D318" s="97">
        <v>0.0013844</v>
      </c>
      <c r="E318" s="98">
        <v>0.02348</v>
      </c>
      <c r="F318" s="99">
        <v>1317.6</v>
      </c>
      <c r="G318" s="100">
        <v>2757.5</v>
      </c>
      <c r="H318" s="100">
        <v>1439.9</v>
      </c>
      <c r="I318" s="97">
        <v>3.2085</v>
      </c>
      <c r="J318" s="97">
        <v>5.7428</v>
      </c>
      <c r="K318" s="97">
        <v>2.5343</v>
      </c>
    </row>
    <row r="319" ht="18" spans="1:11">
      <c r="A319" s="103">
        <v>296</v>
      </c>
      <c r="B319" s="96">
        <v>81.178</v>
      </c>
      <c r="C319" s="96">
        <v>569.15</v>
      </c>
      <c r="D319" s="97">
        <v>0.0013882</v>
      </c>
      <c r="E319" s="98">
        <v>0.0231</v>
      </c>
      <c r="F319" s="99">
        <v>1323.1</v>
      </c>
      <c r="G319" s="100">
        <v>2755.7</v>
      </c>
      <c r="H319" s="100">
        <v>1432.6</v>
      </c>
      <c r="I319" s="97">
        <v>3.218</v>
      </c>
      <c r="J319" s="97">
        <v>5.7351</v>
      </c>
      <c r="K319" s="97">
        <v>2.5171</v>
      </c>
    </row>
    <row r="320" ht="18" spans="1:11">
      <c r="A320" s="103">
        <v>297</v>
      </c>
      <c r="B320" s="96">
        <v>82.343</v>
      </c>
      <c r="C320" s="96">
        <v>570.15</v>
      </c>
      <c r="D320" s="97">
        <v>0.0013921</v>
      </c>
      <c r="E320" s="98">
        <v>0.02272</v>
      </c>
      <c r="F320" s="99">
        <v>1328.7</v>
      </c>
      <c r="G320" s="100">
        <v>2754</v>
      </c>
      <c r="H320" s="100">
        <v>1425.3</v>
      </c>
      <c r="I320" s="97">
        <v>3.2274</v>
      </c>
      <c r="J320" s="97">
        <v>5.7273</v>
      </c>
      <c r="K320" s="97">
        <v>2.4999</v>
      </c>
    </row>
    <row r="321" ht="18" spans="1:11">
      <c r="A321" s="103">
        <v>298</v>
      </c>
      <c r="B321" s="96">
        <v>83.521</v>
      </c>
      <c r="C321" s="96">
        <v>571.15</v>
      </c>
      <c r="D321" s="97">
        <v>0.001396</v>
      </c>
      <c r="E321" s="98">
        <v>0.02234</v>
      </c>
      <c r="F321" s="99">
        <v>1334.2</v>
      </c>
      <c r="G321" s="100">
        <v>2752.2</v>
      </c>
      <c r="H321" s="100">
        <v>1418</v>
      </c>
      <c r="I321" s="97">
        <v>3.2369</v>
      </c>
      <c r="J321" s="97">
        <v>5.7195</v>
      </c>
      <c r="K321" s="97">
        <v>2.4826</v>
      </c>
    </row>
    <row r="322" ht="18" spans="1:11">
      <c r="A322" s="103">
        <v>299</v>
      </c>
      <c r="B322" s="96">
        <v>84.712</v>
      </c>
      <c r="C322" s="96">
        <v>572.15</v>
      </c>
      <c r="D322" s="97">
        <v>0.0014</v>
      </c>
      <c r="E322" s="98">
        <v>0.02198</v>
      </c>
      <c r="F322" s="99">
        <v>1339.8</v>
      </c>
      <c r="G322" s="100">
        <v>2750.3</v>
      </c>
      <c r="H322" s="100">
        <v>1410.5</v>
      </c>
      <c r="I322" s="97">
        <v>3.2464</v>
      </c>
      <c r="J322" s="97">
        <v>5.7117</v>
      </c>
      <c r="K322" s="97">
        <v>2.4653</v>
      </c>
    </row>
    <row r="323" ht="18" spans="1:11">
      <c r="A323" s="103">
        <v>300</v>
      </c>
      <c r="B323" s="96">
        <v>85.917</v>
      </c>
      <c r="C323" s="96">
        <v>573.15</v>
      </c>
      <c r="D323" s="97">
        <v>0.0014041</v>
      </c>
      <c r="E323" s="98">
        <v>0.02162</v>
      </c>
      <c r="F323" s="99">
        <v>1345.4</v>
      </c>
      <c r="G323" s="100">
        <v>2748.4</v>
      </c>
      <c r="H323" s="100">
        <v>1403</v>
      </c>
      <c r="I323" s="97">
        <v>3.2559</v>
      </c>
      <c r="J323" s="97">
        <v>5.7038</v>
      </c>
      <c r="K323" s="97">
        <v>2.4479</v>
      </c>
    </row>
    <row r="324" ht="18" spans="1:11">
      <c r="A324" s="103">
        <v>301</v>
      </c>
      <c r="B324" s="96">
        <v>87.134</v>
      </c>
      <c r="C324" s="96">
        <v>574.15</v>
      </c>
      <c r="D324" s="97">
        <v>0.0014082</v>
      </c>
      <c r="E324" s="98">
        <v>0.02126</v>
      </c>
      <c r="F324" s="99">
        <v>1351.1</v>
      </c>
      <c r="G324" s="100">
        <v>2746.5</v>
      </c>
      <c r="H324" s="100">
        <v>1395.4</v>
      </c>
      <c r="I324" s="97">
        <v>3.2654</v>
      </c>
      <c r="J324" s="97">
        <v>5.6958</v>
      </c>
      <c r="K324" s="97">
        <v>2.4304</v>
      </c>
    </row>
    <row r="325" ht="18" spans="1:11">
      <c r="A325" s="103">
        <v>302</v>
      </c>
      <c r="B325" s="96">
        <v>88.364</v>
      </c>
      <c r="C325" s="96">
        <v>575.15</v>
      </c>
      <c r="D325" s="97">
        <v>0.0014123</v>
      </c>
      <c r="E325" s="98">
        <v>0.02091</v>
      </c>
      <c r="F325" s="99">
        <v>1356.7</v>
      </c>
      <c r="G325" s="100">
        <v>2744.5</v>
      </c>
      <c r="H325" s="100">
        <v>1387.8</v>
      </c>
      <c r="I325" s="97">
        <v>3.275</v>
      </c>
      <c r="J325" s="97">
        <v>5.6879</v>
      </c>
      <c r="K325" s="97">
        <v>2.4129</v>
      </c>
    </row>
    <row r="326" ht="18" spans="1:11">
      <c r="A326" s="103">
        <v>303</v>
      </c>
      <c r="B326" s="96">
        <v>89.608</v>
      </c>
      <c r="C326" s="96">
        <v>576.15</v>
      </c>
      <c r="D326" s="97">
        <v>0.0014166</v>
      </c>
      <c r="E326" s="98">
        <v>0.02056</v>
      </c>
      <c r="F326" s="99">
        <v>1362.4</v>
      </c>
      <c r="G326" s="100">
        <v>2742.5</v>
      </c>
      <c r="H326" s="100">
        <v>1380.1</v>
      </c>
      <c r="I326" s="97">
        <v>3.2845</v>
      </c>
      <c r="J326" s="97">
        <v>5.6798</v>
      </c>
      <c r="K326" s="97">
        <v>2.3953</v>
      </c>
    </row>
    <row r="327" ht="18" spans="1:11">
      <c r="A327" s="103">
        <v>304</v>
      </c>
      <c r="B327" s="96">
        <v>90.865</v>
      </c>
      <c r="C327" s="96">
        <v>577.15</v>
      </c>
      <c r="D327" s="97">
        <v>0.0014208</v>
      </c>
      <c r="E327" s="98">
        <v>0.02022</v>
      </c>
      <c r="F327" s="99">
        <v>1368.1</v>
      </c>
      <c r="G327" s="100">
        <v>2740.4</v>
      </c>
      <c r="H327" s="100">
        <v>1372.3</v>
      </c>
      <c r="I327" s="97">
        <v>3.2941</v>
      </c>
      <c r="J327" s="97">
        <v>5.6718</v>
      </c>
      <c r="K327" s="97">
        <v>2.3777</v>
      </c>
    </row>
    <row r="328" ht="18" spans="1:11">
      <c r="A328" s="103">
        <v>305</v>
      </c>
      <c r="B328" s="96">
        <v>92.136</v>
      </c>
      <c r="C328" s="96">
        <v>578.15</v>
      </c>
      <c r="D328" s="97">
        <v>0.0014252</v>
      </c>
      <c r="E328" s="98">
        <v>0.01989</v>
      </c>
      <c r="F328" s="99">
        <v>1373.9</v>
      </c>
      <c r="G328" s="100">
        <v>2738.3</v>
      </c>
      <c r="H328" s="100">
        <v>1364.4</v>
      </c>
      <c r="I328" s="97">
        <v>3.3037</v>
      </c>
      <c r="J328" s="97">
        <v>5.6637</v>
      </c>
      <c r="K328" s="97">
        <v>2.36</v>
      </c>
    </row>
    <row r="329" ht="18" spans="1:11">
      <c r="A329" s="103">
        <v>306</v>
      </c>
      <c r="B329" s="96">
        <v>93.42</v>
      </c>
      <c r="C329" s="96">
        <v>579.15</v>
      </c>
      <c r="D329" s="97">
        <v>0.0014296</v>
      </c>
      <c r="E329" s="98">
        <v>0.01956</v>
      </c>
      <c r="F329" s="99">
        <v>1379.6</v>
      </c>
      <c r="G329" s="100">
        <v>2736.1</v>
      </c>
      <c r="H329" s="100">
        <v>1356.5</v>
      </c>
      <c r="I329" s="97">
        <v>3.3134</v>
      </c>
      <c r="J329" s="97">
        <v>5.6555</v>
      </c>
      <c r="K329" s="97">
        <v>2.3421</v>
      </c>
    </row>
    <row r="330" ht="18" spans="1:11">
      <c r="A330" s="103">
        <v>307</v>
      </c>
      <c r="B330" s="96">
        <v>94.719</v>
      </c>
      <c r="C330" s="96">
        <v>580.15</v>
      </c>
      <c r="D330" s="97">
        <v>0.0014341</v>
      </c>
      <c r="E330" s="98">
        <v>0.01924</v>
      </c>
      <c r="F330" s="99">
        <v>1385.4</v>
      </c>
      <c r="G330" s="100">
        <v>2733.8</v>
      </c>
      <c r="H330" s="100">
        <v>1348.4</v>
      </c>
      <c r="I330" s="97">
        <v>3.323</v>
      </c>
      <c r="J330" s="97">
        <v>5.6473</v>
      </c>
      <c r="K330" s="97">
        <v>2.3243</v>
      </c>
    </row>
    <row r="331" ht="18" spans="1:11">
      <c r="A331" s="103">
        <v>308</v>
      </c>
      <c r="B331" s="96">
        <v>96.031</v>
      </c>
      <c r="C331" s="96">
        <v>581.15</v>
      </c>
      <c r="D331" s="97">
        <v>0.0014386</v>
      </c>
      <c r="E331" s="98">
        <v>0.01892</v>
      </c>
      <c r="F331" s="99">
        <v>1391.2</v>
      </c>
      <c r="G331" s="100">
        <v>2731.5</v>
      </c>
      <c r="H331" s="100">
        <v>1340.3</v>
      </c>
      <c r="I331" s="97">
        <v>3.3327</v>
      </c>
      <c r="J331" s="97">
        <v>5.639</v>
      </c>
      <c r="K331" s="97">
        <v>2.3063</v>
      </c>
    </row>
    <row r="332" ht="18" spans="1:11">
      <c r="A332" s="103">
        <v>309</v>
      </c>
      <c r="B332" s="96">
        <v>97.357</v>
      </c>
      <c r="C332" s="96">
        <v>582.15</v>
      </c>
      <c r="D332" s="97">
        <v>0.0014433</v>
      </c>
      <c r="E332" s="98">
        <v>0.0186</v>
      </c>
      <c r="F332" s="99">
        <v>1397.1</v>
      </c>
      <c r="G332" s="100">
        <v>2729.2</v>
      </c>
      <c r="H332" s="100">
        <v>1332.1</v>
      </c>
      <c r="I332" s="97">
        <v>3.3424</v>
      </c>
      <c r="J332" s="97">
        <v>5.6307</v>
      </c>
      <c r="K332" s="97">
        <v>2.2883</v>
      </c>
    </row>
    <row r="333" ht="18" spans="1:11">
      <c r="A333" s="103">
        <v>310</v>
      </c>
      <c r="B333" s="96">
        <v>98.697</v>
      </c>
      <c r="C333" s="96">
        <v>583.15</v>
      </c>
      <c r="D333" s="97">
        <v>0.001448</v>
      </c>
      <c r="E333" s="98">
        <v>0.01829</v>
      </c>
      <c r="F333" s="99">
        <v>1402.9</v>
      </c>
      <c r="G333" s="100">
        <v>2726.8</v>
      </c>
      <c r="H333" s="100">
        <v>1323.9</v>
      </c>
      <c r="I333" s="97">
        <v>3.3522</v>
      </c>
      <c r="J333" s="97">
        <v>5.6224</v>
      </c>
      <c r="K333" s="97">
        <v>2.2702</v>
      </c>
    </row>
    <row r="334" ht="18" spans="1:11">
      <c r="A334" s="103">
        <v>311</v>
      </c>
      <c r="B334" s="96">
        <v>100.05</v>
      </c>
      <c r="C334" s="96">
        <v>584.15</v>
      </c>
      <c r="D334" s="97">
        <v>0.0014527</v>
      </c>
      <c r="E334" s="98">
        <v>0.01799</v>
      </c>
      <c r="F334" s="99">
        <v>1408.8</v>
      </c>
      <c r="G334" s="100">
        <v>2724.4</v>
      </c>
      <c r="H334" s="100">
        <v>1315.6</v>
      </c>
      <c r="I334" s="97">
        <v>3.3619</v>
      </c>
      <c r="J334" s="97">
        <v>5.614</v>
      </c>
      <c r="K334" s="97">
        <v>2.2521</v>
      </c>
    </row>
    <row r="335" ht="18" spans="1:11">
      <c r="A335" s="103">
        <v>312</v>
      </c>
      <c r="B335" s="96">
        <v>101.42</v>
      </c>
      <c r="C335" s="96">
        <v>585.15</v>
      </c>
      <c r="D335" s="97">
        <v>0.0014576</v>
      </c>
      <c r="E335" s="98">
        <v>0.01769</v>
      </c>
      <c r="F335" s="99">
        <v>1414.8</v>
      </c>
      <c r="G335" s="100">
        <v>2721.8</v>
      </c>
      <c r="H335" s="100">
        <v>1307</v>
      </c>
      <c r="I335" s="97">
        <v>3.3717</v>
      </c>
      <c r="J335" s="97">
        <v>5.6055</v>
      </c>
      <c r="K335" s="97">
        <v>2.2338</v>
      </c>
    </row>
    <row r="336" ht="18" spans="1:11">
      <c r="A336" s="103">
        <v>313</v>
      </c>
      <c r="B336" s="96">
        <v>102.8</v>
      </c>
      <c r="C336" s="96">
        <v>586.15</v>
      </c>
      <c r="D336" s="97">
        <v>0.0014625</v>
      </c>
      <c r="E336" s="98">
        <v>0.01739</v>
      </c>
      <c r="F336" s="99">
        <v>1420.7</v>
      </c>
      <c r="G336" s="100">
        <v>2719.3</v>
      </c>
      <c r="H336" s="100">
        <v>1298.6</v>
      </c>
      <c r="I336" s="97">
        <v>3.3816</v>
      </c>
      <c r="J336" s="97">
        <v>5.597</v>
      </c>
      <c r="K336" s="97">
        <v>2.2154</v>
      </c>
    </row>
    <row r="337" ht="18" spans="1:11">
      <c r="A337" s="103">
        <v>314</v>
      </c>
      <c r="B337" s="96">
        <v>104.2</v>
      </c>
      <c r="C337" s="96">
        <v>587.15</v>
      </c>
      <c r="D337" s="97">
        <v>0.0014675</v>
      </c>
      <c r="E337" s="98">
        <v>0.0171</v>
      </c>
      <c r="F337" s="99">
        <v>1426.7</v>
      </c>
      <c r="G337" s="100">
        <v>2716.7</v>
      </c>
      <c r="H337" s="100">
        <v>1290</v>
      </c>
      <c r="I337" s="97">
        <v>3.3914</v>
      </c>
      <c r="J337" s="97">
        <v>5.5884</v>
      </c>
      <c r="K337" s="97">
        <v>2.197</v>
      </c>
    </row>
    <row r="338" ht="18" spans="1:11">
      <c r="A338" s="103">
        <v>315</v>
      </c>
      <c r="B338" s="96">
        <v>105.61</v>
      </c>
      <c r="C338" s="96">
        <v>588.15</v>
      </c>
      <c r="D338" s="97">
        <v>0.0014726</v>
      </c>
      <c r="E338" s="98">
        <v>0.01681</v>
      </c>
      <c r="F338" s="99">
        <v>1432.7</v>
      </c>
      <c r="G338" s="100">
        <v>2714</v>
      </c>
      <c r="H338" s="100">
        <v>1281.3</v>
      </c>
      <c r="I338" s="97">
        <v>3.4013</v>
      </c>
      <c r="J338" s="97">
        <v>5.5798</v>
      </c>
      <c r="K338" s="97">
        <v>2.1785</v>
      </c>
    </row>
    <row r="339" ht="18" spans="1:11">
      <c r="A339" s="103">
        <v>316</v>
      </c>
      <c r="B339" s="96">
        <v>107.04</v>
      </c>
      <c r="C339" s="96">
        <v>589.15</v>
      </c>
      <c r="D339" s="97">
        <v>0.0014778</v>
      </c>
      <c r="E339" s="98">
        <v>0.01653</v>
      </c>
      <c r="F339" s="99">
        <v>1438.8</v>
      </c>
      <c r="G339" s="100">
        <v>2711.2</v>
      </c>
      <c r="H339" s="100">
        <v>1272.4</v>
      </c>
      <c r="I339" s="97">
        <v>3.4112</v>
      </c>
      <c r="J339" s="97">
        <v>5.5711</v>
      </c>
      <c r="K339" s="97">
        <v>2.1599</v>
      </c>
    </row>
    <row r="340" ht="18" spans="1:11">
      <c r="A340" s="103">
        <v>317</v>
      </c>
      <c r="B340" s="96">
        <v>108.48</v>
      </c>
      <c r="C340" s="96">
        <v>590.15</v>
      </c>
      <c r="D340" s="97">
        <v>0.0014831</v>
      </c>
      <c r="E340" s="98">
        <v>0.01625</v>
      </c>
      <c r="F340" s="99">
        <v>1444.9</v>
      </c>
      <c r="G340" s="100">
        <v>2708.4</v>
      </c>
      <c r="H340" s="100">
        <v>1263.5</v>
      </c>
      <c r="I340" s="97">
        <v>3.4212</v>
      </c>
      <c r="J340" s="97">
        <v>5.5623</v>
      </c>
      <c r="K340" s="97">
        <v>2.1411</v>
      </c>
    </row>
    <row r="341" ht="18" spans="1:11">
      <c r="A341" s="103">
        <v>318</v>
      </c>
      <c r="B341" s="96">
        <v>109.94</v>
      </c>
      <c r="C341" s="96">
        <v>591.15</v>
      </c>
      <c r="D341" s="97">
        <v>0.0014885</v>
      </c>
      <c r="E341" s="98">
        <v>0.01598</v>
      </c>
      <c r="F341" s="99">
        <v>1451</v>
      </c>
      <c r="G341" s="100">
        <v>2705.6</v>
      </c>
      <c r="H341" s="100">
        <v>1254.6</v>
      </c>
      <c r="I341" s="97">
        <v>3.4312</v>
      </c>
      <c r="J341" s="97">
        <v>5.5535</v>
      </c>
      <c r="K341" s="97">
        <v>2.1223</v>
      </c>
    </row>
    <row r="342" ht="18" spans="1:11">
      <c r="A342" s="103">
        <v>319</v>
      </c>
      <c r="B342" s="96">
        <v>111.41</v>
      </c>
      <c r="C342" s="96">
        <v>592.15</v>
      </c>
      <c r="D342" s="97">
        <v>0.0014939</v>
      </c>
      <c r="E342" s="98">
        <v>0.01571</v>
      </c>
      <c r="F342" s="99">
        <v>1457.2</v>
      </c>
      <c r="G342" s="100">
        <v>2702.6</v>
      </c>
      <c r="H342" s="100">
        <v>1245.4</v>
      </c>
      <c r="I342" s="97">
        <v>3.4412</v>
      </c>
      <c r="J342" s="97">
        <v>5.5446</v>
      </c>
      <c r="K342" s="97">
        <v>2.1034</v>
      </c>
    </row>
    <row r="343" ht="18" spans="1:11">
      <c r="A343" s="103">
        <v>320</v>
      </c>
      <c r="B343" s="96">
        <v>112.9</v>
      </c>
      <c r="C343" s="96">
        <v>593.15</v>
      </c>
      <c r="D343" s="97">
        <v>0.0014995</v>
      </c>
      <c r="E343" s="98">
        <v>0.01544</v>
      </c>
      <c r="F343" s="99">
        <v>1463.4</v>
      </c>
      <c r="G343" s="100">
        <v>2699.6</v>
      </c>
      <c r="H343" s="100">
        <v>1236.2</v>
      </c>
      <c r="I343" s="97">
        <v>3.4513</v>
      </c>
      <c r="J343" s="97">
        <v>5.5356</v>
      </c>
      <c r="K343" s="97">
        <v>2.0843</v>
      </c>
    </row>
    <row r="344" ht="18" spans="1:11">
      <c r="A344" s="103">
        <v>321</v>
      </c>
      <c r="B344" s="96">
        <v>114.4</v>
      </c>
      <c r="C344" s="96">
        <v>594.15</v>
      </c>
      <c r="D344" s="97">
        <v>0.0015051</v>
      </c>
      <c r="E344" s="98">
        <v>0.01518</v>
      </c>
      <c r="F344" s="99">
        <v>1469.6</v>
      </c>
      <c r="G344" s="100">
        <v>2696.6</v>
      </c>
      <c r="H344" s="100">
        <v>1227</v>
      </c>
      <c r="I344" s="97">
        <v>3.4614</v>
      </c>
      <c r="J344" s="97">
        <v>5.5266</v>
      </c>
      <c r="K344" s="97">
        <v>2.0652</v>
      </c>
    </row>
    <row r="345" ht="18" spans="1:11">
      <c r="A345" s="103">
        <v>322</v>
      </c>
      <c r="B345" s="96">
        <v>115.92</v>
      </c>
      <c r="C345" s="96">
        <v>595.15</v>
      </c>
      <c r="D345" s="97">
        <v>0.0015109</v>
      </c>
      <c r="E345" s="98">
        <v>0.01492</v>
      </c>
      <c r="F345" s="99">
        <v>1475.9</v>
      </c>
      <c r="G345" s="100">
        <v>2693.4</v>
      </c>
      <c r="H345" s="100">
        <v>1217.5</v>
      </c>
      <c r="I345" s="97">
        <v>3.4716</v>
      </c>
      <c r="J345" s="97">
        <v>5.5174</v>
      </c>
      <c r="K345" s="97">
        <v>2.0458</v>
      </c>
    </row>
    <row r="346" ht="18" spans="1:11">
      <c r="A346" s="103">
        <v>323</v>
      </c>
      <c r="B346" s="96">
        <v>117.46</v>
      </c>
      <c r="C346" s="96">
        <v>596.15</v>
      </c>
      <c r="D346" s="97">
        <v>0.0015168</v>
      </c>
      <c r="E346" s="98">
        <v>0.01466</v>
      </c>
      <c r="F346" s="99">
        <v>1482.2</v>
      </c>
      <c r="G346" s="100">
        <v>2690.2</v>
      </c>
      <c r="H346" s="100">
        <v>1208</v>
      </c>
      <c r="I346" s="97">
        <v>3.4818</v>
      </c>
      <c r="J346" s="97">
        <v>5.5081</v>
      </c>
      <c r="K346" s="97">
        <v>2.0263</v>
      </c>
    </row>
    <row r="347" ht="18" spans="1:11">
      <c r="A347" s="103">
        <v>324</v>
      </c>
      <c r="B347" s="96">
        <v>119</v>
      </c>
      <c r="C347" s="96">
        <v>597.15</v>
      </c>
      <c r="D347" s="97">
        <v>0.0015228</v>
      </c>
      <c r="E347" s="98">
        <v>0.01441</v>
      </c>
      <c r="F347" s="99">
        <v>1488.5</v>
      </c>
      <c r="G347" s="100">
        <v>2686.9</v>
      </c>
      <c r="H347" s="100">
        <v>1198.4</v>
      </c>
      <c r="I347" s="97">
        <v>3.492</v>
      </c>
      <c r="J347" s="97">
        <v>5.4989</v>
      </c>
      <c r="K347" s="97">
        <v>2.0069</v>
      </c>
    </row>
    <row r="348" ht="18" spans="1:11">
      <c r="A348" s="103">
        <v>325</v>
      </c>
      <c r="B348" s="96">
        <v>120.57</v>
      </c>
      <c r="C348" s="96">
        <v>598.15</v>
      </c>
      <c r="D348" s="97">
        <v>0.0015289</v>
      </c>
      <c r="E348" s="98">
        <v>0.01416</v>
      </c>
      <c r="F348" s="99">
        <v>1494.9</v>
      </c>
      <c r="G348" s="100">
        <v>2683.6</v>
      </c>
      <c r="H348" s="100">
        <v>1188.7</v>
      </c>
      <c r="I348" s="97">
        <v>3.5023</v>
      </c>
      <c r="J348" s="97">
        <v>5.4896</v>
      </c>
      <c r="K348" s="97">
        <v>1.9873</v>
      </c>
    </row>
    <row r="349" ht="18" spans="1:11">
      <c r="A349" s="103">
        <v>326</v>
      </c>
      <c r="B349" s="96">
        <v>122.15</v>
      </c>
      <c r="C349" s="96">
        <v>599.15</v>
      </c>
      <c r="D349" s="97">
        <v>0.0015351</v>
      </c>
      <c r="E349" s="98">
        <v>0.01391</v>
      </c>
      <c r="F349" s="99">
        <v>1501.3</v>
      </c>
      <c r="G349" s="100">
        <v>2680.1</v>
      </c>
      <c r="H349" s="100">
        <v>1178.8</v>
      </c>
      <c r="I349" s="97">
        <v>3.5127</v>
      </c>
      <c r="J349" s="97">
        <v>5.4802</v>
      </c>
      <c r="K349" s="97">
        <v>1.9675</v>
      </c>
    </row>
    <row r="350" ht="18" spans="1:11">
      <c r="A350" s="103">
        <v>327</v>
      </c>
      <c r="B350" s="96">
        <v>123.75</v>
      </c>
      <c r="C350" s="96">
        <v>600.15</v>
      </c>
      <c r="D350" s="97">
        <v>0.0015415</v>
      </c>
      <c r="E350" s="98">
        <v>0.01367</v>
      </c>
      <c r="F350" s="99">
        <v>1507.8</v>
      </c>
      <c r="G350" s="100">
        <v>2676.6</v>
      </c>
      <c r="H350" s="100">
        <v>1168.8</v>
      </c>
      <c r="I350" s="97">
        <v>3.5231</v>
      </c>
      <c r="J350" s="97">
        <v>5.4706</v>
      </c>
      <c r="K350" s="97">
        <v>1.9475</v>
      </c>
    </row>
    <row r="351" ht="18" spans="1:11">
      <c r="A351" s="103">
        <v>328</v>
      </c>
      <c r="B351" s="96">
        <v>125.37</v>
      </c>
      <c r="C351" s="96">
        <v>601.15</v>
      </c>
      <c r="D351" s="97">
        <v>0.001548</v>
      </c>
      <c r="E351" s="98">
        <v>0.01343</v>
      </c>
      <c r="F351" s="99">
        <v>1514.3</v>
      </c>
      <c r="G351" s="100">
        <v>2673</v>
      </c>
      <c r="H351" s="100">
        <v>1158.7</v>
      </c>
      <c r="I351" s="97">
        <v>3.5335</v>
      </c>
      <c r="J351" s="97">
        <v>5.4609</v>
      </c>
      <c r="K351" s="97">
        <v>1.9274</v>
      </c>
    </row>
    <row r="352" ht="18" spans="1:11">
      <c r="A352" s="103">
        <v>329</v>
      </c>
      <c r="B352" s="96">
        <v>127</v>
      </c>
      <c r="C352" s="96">
        <v>602.15</v>
      </c>
      <c r="D352" s="97">
        <v>0.0015546</v>
      </c>
      <c r="E352" s="98">
        <v>0.0132</v>
      </c>
      <c r="F352" s="99">
        <v>1520.9</v>
      </c>
      <c r="G352" s="100">
        <v>2669.3</v>
      </c>
      <c r="H352" s="100">
        <v>1148.4</v>
      </c>
      <c r="I352" s="97">
        <v>3.544</v>
      </c>
      <c r="J352" s="97">
        <v>5.4512</v>
      </c>
      <c r="K352" s="97">
        <v>1.9072</v>
      </c>
    </row>
    <row r="353" ht="18" spans="1:11">
      <c r="A353" s="103">
        <v>330</v>
      </c>
      <c r="B353" s="96">
        <v>128.65</v>
      </c>
      <c r="C353" s="96">
        <v>603.15</v>
      </c>
      <c r="D353" s="97">
        <v>0.0015614</v>
      </c>
      <c r="E353" s="98">
        <v>0.01296</v>
      </c>
      <c r="F353" s="99">
        <v>1527.5</v>
      </c>
      <c r="G353" s="100">
        <v>2665.5</v>
      </c>
      <c r="H353" s="100">
        <v>1138</v>
      </c>
      <c r="I353" s="97">
        <v>3.5546</v>
      </c>
      <c r="J353" s="97">
        <v>5.4414</v>
      </c>
      <c r="K353" s="97">
        <v>1.8868</v>
      </c>
    </row>
    <row r="354" ht="18" spans="1:11">
      <c r="A354" s="103">
        <v>331</v>
      </c>
      <c r="B354" s="96">
        <v>130.31</v>
      </c>
      <c r="C354" s="96">
        <v>604.15</v>
      </c>
      <c r="D354" s="97">
        <v>0.0015683</v>
      </c>
      <c r="E354" s="98">
        <v>0.01273</v>
      </c>
      <c r="F354" s="99">
        <v>1534.2</v>
      </c>
      <c r="G354" s="100">
        <v>2661.7</v>
      </c>
      <c r="H354" s="100">
        <v>1127.5</v>
      </c>
      <c r="I354" s="97">
        <v>3.5652</v>
      </c>
      <c r="J354" s="97">
        <v>5.4315</v>
      </c>
      <c r="K354" s="97">
        <v>1.8663</v>
      </c>
    </row>
    <row r="355" ht="18" spans="1:11">
      <c r="A355" s="103">
        <v>332</v>
      </c>
      <c r="B355" s="96">
        <v>131.99</v>
      </c>
      <c r="C355" s="96">
        <v>605.15</v>
      </c>
      <c r="D355" s="97">
        <v>0.0015754</v>
      </c>
      <c r="E355" s="98">
        <v>0.01251</v>
      </c>
      <c r="F355" s="99">
        <v>1540.9</v>
      </c>
      <c r="G355" s="100">
        <v>2657.8</v>
      </c>
      <c r="H355" s="100">
        <v>1116.9</v>
      </c>
      <c r="I355" s="97">
        <v>3.5759</v>
      </c>
      <c r="J355" s="97">
        <v>5.4215</v>
      </c>
      <c r="K355" s="97">
        <v>1.8456</v>
      </c>
    </row>
    <row r="356" ht="18" spans="1:11">
      <c r="A356" s="103">
        <v>333</v>
      </c>
      <c r="B356" s="96">
        <v>133.69</v>
      </c>
      <c r="C356" s="96">
        <v>606.15</v>
      </c>
      <c r="D356" s="97">
        <v>0.0015827</v>
      </c>
      <c r="E356" s="98">
        <v>0.01228</v>
      </c>
      <c r="F356" s="99">
        <v>1547.7</v>
      </c>
      <c r="G356" s="100">
        <v>2653.8</v>
      </c>
      <c r="H356" s="100">
        <v>1106.1</v>
      </c>
      <c r="I356" s="97">
        <v>3.5867</v>
      </c>
      <c r="J356" s="97">
        <v>5.4114</v>
      </c>
      <c r="K356" s="97">
        <v>1.8247</v>
      </c>
    </row>
    <row r="357" ht="18" spans="1:11">
      <c r="A357" s="103">
        <v>334</v>
      </c>
      <c r="B357" s="96">
        <v>135.41</v>
      </c>
      <c r="C357" s="96">
        <v>607.15</v>
      </c>
      <c r="D357" s="97">
        <v>0.0015901</v>
      </c>
      <c r="E357" s="98">
        <v>0.01206</v>
      </c>
      <c r="F357" s="99">
        <v>1554.6</v>
      </c>
      <c r="G357" s="100">
        <v>2649.6</v>
      </c>
      <c r="H357" s="100">
        <v>1095</v>
      </c>
      <c r="I357" s="97">
        <v>3.5975</v>
      </c>
      <c r="J357" s="97">
        <v>5.4011</v>
      </c>
      <c r="K357" s="97">
        <v>1.8036</v>
      </c>
    </row>
    <row r="358" ht="18" spans="1:11">
      <c r="A358" s="103">
        <v>335</v>
      </c>
      <c r="B358" s="96">
        <v>137.14</v>
      </c>
      <c r="C358" s="96">
        <v>608.15</v>
      </c>
      <c r="D358" s="97">
        <v>0.0015977</v>
      </c>
      <c r="E358" s="98">
        <v>0.01184</v>
      </c>
      <c r="F358" s="99">
        <v>1561.4</v>
      </c>
      <c r="G358" s="100">
        <v>2645.4</v>
      </c>
      <c r="H358" s="100">
        <v>1084</v>
      </c>
      <c r="I358" s="97">
        <v>3.6084</v>
      </c>
      <c r="J358" s="97">
        <v>5.3908</v>
      </c>
      <c r="K358" s="97">
        <v>1.7824</v>
      </c>
    </row>
    <row r="359" ht="18" spans="1:11">
      <c r="A359" s="103">
        <v>336</v>
      </c>
      <c r="B359" s="96">
        <v>138.89</v>
      </c>
      <c r="C359" s="96">
        <v>609.15</v>
      </c>
      <c r="D359" s="97">
        <v>0.0016055</v>
      </c>
      <c r="E359" s="98">
        <v>0.01163</v>
      </c>
      <c r="F359" s="99">
        <v>1568.4</v>
      </c>
      <c r="G359" s="100">
        <v>2641.1</v>
      </c>
      <c r="H359" s="100">
        <v>1072.7</v>
      </c>
      <c r="I359" s="97">
        <v>3.6193</v>
      </c>
      <c r="J359" s="97">
        <v>5.3803</v>
      </c>
      <c r="K359" s="97">
        <v>1.761</v>
      </c>
    </row>
    <row r="360" ht="18" spans="1:11">
      <c r="A360" s="103">
        <v>337</v>
      </c>
      <c r="B360" s="96">
        <v>140.66</v>
      </c>
      <c r="C360" s="96">
        <v>610.15</v>
      </c>
      <c r="D360" s="97">
        <v>0.0016134</v>
      </c>
      <c r="E360" s="98">
        <v>0.01141</v>
      </c>
      <c r="F360" s="99">
        <v>1575.4</v>
      </c>
      <c r="G360" s="100">
        <v>2636.6</v>
      </c>
      <c r="H360" s="100">
        <v>1061.2</v>
      </c>
      <c r="I360" s="97">
        <v>3.6304</v>
      </c>
      <c r="J360" s="97">
        <v>5.3697</v>
      </c>
      <c r="K360" s="97">
        <v>1.7393</v>
      </c>
    </row>
    <row r="361" ht="18" spans="1:11">
      <c r="A361" s="103">
        <v>338</v>
      </c>
      <c r="B361" s="96">
        <v>142.45</v>
      </c>
      <c r="C361" s="96">
        <v>611.15</v>
      </c>
      <c r="D361" s="97">
        <v>0.0016216</v>
      </c>
      <c r="E361" s="98">
        <v>0.0112</v>
      </c>
      <c r="F361" s="99">
        <v>1582.5</v>
      </c>
      <c r="G361" s="100">
        <v>2632.1</v>
      </c>
      <c r="H361" s="100">
        <v>1049.6</v>
      </c>
      <c r="I361" s="97">
        <v>3.6415</v>
      </c>
      <c r="J361" s="97">
        <v>5.3589</v>
      </c>
      <c r="K361" s="97">
        <v>1.7174</v>
      </c>
    </row>
    <row r="362" ht="18" spans="1:11">
      <c r="A362" s="103">
        <v>339</v>
      </c>
      <c r="B362" s="96">
        <v>144.26</v>
      </c>
      <c r="C362" s="96">
        <v>612.15</v>
      </c>
      <c r="D362" s="97">
        <v>0.00163</v>
      </c>
      <c r="E362" s="98">
        <v>0.01099</v>
      </c>
      <c r="F362" s="99">
        <v>1589.6</v>
      </c>
      <c r="G362" s="100">
        <v>2627.4</v>
      </c>
      <c r="H362" s="100">
        <v>1037.8</v>
      </c>
      <c r="I362" s="97">
        <v>3.6527</v>
      </c>
      <c r="J362" s="97">
        <v>5.3479</v>
      </c>
      <c r="K362" s="97">
        <v>1.6952</v>
      </c>
    </row>
    <row r="363" ht="18" spans="1:11">
      <c r="A363" s="103">
        <v>340</v>
      </c>
      <c r="B363" s="96">
        <v>146.08</v>
      </c>
      <c r="C363" s="96">
        <v>613.15</v>
      </c>
      <c r="D363" s="97">
        <v>0.001639</v>
      </c>
      <c r="E363" s="98">
        <v>0.01078</v>
      </c>
      <c r="F363" s="99">
        <v>1596.8</v>
      </c>
      <c r="G363" s="100">
        <v>2622.3</v>
      </c>
      <c r="H363" s="100">
        <v>1025.5</v>
      </c>
      <c r="I363" s="97">
        <v>3.6638</v>
      </c>
      <c r="J363" s="97">
        <v>5.3363</v>
      </c>
      <c r="K363" s="97">
        <v>1.6725</v>
      </c>
    </row>
    <row r="364" ht="18" spans="1:11">
      <c r="A364" s="103">
        <v>341</v>
      </c>
      <c r="B364" s="96">
        <v>147.92</v>
      </c>
      <c r="C364" s="96">
        <v>614.15</v>
      </c>
      <c r="D364" s="97">
        <v>0.0016479</v>
      </c>
      <c r="E364" s="98">
        <v>0.01058</v>
      </c>
      <c r="F364" s="99">
        <v>1604</v>
      </c>
      <c r="G364" s="100">
        <v>2617.3</v>
      </c>
      <c r="H364" s="100">
        <v>1013.3</v>
      </c>
      <c r="I364" s="97">
        <v>3.675</v>
      </c>
      <c r="J364" s="97">
        <v>5.325</v>
      </c>
      <c r="K364" s="97">
        <v>1.65</v>
      </c>
    </row>
    <row r="365" ht="18" spans="1:11">
      <c r="A365" s="103">
        <v>342</v>
      </c>
      <c r="B365" s="96">
        <v>149.78</v>
      </c>
      <c r="C365" s="96">
        <v>615.15</v>
      </c>
      <c r="D365" s="97">
        <v>0.001657</v>
      </c>
      <c r="E365" s="98">
        <v>0.01038</v>
      </c>
      <c r="F365" s="99">
        <v>1611.3</v>
      </c>
      <c r="G365" s="100">
        <v>2612.2</v>
      </c>
      <c r="H365" s="100">
        <v>1000.9</v>
      </c>
      <c r="I365" s="97">
        <v>3.6864</v>
      </c>
      <c r="J365" s="97">
        <v>5.3136</v>
      </c>
      <c r="K365" s="97">
        <v>1.6272</v>
      </c>
    </row>
    <row r="366" ht="18" spans="1:11">
      <c r="A366" s="103">
        <v>343</v>
      </c>
      <c r="B366" s="96">
        <v>151.66</v>
      </c>
      <c r="C366" s="96">
        <v>616.15</v>
      </c>
      <c r="D366" s="97">
        <v>0.0016663</v>
      </c>
      <c r="E366" s="98">
        <v>0.01017</v>
      </c>
      <c r="F366" s="99">
        <v>1618.7</v>
      </c>
      <c r="G366" s="100">
        <v>2607</v>
      </c>
      <c r="H366" s="100">
        <v>988.3</v>
      </c>
      <c r="I366" s="97">
        <v>3.6978</v>
      </c>
      <c r="J366" s="97">
        <v>5.302</v>
      </c>
      <c r="K366" s="97">
        <v>1.6042</v>
      </c>
    </row>
    <row r="367" ht="18" spans="1:11">
      <c r="A367" s="103">
        <v>344</v>
      </c>
      <c r="B367" s="96">
        <v>153.56</v>
      </c>
      <c r="C367" s="96">
        <v>617.15</v>
      </c>
      <c r="D367" s="97">
        <v>0.001676</v>
      </c>
      <c r="E367" s="98">
        <v>0.009975</v>
      </c>
      <c r="F367" s="99">
        <v>1626.1</v>
      </c>
      <c r="G367" s="100">
        <v>2601.7</v>
      </c>
      <c r="H367" s="100">
        <v>975.6</v>
      </c>
      <c r="I367" s="97">
        <v>3.7094</v>
      </c>
      <c r="J367" s="97">
        <v>5.2902</v>
      </c>
      <c r="K367" s="97">
        <v>1.5808</v>
      </c>
    </row>
    <row r="368" ht="18" spans="1:11">
      <c r="A368" s="103">
        <v>345</v>
      </c>
      <c r="B368" s="96">
        <v>155.48</v>
      </c>
      <c r="C368" s="96">
        <v>618.15</v>
      </c>
      <c r="D368" s="97">
        <v>0.0016859</v>
      </c>
      <c r="E368" s="98">
        <v>0.009779</v>
      </c>
      <c r="F368" s="99">
        <v>1633.7</v>
      </c>
      <c r="G368" s="100">
        <v>2596.2</v>
      </c>
      <c r="H368" s="100">
        <v>962.5</v>
      </c>
      <c r="I368" s="97">
        <v>3.7211</v>
      </c>
      <c r="J368" s="97">
        <v>5.2782</v>
      </c>
      <c r="K368" s="97">
        <v>1.5571</v>
      </c>
    </row>
    <row r="369" ht="18" spans="1:11">
      <c r="A369" s="103">
        <v>346</v>
      </c>
      <c r="B369" s="96">
        <v>157.42</v>
      </c>
      <c r="C369" s="96">
        <v>619.15</v>
      </c>
      <c r="D369" s="97">
        <v>0.0016961</v>
      </c>
      <c r="E369" s="98">
        <v>0.009584</v>
      </c>
      <c r="F369" s="99">
        <v>1641.3</v>
      </c>
      <c r="G369" s="100">
        <v>2590.5</v>
      </c>
      <c r="H369" s="100">
        <v>949.2</v>
      </c>
      <c r="I369" s="97">
        <v>3.7329</v>
      </c>
      <c r="J369" s="97">
        <v>5.266</v>
      </c>
      <c r="K369" s="97">
        <v>1.5331</v>
      </c>
    </row>
    <row r="370" ht="18" spans="1:11">
      <c r="A370" s="103">
        <v>347</v>
      </c>
      <c r="B370" s="96">
        <v>159.37</v>
      </c>
      <c r="C370" s="96">
        <v>620.15</v>
      </c>
      <c r="D370" s="97">
        <v>0.0017067</v>
      </c>
      <c r="E370" s="98">
        <v>0.009391</v>
      </c>
      <c r="F370" s="99">
        <v>1649</v>
      </c>
      <c r="G370" s="100">
        <v>2584.6</v>
      </c>
      <c r="H370" s="100">
        <v>935.6</v>
      </c>
      <c r="I370" s="97">
        <v>3.7448</v>
      </c>
      <c r="J370" s="97">
        <v>5.2536</v>
      </c>
      <c r="K370" s="97">
        <v>1.5088</v>
      </c>
    </row>
    <row r="371" ht="18" spans="1:11">
      <c r="A371" s="103">
        <v>348</v>
      </c>
      <c r="B371" s="96">
        <v>161.35</v>
      </c>
      <c r="C371" s="96">
        <v>621.15</v>
      </c>
      <c r="D371" s="97">
        <v>0.0017176</v>
      </c>
      <c r="E371" s="98">
        <v>0.0092</v>
      </c>
      <c r="F371" s="99">
        <v>1656.9</v>
      </c>
      <c r="G371" s="100">
        <v>2578.6</v>
      </c>
      <c r="H371" s="100">
        <v>921.7</v>
      </c>
      <c r="I371" s="97">
        <v>3.7569</v>
      </c>
      <c r="J371" s="97">
        <v>5.241</v>
      </c>
      <c r="K371" s="97">
        <v>1.4841</v>
      </c>
    </row>
    <row r="372" ht="18" spans="1:11">
      <c r="A372" s="103">
        <v>349</v>
      </c>
      <c r="B372" s="96">
        <v>163.35</v>
      </c>
      <c r="C372" s="96">
        <v>622.15</v>
      </c>
      <c r="D372" s="97">
        <v>0.001729</v>
      </c>
      <c r="E372" s="98">
        <v>0.00901</v>
      </c>
      <c r="F372" s="99">
        <v>1664.8</v>
      </c>
      <c r="G372" s="100">
        <v>2572.5</v>
      </c>
      <c r="H372" s="100">
        <v>907.7</v>
      </c>
      <c r="I372" s="97">
        <v>3.7692</v>
      </c>
      <c r="J372" s="97">
        <v>5.2281</v>
      </c>
      <c r="K372" s="97">
        <v>1.4589</v>
      </c>
    </row>
    <row r="373" ht="18" spans="1:11">
      <c r="A373" s="103">
        <v>350</v>
      </c>
      <c r="B373" s="96">
        <v>165.37</v>
      </c>
      <c r="C373" s="96">
        <v>623.15</v>
      </c>
      <c r="D373" s="97">
        <v>0.0017407</v>
      </c>
      <c r="E373" s="98">
        <v>0.008822</v>
      </c>
      <c r="F373" s="99">
        <v>1672.9</v>
      </c>
      <c r="G373" s="100">
        <v>2566.1</v>
      </c>
      <c r="H373" s="100">
        <v>893.2</v>
      </c>
      <c r="I373" s="97">
        <v>3.7816</v>
      </c>
      <c r="J373" s="97">
        <v>5.2149</v>
      </c>
      <c r="K373" s="97">
        <v>1.4333</v>
      </c>
    </row>
    <row r="374" ht="18" spans="1:11">
      <c r="A374" s="103">
        <v>351</v>
      </c>
      <c r="B374" s="96">
        <v>167.41</v>
      </c>
      <c r="C374" s="96">
        <v>624.15</v>
      </c>
      <c r="D374" s="97">
        <v>0.0017529</v>
      </c>
      <c r="E374" s="98">
        <v>0.008635</v>
      </c>
      <c r="F374" s="99">
        <v>1681.1</v>
      </c>
      <c r="G374" s="100">
        <v>2559.1</v>
      </c>
      <c r="H374" s="100">
        <v>878.4</v>
      </c>
      <c r="I374" s="97">
        <v>3.7942</v>
      </c>
      <c r="J374" s="97">
        <v>5.2015</v>
      </c>
      <c r="K374" s="97">
        <v>1.4073</v>
      </c>
    </row>
    <row r="375" ht="18" spans="1:11">
      <c r="A375" s="103">
        <v>352</v>
      </c>
      <c r="B375" s="96">
        <v>169.47</v>
      </c>
      <c r="C375" s="96">
        <v>625.15</v>
      </c>
      <c r="D375" s="97">
        <v>0.0017656</v>
      </c>
      <c r="E375" s="98">
        <v>0.008449</v>
      </c>
      <c r="F375" s="99">
        <v>1689.5</v>
      </c>
      <c r="G375" s="100">
        <v>2552.6</v>
      </c>
      <c r="H375" s="100">
        <v>863.1</v>
      </c>
      <c r="I375" s="97">
        <v>3.807</v>
      </c>
      <c r="J375" s="97">
        <v>5.1877</v>
      </c>
      <c r="K375" s="97">
        <v>1.3807</v>
      </c>
    </row>
    <row r="376" ht="18" spans="1:11">
      <c r="A376" s="103">
        <v>353</v>
      </c>
      <c r="B376" s="96">
        <v>171.55</v>
      </c>
      <c r="C376" s="96">
        <v>626.15</v>
      </c>
      <c r="D376" s="97">
        <v>0.0017789</v>
      </c>
      <c r="E376" s="98">
        <v>0.008264</v>
      </c>
      <c r="F376" s="99">
        <v>1698</v>
      </c>
      <c r="G376" s="100">
        <v>2545.5</v>
      </c>
      <c r="H376" s="100">
        <v>847.5</v>
      </c>
      <c r="I376" s="97">
        <v>3.82</v>
      </c>
      <c r="J376" s="97">
        <v>5.1736</v>
      </c>
      <c r="K376" s="97">
        <v>1.3536</v>
      </c>
    </row>
    <row r="377" ht="18" spans="1:11">
      <c r="A377" s="103">
        <v>354</v>
      </c>
      <c r="B377" s="96">
        <v>173.65</v>
      </c>
      <c r="C377" s="96">
        <v>627.15</v>
      </c>
      <c r="D377" s="97">
        <v>0.0017928</v>
      </c>
      <c r="E377" s="98">
        <v>0.008079</v>
      </c>
      <c r="F377" s="99">
        <v>1706.7</v>
      </c>
      <c r="G377" s="100">
        <v>2538.2</v>
      </c>
      <c r="H377" s="100">
        <v>831.5</v>
      </c>
      <c r="I377" s="97">
        <v>3.8332</v>
      </c>
      <c r="J377" s="97">
        <v>5.1591</v>
      </c>
      <c r="K377" s="97">
        <v>1.3259</v>
      </c>
    </row>
    <row r="378" ht="18" spans="1:11">
      <c r="A378" s="103">
        <v>355</v>
      </c>
      <c r="B378" s="96">
        <v>175.77</v>
      </c>
      <c r="C378" s="96">
        <v>628.15</v>
      </c>
      <c r="D378" s="97">
        <v>0.0018073</v>
      </c>
      <c r="E378" s="98">
        <v>0.007895</v>
      </c>
      <c r="F378" s="99">
        <v>1715.5</v>
      </c>
      <c r="G378" s="100">
        <v>2530.5</v>
      </c>
      <c r="H378" s="100">
        <v>815</v>
      </c>
      <c r="I378" s="97">
        <v>3.8467</v>
      </c>
      <c r="J378" s="97">
        <v>5.1442</v>
      </c>
      <c r="K378" s="97">
        <v>1.2975</v>
      </c>
    </row>
    <row r="379" ht="18" spans="1:11">
      <c r="A379" s="103">
        <v>356</v>
      </c>
      <c r="B379" s="96">
        <v>177.92</v>
      </c>
      <c r="C379" s="96">
        <v>629.15</v>
      </c>
      <c r="D379" s="97">
        <v>0.0018226</v>
      </c>
      <c r="E379" s="98">
        <v>0.007711</v>
      </c>
      <c r="F379" s="99">
        <v>1724.5</v>
      </c>
      <c r="G379" s="100">
        <v>2522.5</v>
      </c>
      <c r="H379" s="100">
        <v>798</v>
      </c>
      <c r="I379" s="97">
        <v>3.8604</v>
      </c>
      <c r="J379" s="97">
        <v>5.1288</v>
      </c>
      <c r="K379" s="97">
        <v>1.2684</v>
      </c>
    </row>
    <row r="380" ht="18" spans="1:11">
      <c r="A380" s="103">
        <v>357</v>
      </c>
      <c r="B380" s="96">
        <v>180.09</v>
      </c>
      <c r="C380" s="96">
        <v>630.15</v>
      </c>
      <c r="D380" s="97">
        <v>0.0018387</v>
      </c>
      <c r="E380" s="98">
        <v>0.007527</v>
      </c>
      <c r="F380" s="99">
        <v>1733.8</v>
      </c>
      <c r="G380" s="100">
        <v>2514</v>
      </c>
      <c r="H380" s="100">
        <v>780.2</v>
      </c>
      <c r="I380" s="97">
        <v>3.8745</v>
      </c>
      <c r="J380" s="97">
        <v>5.1128</v>
      </c>
      <c r="K380" s="97">
        <v>1.2383</v>
      </c>
    </row>
    <row r="381" ht="18" spans="1:11">
      <c r="A381" s="103">
        <v>358</v>
      </c>
      <c r="B381" s="96">
        <v>182.28</v>
      </c>
      <c r="C381" s="96">
        <v>631.15</v>
      </c>
      <c r="D381" s="97">
        <v>0.0018557</v>
      </c>
      <c r="E381" s="98">
        <v>0.007342</v>
      </c>
      <c r="F381" s="99">
        <v>1743.3</v>
      </c>
      <c r="G381" s="100">
        <v>2505.2</v>
      </c>
      <c r="H381" s="100">
        <v>761.9</v>
      </c>
      <c r="I381" s="97">
        <v>3.8889</v>
      </c>
      <c r="J381" s="97">
        <v>5.0961</v>
      </c>
      <c r="K381" s="97">
        <v>1.2072</v>
      </c>
    </row>
    <row r="382" ht="18" spans="1:11">
      <c r="A382" s="103">
        <v>359</v>
      </c>
      <c r="B382" s="96">
        <v>184.5</v>
      </c>
      <c r="C382" s="96">
        <v>632.15</v>
      </c>
      <c r="D382" s="97">
        <v>0.0018737</v>
      </c>
      <c r="E382" s="98">
        <v>0.007157</v>
      </c>
      <c r="F382" s="99">
        <v>1753</v>
      </c>
      <c r="G382" s="100">
        <v>2495.7</v>
      </c>
      <c r="H382" s="100">
        <v>742.7</v>
      </c>
      <c r="I382" s="97">
        <v>3.9037</v>
      </c>
      <c r="J382" s="97">
        <v>5.0786</v>
      </c>
      <c r="K382" s="97">
        <v>1.1749</v>
      </c>
    </row>
    <row r="383" ht="18" spans="1:11">
      <c r="A383" s="103">
        <v>360</v>
      </c>
      <c r="B383" s="96">
        <v>186.74</v>
      </c>
      <c r="C383" s="96">
        <v>633.15</v>
      </c>
      <c r="D383" s="97">
        <v>0.001893</v>
      </c>
      <c r="E383" s="98">
        <v>0.00697</v>
      </c>
      <c r="F383" s="99">
        <v>1763.1</v>
      </c>
      <c r="G383" s="100">
        <v>2485.7</v>
      </c>
      <c r="H383" s="100">
        <v>722.6</v>
      </c>
      <c r="I383" s="97">
        <v>3.9189</v>
      </c>
      <c r="J383" s="97">
        <v>5.0603</v>
      </c>
      <c r="K383" s="97">
        <v>1.1414</v>
      </c>
    </row>
    <row r="384" ht="18" spans="1:11">
      <c r="A384" s="103">
        <v>361</v>
      </c>
      <c r="B384" s="96">
        <v>189</v>
      </c>
      <c r="C384" s="96">
        <v>634.15</v>
      </c>
      <c r="D384" s="97">
        <v>0.0019136</v>
      </c>
      <c r="E384" s="98">
        <v>0.006782</v>
      </c>
      <c r="F384" s="99">
        <v>1773.5</v>
      </c>
      <c r="G384" s="100">
        <v>2475</v>
      </c>
      <c r="H384" s="100">
        <v>701.5</v>
      </c>
      <c r="I384" s="97">
        <v>3.9346</v>
      </c>
      <c r="J384" s="97">
        <v>5.0409</v>
      </c>
      <c r="K384" s="97">
        <v>1.1063</v>
      </c>
    </row>
    <row r="385" ht="18" spans="1:11">
      <c r="A385" s="103">
        <v>362</v>
      </c>
      <c r="B385" s="96">
        <v>191.29</v>
      </c>
      <c r="C385" s="96">
        <v>635.15</v>
      </c>
      <c r="D385" s="97">
        <v>0.0019357</v>
      </c>
      <c r="E385" s="98">
        <v>0.006593</v>
      </c>
      <c r="F385" s="99">
        <v>1784.3</v>
      </c>
      <c r="G385" s="100">
        <v>2463.5</v>
      </c>
      <c r="H385" s="100">
        <v>679.2</v>
      </c>
      <c r="I385" s="97">
        <v>3.9509</v>
      </c>
      <c r="J385" s="97">
        <v>5.0204</v>
      </c>
      <c r="K385" s="97">
        <v>1.0695</v>
      </c>
    </row>
    <row r="386" ht="18" spans="1:11">
      <c r="A386" s="103">
        <v>363</v>
      </c>
      <c r="B386" s="96">
        <v>193.6</v>
      </c>
      <c r="C386" s="96">
        <v>636.15</v>
      </c>
      <c r="D386" s="97">
        <v>0.0019598</v>
      </c>
      <c r="E386" s="98">
        <v>0.006402</v>
      </c>
      <c r="F386" s="99">
        <v>1795.5</v>
      </c>
      <c r="G386" s="100">
        <v>2451.2</v>
      </c>
      <c r="H386" s="100">
        <v>655.7</v>
      </c>
      <c r="I386" s="97">
        <v>3.9678</v>
      </c>
      <c r="J386" s="97">
        <v>4.9987</v>
      </c>
      <c r="K386" s="97">
        <v>1.0309</v>
      </c>
    </row>
    <row r="387" ht="18" spans="1:11">
      <c r="A387" s="103">
        <v>364</v>
      </c>
      <c r="B387" s="96">
        <v>195.94</v>
      </c>
      <c r="C387" s="96">
        <v>637.15</v>
      </c>
      <c r="D387" s="97">
        <v>0.0019861</v>
      </c>
      <c r="E387" s="98">
        <v>0.006209</v>
      </c>
      <c r="F387" s="99">
        <v>1807.2</v>
      </c>
      <c r="G387" s="100">
        <v>2438.1</v>
      </c>
      <c r="H387" s="100">
        <v>630.9</v>
      </c>
      <c r="I387" s="97">
        <v>3.9856</v>
      </c>
      <c r="J387" s="97">
        <v>4.9758</v>
      </c>
      <c r="K387" s="97">
        <v>0.9902</v>
      </c>
    </row>
    <row r="388" ht="18" spans="1:11">
      <c r="A388" s="103">
        <v>365</v>
      </c>
      <c r="B388" s="96">
        <v>198.3</v>
      </c>
      <c r="C388" s="96">
        <v>638.15</v>
      </c>
      <c r="D388" s="97">
        <v>0.002015</v>
      </c>
      <c r="E388" s="98">
        <v>0.006013</v>
      </c>
      <c r="F388" s="99">
        <v>1819.5</v>
      </c>
      <c r="G388" s="100">
        <v>2424.2</v>
      </c>
      <c r="H388" s="100">
        <v>604.7</v>
      </c>
      <c r="I388" s="97">
        <v>4.0041</v>
      </c>
      <c r="J388" s="97">
        <v>4.9517</v>
      </c>
      <c r="K388" s="97">
        <v>0.9476</v>
      </c>
    </row>
    <row r="389" ht="18" spans="1:11">
      <c r="A389" s="103">
        <v>366</v>
      </c>
      <c r="B389" s="96">
        <v>200.69</v>
      </c>
      <c r="C389" s="96">
        <v>639.15</v>
      </c>
      <c r="D389" s="97">
        <v>0.002047</v>
      </c>
      <c r="E389" s="98">
        <v>0.005815</v>
      </c>
      <c r="F389" s="99">
        <v>1832.6</v>
      </c>
      <c r="G389" s="100">
        <v>2409.3</v>
      </c>
      <c r="H389" s="100">
        <v>576.7</v>
      </c>
      <c r="I389" s="97">
        <v>4.0238</v>
      </c>
      <c r="J389" s="97">
        <v>4.9262</v>
      </c>
      <c r="K389" s="97">
        <v>0.9024</v>
      </c>
    </row>
    <row r="390" ht="18" spans="1:11">
      <c r="A390" s="103">
        <v>367</v>
      </c>
      <c r="B390" s="96">
        <v>203.11</v>
      </c>
      <c r="C390" s="96">
        <v>640.15</v>
      </c>
      <c r="D390" s="97">
        <v>0.002084</v>
      </c>
      <c r="E390" s="98">
        <v>0.005612</v>
      </c>
      <c r="F390" s="99">
        <v>1846.6</v>
      </c>
      <c r="G390" s="100">
        <v>2393.4</v>
      </c>
      <c r="H390" s="100">
        <v>546.8</v>
      </c>
      <c r="I390" s="97">
        <v>4.0449</v>
      </c>
      <c r="J390" s="97">
        <v>4.8992</v>
      </c>
      <c r="K390" s="97">
        <v>0.8543</v>
      </c>
    </row>
    <row r="391" ht="18" spans="1:11">
      <c r="A391" s="103">
        <v>368</v>
      </c>
      <c r="B391" s="96">
        <v>205.55</v>
      </c>
      <c r="C391" s="96">
        <v>641.15</v>
      </c>
      <c r="D391" s="97">
        <v>0.002125</v>
      </c>
      <c r="E391" s="98">
        <v>0.005404</v>
      </c>
      <c r="F391" s="99">
        <v>1861.6</v>
      </c>
      <c r="G391" s="100">
        <v>2376.1</v>
      </c>
      <c r="H391" s="100">
        <v>514.5</v>
      </c>
      <c r="I391" s="97">
        <v>4.0676</v>
      </c>
      <c r="J391" s="97">
        <v>4.8701</v>
      </c>
      <c r="K391" s="97">
        <v>0.8025</v>
      </c>
    </row>
    <row r="392" ht="18" spans="1:11">
      <c r="A392" s="103">
        <v>369</v>
      </c>
      <c r="B392" s="96">
        <v>208.03</v>
      </c>
      <c r="C392" s="96">
        <v>642.15</v>
      </c>
      <c r="D392" s="97">
        <v>0.002174</v>
      </c>
      <c r="E392" s="98">
        <v>0.005187</v>
      </c>
      <c r="F392" s="99">
        <v>1878.1</v>
      </c>
      <c r="G392" s="100">
        <v>2357.1</v>
      </c>
      <c r="H392" s="100">
        <v>479</v>
      </c>
      <c r="I392" s="97">
        <v>4.0925</v>
      </c>
      <c r="J392" s="97">
        <v>4.8384</v>
      </c>
      <c r="K392" s="97">
        <v>0.7459</v>
      </c>
    </row>
    <row r="393" ht="18" spans="1:11">
      <c r="A393" s="103">
        <v>370</v>
      </c>
      <c r="B393" s="96">
        <v>210.53</v>
      </c>
      <c r="C393" s="96">
        <v>643.15</v>
      </c>
      <c r="D393" s="97">
        <v>0.002231</v>
      </c>
      <c r="E393" s="98">
        <v>0.004958</v>
      </c>
      <c r="F393" s="99">
        <v>1896.2</v>
      </c>
      <c r="G393" s="100">
        <v>2335.7</v>
      </c>
      <c r="H393" s="100">
        <v>439.5</v>
      </c>
      <c r="I393" s="97">
        <v>4.1198</v>
      </c>
      <c r="J393" s="97">
        <v>4.8031</v>
      </c>
      <c r="K393" s="97">
        <v>0.6833</v>
      </c>
    </row>
    <row r="394" ht="18" spans="1:11">
      <c r="A394" s="103">
        <v>371</v>
      </c>
      <c r="B394" s="96">
        <v>213.06</v>
      </c>
      <c r="C394" s="96">
        <v>644.15</v>
      </c>
      <c r="D394" s="97">
        <v>0.002298</v>
      </c>
      <c r="E394" s="98">
        <v>0.00471</v>
      </c>
      <c r="F394" s="99">
        <v>1916.5</v>
      </c>
      <c r="G394" s="100">
        <v>2310.7</v>
      </c>
      <c r="H394" s="100">
        <v>394.2</v>
      </c>
      <c r="I394" s="97">
        <v>4.1503</v>
      </c>
      <c r="J394" s="97">
        <v>4.7624</v>
      </c>
      <c r="K394" s="97">
        <v>0.612100000000001</v>
      </c>
    </row>
    <row r="395" ht="18" spans="1:11">
      <c r="A395" s="103">
        <v>372</v>
      </c>
      <c r="B395" s="96">
        <v>215.62</v>
      </c>
      <c r="C395" s="96">
        <v>645.15</v>
      </c>
      <c r="D395" s="97">
        <v>0.002392</v>
      </c>
      <c r="E395" s="98">
        <v>0.004432</v>
      </c>
      <c r="F395" s="99">
        <v>1942</v>
      </c>
      <c r="G395" s="100">
        <v>2280.1</v>
      </c>
      <c r="H395" s="100">
        <v>338.1</v>
      </c>
      <c r="I395" s="97">
        <v>4.1891</v>
      </c>
      <c r="J395" s="97">
        <v>4.713</v>
      </c>
      <c r="K395" s="97">
        <v>0.5239</v>
      </c>
    </row>
    <row r="396" ht="18" spans="1:11">
      <c r="A396" s="103">
        <v>373</v>
      </c>
      <c r="B396" s="96">
        <v>218.21</v>
      </c>
      <c r="C396" s="96">
        <v>646.15</v>
      </c>
      <c r="D396" s="97">
        <v>0.002525</v>
      </c>
      <c r="E396" s="98">
        <v>0.00409</v>
      </c>
      <c r="F396" s="99">
        <v>1974.5</v>
      </c>
      <c r="G396" s="100">
        <v>2238.3</v>
      </c>
      <c r="H396" s="100">
        <v>263.8</v>
      </c>
      <c r="I396" s="97">
        <v>4.2385</v>
      </c>
      <c r="J396" s="97">
        <v>4.6467</v>
      </c>
      <c r="K396" s="97">
        <v>0.4082</v>
      </c>
    </row>
    <row r="397" ht="18" spans="1:11">
      <c r="A397" s="103">
        <v>374</v>
      </c>
      <c r="B397" s="96">
        <v>220.84</v>
      </c>
      <c r="C397" s="96">
        <v>647.15</v>
      </c>
      <c r="D397" s="97">
        <v>0.002834</v>
      </c>
      <c r="E397" s="98">
        <v>0.003482</v>
      </c>
      <c r="F397" s="99">
        <v>2039.2</v>
      </c>
      <c r="G397" s="100">
        <v>2150.7</v>
      </c>
      <c r="H397" s="100">
        <v>111.5</v>
      </c>
      <c r="I397" s="97">
        <v>4.3374</v>
      </c>
      <c r="J397" s="97">
        <v>4.5096</v>
      </c>
      <c r="K397" s="97">
        <v>0.1722</v>
      </c>
    </row>
    <row r="398" ht="18" spans="1:11">
      <c r="A398" s="95">
        <v>374.12</v>
      </c>
      <c r="B398" s="96">
        <v>221.15</v>
      </c>
      <c r="C398" s="96">
        <v>647.27</v>
      </c>
      <c r="D398" s="97">
        <v>0.003147</v>
      </c>
      <c r="E398" s="98">
        <v>0.003147</v>
      </c>
      <c r="F398" s="99">
        <v>2095.2</v>
      </c>
      <c r="G398" s="100">
        <v>2095.2</v>
      </c>
      <c r="H398" s="100">
        <v>0</v>
      </c>
      <c r="I398" s="97">
        <v>4.4237</v>
      </c>
      <c r="J398" s="97">
        <v>4.4237</v>
      </c>
      <c r="K398" s="97">
        <v>0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zoomScale="70" zoomScaleNormal="70" workbookViewId="0">
      <selection activeCell="M110" sqref="M110"/>
    </sheetView>
  </sheetViews>
  <sheetFormatPr defaultColWidth="9" defaultRowHeight="14.4" outlineLevelCol="4"/>
  <cols>
    <col min="1" max="5" width="19.4444444444444" customWidth="1"/>
  </cols>
  <sheetData>
    <row r="1" ht="54" spans="1:5">
      <c r="A1" s="29" t="s">
        <v>368</v>
      </c>
      <c r="B1" s="39" t="s">
        <v>369</v>
      </c>
      <c r="C1" s="39" t="s">
        <v>370</v>
      </c>
      <c r="D1" s="39" t="s">
        <v>371</v>
      </c>
      <c r="E1" s="39" t="s">
        <v>355</v>
      </c>
    </row>
    <row r="2" ht="18" spans="1:5">
      <c r="A2" s="74">
        <v>0</v>
      </c>
      <c r="B2" s="75">
        <v>1.864</v>
      </c>
      <c r="C2" s="75">
        <v>17.1</v>
      </c>
      <c r="D2" s="75">
        <v>9.22</v>
      </c>
      <c r="E2" s="75">
        <v>1.01</v>
      </c>
    </row>
    <row r="3" ht="18" spans="1:5">
      <c r="A3" s="74">
        <v>10</v>
      </c>
      <c r="B3" s="75">
        <v>1.868</v>
      </c>
      <c r="C3" s="75">
        <v>17.6</v>
      </c>
      <c r="D3" s="75">
        <v>9.46</v>
      </c>
      <c r="E3" s="75">
        <v>1</v>
      </c>
    </row>
    <row r="4" ht="18" spans="1:5">
      <c r="A4" s="74">
        <v>20</v>
      </c>
      <c r="B4" s="75">
        <v>1.874</v>
      </c>
      <c r="C4" s="75">
        <v>18.2</v>
      </c>
      <c r="D4" s="75">
        <v>9.73</v>
      </c>
      <c r="E4" s="75">
        <v>1</v>
      </c>
    </row>
    <row r="5" ht="18" spans="1:5">
      <c r="A5" s="74">
        <v>30</v>
      </c>
      <c r="B5" s="75">
        <v>1.883</v>
      </c>
      <c r="C5" s="75">
        <v>18.9</v>
      </c>
      <c r="D5" s="75">
        <v>10.01</v>
      </c>
      <c r="E5" s="75">
        <v>0.997</v>
      </c>
    </row>
    <row r="6" ht="18" spans="1:5">
      <c r="A6" s="74">
        <v>40</v>
      </c>
      <c r="B6" s="75">
        <v>1.894</v>
      </c>
      <c r="C6" s="75">
        <v>19.6</v>
      </c>
      <c r="D6" s="75">
        <v>10.31</v>
      </c>
      <c r="E6" s="75">
        <v>0.993</v>
      </c>
    </row>
    <row r="7" ht="18" spans="1:5">
      <c r="A7" s="74">
        <v>50</v>
      </c>
      <c r="B7" s="75">
        <v>1.907</v>
      </c>
      <c r="C7" s="75">
        <v>20.4</v>
      </c>
      <c r="D7" s="75">
        <v>10.62</v>
      </c>
      <c r="E7" s="75">
        <v>0.993</v>
      </c>
    </row>
    <row r="8" ht="18" spans="1:5">
      <c r="A8" s="74">
        <v>60</v>
      </c>
      <c r="B8" s="75">
        <v>1.924</v>
      </c>
      <c r="C8" s="75">
        <v>21.2</v>
      </c>
      <c r="D8" s="75">
        <v>10.94</v>
      </c>
      <c r="E8" s="75">
        <v>0.992</v>
      </c>
    </row>
    <row r="9" ht="18" spans="1:5">
      <c r="A9" s="74">
        <v>70</v>
      </c>
      <c r="B9" s="75">
        <v>1.944</v>
      </c>
      <c r="C9" s="75">
        <v>22.1</v>
      </c>
      <c r="D9" s="75">
        <v>11.26</v>
      </c>
      <c r="E9" s="75">
        <v>0.99</v>
      </c>
    </row>
    <row r="10" ht="18" spans="1:5">
      <c r="A10" s="74">
        <v>80</v>
      </c>
      <c r="B10" s="75">
        <v>1.939</v>
      </c>
      <c r="C10" s="75">
        <v>23</v>
      </c>
      <c r="D10" s="75">
        <v>11.6</v>
      </c>
      <c r="E10" s="75">
        <v>0.993</v>
      </c>
    </row>
    <row r="11" ht="18" spans="1:5">
      <c r="A11" s="74">
        <v>90</v>
      </c>
      <c r="B11" s="75">
        <v>1.999</v>
      </c>
      <c r="C11" s="75">
        <v>24</v>
      </c>
      <c r="D11" s="75">
        <v>11.93</v>
      </c>
      <c r="E11" s="75">
        <v>0.994</v>
      </c>
    </row>
    <row r="12" ht="18" spans="1:5">
      <c r="A12" s="74">
        <v>100</v>
      </c>
      <c r="B12" s="75">
        <v>2.034</v>
      </c>
      <c r="C12" s="75">
        <v>25.1</v>
      </c>
      <c r="D12" s="75">
        <v>12.28</v>
      </c>
      <c r="E12" s="75">
        <v>0.995</v>
      </c>
    </row>
    <row r="13" ht="18" spans="1:5">
      <c r="A13" s="74">
        <v>110</v>
      </c>
      <c r="B13" s="75">
        <v>2.075</v>
      </c>
      <c r="C13" s="75">
        <v>23.2</v>
      </c>
      <c r="D13" s="75">
        <v>12.62</v>
      </c>
      <c r="E13" s="75">
        <v>0.999</v>
      </c>
    </row>
    <row r="14" ht="18" spans="1:5">
      <c r="A14" s="74">
        <v>120</v>
      </c>
      <c r="B14" s="75">
        <v>2.124</v>
      </c>
      <c r="C14" s="75">
        <v>27.5</v>
      </c>
      <c r="D14" s="75">
        <v>12.97</v>
      </c>
      <c r="E14" s="75">
        <v>1</v>
      </c>
    </row>
    <row r="15" ht="18" spans="1:5">
      <c r="A15" s="74">
        <v>130</v>
      </c>
      <c r="B15" s="75">
        <v>2.18</v>
      </c>
      <c r="C15" s="75">
        <v>28.8</v>
      </c>
      <c r="D15" s="75">
        <v>13.32</v>
      </c>
      <c r="E15" s="75">
        <v>1.01</v>
      </c>
    </row>
    <row r="16" ht="18" spans="1:5">
      <c r="A16" s="74">
        <v>140</v>
      </c>
      <c r="B16" s="75">
        <v>2.245</v>
      </c>
      <c r="C16" s="75">
        <v>30.1</v>
      </c>
      <c r="D16" s="75">
        <v>13.67</v>
      </c>
      <c r="E16" s="75">
        <v>1.02</v>
      </c>
    </row>
    <row r="17" ht="18" spans="1:5">
      <c r="A17" s="74">
        <v>150</v>
      </c>
      <c r="B17" s="75">
        <v>2.32</v>
      </c>
      <c r="C17" s="75">
        <v>31.6</v>
      </c>
      <c r="D17" s="75">
        <v>14.02</v>
      </c>
      <c r="E17" s="75">
        <v>1.03</v>
      </c>
    </row>
    <row r="18" ht="18" spans="1:5">
      <c r="A18" s="74">
        <v>160</v>
      </c>
      <c r="B18" s="75">
        <v>2.403</v>
      </c>
      <c r="C18" s="75">
        <v>33.1</v>
      </c>
      <c r="D18" s="75">
        <v>14.37</v>
      </c>
      <c r="E18" s="75">
        <v>1.04</v>
      </c>
    </row>
    <row r="19" ht="18" spans="1:5">
      <c r="A19" s="74">
        <v>170</v>
      </c>
      <c r="B19" s="75">
        <v>2.504</v>
      </c>
      <c r="C19" s="75">
        <v>34.7</v>
      </c>
      <c r="D19" s="75">
        <v>14.72</v>
      </c>
      <c r="E19" s="75">
        <v>1.03</v>
      </c>
    </row>
    <row r="20" ht="18" spans="1:5">
      <c r="A20" s="74">
        <v>180</v>
      </c>
      <c r="B20" s="75">
        <v>2.615</v>
      </c>
      <c r="C20" s="75">
        <v>36.4</v>
      </c>
      <c r="D20" s="75">
        <v>15.07</v>
      </c>
      <c r="E20" s="75">
        <v>1.08</v>
      </c>
    </row>
    <row r="21" ht="18" spans="1:5">
      <c r="A21" s="74">
        <v>190</v>
      </c>
      <c r="B21" s="75">
        <v>2.741</v>
      </c>
      <c r="C21" s="75">
        <v>38.2</v>
      </c>
      <c r="D21" s="75">
        <v>15.42</v>
      </c>
      <c r="E21" s="75">
        <v>1.11</v>
      </c>
    </row>
    <row r="22" ht="18" spans="1:5">
      <c r="A22" s="74">
        <v>200</v>
      </c>
      <c r="B22" s="75">
        <v>2.883</v>
      </c>
      <c r="C22" s="75">
        <v>40.1</v>
      </c>
      <c r="D22" s="75">
        <v>15.78</v>
      </c>
      <c r="E22" s="75">
        <v>1.13</v>
      </c>
    </row>
    <row r="23" ht="18" spans="1:5">
      <c r="A23" s="74">
        <v>210</v>
      </c>
      <c r="B23" s="75">
        <v>3.043</v>
      </c>
      <c r="C23" s="75">
        <v>42.1</v>
      </c>
      <c r="D23" s="75">
        <v>16.13</v>
      </c>
      <c r="E23" s="75">
        <v>1.17</v>
      </c>
    </row>
    <row r="24" ht="18" spans="1:5">
      <c r="A24" s="74">
        <v>220</v>
      </c>
      <c r="B24" s="75">
        <v>3.223</v>
      </c>
      <c r="C24" s="75">
        <v>44.2</v>
      </c>
      <c r="D24" s="75">
        <v>16.49</v>
      </c>
      <c r="E24" s="75">
        <v>1.2</v>
      </c>
    </row>
    <row r="25" ht="18" spans="1:5">
      <c r="A25" s="74">
        <v>230</v>
      </c>
      <c r="B25" s="75">
        <v>3.426</v>
      </c>
      <c r="C25" s="75">
        <v>46.4</v>
      </c>
      <c r="D25" s="75">
        <v>16.85</v>
      </c>
      <c r="E25" s="75">
        <v>1.24</v>
      </c>
    </row>
    <row r="26" ht="18" spans="1:5">
      <c r="A26" s="74">
        <v>240</v>
      </c>
      <c r="B26" s="75">
        <v>3.656</v>
      </c>
      <c r="C26" s="75">
        <v>48.7</v>
      </c>
      <c r="D26" s="75">
        <v>17.22</v>
      </c>
      <c r="E26" s="75">
        <v>1.29</v>
      </c>
    </row>
    <row r="27" ht="18" spans="1:5">
      <c r="A27" s="74">
        <v>250</v>
      </c>
      <c r="B27" s="75">
        <v>3.918</v>
      </c>
      <c r="C27" s="75">
        <v>51.3</v>
      </c>
      <c r="D27" s="75">
        <v>17.59</v>
      </c>
      <c r="E27" s="75">
        <v>1.34</v>
      </c>
    </row>
    <row r="28" ht="18" spans="1:5">
      <c r="A28" s="74">
        <v>260</v>
      </c>
      <c r="B28" s="75">
        <v>4.221</v>
      </c>
      <c r="C28" s="75">
        <v>54</v>
      </c>
      <c r="D28" s="75">
        <v>17.98</v>
      </c>
      <c r="E28" s="75">
        <v>1.41</v>
      </c>
    </row>
    <row r="29" ht="18" spans="1:5">
      <c r="A29" s="74">
        <v>270</v>
      </c>
      <c r="B29" s="75">
        <v>4.574</v>
      </c>
      <c r="C29" s="75">
        <v>57.1</v>
      </c>
      <c r="D29" s="75">
        <v>18.38</v>
      </c>
      <c r="E29" s="77">
        <v>1.47</v>
      </c>
    </row>
    <row r="30" ht="18" spans="1:5">
      <c r="A30" s="74">
        <v>280</v>
      </c>
      <c r="B30" s="75">
        <v>4.995</v>
      </c>
      <c r="C30" s="75">
        <v>60.6</v>
      </c>
      <c r="D30" s="75">
        <v>18.8</v>
      </c>
      <c r="E30" s="75">
        <v>1.55</v>
      </c>
    </row>
    <row r="31" ht="18" spans="1:5">
      <c r="A31" s="74">
        <v>290</v>
      </c>
      <c r="B31" s="75">
        <v>5.51</v>
      </c>
      <c r="C31" s="75">
        <v>64.7</v>
      </c>
      <c r="D31" s="75">
        <v>19.25</v>
      </c>
      <c r="E31" s="75">
        <v>1.64</v>
      </c>
    </row>
    <row r="32" ht="18" spans="1:5">
      <c r="A32" s="74">
        <v>300</v>
      </c>
      <c r="B32" s="75">
        <v>6.14</v>
      </c>
      <c r="C32" s="75">
        <v>69.6</v>
      </c>
      <c r="D32" s="75">
        <v>19.74</v>
      </c>
      <c r="E32" s="75">
        <v>1.74</v>
      </c>
    </row>
    <row r="33" ht="18" spans="1:5">
      <c r="A33" s="74">
        <v>310</v>
      </c>
      <c r="B33" s="75">
        <v>6.93</v>
      </c>
      <c r="C33" s="75">
        <v>75.8</v>
      </c>
      <c r="D33" s="75">
        <v>20.28</v>
      </c>
      <c r="E33" s="75">
        <v>1.86</v>
      </c>
    </row>
    <row r="34" ht="18" spans="1:5">
      <c r="A34" s="74">
        <v>320</v>
      </c>
      <c r="B34" s="75">
        <v>8.05</v>
      </c>
      <c r="C34" s="75">
        <v>83.8</v>
      </c>
      <c r="D34" s="75">
        <v>20.89</v>
      </c>
      <c r="E34" s="75">
        <v>2.01</v>
      </c>
    </row>
    <row r="35" ht="18" spans="1:5">
      <c r="A35" s="74">
        <v>330</v>
      </c>
      <c r="B35" s="75">
        <v>9.59</v>
      </c>
      <c r="C35" s="75">
        <v>94.7</v>
      </c>
      <c r="D35" s="75">
        <v>21.62</v>
      </c>
      <c r="E35" s="75">
        <v>2.19</v>
      </c>
    </row>
    <row r="36" ht="18" spans="1:5">
      <c r="A36" s="74">
        <v>340</v>
      </c>
      <c r="B36" s="75">
        <v>11.92</v>
      </c>
      <c r="C36" s="75">
        <v>110.3</v>
      </c>
      <c r="D36" s="75">
        <v>22.52</v>
      </c>
      <c r="E36" s="75">
        <v>2.43</v>
      </c>
    </row>
    <row r="37" ht="18" spans="1:5">
      <c r="A37" s="74">
        <v>350</v>
      </c>
      <c r="B37" s="75">
        <v>15.95</v>
      </c>
      <c r="C37" s="75">
        <v>134.2</v>
      </c>
      <c r="D37" s="75">
        <v>23.72</v>
      </c>
      <c r="E37" s="75">
        <v>2.82</v>
      </c>
    </row>
    <row r="38" ht="18" spans="1:5">
      <c r="A38" s="74">
        <v>360</v>
      </c>
      <c r="B38" s="75">
        <v>26.79</v>
      </c>
      <c r="C38" s="75">
        <v>180.6</v>
      </c>
      <c r="D38" s="75">
        <v>25.53</v>
      </c>
      <c r="E38" s="75">
        <v>3.79</v>
      </c>
    </row>
    <row r="39" ht="18" spans="1:5">
      <c r="A39" s="74">
        <v>370</v>
      </c>
      <c r="B39" s="75">
        <v>112.9</v>
      </c>
      <c r="C39" s="75">
        <v>347</v>
      </c>
      <c r="D39" s="75">
        <v>29.41</v>
      </c>
      <c r="E39" s="75">
        <v>9.61</v>
      </c>
    </row>
    <row r="40" ht="18" spans="1:5">
      <c r="A40" s="74">
        <v>371</v>
      </c>
      <c r="B40" s="75">
        <v>151.3</v>
      </c>
      <c r="C40" s="75">
        <v>392</v>
      </c>
      <c r="D40" s="75">
        <v>30.2</v>
      </c>
      <c r="E40" s="75">
        <v>11.7</v>
      </c>
    </row>
    <row r="41" ht="18" spans="1:5">
      <c r="A41" s="74">
        <v>372</v>
      </c>
      <c r="B41" s="75">
        <v>228.2</v>
      </c>
      <c r="C41" s="75">
        <v>459</v>
      </c>
      <c r="D41" s="75">
        <v>31.3</v>
      </c>
      <c r="E41" s="75">
        <v>15.6</v>
      </c>
    </row>
    <row r="42" ht="18" spans="1:5">
      <c r="A42" s="74">
        <v>373</v>
      </c>
      <c r="B42" s="75">
        <v>457</v>
      </c>
      <c r="C42" s="75">
        <v>604</v>
      </c>
      <c r="D42" s="75">
        <v>33</v>
      </c>
      <c r="E42" s="75">
        <v>25</v>
      </c>
    </row>
    <row r="43" ht="18" spans="1:5">
      <c r="A43" s="78">
        <v>374</v>
      </c>
      <c r="B43" s="79">
        <v>6198</v>
      </c>
      <c r="C43" s="79">
        <v>1700</v>
      </c>
      <c r="D43" s="79">
        <v>39.6</v>
      </c>
      <c r="E43" s="79">
        <v>144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="70" zoomScaleNormal="70" topLeftCell="A56" workbookViewId="0">
      <selection activeCell="I95" sqref="I95"/>
    </sheetView>
  </sheetViews>
  <sheetFormatPr defaultColWidth="9" defaultRowHeight="14.4"/>
  <cols>
    <col min="1" max="9" width="18.1111111111111" customWidth="1"/>
  </cols>
  <sheetData>
    <row r="1" ht="54" spans="1:9">
      <c r="A1" s="29" t="s">
        <v>368</v>
      </c>
      <c r="B1" s="39" t="s">
        <v>369</v>
      </c>
      <c r="C1" s="39" t="s">
        <v>370</v>
      </c>
      <c r="D1" s="39" t="s">
        <v>372</v>
      </c>
      <c r="E1" s="39" t="s">
        <v>371</v>
      </c>
      <c r="F1" s="39" t="s">
        <v>373</v>
      </c>
      <c r="G1" s="39" t="s">
        <v>374</v>
      </c>
      <c r="H1" s="73" t="s">
        <v>375</v>
      </c>
      <c r="I1" s="81" t="s">
        <v>376</v>
      </c>
    </row>
    <row r="2" ht="18" spans="1:9">
      <c r="A2" s="74">
        <v>0</v>
      </c>
      <c r="B2" s="75">
        <v>4.217</v>
      </c>
      <c r="C2" s="75">
        <v>561</v>
      </c>
      <c r="D2" s="76">
        <f>Пр5_Физические_свойства_воды[[#This Row],[Теплопроводность λ,
мВт/(м*К)]]/Пр5_Физические_свойства_воды[[#This Row],[Теплоёмкость Ср, кДж/(кг*К)]]*Пр3!D2</f>
        <v>0.133059568413564</v>
      </c>
      <c r="E2" s="75">
        <v>1792</v>
      </c>
      <c r="F2" s="75">
        <v>13.47</v>
      </c>
      <c r="G2" s="75">
        <v>75.65</v>
      </c>
      <c r="H2" s="76">
        <f>Пр5_Физические_свойства_воды[[#This Row],[Динамическая вязкость μ,
мкПа*с]]*Пр5_Физические_свойства_воды[[#This Row],[Удельный объём,
м3/кг]]</f>
        <v>1.7923584</v>
      </c>
      <c r="I2" s="82">
        <v>0.0010002</v>
      </c>
    </row>
    <row r="3" ht="18" spans="1:9">
      <c r="A3" s="74">
        <v>10</v>
      </c>
      <c r="B3" s="75">
        <v>4.193</v>
      </c>
      <c r="C3" s="75">
        <v>580</v>
      </c>
      <c r="D3" s="76">
        <f>Пр5_Физические_свойства_воды[[#This Row],[Теплопроводность λ,
мВт/(м*К)]]/Пр5_Физические_свойства_воды[[#This Row],[Теплоёмкость Ср, кДж/(кг*К)]]*Пр3!D13</f>
        <v>0.138367278797997</v>
      </c>
      <c r="E3" s="75">
        <v>1308</v>
      </c>
      <c r="F3" s="75">
        <v>9.46</v>
      </c>
      <c r="G3" s="75">
        <v>74.22</v>
      </c>
      <c r="H3" s="76">
        <f>Пр5_Физические_свойства_воды[[#This Row],[Динамическая вязкость μ,
мкПа*с]]*Пр5_Физические_свойства_воды[[#This Row],[Удельный объём,
м3/кг]]</f>
        <v>1.3083924</v>
      </c>
      <c r="I3" s="82">
        <v>0.0010003</v>
      </c>
    </row>
    <row r="4" ht="18" spans="1:9">
      <c r="A4" s="74">
        <v>20</v>
      </c>
      <c r="B4" s="75">
        <v>4.182</v>
      </c>
      <c r="C4" s="75">
        <v>598.5</v>
      </c>
      <c r="D4" s="76">
        <f>Пр5_Физические_свойства_воды[[#This Row],[Теплопроводность λ,
мВт/(м*К)]]/Пр5_Физические_свойства_воды[[#This Row],[Теплоёмкость Ср, кДж/(кг*К)]]*Пр3!D28</f>
        <v>0.143356635581062</v>
      </c>
      <c r="E4" s="75">
        <v>1003</v>
      </c>
      <c r="F4" s="75">
        <v>7.01</v>
      </c>
      <c r="G4" s="75">
        <v>72.74</v>
      </c>
      <c r="H4" s="76">
        <f>Пр5_Физические_свойства_воды[[#This Row],[Динамическая вязкость μ,
мкПа*с]]*Пр5_Физические_свойства_воды[[#This Row],[Удельный объём,
м3/кг]]</f>
        <v>1.0047051</v>
      </c>
      <c r="I4" s="82">
        <v>0.0010017</v>
      </c>
    </row>
    <row r="5" ht="18" spans="1:9">
      <c r="A5" s="74">
        <v>30</v>
      </c>
      <c r="B5" s="75">
        <v>4.179</v>
      </c>
      <c r="C5" s="75">
        <v>615.5</v>
      </c>
      <c r="D5" s="76">
        <f>Пр5_Физические_свойства_воды[[#This Row],[Теплопроводность λ,
мВт/(м*К)]]/Пр5_Физические_свойства_воды[[#This Row],[Теплоёмкость Ср, кДж/(кг*К)]]*Пр3!D48</f>
        <v>0.147917360612587</v>
      </c>
      <c r="E5" s="75">
        <v>797.7</v>
      </c>
      <c r="F5" s="75">
        <v>5.42</v>
      </c>
      <c r="G5" s="75">
        <v>71.2</v>
      </c>
      <c r="H5" s="76">
        <f>Пр5_Физические_свойства_воды[[#This Row],[Динамическая вязкость μ,
мкПа*с]]*Пр5_Физические_свойства_воды[[#This Row],[Удельный объём,
м3/кг]]</f>
        <v>0.80113011</v>
      </c>
      <c r="I5" s="82">
        <v>0.0010043</v>
      </c>
    </row>
    <row r="6" ht="18" spans="1:9">
      <c r="A6" s="74">
        <v>40</v>
      </c>
      <c r="B6" s="75">
        <v>4.179</v>
      </c>
      <c r="C6" s="75">
        <v>630.6</v>
      </c>
      <c r="D6" s="76">
        <f>Пр5_Физические_свойства_воды[[#This Row],[Теплопроводность λ,
мВт/(м*К)]]/Пр5_Физические_свойства_воды[[#This Row],[Теплоёмкость Ср, кДж/(кг*К)]]*Пр3!D63</f>
        <v>0.152074343144293</v>
      </c>
      <c r="E6" s="75">
        <v>653.1</v>
      </c>
      <c r="F6" s="75">
        <v>4.33</v>
      </c>
      <c r="G6" s="75">
        <v>69.6</v>
      </c>
      <c r="H6" s="76">
        <f>Пр5_Физические_свойства_воды[[#This Row],[Динамическая вязкость μ,
мкПа*с]]*Пр5_Физические_свойства_воды[[#This Row],[Удельный объём,
м3/кг]]</f>
        <v>0.65819418</v>
      </c>
      <c r="I6" s="82">
        <v>0.0010078</v>
      </c>
    </row>
    <row r="7" ht="18" spans="1:9">
      <c r="A7" s="74">
        <v>50</v>
      </c>
      <c r="B7" s="75">
        <v>4.181</v>
      </c>
      <c r="C7" s="75">
        <v>643.6</v>
      </c>
      <c r="D7" s="76">
        <f>Пр5_Физические_свойства_воды[[#This Row],[Теплопроводность λ,
мВт/(м*К)]]/Пр5_Физические_свойства_воды[[#This Row],[Теплоёмкость Ср, кДж/(кг*К)]]*Пр3!D73</f>
        <v>0.155797072470701</v>
      </c>
      <c r="E7" s="75">
        <v>547</v>
      </c>
      <c r="F7" s="75">
        <v>3.55</v>
      </c>
      <c r="G7" s="75">
        <v>67.95</v>
      </c>
      <c r="H7" s="76">
        <f>Пр5_Физические_свойства_воды[[#This Row],[Динамическая вязкость μ,
мкПа*с]]*Пр5_Физические_свойства_воды[[#This Row],[Удельный объём,
м3/кг]]</f>
        <v>0.5536187</v>
      </c>
      <c r="I7" s="82">
        <v>0.0010121</v>
      </c>
    </row>
    <row r="8" ht="18" spans="1:9">
      <c r="A8" s="74">
        <v>60</v>
      </c>
      <c r="B8" s="75">
        <v>4.185</v>
      </c>
      <c r="C8" s="75">
        <v>654.4</v>
      </c>
      <c r="D8" s="76">
        <f>Пр5_Физические_свойства_воды[[#This Row],[Теплопроводность λ,
мВт/(м*К)]]/Пр5_Физические_свойства_воды[[#This Row],[Теплоёмкость Ср, кДж/(кг*К)]]*Пр3!D83</f>
        <v>0.159041873357228</v>
      </c>
      <c r="E8" s="75">
        <v>466.8</v>
      </c>
      <c r="F8" s="75">
        <v>2.99</v>
      </c>
      <c r="G8" s="75">
        <v>66.24</v>
      </c>
      <c r="H8" s="76">
        <f>Пр5_Физические_свойства_воды[[#This Row],[Динамическая вязкость μ,
мкПа*с]]*Пр5_Физические_свойства_воды[[#This Row],[Удельный объём,
м3/кг]]</f>
        <v>0.47478228</v>
      </c>
      <c r="I8" s="82">
        <v>0.0010171</v>
      </c>
    </row>
    <row r="9" ht="18" spans="1:9">
      <c r="A9" s="74">
        <v>70</v>
      </c>
      <c r="B9" s="75">
        <v>4.19</v>
      </c>
      <c r="C9" s="75">
        <v>663</v>
      </c>
      <c r="D9" s="76">
        <f>Пр5_Физические_свойства_воды[[#This Row],[Теплопроводность λ,
мВт/(м*К)]]/Пр5_Физические_свойства_воды[[#This Row],[Теплоёмкость Ср, кДж/(кг*К)]]*Пр3!D93</f>
        <v>0.161841622911694</v>
      </c>
      <c r="E9" s="75">
        <v>404.4</v>
      </c>
      <c r="F9" s="75">
        <v>2.56</v>
      </c>
      <c r="G9" s="75">
        <v>64.49</v>
      </c>
      <c r="H9" s="76">
        <f>Пр5_Физические_свойства_воды[[#This Row],[Динамическая вязкость μ,
мкПа*с]]*Пр5_Физические_свойства_воды[[#This Row],[Удельный объём,
м3/кг]]</f>
        <v>0.41362032</v>
      </c>
      <c r="I9" s="82">
        <v>0.0010228</v>
      </c>
    </row>
    <row r="10" ht="18" spans="1:9">
      <c r="A10" s="74">
        <v>80</v>
      </c>
      <c r="B10" s="75">
        <v>4.197</v>
      </c>
      <c r="C10" s="75">
        <v>669.8</v>
      </c>
      <c r="D10" s="76">
        <f>Пр5_Физические_свойства_воды[[#This Row],[Теплопроводность λ,
мВт/(м*К)]]/Пр5_Физические_свойства_воды[[#This Row],[Теплоёмкость Ср, кДж/(кг*К)]]*Пр3!D103</f>
        <v>0.164250216821539</v>
      </c>
      <c r="E10" s="75">
        <v>354.9</v>
      </c>
      <c r="F10" s="75">
        <v>2.22</v>
      </c>
      <c r="G10" s="75">
        <v>62.68</v>
      </c>
      <c r="H10" s="76">
        <f>Пр5_Физические_свойства_воды[[#This Row],[Динамическая вязкость μ,
мкПа*с]]*Пр5_Физические_свойства_воды[[#This Row],[Удельный объём,
м3/кг]]</f>
        <v>0.36526308</v>
      </c>
      <c r="I10" s="82">
        <v>0.0010292</v>
      </c>
    </row>
    <row r="11" ht="18" spans="1:9">
      <c r="A11" s="74">
        <v>90</v>
      </c>
      <c r="B11" s="75">
        <v>4.205</v>
      </c>
      <c r="C11" s="75">
        <v>675.1</v>
      </c>
      <c r="D11" s="76">
        <f>Пр5_Физические_свойства_воды[[#This Row],[Теплопроводность λ,
мВт/(м*К)]]/Пр5_Физические_свойства_воды[[#This Row],[Теплоёмкость Ср, кДж/(кг*К)]]*Пр3!D113</f>
        <v>0.166342713436385</v>
      </c>
      <c r="E11" s="75">
        <v>314.9</v>
      </c>
      <c r="F11" s="75">
        <v>1.93</v>
      </c>
      <c r="G11" s="75">
        <v>60.82</v>
      </c>
      <c r="H11" s="76">
        <f>Пр5_Физические_свойства_воды[[#This Row],[Динамическая вязкость μ,
мкПа*с]]*Пр5_Физические_свойства_воды[[#This Row],[Удельный объём,
м3/кг]]</f>
        <v>0.32626789</v>
      </c>
      <c r="I11" s="82">
        <v>0.0010361</v>
      </c>
    </row>
    <row r="12" ht="18" spans="1:9">
      <c r="A12" s="74">
        <v>100</v>
      </c>
      <c r="B12" s="75">
        <v>4.216</v>
      </c>
      <c r="C12" s="75">
        <v>678.8</v>
      </c>
      <c r="D12" s="76">
        <f>Пр5_Физические_свойства_воды[[#This Row],[Теплопроводность λ,
мВт/(м*К)]]/Пр5_Физические_свойства_воды[[#This Row],[Теплоёмкость Ср, кДж/(кг*К)]]*Пр3!D123</f>
        <v>0.168041641366224</v>
      </c>
      <c r="E12" s="75">
        <v>282.1</v>
      </c>
      <c r="F12" s="75">
        <v>1.75</v>
      </c>
      <c r="G12" s="75">
        <v>58.92</v>
      </c>
      <c r="H12" s="76">
        <f>Пр5_Физические_свойства_воды[[#This Row],[Динамическая вязкость μ,
мкПа*с]]*Пр5_Физические_свойства_воды[[#This Row],[Удельный объём,
м3/кг]]</f>
        <v>0.29442777</v>
      </c>
      <c r="I12" s="82">
        <v>0.0010437</v>
      </c>
    </row>
    <row r="13" ht="18" spans="1:9">
      <c r="A13" s="74">
        <v>110</v>
      </c>
      <c r="B13" s="75">
        <v>4.229</v>
      </c>
      <c r="C13" s="75">
        <v>681.3</v>
      </c>
      <c r="D13" s="76">
        <f>Пр5_Физические_свойства_воды[[#This Row],[Теплопроводность λ,
мВт/(м*К)]]/Пр5_Физические_свойства_воды[[#This Row],[Теплоёмкость Ср, кДж/(кг*К)]]*Пр3!D133</f>
        <v>0.169463104752897</v>
      </c>
      <c r="E13" s="75">
        <v>254.9</v>
      </c>
      <c r="F13" s="75">
        <v>1.58</v>
      </c>
      <c r="G13" s="75">
        <v>56.97</v>
      </c>
      <c r="H13" s="76">
        <f>Пр5_Физические_свойства_воды[[#This Row],[Динамическая вязкость μ,
мкПа*с]]*Пр5_Физические_свойства_воды[[#This Row],[Удельный объём,
м3/кг]]</f>
        <v>0.26812931</v>
      </c>
      <c r="I13" s="82">
        <v>0.0010519</v>
      </c>
    </row>
    <row r="14" ht="18" spans="1:9">
      <c r="A14" s="74">
        <v>120</v>
      </c>
      <c r="B14" s="75">
        <v>4.245</v>
      </c>
      <c r="C14" s="75">
        <v>683</v>
      </c>
      <c r="D14" s="76">
        <f>Пр5_Физические_свойства_воды[[#This Row],[Теплопроводность λ,
мВт/(м*К)]]/Пр5_Физические_свойства_воды[[#This Row],[Теплоёмкость Ср, кДж/(кг*К)]]*Пр3!D143</f>
        <v>0.170645418138987</v>
      </c>
      <c r="E14" s="75">
        <v>232.1</v>
      </c>
      <c r="F14" s="75">
        <v>1.44</v>
      </c>
      <c r="G14" s="75">
        <v>54.97</v>
      </c>
      <c r="H14" s="76">
        <f>Пр5_Физические_свойства_воды[[#This Row],[Динамическая вязкость μ,
мкПа*с]]*Пр5_Физические_свойства_воды[[#This Row],[Удельный объём,
м3/кг]]</f>
        <v>0.24616526</v>
      </c>
      <c r="I14" s="82">
        <v>0.0010606</v>
      </c>
    </row>
    <row r="15" ht="18" spans="1:9">
      <c r="A15" s="74">
        <v>130</v>
      </c>
      <c r="B15" s="75">
        <v>4.263</v>
      </c>
      <c r="C15" s="75">
        <v>683.4</v>
      </c>
      <c r="D15" s="76">
        <f>Пр5_Физические_свойства_воды[[#This Row],[Теплопроводность λ,
мВт/(м*К)]]/Пр5_Физические_свойства_воды[[#This Row],[Теплоёмкость Ср, кДж/(кг*К)]]*Пр3!D153</f>
        <v>0.171531315974666</v>
      </c>
      <c r="E15" s="75">
        <v>212.7</v>
      </c>
      <c r="F15" s="75">
        <v>1.33</v>
      </c>
      <c r="G15" s="75">
        <v>52.94</v>
      </c>
      <c r="H15" s="76">
        <f>Пр5_Физические_свойства_воды[[#This Row],[Динамическая вязкость μ,
мкПа*с]]*Пр5_Физические_свойства_воды[[#This Row],[Удельный объём,
м3/кг]]</f>
        <v>0.227589</v>
      </c>
      <c r="I15" s="82">
        <v>0.00107</v>
      </c>
    </row>
    <row r="16" ht="18" spans="1:9">
      <c r="A16" s="74">
        <v>140</v>
      </c>
      <c r="B16" s="75">
        <v>4.285</v>
      </c>
      <c r="C16" s="75">
        <v>682.9</v>
      </c>
      <c r="D16" s="76">
        <f>Пр5_Физические_свойства_воды[[#This Row],[Теплопроводность λ,
мВт/(м*К)]]/Пр5_Физические_свойства_воды[[#This Row],[Теплоёмкость Ср, кДж/(кг*К)]]*Пр3!D163</f>
        <v>0.172135423570595</v>
      </c>
      <c r="E16" s="75">
        <v>196.1</v>
      </c>
      <c r="F16" s="75">
        <v>1.23</v>
      </c>
      <c r="G16" s="75">
        <v>50.86</v>
      </c>
      <c r="H16" s="76">
        <f>Пр5_Физические_свойства_воды[[#This Row],[Динамическая вязкость μ,
мкПа*с]]*Пр5_Физические_свойства_воды[[#This Row],[Удельный объём,
м3/кг]]</f>
        <v>0.21180761</v>
      </c>
      <c r="I16" s="82">
        <v>0.0010801</v>
      </c>
    </row>
    <row r="17" ht="18" spans="1:9">
      <c r="A17" s="74">
        <v>150</v>
      </c>
      <c r="B17" s="75">
        <v>4.31</v>
      </c>
      <c r="C17" s="75">
        <v>681.7</v>
      </c>
      <c r="D17" s="76">
        <f>Пр5_Физические_свойства_воды[[#This Row],[Теплопроводность λ,
мВт/(м*К)]]/Пр5_Физические_свойства_воды[[#This Row],[Теплоёмкость Ср, кДж/(кг*К)]]*Пр3!D173</f>
        <v>0.172528621809745</v>
      </c>
      <c r="E17" s="75">
        <v>181.9</v>
      </c>
      <c r="F17" s="77">
        <v>1.15</v>
      </c>
      <c r="G17" s="75">
        <v>48.75</v>
      </c>
      <c r="H17" s="76">
        <f>Пр5_Физические_свойства_воды[[#This Row],[Динамическая вязкость μ,
мкПа*с]]*Пр5_Физические_свойства_воды[[#This Row],[Удельный объём,
м3/кг]]</f>
        <v>0.19841652</v>
      </c>
      <c r="I17" s="82">
        <v>0.0010908</v>
      </c>
    </row>
    <row r="18" ht="18" spans="1:9">
      <c r="A18" s="74">
        <v>160</v>
      </c>
      <c r="B18" s="75">
        <v>4.339</v>
      </c>
      <c r="C18" s="75">
        <v>679.7</v>
      </c>
      <c r="D18" s="76">
        <f>Пр5_Физические_свойства_воды[[#This Row],[Теплопроводность λ,
мВт/(м*К)]]/Пр5_Физические_свойства_воды[[#This Row],[Теплоёмкость Ср, кДж/(кг*К)]]*Пр3!D183</f>
        <v>0.172658525005762</v>
      </c>
      <c r="E18" s="75">
        <v>169.6</v>
      </c>
      <c r="F18" s="75">
        <v>1.08</v>
      </c>
      <c r="G18" s="75">
        <v>46.6</v>
      </c>
      <c r="H18" s="76">
        <f>Пр5_Физические_свойства_воды[[#This Row],[Динамическая вязкость μ,
мкПа*с]]*Пр5_Физические_свойства_воды[[#This Row],[Удельный объём,
м3/кг]]</f>
        <v>0.18693312</v>
      </c>
      <c r="I18" s="82">
        <v>0.0011022</v>
      </c>
    </row>
    <row r="19" ht="18" spans="1:9">
      <c r="A19" s="74">
        <v>170</v>
      </c>
      <c r="B19" s="75">
        <v>4.371</v>
      </c>
      <c r="C19" s="75">
        <v>676.8</v>
      </c>
      <c r="D19" s="76">
        <f>Пр5_Физические_свойства_воды[[#This Row],[Теплопроводность λ,
мВт/(м*К)]]/Пр5_Физические_свойства_воды[[#This Row],[Теплоёмкость Ср, кДж/(кг*К)]]*Пр3!D193</f>
        <v>0.172567741935484</v>
      </c>
      <c r="E19" s="75">
        <v>158.8</v>
      </c>
      <c r="F19" s="75">
        <v>1.03</v>
      </c>
      <c r="G19" s="75">
        <v>44.41</v>
      </c>
      <c r="H19" s="76">
        <f>Пр5_Физические_свойства_воды[[#This Row],[Динамическая вязкость μ,
мкПа*с]]*Пр5_Физические_свойства_воды[[#This Row],[Удельный объём,
м3/кг]]</f>
        <v>0.1769826</v>
      </c>
      <c r="I19" s="82">
        <v>0.0011145</v>
      </c>
    </row>
    <row r="20" ht="18" spans="1:9">
      <c r="A20" s="74">
        <v>180</v>
      </c>
      <c r="B20" s="75">
        <v>4.408</v>
      </c>
      <c r="C20" s="75">
        <v>673.2</v>
      </c>
      <c r="D20" s="76">
        <f>Пр5_Физические_свойства_воды[[#This Row],[Теплопроводность λ,
мВт/(м*К)]]/Пр5_Физические_свойства_воды[[#This Row],[Теплоёмкость Ср, кДж/(кг*К)]]*Пр3!D203</f>
        <v>0.17219441923775</v>
      </c>
      <c r="E20" s="75">
        <v>149.4</v>
      </c>
      <c r="F20" s="75">
        <v>0.978</v>
      </c>
      <c r="G20" s="75">
        <v>42.2</v>
      </c>
      <c r="H20" s="76">
        <f>Пр5_Физические_свойства_воды[[#This Row],[Динамическая вязкость μ,
мкПа*с]]*Пр5_Физические_свойства_воды[[#This Row],[Удельный объём,
м3/кг]]</f>
        <v>0.1684485</v>
      </c>
      <c r="I20" s="82">
        <v>0.0011275</v>
      </c>
    </row>
    <row r="21" ht="18" spans="1:9">
      <c r="A21" s="74">
        <v>190</v>
      </c>
      <c r="B21" s="75">
        <v>4.449</v>
      </c>
      <c r="C21" s="75">
        <v>668.7</v>
      </c>
      <c r="D21" s="76">
        <f>Пр5_Физические_свойства_воды[[#This Row],[Теплопроводность λ,
мВт/(м*К)]]/Пр5_Физические_свойства_воды[[#This Row],[Теплоёмкость Ср, кДж/(кг*К)]]*Пр3!D213</f>
        <v>0.17157137559002</v>
      </c>
      <c r="E21" s="75">
        <v>141</v>
      </c>
      <c r="F21" s="75">
        <v>0.938</v>
      </c>
      <c r="G21" s="75">
        <v>39.95</v>
      </c>
      <c r="H21" s="76">
        <f>Пр5_Физические_свойства_воды[[#This Row],[Динамическая вязкость μ,
мкПа*с]]*Пр5_Физические_свойства_воды[[#This Row],[Удельный объём,
м3/кг]]</f>
        <v>0.1609515</v>
      </c>
      <c r="I21" s="82">
        <v>0.0011415</v>
      </c>
    </row>
    <row r="22" ht="18" spans="1:9">
      <c r="A22" s="74">
        <v>200</v>
      </c>
      <c r="B22" s="75">
        <v>4.497</v>
      </c>
      <c r="C22" s="75">
        <v>663.3</v>
      </c>
      <c r="D22" s="76">
        <f>Пр5_Физические_свойства_воды[[#This Row],[Теплопроводность λ,
мВт/(м*К)]]/Пр5_Физические_свойства_воды[[#This Row],[Теплоёмкость Ср, кДж/(кг*К)]]*Пр3!D223</f>
        <v>0.170581821214143</v>
      </c>
      <c r="E22" s="75">
        <v>133.6</v>
      </c>
      <c r="F22" s="75">
        <v>0.906</v>
      </c>
      <c r="G22" s="75">
        <v>37.68</v>
      </c>
      <c r="H22" s="76">
        <f>Пр5_Физические_свойства_воды[[#This Row],[Динамическая вязкость μ,
мкПа*с]]*Пр5_Физические_свойства_воды[[#This Row],[Удельный объём,
м3/кг]]</f>
        <v>0.1545084</v>
      </c>
      <c r="I22" s="82">
        <v>0.0011565</v>
      </c>
    </row>
    <row r="23" ht="18" spans="1:9">
      <c r="A23" s="74">
        <v>210</v>
      </c>
      <c r="B23" s="75">
        <v>4.551</v>
      </c>
      <c r="C23" s="75">
        <v>657.1</v>
      </c>
      <c r="D23" s="76">
        <f>Пр5_Физические_свойства_воды[[#This Row],[Теплопроводность λ,
мВт/(м*К)]]/Пр5_Физические_свойства_воды[[#This Row],[Теплоёмкость Ср, кДж/(кг*К)]]*Пр3!D233</f>
        <v>0.169306846846847</v>
      </c>
      <c r="E23" s="75">
        <v>127</v>
      </c>
      <c r="F23" s="75">
        <v>0.88</v>
      </c>
      <c r="G23" s="75">
        <v>35.39</v>
      </c>
      <c r="H23" s="76">
        <f>Пр5_Физические_свойства_воды[[#This Row],[Динамическая вязкость μ,
мкПа*с]]*Пр5_Физические_свойства_воды[[#This Row],[Удельный объём,
м3/кг]]</f>
        <v>0.1489202</v>
      </c>
      <c r="I23" s="82">
        <v>0.0011726</v>
      </c>
    </row>
    <row r="24" ht="18" spans="1:9">
      <c r="A24" s="74">
        <v>220</v>
      </c>
      <c r="B24" s="75">
        <v>4.614</v>
      </c>
      <c r="C24" s="75">
        <v>649.8</v>
      </c>
      <c r="D24" s="76">
        <f>Пр5_Физические_свойства_воды[[#This Row],[Теплопроводность λ,
мВт/(м*К)]]/Пр5_Физические_свойства_воды[[#This Row],[Теплоёмкость Ср, кДж/(кг*К)]]*Пр3!D243</f>
        <v>0.167590377113134</v>
      </c>
      <c r="E24" s="75">
        <v>121</v>
      </c>
      <c r="F24" s="75">
        <v>0.859</v>
      </c>
      <c r="G24" s="75">
        <v>33.8</v>
      </c>
      <c r="H24" s="76">
        <f>Пр5_Физические_свойства_воды[[#This Row],[Динамическая вязкость μ,
мкПа*с]]*Пр5_Физические_свойства_воды[[#This Row],[Удельный объём,
м3/кг]]</f>
        <v>0.14399</v>
      </c>
      <c r="I24" s="82">
        <v>0.00119</v>
      </c>
    </row>
    <row r="25" ht="18" spans="1:9">
      <c r="A25" s="74">
        <v>230</v>
      </c>
      <c r="B25" s="75">
        <v>4.686</v>
      </c>
      <c r="C25" s="75">
        <v>641.5</v>
      </c>
      <c r="D25" s="76">
        <f>Пр5_Физические_свойства_воды[[#This Row],[Теплопроводность λ,
мВт/(м*К)]]/Пр5_Физические_свойства_воды[[#This Row],[Теплоёмкость Ср, кДж/(кг*К)]]*Пр3!D253</f>
        <v>0.16546757362356</v>
      </c>
      <c r="E25" s="75">
        <v>115.5</v>
      </c>
      <c r="F25" s="75">
        <v>0.844</v>
      </c>
      <c r="G25" s="75">
        <v>30.75</v>
      </c>
      <c r="H25" s="76">
        <f>Пр5_Физические_свойства_воды[[#This Row],[Динамическая вязкость μ,
мкПа*с]]*Пр5_Физические_свойства_воды[[#This Row],[Удельный объём,
м3/кг]]</f>
        <v>0.13960485</v>
      </c>
      <c r="I25" s="82">
        <v>0.0012087</v>
      </c>
    </row>
    <row r="26" ht="18" spans="1:9">
      <c r="A26" s="74">
        <v>240</v>
      </c>
      <c r="B26" s="75">
        <v>4.77</v>
      </c>
      <c r="C26" s="75">
        <v>632.1</v>
      </c>
      <c r="D26" s="76">
        <f>Пр5_Физические_свойства_воды[[#This Row],[Теплопроводность λ,
мВт/(м*К)]]/Пр5_Физические_свойства_воды[[#This Row],[Теплоёмкость Ср, кДж/(кг*К)]]*Пр3!D263</f>
        <v>0.162875075471698</v>
      </c>
      <c r="E26" s="75">
        <v>110.5</v>
      </c>
      <c r="F26" s="75">
        <v>0.834</v>
      </c>
      <c r="G26" s="75">
        <v>28.4</v>
      </c>
      <c r="H26" s="76">
        <f>Пр5_Физические_свойства_воды[[#This Row],[Динамическая вязкость μ,
мкПа*с]]*Пр5_Физические_свойства_воды[[#This Row],[Удельный объём,
м3/кг]]</f>
        <v>0.13581555</v>
      </c>
      <c r="I26" s="82">
        <v>0.0012291</v>
      </c>
    </row>
    <row r="27" ht="18" spans="1:9">
      <c r="A27" s="74">
        <v>250</v>
      </c>
      <c r="B27" s="75">
        <v>4.869</v>
      </c>
      <c r="C27" s="75">
        <v>621.5</v>
      </c>
      <c r="D27" s="76">
        <f>Пр5_Физические_свойства_воды[[#This Row],[Теплопроводность λ,
мВт/(м*К)]]/Пр5_Физические_свойства_воды[[#This Row],[Теплоёмкость Ср, кДж/(кг*К)]]*Пр3!D273</f>
        <v>0.159721287738755</v>
      </c>
      <c r="E27" s="75">
        <v>105.8</v>
      </c>
      <c r="F27" s="75">
        <v>0.829</v>
      </c>
      <c r="G27" s="75">
        <v>26.5</v>
      </c>
      <c r="H27" s="76">
        <f>Пр5_Физические_свойства_воды[[#This Row],[Динамическая вязкость μ,
мкПа*с]]*Пр5_Физические_свойства_воды[[#This Row],[Удельный объём,
м3/кг]]</f>
        <v>0.13238754</v>
      </c>
      <c r="I27" s="82">
        <v>0.0012513</v>
      </c>
    </row>
    <row r="28" ht="18" spans="1:9">
      <c r="A28" s="74">
        <v>260</v>
      </c>
      <c r="B28" s="75">
        <v>4.986</v>
      </c>
      <c r="C28" s="75">
        <v>609.6</v>
      </c>
      <c r="D28" s="76">
        <f>Пр5_Физические_свойства_воды[[#This Row],[Теплопроводность λ,
мВт/(м*К)]]/Пр5_Физические_свойства_воды[[#This Row],[Теплоёмкость Ср, кДж/(кг*К)]]*Пр3!D283</f>
        <v>0.155957833935018</v>
      </c>
      <c r="E28" s="75">
        <v>101.5</v>
      </c>
      <c r="F28" s="75">
        <v>0.83</v>
      </c>
      <c r="G28" s="75">
        <v>23.7</v>
      </c>
      <c r="H28" s="76">
        <f>Пр5_Физические_свойства_воды[[#This Row],[Динамическая вязкость μ,
мкПа*с]]*Пр5_Физические_свойства_воды[[#This Row],[Удельный объём,
м3/кг]]</f>
        <v>0.1294734</v>
      </c>
      <c r="I28" s="82">
        <v>0.0012756</v>
      </c>
    </row>
    <row r="29" ht="18" spans="1:9">
      <c r="A29" s="74">
        <v>270</v>
      </c>
      <c r="B29" s="75">
        <v>5.13</v>
      </c>
      <c r="C29" s="75">
        <v>595.2</v>
      </c>
      <c r="D29" s="76">
        <f>Пр5_Физические_свойства_воды[[#This Row],[Теплопроводность λ,
мВт/(м*К)]]/Пр5_Физические_свойства_воды[[#This Row],[Теплоёмкость Ср, кДж/(кг*К)]]*Пр3!D293</f>
        <v>0.151120467836257</v>
      </c>
      <c r="E29" s="75">
        <v>97.36</v>
      </c>
      <c r="F29" s="75">
        <v>0.838</v>
      </c>
      <c r="G29" s="75">
        <v>21.35</v>
      </c>
      <c r="H29" s="76">
        <f>Пр5_Физические_свойства_воды[[#This Row],[Динамическая вязкость μ,
мкПа*с]]*Пр5_Физические_свойства_воды[[#This Row],[Удельный объём,
м3/кг]]</f>
        <v>0.1268114</v>
      </c>
      <c r="I29" s="82">
        <v>0.0013025</v>
      </c>
    </row>
    <row r="30" ht="18" spans="1:9">
      <c r="A30" s="74">
        <v>280</v>
      </c>
      <c r="B30" s="75">
        <v>5.3</v>
      </c>
      <c r="C30" s="75">
        <v>581.4</v>
      </c>
      <c r="D30" s="76">
        <f>Пр5_Физические_свойства_воды[[#This Row],[Теплопроводность λ,
мВт/(м*К)]]/Пр5_Физические_свойства_воды[[#This Row],[Теплоёмкость Ср, кДж/(кг*К)]]*Пр3!D303</f>
        <v>0.146161766037736</v>
      </c>
      <c r="E30" s="75">
        <v>93.41</v>
      </c>
      <c r="F30" s="75">
        <v>0.852</v>
      </c>
      <c r="G30" s="75">
        <v>19</v>
      </c>
      <c r="H30" s="76">
        <f>Пр5_Физические_свойства_воды[[#This Row],[Динамическая вязкость μ,
мкПа*с]]*Пр5_Физические_свойства_воды[[#This Row],[Удельный объём,
м3/кг]]</f>
        <v>0.124459484</v>
      </c>
      <c r="I30" s="82">
        <v>0.0013324</v>
      </c>
    </row>
    <row r="31" ht="18" spans="1:9">
      <c r="A31" s="74">
        <v>290</v>
      </c>
      <c r="B31" s="75">
        <v>5.51</v>
      </c>
      <c r="C31" s="75">
        <v>565.2</v>
      </c>
      <c r="D31" s="76">
        <f>Пр5_Физические_свойства_воды[[#This Row],[Теплопроводность λ,
мВт/(м*К)]]/Пр5_Физические_свойства_воды[[#This Row],[Теплоёмкость Ср, кДж/(кг*К)]]*Пр3!D313</f>
        <v>0.140110105263158</v>
      </c>
      <c r="E31" s="75">
        <v>89.58</v>
      </c>
      <c r="F31" s="75">
        <v>0.873</v>
      </c>
      <c r="G31" s="75">
        <v>16.68</v>
      </c>
      <c r="H31" s="76">
        <f>Пр5_Физические_свойства_воды[[#This Row],[Динамическая вязкость μ,
мкПа*с]]*Пр5_Физические_свойства_воды[[#This Row],[Удельный объём,
м3/кг]]</f>
        <v>0.122357322</v>
      </c>
      <c r="I31" s="82">
        <v>0.0013659</v>
      </c>
    </row>
    <row r="32" ht="18" spans="1:9">
      <c r="A32" s="74">
        <v>300</v>
      </c>
      <c r="B32" s="75">
        <v>5.77</v>
      </c>
      <c r="C32" s="75">
        <v>547.5</v>
      </c>
      <c r="D32" s="76">
        <f>Пр5_Физические_свойства_воды[[#This Row],[Теплопроводность λ,
мВт/(м*К)]]/Пр5_Физические_свойства_воды[[#This Row],[Теплоёмкость Ср, кДж/(кг*К)]]*Пр3!D323</f>
        <v>0.133231325823224</v>
      </c>
      <c r="E32" s="75">
        <v>85.81</v>
      </c>
      <c r="F32" s="75">
        <v>0.904</v>
      </c>
      <c r="G32" s="75">
        <v>14.37</v>
      </c>
      <c r="H32" s="76">
        <f>Пр5_Физические_свойства_воды[[#This Row],[Динамическая вязкость μ,
мкПа*с]]*Пр5_Физические_свойства_воды[[#This Row],[Удельный объём,
м3/кг]]</f>
        <v>0.120485821</v>
      </c>
      <c r="I32" s="82">
        <v>0.0014041</v>
      </c>
    </row>
    <row r="33" ht="18" spans="1:9">
      <c r="A33" s="74">
        <v>310</v>
      </c>
      <c r="B33" s="75">
        <v>6.12</v>
      </c>
      <c r="C33" s="75">
        <v>528.7</v>
      </c>
      <c r="D33" s="76">
        <f>Пр5_Физические_свойства_воды[[#This Row],[Теплопроводность λ,
мВт/(м*К)]]/Пр5_Физические_свойства_воды[[#This Row],[Теплоёмкость Ср, кДж/(кг*К)]]*Пр3!D333</f>
        <v>0.125091111111111</v>
      </c>
      <c r="E33" s="75">
        <v>82.06</v>
      </c>
      <c r="F33" s="75">
        <v>0.95</v>
      </c>
      <c r="G33" s="75">
        <v>12.1</v>
      </c>
      <c r="H33" s="76">
        <f>Пр5_Физические_свойства_воды[[#This Row],[Динамическая вязкость μ,
мкПа*с]]*Пр5_Физические_свойства_воды[[#This Row],[Удельный объём,
м3/кг]]</f>
        <v>0.11882288</v>
      </c>
      <c r="I33" s="82">
        <v>0.001448</v>
      </c>
    </row>
    <row r="34" ht="18" spans="1:9">
      <c r="A34" s="74">
        <v>320</v>
      </c>
      <c r="B34" s="75">
        <v>6.59</v>
      </c>
      <c r="C34" s="75">
        <v>509.1</v>
      </c>
      <c r="D34" s="76">
        <f>Пр5_Физические_свойства_воды[[#This Row],[Теплопроводность λ,
мВт/(м*К)]]/Пр5_Физические_свойства_воды[[#This Row],[Теплоёмкость Ср, кДж/(кг*К)]]*Пр3!D343</f>
        <v>0.115841494688923</v>
      </c>
      <c r="E34" s="75">
        <v>78.27</v>
      </c>
      <c r="F34" s="75">
        <v>1.01</v>
      </c>
      <c r="G34" s="75">
        <v>9.88</v>
      </c>
      <c r="H34" s="76">
        <f>Пр5_Физические_свойства_воды[[#This Row],[Динамическая вязкость μ,
мкПа*с]]*Пр5_Физические_свойства_воды[[#This Row],[Удельный объём,
м3/кг]]</f>
        <v>0.117365865</v>
      </c>
      <c r="I34" s="82">
        <v>0.0014995</v>
      </c>
    </row>
    <row r="35" ht="18" spans="1:9">
      <c r="A35" s="74">
        <v>330</v>
      </c>
      <c r="B35" s="75">
        <v>7.25</v>
      </c>
      <c r="C35" s="75">
        <v>489</v>
      </c>
      <c r="D35" s="76">
        <f>Пр5_Физические_свойства_воды[[#This Row],[Теплопроводность λ,
мВт/(м*К)]]/Пр5_Физические_свойства_воды[[#This Row],[Теплоёмкость Ср, кДж/(кг*К)]]*Пр3!D353</f>
        <v>0.105313737931034</v>
      </c>
      <c r="E35" s="75">
        <v>74.37</v>
      </c>
      <c r="F35" s="75">
        <v>1.1</v>
      </c>
      <c r="G35" s="75">
        <v>7.71</v>
      </c>
      <c r="H35" s="76">
        <f>Пр5_Физические_свойства_воды[[#This Row],[Динамическая вязкость μ,
мкПа*с]]*Пр5_Физические_свойства_воды[[#This Row],[Удельный объём,
м3/кг]]</f>
        <v>0.116121318</v>
      </c>
      <c r="I35" s="82">
        <v>0.0015614</v>
      </c>
    </row>
    <row r="36" ht="18" spans="1:9">
      <c r="A36" s="74">
        <v>340</v>
      </c>
      <c r="B36" s="75">
        <v>8.27</v>
      </c>
      <c r="C36" s="75">
        <v>468.6</v>
      </c>
      <c r="D36" s="76">
        <f>Пр5_Физические_свойства_воды[[#This Row],[Теплопроводность λ,
мВт/(м*К)]]/Пр5_Физические_свойства_воды[[#This Row],[Теплоёмкость Ср, кДж/(кг*К)]]*Пр3!D363</f>
        <v>0.0928700604594921</v>
      </c>
      <c r="E36" s="75">
        <v>70.21</v>
      </c>
      <c r="F36" s="75">
        <v>1.24</v>
      </c>
      <c r="G36" s="75">
        <v>4.64</v>
      </c>
      <c r="H36" s="76">
        <f>Пр5_Физические_свойства_воды[[#This Row],[Динамическая вязкость μ,
мкПа*с]]*Пр5_Физические_свойства_воды[[#This Row],[Удельный объём,
м3/кг]]</f>
        <v>0.11507419</v>
      </c>
      <c r="I36" s="82">
        <v>0.001639</v>
      </c>
    </row>
    <row r="37" ht="18" spans="1:9">
      <c r="A37" s="74">
        <v>350</v>
      </c>
      <c r="B37" s="75">
        <v>10.08</v>
      </c>
      <c r="C37" s="75">
        <v>445</v>
      </c>
      <c r="D37" s="76">
        <f>Пр5_Физические_свойства_воды[[#This Row],[Теплопроводность λ,
мВт/(м*К)]]/Пр5_Физические_свойства_воды[[#This Row],[Теплоёмкость Ср, кДж/(кг*К)]]*Пр3!D373</f>
        <v>0.076846378968254</v>
      </c>
      <c r="E37" s="75">
        <v>65.68</v>
      </c>
      <c r="F37" s="75">
        <v>1.49</v>
      </c>
      <c r="G37" s="75">
        <v>3.68</v>
      </c>
      <c r="H37" s="76">
        <f>Пр5_Физические_свойства_воды[[#This Row],[Динамическая вязкость μ,
мкПа*с]]*Пр5_Физические_свойства_воды[[#This Row],[Удельный объём,
м3/кг]]</f>
        <v>0.114329176</v>
      </c>
      <c r="I37" s="82">
        <v>0.0017407</v>
      </c>
    </row>
    <row r="38" ht="18" spans="1:9">
      <c r="A38" s="74">
        <v>360</v>
      </c>
      <c r="B38" s="75">
        <v>14.99</v>
      </c>
      <c r="C38" s="75">
        <v>423.1</v>
      </c>
      <c r="D38" s="76">
        <f>Пр5_Физические_свойства_воды[[#This Row],[Теплопроводность λ,
мВт/(м*К)]]/Пр5_Физические_свойства_воды[[#This Row],[Теплоёмкость Ср, кДж/(кг*К)]]*Пр3!D383</f>
        <v>0.0534308405603736</v>
      </c>
      <c r="E38" s="75">
        <v>60.21</v>
      </c>
      <c r="F38" s="75">
        <v>2.13</v>
      </c>
      <c r="G38" s="75">
        <v>1.89</v>
      </c>
      <c r="H38" s="76">
        <f>Пр5_Физические_свойства_воды[[#This Row],[Динамическая вязкость μ,
мкПа*с]]*Пр5_Физические_свойства_воды[[#This Row],[Удельный объём,
м3/кг]]</f>
        <v>0.11397753</v>
      </c>
      <c r="I38" s="82">
        <v>0.001893</v>
      </c>
    </row>
    <row r="39" ht="18" spans="1:9">
      <c r="A39" s="74">
        <v>370</v>
      </c>
      <c r="B39" s="75">
        <v>53.9</v>
      </c>
      <c r="C39" s="75">
        <v>424</v>
      </c>
      <c r="D39" s="76">
        <f>Пр5_Физические_свойства_воды[[#This Row],[Теплопроводность λ,
мВт/(м*К)]]/Пр5_Физические_свойства_воды[[#This Row],[Теплоёмкость Ср, кДж/(кг*К)]]*Пр3!D393</f>
        <v>0.0175499814471243</v>
      </c>
      <c r="E39" s="75">
        <v>51.43</v>
      </c>
      <c r="F39" s="75">
        <v>6.54</v>
      </c>
      <c r="G39" s="75">
        <v>0.396</v>
      </c>
      <c r="H39" s="76">
        <f>Пр5_Физические_свойства_воды[[#This Row],[Динамическая вязкость μ,
мкПа*с]]*Пр5_Физические_свойства_воды[[#This Row],[Удельный объём,
м3/кг]]</f>
        <v>0.11474033</v>
      </c>
      <c r="I39" s="82">
        <v>0.002231</v>
      </c>
    </row>
    <row r="40" ht="18" spans="1:9">
      <c r="A40" s="74">
        <v>371</v>
      </c>
      <c r="B40" s="75">
        <v>72.5</v>
      </c>
      <c r="C40" s="75">
        <v>436</v>
      </c>
      <c r="D40" s="76">
        <f>Пр5_Физические_свойства_воды[[#This Row],[Теплопроводность λ,
мВт/(м*К)]]/Пр5_Физические_свойства_воды[[#This Row],[Теплоёмкость Ср, кДж/(кг*К)]]*Пр3!D394</f>
        <v>0.0138196965517241</v>
      </c>
      <c r="E40" s="75">
        <v>50.07</v>
      </c>
      <c r="F40" s="75">
        <v>8.33</v>
      </c>
      <c r="G40" s="75">
        <v>0.28</v>
      </c>
      <c r="H40" s="76">
        <f>Пр5_Физические_свойства_воды[[#This Row],[Динамическая вязкость μ,
мкПа*с]]*Пр5_Физические_свойства_воды[[#This Row],[Удельный объём,
м3/кг]]</f>
        <v>0.11506086</v>
      </c>
      <c r="I40" s="82">
        <v>0.002298</v>
      </c>
    </row>
    <row r="41" ht="18" spans="1:9">
      <c r="A41" s="74">
        <v>372</v>
      </c>
      <c r="B41" s="75">
        <v>126</v>
      </c>
      <c r="C41" s="75">
        <v>474</v>
      </c>
      <c r="D41" s="76">
        <f>Пр5_Физические_свойства_воды[[#This Row],[Теплопроводность λ,
мВт/(м*К)]]/Пр5_Физические_свойства_воды[[#This Row],[Теплоёмкость Ср, кДж/(кг*К)]]*Пр3!D395</f>
        <v>0.00899847619047619</v>
      </c>
      <c r="E41" s="75">
        <v>48.6</v>
      </c>
      <c r="F41" s="75">
        <v>12.9</v>
      </c>
      <c r="G41" s="75">
        <v>0.176</v>
      </c>
      <c r="H41" s="76">
        <f>Пр5_Физические_свойства_воды[[#This Row],[Динамическая вязкость μ,
мкПа*с]]*Пр5_Физические_свойства_воды[[#This Row],[Удельный объём,
м3/кг]]</f>
        <v>0.1162512</v>
      </c>
      <c r="I41" s="82">
        <v>0.002392</v>
      </c>
    </row>
    <row r="42" ht="18" spans="1:9">
      <c r="A42" s="74">
        <v>373</v>
      </c>
      <c r="B42" s="75">
        <v>239.6</v>
      </c>
      <c r="C42" s="75">
        <v>538</v>
      </c>
      <c r="D42" s="76">
        <f>Пр5_Физические_свойства_воды[[#This Row],[Теплопроводность λ,
мВт/(м*К)]]/Пр5_Физические_свойства_воды[[#This Row],[Теплоёмкость Ср, кДж/(кг*К)]]*Пр3!D396</f>
        <v>0.00566965776293823</v>
      </c>
      <c r="E42" s="75">
        <v>46.8</v>
      </c>
      <c r="F42" s="75">
        <v>20.8</v>
      </c>
      <c r="G42" s="75">
        <v>0.07</v>
      </c>
      <c r="H42" s="76">
        <f>Пр5_Физические_свойства_воды[[#This Row],[Динамическая вязкость μ,
мкПа*с]]*Пр5_Физические_свойства_воды[[#This Row],[Удельный объём,
м3/кг]]</f>
        <v>0.11817</v>
      </c>
      <c r="I42" s="82">
        <v>0.002525</v>
      </c>
    </row>
    <row r="43" ht="18" spans="1:9">
      <c r="A43" s="78">
        <v>374</v>
      </c>
      <c r="B43" s="79">
        <v>3087</v>
      </c>
      <c r="C43" s="79">
        <v>1225</v>
      </c>
      <c r="D43" s="80">
        <f>Пр5_Физические_свойства_воды[[#This Row],[Теплопроводность λ,
мВт/(м*К)]]/Пр5_Физические_свойства_воды[[#This Row],[Теплоёмкость Ср, кДж/(кг*К)]]*Пр3!D397</f>
        <v>0.00112460317460317</v>
      </c>
      <c r="E43" s="79">
        <v>46.9</v>
      </c>
      <c r="F43" s="79">
        <v>118</v>
      </c>
      <c r="G43" s="79">
        <v>0</v>
      </c>
      <c r="H43" s="80">
        <f>Пр5_Физические_свойства_воды[[#This Row],[Динамическая вязкость μ,
мкПа*с]]*Пр5_Физические_свойства_воды[[#This Row],[Удельный объём,
м3/кг]]</f>
        <v>0.1329146</v>
      </c>
      <c r="I43" s="83">
        <v>0.002834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3"/>
  <sheetViews>
    <sheetView zoomScale="85" zoomScaleNormal="85" workbookViewId="0">
      <selection activeCell="N183" sqref="N183"/>
    </sheetView>
  </sheetViews>
  <sheetFormatPr defaultColWidth="9" defaultRowHeight="14.4"/>
  <cols>
    <col min="1" max="11" width="12" customWidth="1"/>
    <col min="12" max="12" width="15.4444444444444" customWidth="1"/>
  </cols>
  <sheetData>
    <row r="1" ht="55.8" spans="1:12">
      <c r="A1" s="57" t="s">
        <v>377</v>
      </c>
      <c r="B1" s="58" t="s">
        <v>378</v>
      </c>
      <c r="C1" s="58" t="s">
        <v>379</v>
      </c>
      <c r="D1" s="58" t="s">
        <v>380</v>
      </c>
      <c r="E1" s="58" t="s">
        <v>381</v>
      </c>
      <c r="F1" s="58" t="s">
        <v>382</v>
      </c>
      <c r="G1" s="58" t="s">
        <v>383</v>
      </c>
      <c r="H1" s="58" t="s">
        <v>384</v>
      </c>
      <c r="I1" s="58" t="s">
        <v>385</v>
      </c>
      <c r="J1" s="58" t="s">
        <v>386</v>
      </c>
      <c r="K1" s="66" t="s">
        <v>387</v>
      </c>
      <c r="L1" s="67" t="s">
        <v>388</v>
      </c>
    </row>
    <row r="2" ht="18" spans="1:12">
      <c r="A2" s="59">
        <v>0</v>
      </c>
      <c r="B2" s="60">
        <v>1.61</v>
      </c>
      <c r="C2" s="60">
        <v>1.48</v>
      </c>
      <c r="D2" s="60">
        <v>1.29</v>
      </c>
      <c r="E2" s="60">
        <v>1.29</v>
      </c>
      <c r="F2" s="60">
        <v>1.3</v>
      </c>
      <c r="G2" s="60">
        <v>1.27</v>
      </c>
      <c r="H2" s="60">
        <v>1.295</v>
      </c>
      <c r="I2" s="68">
        <v>1.73</v>
      </c>
      <c r="J2" s="68">
        <v>1.54</v>
      </c>
      <c r="K2" s="69">
        <v>1.87</v>
      </c>
      <c r="L2" s="64">
        <v>1.423</v>
      </c>
    </row>
    <row r="3" ht="18" spans="1:12">
      <c r="A3" s="61">
        <v>25</v>
      </c>
      <c r="B3" s="62">
        <v>1.64</v>
      </c>
      <c r="C3" s="62">
        <v>1.4825</v>
      </c>
      <c r="D3" s="62">
        <v>1.29125</v>
      </c>
      <c r="E3" s="62">
        <v>1.29125</v>
      </c>
      <c r="F3" s="62">
        <v>1.3025</v>
      </c>
      <c r="G3" s="62">
        <v>1.275</v>
      </c>
      <c r="H3" s="62">
        <v>1.29625</v>
      </c>
      <c r="I3" s="62">
        <v>1.7525</v>
      </c>
      <c r="J3" s="62">
        <v>1.5575</v>
      </c>
      <c r="K3" s="62">
        <v>1.9275</v>
      </c>
      <c r="L3" s="62">
        <v>1.423</v>
      </c>
    </row>
    <row r="4" ht="18" spans="1:12">
      <c r="A4" s="61">
        <v>50</v>
      </c>
      <c r="B4" s="62">
        <v>1.67</v>
      </c>
      <c r="C4" s="62">
        <v>1.485</v>
      </c>
      <c r="D4" s="62">
        <v>1.2925</v>
      </c>
      <c r="E4" s="62">
        <v>1.2925</v>
      </c>
      <c r="F4" s="62">
        <v>1.305</v>
      </c>
      <c r="G4" s="62">
        <v>1.28</v>
      </c>
      <c r="H4" s="62">
        <v>1.2975</v>
      </c>
      <c r="I4" s="62">
        <v>1.775</v>
      </c>
      <c r="J4" s="62">
        <v>1.575</v>
      </c>
      <c r="K4" s="62">
        <v>1.985</v>
      </c>
      <c r="L4" s="62">
        <v>1.423</v>
      </c>
    </row>
    <row r="5" ht="18" spans="1:12">
      <c r="A5" s="61">
        <v>75</v>
      </c>
      <c r="B5" s="62">
        <v>1.7</v>
      </c>
      <c r="C5" s="62">
        <v>1.4875</v>
      </c>
      <c r="D5" s="62">
        <v>1.29375</v>
      </c>
      <c r="E5" s="62">
        <v>1.29375</v>
      </c>
      <c r="F5" s="62">
        <v>1.3075</v>
      </c>
      <c r="G5" s="62">
        <v>1.285</v>
      </c>
      <c r="H5" s="62">
        <v>1.29875</v>
      </c>
      <c r="I5" s="62">
        <v>1.7975</v>
      </c>
      <c r="J5" s="62">
        <v>1.5925</v>
      </c>
      <c r="K5" s="62">
        <v>2.0425</v>
      </c>
      <c r="L5" s="62">
        <v>1.423</v>
      </c>
    </row>
    <row r="6" ht="18" spans="1:12">
      <c r="A6" s="59">
        <v>100</v>
      </c>
      <c r="B6" s="60">
        <v>1.73</v>
      </c>
      <c r="C6" s="60">
        <v>1.49</v>
      </c>
      <c r="D6" s="60">
        <v>1.295</v>
      </c>
      <c r="E6" s="60">
        <v>1.295</v>
      </c>
      <c r="F6" s="60">
        <v>1.31</v>
      </c>
      <c r="G6" s="60">
        <v>1.29</v>
      </c>
      <c r="H6" s="60">
        <v>1.3</v>
      </c>
      <c r="I6" s="68">
        <v>1.82</v>
      </c>
      <c r="J6" s="68">
        <v>1.61</v>
      </c>
      <c r="K6" s="69">
        <v>2.1</v>
      </c>
      <c r="L6" s="62">
        <v>1.423</v>
      </c>
    </row>
    <row r="7" ht="18" spans="1:12">
      <c r="A7" s="61">
        <v>125</v>
      </c>
      <c r="B7" s="62">
        <v>1.7475</v>
      </c>
      <c r="C7" s="62">
        <v>1.495</v>
      </c>
      <c r="D7" s="62">
        <v>1.29875</v>
      </c>
      <c r="E7" s="62">
        <v>1.29625</v>
      </c>
      <c r="F7" s="62">
        <v>1.315</v>
      </c>
      <c r="G7" s="62">
        <v>1.29125</v>
      </c>
      <c r="H7" s="62">
        <v>1.3025</v>
      </c>
      <c r="I7" s="62">
        <v>1.8325</v>
      </c>
      <c r="J7" s="62">
        <v>1.6425</v>
      </c>
      <c r="K7" s="62">
        <v>2.155</v>
      </c>
      <c r="L7" s="62">
        <v>1.423</v>
      </c>
    </row>
    <row r="8" ht="18" spans="1:12">
      <c r="A8" s="61">
        <v>150</v>
      </c>
      <c r="B8" s="62">
        <v>1.765</v>
      </c>
      <c r="C8" s="62">
        <v>1.5</v>
      </c>
      <c r="D8" s="62">
        <v>1.3025</v>
      </c>
      <c r="E8" s="62">
        <v>1.2975</v>
      </c>
      <c r="F8" s="62">
        <v>1.32</v>
      </c>
      <c r="G8" s="62">
        <v>1.2925</v>
      </c>
      <c r="H8" s="62">
        <v>1.305</v>
      </c>
      <c r="I8" s="62">
        <v>1.845</v>
      </c>
      <c r="J8" s="62">
        <v>1.675</v>
      </c>
      <c r="K8" s="62">
        <v>2.21</v>
      </c>
      <c r="L8" s="62">
        <v>1.423</v>
      </c>
    </row>
    <row r="9" ht="18" spans="1:12">
      <c r="A9" s="61">
        <v>175</v>
      </c>
      <c r="B9" s="62">
        <v>1.7825</v>
      </c>
      <c r="C9" s="62">
        <v>1.505</v>
      </c>
      <c r="D9" s="62">
        <v>1.30625</v>
      </c>
      <c r="E9" s="62">
        <v>1.29875</v>
      </c>
      <c r="F9" s="62">
        <v>1.325</v>
      </c>
      <c r="G9" s="62">
        <v>1.29375</v>
      </c>
      <c r="H9" s="62">
        <v>1.3075</v>
      </c>
      <c r="I9" s="62">
        <v>1.8575</v>
      </c>
      <c r="J9" s="62">
        <v>1.7075</v>
      </c>
      <c r="K9" s="62">
        <v>2.265</v>
      </c>
      <c r="L9" s="62">
        <v>1.423</v>
      </c>
    </row>
    <row r="10" ht="18" spans="1:12">
      <c r="A10" s="59">
        <v>200</v>
      </c>
      <c r="B10" s="60">
        <v>1.8</v>
      </c>
      <c r="C10" s="60">
        <v>1.51</v>
      </c>
      <c r="D10" s="60">
        <v>1.31</v>
      </c>
      <c r="E10" s="60">
        <v>1.3</v>
      </c>
      <c r="F10" s="60">
        <v>1.33</v>
      </c>
      <c r="G10" s="60">
        <v>1.295</v>
      </c>
      <c r="H10" s="60">
        <v>1.31</v>
      </c>
      <c r="I10" s="68">
        <v>1.87</v>
      </c>
      <c r="J10" s="68">
        <v>1.74</v>
      </c>
      <c r="K10" s="69">
        <v>2.32</v>
      </c>
      <c r="L10" s="64">
        <v>1.423</v>
      </c>
    </row>
    <row r="11" ht="18" spans="1:12">
      <c r="A11" s="63">
        <v>250</v>
      </c>
      <c r="B11" s="64">
        <v>1.835</v>
      </c>
      <c r="C11" s="64">
        <v>1.525</v>
      </c>
      <c r="D11" s="64">
        <v>1.315</v>
      </c>
      <c r="E11" s="64">
        <v>1.305</v>
      </c>
      <c r="F11" s="64">
        <v>1.34</v>
      </c>
      <c r="G11" s="64">
        <v>1.2975</v>
      </c>
      <c r="H11" s="64">
        <v>1.3125</v>
      </c>
      <c r="I11" s="64">
        <v>1.915</v>
      </c>
      <c r="J11" s="64">
        <v>1.81</v>
      </c>
      <c r="K11" s="64">
        <v>2.42</v>
      </c>
      <c r="L11" s="62">
        <v>1.43225</v>
      </c>
    </row>
    <row r="12" ht="18" spans="1:12">
      <c r="A12" s="59">
        <v>300</v>
      </c>
      <c r="B12" s="60">
        <v>1.87</v>
      </c>
      <c r="C12" s="60">
        <v>1.54</v>
      </c>
      <c r="D12" s="60">
        <v>1.32</v>
      </c>
      <c r="E12" s="60">
        <v>1.31</v>
      </c>
      <c r="F12" s="60">
        <v>1.35</v>
      </c>
      <c r="G12" s="60">
        <v>1.3</v>
      </c>
      <c r="H12" s="60">
        <v>1.315</v>
      </c>
      <c r="I12" s="68">
        <v>1.96</v>
      </c>
      <c r="J12" s="68">
        <v>1.88</v>
      </c>
      <c r="K12" s="69">
        <v>2.52</v>
      </c>
      <c r="L12" s="62">
        <v>1.4415</v>
      </c>
    </row>
    <row r="13" ht="18" spans="1:12">
      <c r="A13" s="63">
        <v>350</v>
      </c>
      <c r="B13" s="64">
        <v>1.905</v>
      </c>
      <c r="C13" s="64">
        <v>1.55</v>
      </c>
      <c r="D13" s="64">
        <v>1.325</v>
      </c>
      <c r="E13" s="64">
        <v>1.315</v>
      </c>
      <c r="F13" s="64">
        <v>1.36</v>
      </c>
      <c r="G13" s="64">
        <v>1.3</v>
      </c>
      <c r="H13" s="64">
        <v>1.3225</v>
      </c>
      <c r="I13" s="64">
        <v>1.98</v>
      </c>
      <c r="J13" s="64">
        <v>1.94</v>
      </c>
      <c r="K13" s="64">
        <v>2.62</v>
      </c>
      <c r="L13" s="62">
        <v>1.45075</v>
      </c>
    </row>
    <row r="14" ht="18" spans="1:12">
      <c r="A14" s="65">
        <v>400</v>
      </c>
      <c r="B14" s="62">
        <v>1.94</v>
      </c>
      <c r="C14" s="62">
        <v>1.56</v>
      </c>
      <c r="D14" s="62">
        <v>1.33</v>
      </c>
      <c r="E14" s="62">
        <v>1.32</v>
      </c>
      <c r="F14" s="62">
        <v>1.37</v>
      </c>
      <c r="G14" s="62">
        <v>1.3</v>
      </c>
      <c r="H14" s="62">
        <v>1.33</v>
      </c>
      <c r="I14" s="62">
        <v>2</v>
      </c>
      <c r="J14" s="62">
        <v>2</v>
      </c>
      <c r="K14" s="62">
        <v>2.72</v>
      </c>
      <c r="L14" s="64">
        <v>1.46</v>
      </c>
    </row>
    <row r="15" ht="18" spans="1:12">
      <c r="A15" s="65">
        <v>410</v>
      </c>
      <c r="B15" s="62">
        <v>1.946</v>
      </c>
      <c r="C15" s="62">
        <v>1.562</v>
      </c>
      <c r="D15" s="62">
        <v>1.331</v>
      </c>
      <c r="E15" s="62">
        <v>1.321</v>
      </c>
      <c r="F15" s="62">
        <v>1.372</v>
      </c>
      <c r="G15" s="62">
        <v>1.3015</v>
      </c>
      <c r="H15" s="62">
        <v>1.3305</v>
      </c>
      <c r="I15" s="62">
        <v>2.01</v>
      </c>
      <c r="J15" s="62">
        <v>2.012</v>
      </c>
      <c r="K15" s="62">
        <v>2.738</v>
      </c>
      <c r="L15" s="62">
        <v>1.4615</v>
      </c>
    </row>
    <row r="16" ht="18" spans="1:12">
      <c r="A16" s="65">
        <v>420</v>
      </c>
      <c r="B16" s="62">
        <v>1.952</v>
      </c>
      <c r="C16" s="62">
        <v>1.564</v>
      </c>
      <c r="D16" s="62">
        <v>1.332</v>
      </c>
      <c r="E16" s="62">
        <v>1.322</v>
      </c>
      <c r="F16" s="62">
        <v>1.374</v>
      </c>
      <c r="G16" s="62">
        <v>1.303</v>
      </c>
      <c r="H16" s="62">
        <v>1.331</v>
      </c>
      <c r="I16" s="62">
        <v>2.02</v>
      </c>
      <c r="J16" s="62">
        <v>2.024</v>
      </c>
      <c r="K16" s="62">
        <v>2.756</v>
      </c>
      <c r="L16" s="62">
        <v>1.463</v>
      </c>
    </row>
    <row r="17" ht="18" spans="1:12">
      <c r="A17" s="65">
        <v>430</v>
      </c>
      <c r="B17" s="62">
        <v>1.958</v>
      </c>
      <c r="C17" s="62">
        <v>1.566</v>
      </c>
      <c r="D17" s="62">
        <v>1.333</v>
      </c>
      <c r="E17" s="62">
        <v>1.323</v>
      </c>
      <c r="F17" s="62">
        <v>1.376</v>
      </c>
      <c r="G17" s="62">
        <v>1.3045</v>
      </c>
      <c r="H17" s="62">
        <v>1.3315</v>
      </c>
      <c r="I17" s="62">
        <v>2.03</v>
      </c>
      <c r="J17" s="62">
        <v>2.036</v>
      </c>
      <c r="K17" s="62">
        <v>2.774</v>
      </c>
      <c r="L17" s="62">
        <v>1.4645</v>
      </c>
    </row>
    <row r="18" ht="18" spans="1:12">
      <c r="A18" s="65">
        <v>440</v>
      </c>
      <c r="B18" s="62">
        <v>1.964</v>
      </c>
      <c r="C18" s="62">
        <v>1.568</v>
      </c>
      <c r="D18" s="62">
        <v>1.334</v>
      </c>
      <c r="E18" s="62">
        <v>1.324</v>
      </c>
      <c r="F18" s="62">
        <v>1.378</v>
      </c>
      <c r="G18" s="62">
        <v>1.306</v>
      </c>
      <c r="H18" s="62">
        <v>1.332</v>
      </c>
      <c r="I18" s="62">
        <v>2.04</v>
      </c>
      <c r="J18" s="62">
        <v>2.048</v>
      </c>
      <c r="K18" s="62">
        <v>2.792</v>
      </c>
      <c r="L18" s="62">
        <v>1.466</v>
      </c>
    </row>
    <row r="19" ht="18" spans="1:12">
      <c r="A19" s="65">
        <v>450</v>
      </c>
      <c r="B19" s="62">
        <v>1.97</v>
      </c>
      <c r="C19" s="62">
        <v>1.57</v>
      </c>
      <c r="D19" s="62">
        <v>1.335</v>
      </c>
      <c r="E19" s="62">
        <v>1.325</v>
      </c>
      <c r="F19" s="62">
        <v>1.38</v>
      </c>
      <c r="G19" s="62">
        <v>1.3075</v>
      </c>
      <c r="H19" s="62">
        <v>1.3325</v>
      </c>
      <c r="I19" s="62">
        <v>2.05</v>
      </c>
      <c r="J19" s="62">
        <v>2.06</v>
      </c>
      <c r="K19" s="62">
        <v>2.81</v>
      </c>
      <c r="L19" s="62">
        <v>1.4675</v>
      </c>
    </row>
    <row r="20" ht="18" spans="1:12">
      <c r="A20" s="65">
        <v>460</v>
      </c>
      <c r="B20" s="62">
        <v>1.976</v>
      </c>
      <c r="C20" s="62">
        <v>1.572</v>
      </c>
      <c r="D20" s="62">
        <v>1.336</v>
      </c>
      <c r="E20" s="62">
        <v>1.326</v>
      </c>
      <c r="F20" s="62">
        <v>1.382</v>
      </c>
      <c r="G20" s="62">
        <v>1.309</v>
      </c>
      <c r="H20" s="62">
        <v>1.333</v>
      </c>
      <c r="I20" s="62">
        <v>2.06</v>
      </c>
      <c r="J20" s="62">
        <v>2.072</v>
      </c>
      <c r="K20" s="62">
        <v>2.828</v>
      </c>
      <c r="L20" s="62">
        <v>1.469</v>
      </c>
    </row>
    <row r="21" ht="18" spans="1:12">
      <c r="A21" s="65">
        <v>470</v>
      </c>
      <c r="B21" s="62">
        <v>1.982</v>
      </c>
      <c r="C21" s="62">
        <v>1.574</v>
      </c>
      <c r="D21" s="62">
        <v>1.337</v>
      </c>
      <c r="E21" s="62">
        <v>1.327</v>
      </c>
      <c r="F21" s="62">
        <v>1.384</v>
      </c>
      <c r="G21" s="62">
        <v>1.3105</v>
      </c>
      <c r="H21" s="62">
        <v>1.3335</v>
      </c>
      <c r="I21" s="62">
        <v>2.07</v>
      </c>
      <c r="J21" s="62">
        <v>2.084</v>
      </c>
      <c r="K21" s="62">
        <v>2.846</v>
      </c>
      <c r="L21" s="62">
        <v>1.4705</v>
      </c>
    </row>
    <row r="22" ht="18" spans="1:12">
      <c r="A22" s="65">
        <v>480</v>
      </c>
      <c r="B22" s="62">
        <v>1.988</v>
      </c>
      <c r="C22" s="62">
        <v>1.576</v>
      </c>
      <c r="D22" s="62">
        <v>1.338</v>
      </c>
      <c r="E22" s="62">
        <v>1.328</v>
      </c>
      <c r="F22" s="62">
        <v>1.386</v>
      </c>
      <c r="G22" s="62">
        <v>1.312</v>
      </c>
      <c r="H22" s="62">
        <v>1.334</v>
      </c>
      <c r="I22" s="62">
        <v>2.08</v>
      </c>
      <c r="J22" s="62">
        <v>2.096</v>
      </c>
      <c r="K22" s="62">
        <v>2.864</v>
      </c>
      <c r="L22" s="62">
        <v>1.472</v>
      </c>
    </row>
    <row r="23" ht="18" spans="1:12">
      <c r="A23" s="65">
        <v>490</v>
      </c>
      <c r="B23" s="62">
        <v>1.994</v>
      </c>
      <c r="C23" s="62">
        <v>1.578</v>
      </c>
      <c r="D23" s="62">
        <v>1.339</v>
      </c>
      <c r="E23" s="62">
        <v>1.329</v>
      </c>
      <c r="F23" s="62">
        <v>1.388</v>
      </c>
      <c r="G23" s="62">
        <v>1.3135</v>
      </c>
      <c r="H23" s="62">
        <v>1.3345</v>
      </c>
      <c r="I23" s="62">
        <v>2.09</v>
      </c>
      <c r="J23" s="62">
        <v>2.108</v>
      </c>
      <c r="K23" s="62">
        <v>2.882</v>
      </c>
      <c r="L23" s="62">
        <v>1.4735</v>
      </c>
    </row>
    <row r="24" ht="18" spans="1:12">
      <c r="A24" s="65">
        <v>500</v>
      </c>
      <c r="B24" s="62">
        <v>2</v>
      </c>
      <c r="C24" s="62">
        <v>1.58</v>
      </c>
      <c r="D24" s="62">
        <v>1.34</v>
      </c>
      <c r="E24" s="62">
        <v>1.33</v>
      </c>
      <c r="F24" s="62">
        <v>1.39</v>
      </c>
      <c r="G24" s="62">
        <v>1.315</v>
      </c>
      <c r="H24" s="62">
        <v>1.335</v>
      </c>
      <c r="I24" s="62">
        <v>2.1</v>
      </c>
      <c r="J24" s="62">
        <v>2.12</v>
      </c>
      <c r="K24" s="62">
        <v>2.9</v>
      </c>
      <c r="L24" s="64">
        <v>1.475</v>
      </c>
    </row>
    <row r="25" ht="18" spans="1:12">
      <c r="A25" s="65">
        <v>510</v>
      </c>
      <c r="B25" s="62">
        <v>2.005</v>
      </c>
      <c r="C25" s="62">
        <v>1.583</v>
      </c>
      <c r="D25" s="62">
        <v>1.341</v>
      </c>
      <c r="E25" s="62">
        <v>1.331</v>
      </c>
      <c r="F25" s="62">
        <v>1.392</v>
      </c>
      <c r="G25" s="62">
        <v>1.3155</v>
      </c>
      <c r="H25" s="62">
        <v>1.3355</v>
      </c>
      <c r="I25" s="62">
        <v>2.102</v>
      </c>
      <c r="J25" s="62">
        <v>2.132</v>
      </c>
      <c r="K25" s="62">
        <v>2.912</v>
      </c>
      <c r="L25" s="62">
        <v>1.4765</v>
      </c>
    </row>
    <row r="26" ht="18" spans="1:12">
      <c r="A26" s="65">
        <v>520</v>
      </c>
      <c r="B26" s="62">
        <v>2.01</v>
      </c>
      <c r="C26" s="62">
        <v>1.586</v>
      </c>
      <c r="D26" s="62">
        <v>1.342</v>
      </c>
      <c r="E26" s="62">
        <v>1.332</v>
      </c>
      <c r="F26" s="62">
        <v>1.394</v>
      </c>
      <c r="G26" s="62">
        <v>1.316</v>
      </c>
      <c r="H26" s="62">
        <v>1.336</v>
      </c>
      <c r="I26" s="62">
        <v>2.104</v>
      </c>
      <c r="J26" s="62">
        <v>2.144</v>
      </c>
      <c r="K26" s="62">
        <v>2.924</v>
      </c>
      <c r="L26" s="62">
        <v>1.478</v>
      </c>
    </row>
    <row r="27" ht="18" spans="1:12">
      <c r="A27" s="65">
        <v>530</v>
      </c>
      <c r="B27" s="62">
        <v>2.015</v>
      </c>
      <c r="C27" s="62">
        <v>1.589</v>
      </c>
      <c r="D27" s="62">
        <v>1.343</v>
      </c>
      <c r="E27" s="62">
        <v>1.333</v>
      </c>
      <c r="F27" s="62">
        <v>1.396</v>
      </c>
      <c r="G27" s="62">
        <v>1.3165</v>
      </c>
      <c r="H27" s="62">
        <v>1.3365</v>
      </c>
      <c r="I27" s="62">
        <v>2.106</v>
      </c>
      <c r="J27" s="62">
        <v>2.156</v>
      </c>
      <c r="K27" s="62">
        <v>2.936</v>
      </c>
      <c r="L27" s="62">
        <v>1.4795</v>
      </c>
    </row>
    <row r="28" ht="18" spans="1:12">
      <c r="A28" s="65">
        <v>540</v>
      </c>
      <c r="B28" s="62">
        <v>2.02</v>
      </c>
      <c r="C28" s="62">
        <v>1.592</v>
      </c>
      <c r="D28" s="62">
        <v>1.344</v>
      </c>
      <c r="E28" s="62">
        <v>1.334</v>
      </c>
      <c r="F28" s="62">
        <v>1.398</v>
      </c>
      <c r="G28" s="62">
        <v>1.317</v>
      </c>
      <c r="H28" s="62">
        <v>1.337</v>
      </c>
      <c r="I28" s="62">
        <v>2.108</v>
      </c>
      <c r="J28" s="62">
        <v>2.168</v>
      </c>
      <c r="K28" s="62">
        <v>2.948</v>
      </c>
      <c r="L28" s="62">
        <v>1.481</v>
      </c>
    </row>
    <row r="29" ht="18" spans="1:12">
      <c r="A29" s="65">
        <v>550</v>
      </c>
      <c r="B29" s="62">
        <v>2.025</v>
      </c>
      <c r="C29" s="62">
        <v>1.595</v>
      </c>
      <c r="D29" s="62">
        <v>1.345</v>
      </c>
      <c r="E29" s="62">
        <v>1.335</v>
      </c>
      <c r="F29" s="62">
        <v>1.4</v>
      </c>
      <c r="G29" s="62">
        <v>1.3175</v>
      </c>
      <c r="H29" s="62">
        <v>1.3375</v>
      </c>
      <c r="I29" s="62">
        <v>2.11</v>
      </c>
      <c r="J29" s="62">
        <v>2.18</v>
      </c>
      <c r="K29" s="62">
        <v>2.96</v>
      </c>
      <c r="L29" s="62">
        <v>1.4825</v>
      </c>
    </row>
    <row r="30" ht="18" spans="1:12">
      <c r="A30" s="65">
        <v>560</v>
      </c>
      <c r="B30" s="62">
        <v>2.03</v>
      </c>
      <c r="C30" s="62">
        <v>1.598</v>
      </c>
      <c r="D30" s="62">
        <v>1.346</v>
      </c>
      <c r="E30" s="62">
        <v>1.336</v>
      </c>
      <c r="F30" s="62">
        <v>1.402</v>
      </c>
      <c r="G30" s="62">
        <v>1.318</v>
      </c>
      <c r="H30" s="62">
        <v>1.338</v>
      </c>
      <c r="I30" s="62">
        <v>2.112</v>
      </c>
      <c r="J30" s="62">
        <v>2.192</v>
      </c>
      <c r="K30" s="62">
        <v>2.972</v>
      </c>
      <c r="L30" s="62">
        <v>1.484</v>
      </c>
    </row>
    <row r="31" ht="18" spans="1:12">
      <c r="A31" s="65">
        <v>570</v>
      </c>
      <c r="B31" s="62">
        <v>2.035</v>
      </c>
      <c r="C31" s="62">
        <v>1.601</v>
      </c>
      <c r="D31" s="62">
        <v>1.347</v>
      </c>
      <c r="E31" s="62">
        <v>1.337</v>
      </c>
      <c r="F31" s="62">
        <v>1.404</v>
      </c>
      <c r="G31" s="62">
        <v>1.3185</v>
      </c>
      <c r="H31" s="62">
        <v>1.3385</v>
      </c>
      <c r="I31" s="62">
        <v>2.114</v>
      </c>
      <c r="J31" s="62">
        <v>2.204</v>
      </c>
      <c r="K31" s="62">
        <v>2.984</v>
      </c>
      <c r="L31" s="62">
        <v>1.4855</v>
      </c>
    </row>
    <row r="32" ht="18" spans="1:12">
      <c r="A32" s="65">
        <v>580</v>
      </c>
      <c r="B32" s="62">
        <v>2.04</v>
      </c>
      <c r="C32" s="62">
        <v>1.604</v>
      </c>
      <c r="D32" s="62">
        <v>1.348</v>
      </c>
      <c r="E32" s="62">
        <v>1.338</v>
      </c>
      <c r="F32" s="62">
        <v>1.406</v>
      </c>
      <c r="G32" s="62">
        <v>1.319</v>
      </c>
      <c r="H32" s="62">
        <v>1.339</v>
      </c>
      <c r="I32" s="62">
        <v>2.116</v>
      </c>
      <c r="J32" s="62">
        <v>2.216</v>
      </c>
      <c r="K32" s="62">
        <v>2.996</v>
      </c>
      <c r="L32" s="62">
        <v>1.487</v>
      </c>
    </row>
    <row r="33" ht="18" spans="1:12">
      <c r="A33" s="65">
        <v>590</v>
      </c>
      <c r="B33" s="62">
        <v>2.045</v>
      </c>
      <c r="C33" s="62">
        <v>1.607</v>
      </c>
      <c r="D33" s="62">
        <v>1.349</v>
      </c>
      <c r="E33" s="62">
        <v>1.339</v>
      </c>
      <c r="F33" s="62">
        <v>1.408</v>
      </c>
      <c r="G33" s="62">
        <v>1.3195</v>
      </c>
      <c r="H33" s="62">
        <v>1.3395</v>
      </c>
      <c r="I33" s="62">
        <v>2.118</v>
      </c>
      <c r="J33" s="62">
        <v>2.228</v>
      </c>
      <c r="K33" s="62">
        <v>3.008</v>
      </c>
      <c r="L33" s="62">
        <v>1.4885</v>
      </c>
    </row>
    <row r="34" ht="18" spans="1:12">
      <c r="A34" s="65">
        <v>600</v>
      </c>
      <c r="B34" s="62">
        <v>2.05</v>
      </c>
      <c r="C34" s="62">
        <v>1.61</v>
      </c>
      <c r="D34" s="62">
        <v>1.35</v>
      </c>
      <c r="E34" s="62">
        <v>1.34</v>
      </c>
      <c r="F34" s="62">
        <v>1.41</v>
      </c>
      <c r="G34" s="62">
        <v>1.32</v>
      </c>
      <c r="H34" s="62">
        <v>1.34</v>
      </c>
      <c r="I34" s="62">
        <v>2.12</v>
      </c>
      <c r="J34" s="62">
        <v>2.24</v>
      </c>
      <c r="K34" s="62">
        <v>3.02</v>
      </c>
      <c r="L34" s="64">
        <v>1.49</v>
      </c>
    </row>
    <row r="35" ht="18" spans="1:12">
      <c r="A35" s="65">
        <v>610</v>
      </c>
      <c r="B35" s="62">
        <v>2.055</v>
      </c>
      <c r="C35" s="62">
        <v>1.612</v>
      </c>
      <c r="D35" s="62">
        <v>1.351</v>
      </c>
      <c r="E35" s="62">
        <v>1.341</v>
      </c>
      <c r="F35" s="62">
        <v>1.411</v>
      </c>
      <c r="G35" s="62">
        <v>1.3205</v>
      </c>
      <c r="H35" s="62">
        <v>1.343</v>
      </c>
      <c r="I35" s="62">
        <v>2.122</v>
      </c>
      <c r="J35" s="62">
        <v>2.25</v>
      </c>
      <c r="K35" s="62">
        <v>3.036</v>
      </c>
      <c r="L35" s="62">
        <v>1.4915</v>
      </c>
    </row>
    <row r="36" ht="18" spans="1:12">
      <c r="A36" s="65">
        <v>620</v>
      </c>
      <c r="B36" s="62">
        <v>2.06</v>
      </c>
      <c r="C36" s="62">
        <v>1.614</v>
      </c>
      <c r="D36" s="62">
        <v>1.352</v>
      </c>
      <c r="E36" s="62">
        <v>1.342</v>
      </c>
      <c r="F36" s="62">
        <v>1.412</v>
      </c>
      <c r="G36" s="62">
        <v>1.321</v>
      </c>
      <c r="H36" s="62">
        <v>1.346</v>
      </c>
      <c r="I36" s="62">
        <v>2.124</v>
      </c>
      <c r="J36" s="62">
        <v>2.26</v>
      </c>
      <c r="K36" s="62">
        <v>3.052</v>
      </c>
      <c r="L36" s="62">
        <v>1.493</v>
      </c>
    </row>
    <row r="37" ht="18" spans="1:12">
      <c r="A37" s="65">
        <v>630</v>
      </c>
      <c r="B37" s="62">
        <v>2.065</v>
      </c>
      <c r="C37" s="62">
        <v>1.616</v>
      </c>
      <c r="D37" s="62">
        <v>1.353</v>
      </c>
      <c r="E37" s="62">
        <v>1.343</v>
      </c>
      <c r="F37" s="62">
        <v>1.413</v>
      </c>
      <c r="G37" s="62">
        <v>1.3215</v>
      </c>
      <c r="H37" s="62">
        <v>1.349</v>
      </c>
      <c r="I37" s="62">
        <v>2.126</v>
      </c>
      <c r="J37" s="62">
        <v>2.27</v>
      </c>
      <c r="K37" s="62">
        <v>3.068</v>
      </c>
      <c r="L37" s="62">
        <v>1.4945</v>
      </c>
    </row>
    <row r="38" ht="18" spans="1:12">
      <c r="A38" s="65">
        <v>640</v>
      </c>
      <c r="B38" s="62">
        <v>2.07</v>
      </c>
      <c r="C38" s="62">
        <v>1.618</v>
      </c>
      <c r="D38" s="62">
        <v>1.354</v>
      </c>
      <c r="E38" s="62">
        <v>1.344</v>
      </c>
      <c r="F38" s="62">
        <v>1.414</v>
      </c>
      <c r="G38" s="62">
        <v>1.322</v>
      </c>
      <c r="H38" s="62">
        <v>1.352</v>
      </c>
      <c r="I38" s="62">
        <v>2.128</v>
      </c>
      <c r="J38" s="62">
        <v>2.28</v>
      </c>
      <c r="K38" s="62">
        <v>3.084</v>
      </c>
      <c r="L38" s="62">
        <v>1.496</v>
      </c>
    </row>
    <row r="39" ht="18" spans="1:12">
      <c r="A39" s="65">
        <v>650</v>
      </c>
      <c r="B39" s="62">
        <v>2.075</v>
      </c>
      <c r="C39" s="62">
        <v>1.62</v>
      </c>
      <c r="D39" s="62">
        <v>1.355</v>
      </c>
      <c r="E39" s="62">
        <v>1.345</v>
      </c>
      <c r="F39" s="62">
        <v>1.415</v>
      </c>
      <c r="G39" s="62">
        <v>1.3225</v>
      </c>
      <c r="H39" s="62">
        <v>1.355</v>
      </c>
      <c r="I39" s="62">
        <v>2.13</v>
      </c>
      <c r="J39" s="62">
        <v>2.29</v>
      </c>
      <c r="K39" s="62">
        <v>3.1</v>
      </c>
      <c r="L39" s="62">
        <v>1.4975</v>
      </c>
    </row>
    <row r="40" ht="18" spans="1:12">
      <c r="A40" s="65">
        <v>660</v>
      </c>
      <c r="B40" s="62">
        <v>2.08</v>
      </c>
      <c r="C40" s="62">
        <v>1.622</v>
      </c>
      <c r="D40" s="62">
        <v>1.356</v>
      </c>
      <c r="E40" s="62">
        <v>1.346</v>
      </c>
      <c r="F40" s="62">
        <v>1.416</v>
      </c>
      <c r="G40" s="62">
        <v>1.323</v>
      </c>
      <c r="H40" s="62">
        <v>1.358</v>
      </c>
      <c r="I40" s="62">
        <v>2.132</v>
      </c>
      <c r="J40" s="62">
        <v>2.3</v>
      </c>
      <c r="K40" s="62">
        <v>3.116</v>
      </c>
      <c r="L40" s="62">
        <v>1.499</v>
      </c>
    </row>
    <row r="41" ht="18" spans="1:12">
      <c r="A41" s="65">
        <v>670</v>
      </c>
      <c r="B41" s="62">
        <v>2.085</v>
      </c>
      <c r="C41" s="62">
        <v>1.624</v>
      </c>
      <c r="D41" s="62">
        <v>1.357</v>
      </c>
      <c r="E41" s="62">
        <v>1.347</v>
      </c>
      <c r="F41" s="62">
        <v>1.417</v>
      </c>
      <c r="G41" s="62">
        <v>1.3235</v>
      </c>
      <c r="H41" s="62">
        <v>1.361</v>
      </c>
      <c r="I41" s="62">
        <v>2.134</v>
      </c>
      <c r="J41" s="62">
        <v>2.31</v>
      </c>
      <c r="K41" s="62">
        <v>3.132</v>
      </c>
      <c r="L41" s="62">
        <v>1.5005</v>
      </c>
    </row>
    <row r="42" ht="18" spans="1:12">
      <c r="A42" s="65">
        <v>680</v>
      </c>
      <c r="B42" s="62">
        <v>2.09</v>
      </c>
      <c r="C42" s="62">
        <v>1.626</v>
      </c>
      <c r="D42" s="62">
        <v>1.358</v>
      </c>
      <c r="E42" s="62">
        <v>1.348</v>
      </c>
      <c r="F42" s="62">
        <v>1.418</v>
      </c>
      <c r="G42" s="62">
        <v>1.324</v>
      </c>
      <c r="H42" s="62">
        <v>1.364</v>
      </c>
      <c r="I42" s="62">
        <v>2.136</v>
      </c>
      <c r="J42" s="62">
        <v>2.32</v>
      </c>
      <c r="K42" s="62">
        <v>3.148</v>
      </c>
      <c r="L42" s="62">
        <v>1.502</v>
      </c>
    </row>
    <row r="43" ht="18" spans="1:12">
      <c r="A43" s="65">
        <v>690</v>
      </c>
      <c r="B43" s="62">
        <v>2.095</v>
      </c>
      <c r="C43" s="62">
        <v>1.628</v>
      </c>
      <c r="D43" s="62">
        <v>1.359</v>
      </c>
      <c r="E43" s="62">
        <v>1.349</v>
      </c>
      <c r="F43" s="62">
        <v>1.419</v>
      </c>
      <c r="G43" s="62">
        <v>1.3245</v>
      </c>
      <c r="H43" s="62">
        <v>1.367</v>
      </c>
      <c r="I43" s="62">
        <v>2.138</v>
      </c>
      <c r="J43" s="62">
        <v>2.33</v>
      </c>
      <c r="K43" s="62">
        <v>3.164</v>
      </c>
      <c r="L43" s="62">
        <v>1.5035</v>
      </c>
    </row>
    <row r="44" ht="18" spans="1:12">
      <c r="A44" s="65">
        <v>700</v>
      </c>
      <c r="B44" s="62">
        <v>2.1</v>
      </c>
      <c r="C44" s="62">
        <v>1.63</v>
      </c>
      <c r="D44" s="62">
        <v>1.36</v>
      </c>
      <c r="E44" s="62">
        <v>1.35</v>
      </c>
      <c r="F44" s="62">
        <v>1.42</v>
      </c>
      <c r="G44" s="62">
        <v>1.325</v>
      </c>
      <c r="H44" s="62">
        <v>1.37</v>
      </c>
      <c r="I44" s="62">
        <v>2.14</v>
      </c>
      <c r="J44" s="62">
        <v>2.34</v>
      </c>
      <c r="K44" s="62">
        <v>3.18</v>
      </c>
      <c r="L44" s="64">
        <v>1.505</v>
      </c>
    </row>
    <row r="45" ht="18" spans="1:12">
      <c r="A45" s="65">
        <v>710</v>
      </c>
      <c r="B45" s="62">
        <v>2.104</v>
      </c>
      <c r="C45" s="62">
        <v>1.633</v>
      </c>
      <c r="D45" s="62">
        <v>1.362</v>
      </c>
      <c r="E45" s="62">
        <v>1.351</v>
      </c>
      <c r="F45" s="62">
        <v>1.421</v>
      </c>
      <c r="G45" s="62">
        <v>1.3255</v>
      </c>
      <c r="H45" s="62">
        <v>1.371</v>
      </c>
      <c r="I45" s="62">
        <v>2.143</v>
      </c>
      <c r="J45" s="62">
        <v>2.348</v>
      </c>
      <c r="K45" s="62">
        <v>3.193</v>
      </c>
      <c r="L45" s="62">
        <v>1.5065</v>
      </c>
    </row>
    <row r="46" ht="18" spans="1:12">
      <c r="A46" s="65">
        <v>720</v>
      </c>
      <c r="B46" s="62">
        <v>2.108</v>
      </c>
      <c r="C46" s="62">
        <v>1.636</v>
      </c>
      <c r="D46" s="62">
        <v>1.364</v>
      </c>
      <c r="E46" s="62">
        <v>1.352</v>
      </c>
      <c r="F46" s="62">
        <v>1.422</v>
      </c>
      <c r="G46" s="62">
        <v>1.326</v>
      </c>
      <c r="H46" s="62">
        <v>1.372</v>
      </c>
      <c r="I46" s="62">
        <v>2.146</v>
      </c>
      <c r="J46" s="62">
        <v>2.356</v>
      </c>
      <c r="K46" s="62">
        <v>3.206</v>
      </c>
      <c r="L46" s="62">
        <v>1.508</v>
      </c>
    </row>
    <row r="47" ht="18" spans="1:12">
      <c r="A47" s="65">
        <v>730</v>
      </c>
      <c r="B47" s="62">
        <v>2.112</v>
      </c>
      <c r="C47" s="62">
        <v>1.639</v>
      </c>
      <c r="D47" s="62">
        <v>1.366</v>
      </c>
      <c r="E47" s="62">
        <v>1.353</v>
      </c>
      <c r="F47" s="62">
        <v>1.423</v>
      </c>
      <c r="G47" s="62">
        <v>1.3265</v>
      </c>
      <c r="H47" s="62">
        <v>1.373</v>
      </c>
      <c r="I47" s="62">
        <v>2.149</v>
      </c>
      <c r="J47" s="62">
        <v>2.364</v>
      </c>
      <c r="K47" s="62">
        <v>3.219</v>
      </c>
      <c r="L47" s="62">
        <v>1.5095</v>
      </c>
    </row>
    <row r="48" ht="18" spans="1:12">
      <c r="A48" s="65">
        <v>740</v>
      </c>
      <c r="B48" s="62">
        <v>2.116</v>
      </c>
      <c r="C48" s="62">
        <v>1.642</v>
      </c>
      <c r="D48" s="62">
        <v>1.368</v>
      </c>
      <c r="E48" s="62">
        <v>1.354</v>
      </c>
      <c r="F48" s="62">
        <v>1.424</v>
      </c>
      <c r="G48" s="62">
        <v>1.327</v>
      </c>
      <c r="H48" s="62">
        <v>1.374</v>
      </c>
      <c r="I48" s="62">
        <v>2.152</v>
      </c>
      <c r="J48" s="62">
        <v>2.372</v>
      </c>
      <c r="K48" s="62">
        <v>3.232</v>
      </c>
      <c r="L48" s="62">
        <v>1.511</v>
      </c>
    </row>
    <row r="49" ht="18" spans="1:12">
      <c r="A49" s="65">
        <v>750</v>
      </c>
      <c r="B49" s="62">
        <v>2.12</v>
      </c>
      <c r="C49" s="62">
        <v>1.645</v>
      </c>
      <c r="D49" s="62">
        <v>1.37</v>
      </c>
      <c r="E49" s="62">
        <v>1.355</v>
      </c>
      <c r="F49" s="62">
        <v>1.425</v>
      </c>
      <c r="G49" s="62">
        <v>1.3275</v>
      </c>
      <c r="H49" s="62">
        <v>1.375</v>
      </c>
      <c r="I49" s="62">
        <v>2.155</v>
      </c>
      <c r="J49" s="62">
        <v>2.38</v>
      </c>
      <c r="K49" s="62">
        <v>3.245</v>
      </c>
      <c r="L49" s="62">
        <v>1.5125</v>
      </c>
    </row>
    <row r="50" ht="18" spans="1:12">
      <c r="A50" s="65">
        <v>760</v>
      </c>
      <c r="B50" s="62">
        <v>2.124</v>
      </c>
      <c r="C50" s="62">
        <v>1.648</v>
      </c>
      <c r="D50" s="62">
        <v>1.372</v>
      </c>
      <c r="E50" s="62">
        <v>1.356</v>
      </c>
      <c r="F50" s="62">
        <v>1.426</v>
      </c>
      <c r="G50" s="62">
        <v>1.328</v>
      </c>
      <c r="H50" s="62">
        <v>1.376</v>
      </c>
      <c r="I50" s="62">
        <v>2.158</v>
      </c>
      <c r="J50" s="62">
        <v>2.388</v>
      </c>
      <c r="K50" s="62">
        <v>3.258</v>
      </c>
      <c r="L50" s="62">
        <v>1.514</v>
      </c>
    </row>
    <row r="51" ht="18" spans="1:12">
      <c r="A51" s="65">
        <v>770</v>
      </c>
      <c r="B51" s="62">
        <v>2.128</v>
      </c>
      <c r="C51" s="62">
        <v>1.651</v>
      </c>
      <c r="D51" s="62">
        <v>1.374</v>
      </c>
      <c r="E51" s="62">
        <v>1.357</v>
      </c>
      <c r="F51" s="62">
        <v>1.427</v>
      </c>
      <c r="G51" s="62">
        <v>1.3285</v>
      </c>
      <c r="H51" s="62">
        <v>1.377</v>
      </c>
      <c r="I51" s="62">
        <v>2.161</v>
      </c>
      <c r="J51" s="62">
        <v>2.396</v>
      </c>
      <c r="K51" s="62">
        <v>3.271</v>
      </c>
      <c r="L51" s="62">
        <v>1.5155</v>
      </c>
    </row>
    <row r="52" ht="18" spans="1:12">
      <c r="A52" s="65">
        <v>780</v>
      </c>
      <c r="B52" s="62">
        <v>2.132</v>
      </c>
      <c r="C52" s="62">
        <v>1.654</v>
      </c>
      <c r="D52" s="62">
        <v>1.376</v>
      </c>
      <c r="E52" s="62">
        <v>1.358</v>
      </c>
      <c r="F52" s="62">
        <v>1.428</v>
      </c>
      <c r="G52" s="62">
        <v>1.329</v>
      </c>
      <c r="H52" s="62">
        <v>1.378</v>
      </c>
      <c r="I52" s="62">
        <v>2.164</v>
      </c>
      <c r="J52" s="62">
        <v>2.404</v>
      </c>
      <c r="K52" s="62">
        <v>3.284</v>
      </c>
      <c r="L52" s="62">
        <v>1.517</v>
      </c>
    </row>
    <row r="53" ht="18" spans="1:12">
      <c r="A53" s="65">
        <v>790</v>
      </c>
      <c r="B53" s="62">
        <v>2.136</v>
      </c>
      <c r="C53" s="62">
        <v>1.657</v>
      </c>
      <c r="D53" s="62">
        <v>1.378</v>
      </c>
      <c r="E53" s="62">
        <v>1.359</v>
      </c>
      <c r="F53" s="62">
        <v>1.429</v>
      </c>
      <c r="G53" s="62">
        <v>1.3295</v>
      </c>
      <c r="H53" s="62">
        <v>1.379</v>
      </c>
      <c r="I53" s="62">
        <v>2.167</v>
      </c>
      <c r="J53" s="62">
        <v>2.412</v>
      </c>
      <c r="K53" s="62">
        <v>3.297</v>
      </c>
      <c r="L53" s="62">
        <v>1.5185</v>
      </c>
    </row>
    <row r="54" ht="18" spans="1:12">
      <c r="A54" s="65">
        <v>800</v>
      </c>
      <c r="B54" s="62">
        <v>2.14</v>
      </c>
      <c r="C54" s="62">
        <v>1.66</v>
      </c>
      <c r="D54" s="62">
        <v>1.38</v>
      </c>
      <c r="E54" s="62">
        <v>1.36</v>
      </c>
      <c r="F54" s="62">
        <v>1.43</v>
      </c>
      <c r="G54" s="62">
        <v>1.33</v>
      </c>
      <c r="H54" s="62">
        <v>1.38</v>
      </c>
      <c r="I54" s="62">
        <v>2.17</v>
      </c>
      <c r="J54" s="62">
        <v>2.42</v>
      </c>
      <c r="K54" s="62">
        <v>3.31</v>
      </c>
      <c r="L54" s="64">
        <v>1.52</v>
      </c>
    </row>
    <row r="55" ht="18" spans="1:12">
      <c r="A55" s="65">
        <v>810</v>
      </c>
      <c r="B55" s="62">
        <v>2.144</v>
      </c>
      <c r="C55" s="62">
        <v>1.662</v>
      </c>
      <c r="D55" s="62">
        <v>1.382</v>
      </c>
      <c r="E55" s="62">
        <v>1.362</v>
      </c>
      <c r="F55" s="62">
        <v>1.431</v>
      </c>
      <c r="G55" s="62">
        <v>1.3305</v>
      </c>
      <c r="H55" s="62">
        <v>1.3805</v>
      </c>
      <c r="I55" s="62">
        <v>2.177</v>
      </c>
      <c r="J55" s="62">
        <v>2.432</v>
      </c>
      <c r="K55" s="62">
        <v>3.321</v>
      </c>
      <c r="L55" s="62">
        <v>1.52125</v>
      </c>
    </row>
    <row r="56" ht="18" spans="1:12">
      <c r="A56" s="65">
        <v>820</v>
      </c>
      <c r="B56" s="62">
        <v>2.148</v>
      </c>
      <c r="C56" s="62">
        <v>1.664</v>
      </c>
      <c r="D56" s="62">
        <v>1.384</v>
      </c>
      <c r="E56" s="62">
        <v>1.364</v>
      </c>
      <c r="F56" s="62">
        <v>1.432</v>
      </c>
      <c r="G56" s="62">
        <v>1.331</v>
      </c>
      <c r="H56" s="62">
        <v>1.381</v>
      </c>
      <c r="I56" s="62">
        <v>2.184</v>
      </c>
      <c r="J56" s="62">
        <v>2.444</v>
      </c>
      <c r="K56" s="62">
        <v>3.332</v>
      </c>
      <c r="L56" s="62">
        <v>1.5225</v>
      </c>
    </row>
    <row r="57" ht="18" spans="1:12">
      <c r="A57" s="65">
        <v>830</v>
      </c>
      <c r="B57" s="62">
        <v>2.152</v>
      </c>
      <c r="C57" s="62">
        <v>1.666</v>
      </c>
      <c r="D57" s="62">
        <v>1.386</v>
      </c>
      <c r="E57" s="62">
        <v>1.366</v>
      </c>
      <c r="F57" s="62">
        <v>1.433</v>
      </c>
      <c r="G57" s="62">
        <v>1.3315</v>
      </c>
      <c r="H57" s="62">
        <v>1.3815</v>
      </c>
      <c r="I57" s="62">
        <v>2.191</v>
      </c>
      <c r="J57" s="62">
        <v>2.456</v>
      </c>
      <c r="K57" s="62">
        <v>3.343</v>
      </c>
      <c r="L57" s="62">
        <v>1.52375</v>
      </c>
    </row>
    <row r="58" ht="18" spans="1:12">
      <c r="A58" s="65">
        <v>840</v>
      </c>
      <c r="B58" s="62">
        <v>2.156</v>
      </c>
      <c r="C58" s="62">
        <v>1.668</v>
      </c>
      <c r="D58" s="62">
        <v>1.388</v>
      </c>
      <c r="E58" s="62">
        <v>1.368</v>
      </c>
      <c r="F58" s="62">
        <v>1.434</v>
      </c>
      <c r="G58" s="62">
        <v>1.332</v>
      </c>
      <c r="H58" s="62">
        <v>1.382</v>
      </c>
      <c r="I58" s="62">
        <v>2.198</v>
      </c>
      <c r="J58" s="62">
        <v>2.468</v>
      </c>
      <c r="K58" s="62">
        <v>3.354</v>
      </c>
      <c r="L58" s="62">
        <v>1.525</v>
      </c>
    </row>
    <row r="59" ht="18" spans="1:12">
      <c r="A59" s="65">
        <v>850</v>
      </c>
      <c r="B59" s="62">
        <v>2.16</v>
      </c>
      <c r="C59" s="62">
        <v>1.67</v>
      </c>
      <c r="D59" s="62">
        <v>1.39</v>
      </c>
      <c r="E59" s="62">
        <v>1.37</v>
      </c>
      <c r="F59" s="62">
        <v>1.435</v>
      </c>
      <c r="G59" s="62">
        <v>1.3325</v>
      </c>
      <c r="H59" s="62">
        <v>1.3825</v>
      </c>
      <c r="I59" s="62">
        <v>2.205</v>
      </c>
      <c r="J59" s="62">
        <v>2.48</v>
      </c>
      <c r="K59" s="62">
        <v>3.365</v>
      </c>
      <c r="L59" s="62">
        <v>1.52625</v>
      </c>
    </row>
    <row r="60" ht="18" spans="1:12">
      <c r="A60" s="65">
        <v>860</v>
      </c>
      <c r="B60" s="62">
        <v>2.164</v>
      </c>
      <c r="C60" s="62">
        <v>1.672</v>
      </c>
      <c r="D60" s="62">
        <v>1.392</v>
      </c>
      <c r="E60" s="62">
        <v>1.372</v>
      </c>
      <c r="F60" s="62">
        <v>1.436</v>
      </c>
      <c r="G60" s="62">
        <v>1.333</v>
      </c>
      <c r="H60" s="62">
        <v>1.383</v>
      </c>
      <c r="I60" s="62">
        <v>2.212</v>
      </c>
      <c r="J60" s="62">
        <v>2.492</v>
      </c>
      <c r="K60" s="62">
        <v>3.376</v>
      </c>
      <c r="L60" s="62">
        <v>1.5275</v>
      </c>
    </row>
    <row r="61" ht="18" spans="1:12">
      <c r="A61" s="65">
        <v>870</v>
      </c>
      <c r="B61" s="62">
        <v>2.168</v>
      </c>
      <c r="C61" s="62">
        <v>1.674</v>
      </c>
      <c r="D61" s="62">
        <v>1.394</v>
      </c>
      <c r="E61" s="62">
        <v>1.374</v>
      </c>
      <c r="F61" s="62">
        <v>1.437</v>
      </c>
      <c r="G61" s="62">
        <v>1.3335</v>
      </c>
      <c r="H61" s="62">
        <v>1.3835</v>
      </c>
      <c r="I61" s="62">
        <v>2.219</v>
      </c>
      <c r="J61" s="62">
        <v>2.504</v>
      </c>
      <c r="K61" s="62">
        <v>3.387</v>
      </c>
      <c r="L61" s="62">
        <v>1.52875</v>
      </c>
    </row>
    <row r="62" ht="18" spans="1:12">
      <c r="A62" s="65">
        <v>880</v>
      </c>
      <c r="B62" s="62">
        <v>2.172</v>
      </c>
      <c r="C62" s="62">
        <v>1.676</v>
      </c>
      <c r="D62" s="62">
        <v>1.396</v>
      </c>
      <c r="E62" s="62">
        <v>1.376</v>
      </c>
      <c r="F62" s="62">
        <v>1.438</v>
      </c>
      <c r="G62" s="62">
        <v>1.334</v>
      </c>
      <c r="H62" s="62">
        <v>1.384</v>
      </c>
      <c r="I62" s="62">
        <v>2.226</v>
      </c>
      <c r="J62" s="62">
        <v>2.516</v>
      </c>
      <c r="K62" s="62">
        <v>3.398</v>
      </c>
      <c r="L62" s="62">
        <v>1.53</v>
      </c>
    </row>
    <row r="63" ht="18" spans="1:12">
      <c r="A63" s="65">
        <v>890</v>
      </c>
      <c r="B63" s="62">
        <v>2.176</v>
      </c>
      <c r="C63" s="62">
        <v>1.678</v>
      </c>
      <c r="D63" s="62">
        <v>1.398</v>
      </c>
      <c r="E63" s="62">
        <v>1.378</v>
      </c>
      <c r="F63" s="62">
        <v>1.439</v>
      </c>
      <c r="G63" s="62">
        <v>1.3345</v>
      </c>
      <c r="H63" s="62">
        <v>1.3845</v>
      </c>
      <c r="I63" s="62">
        <v>2.233</v>
      </c>
      <c r="J63" s="62">
        <v>2.528</v>
      </c>
      <c r="K63" s="62">
        <v>3.409</v>
      </c>
      <c r="L63" s="62">
        <v>1.53125</v>
      </c>
    </row>
    <row r="64" ht="18" spans="1:12">
      <c r="A64" s="65">
        <v>900</v>
      </c>
      <c r="B64" s="62">
        <v>2.18</v>
      </c>
      <c r="C64" s="62">
        <v>1.68</v>
      </c>
      <c r="D64" s="62">
        <v>1.4</v>
      </c>
      <c r="E64" s="62">
        <v>1.38</v>
      </c>
      <c r="F64" s="62">
        <v>1.44</v>
      </c>
      <c r="G64" s="62">
        <v>1.335</v>
      </c>
      <c r="H64" s="62">
        <v>1.385</v>
      </c>
      <c r="I64" s="62">
        <v>2.24</v>
      </c>
      <c r="J64" s="62">
        <v>2.54</v>
      </c>
      <c r="K64" s="62">
        <v>3.42</v>
      </c>
      <c r="L64" s="64">
        <v>1.5325</v>
      </c>
    </row>
    <row r="65" ht="18" spans="1:12">
      <c r="A65" s="65">
        <v>910</v>
      </c>
      <c r="B65" s="62">
        <v>2.183</v>
      </c>
      <c r="C65" s="62">
        <v>1.683</v>
      </c>
      <c r="D65" s="62">
        <v>1.401</v>
      </c>
      <c r="E65" s="62">
        <v>1.381</v>
      </c>
      <c r="F65" s="62">
        <v>1.441</v>
      </c>
      <c r="G65" s="62">
        <v>1.3355</v>
      </c>
      <c r="H65" s="62">
        <v>1.3855</v>
      </c>
      <c r="I65" s="62">
        <v>2.242</v>
      </c>
      <c r="J65" s="62">
        <v>2.55</v>
      </c>
      <c r="K65" s="62">
        <v>3.431</v>
      </c>
      <c r="L65" s="62">
        <v>1.53375</v>
      </c>
    </row>
    <row r="66" ht="18" spans="1:12">
      <c r="A66" s="65">
        <v>920</v>
      </c>
      <c r="B66" s="62">
        <v>2.186</v>
      </c>
      <c r="C66" s="62">
        <v>1.686</v>
      </c>
      <c r="D66" s="62">
        <v>1.402</v>
      </c>
      <c r="E66" s="62">
        <v>1.382</v>
      </c>
      <c r="F66" s="62">
        <v>1.442</v>
      </c>
      <c r="G66" s="62">
        <v>1.336</v>
      </c>
      <c r="H66" s="62">
        <v>1.386</v>
      </c>
      <c r="I66" s="62">
        <v>2.244</v>
      </c>
      <c r="J66" s="62">
        <v>2.56</v>
      </c>
      <c r="K66" s="62">
        <v>3.442</v>
      </c>
      <c r="L66" s="62">
        <v>1.535</v>
      </c>
    </row>
    <row r="67" ht="18" spans="1:12">
      <c r="A67" s="65">
        <v>930</v>
      </c>
      <c r="B67" s="62">
        <v>2.189</v>
      </c>
      <c r="C67" s="62">
        <v>1.689</v>
      </c>
      <c r="D67" s="62">
        <v>1.403</v>
      </c>
      <c r="E67" s="62">
        <v>1.383</v>
      </c>
      <c r="F67" s="62">
        <v>1.443</v>
      </c>
      <c r="G67" s="62">
        <v>1.3365</v>
      </c>
      <c r="H67" s="62">
        <v>1.3865</v>
      </c>
      <c r="I67" s="62">
        <v>2.246</v>
      </c>
      <c r="J67" s="62">
        <v>2.57</v>
      </c>
      <c r="K67" s="62">
        <v>3.453</v>
      </c>
      <c r="L67" s="62">
        <v>1.53625</v>
      </c>
    </row>
    <row r="68" ht="18" spans="1:12">
      <c r="A68" s="65">
        <v>940</v>
      </c>
      <c r="B68" s="62">
        <v>2.192</v>
      </c>
      <c r="C68" s="62">
        <v>1.692</v>
      </c>
      <c r="D68" s="62">
        <v>1.404</v>
      </c>
      <c r="E68" s="62">
        <v>1.384</v>
      </c>
      <c r="F68" s="62">
        <v>1.444</v>
      </c>
      <c r="G68" s="62">
        <v>1.337</v>
      </c>
      <c r="H68" s="62">
        <v>1.387</v>
      </c>
      <c r="I68" s="62">
        <v>2.248</v>
      </c>
      <c r="J68" s="62">
        <v>2.58</v>
      </c>
      <c r="K68" s="62">
        <v>3.464</v>
      </c>
      <c r="L68" s="62">
        <v>1.5375</v>
      </c>
    </row>
    <row r="69" ht="18" spans="1:12">
      <c r="A69" s="65">
        <v>950</v>
      </c>
      <c r="B69" s="62">
        <v>2.195</v>
      </c>
      <c r="C69" s="62">
        <v>1.695</v>
      </c>
      <c r="D69" s="62">
        <v>1.405</v>
      </c>
      <c r="E69" s="62">
        <v>1.385</v>
      </c>
      <c r="F69" s="62">
        <v>1.445</v>
      </c>
      <c r="G69" s="62">
        <v>1.3375</v>
      </c>
      <c r="H69" s="62">
        <v>1.3875</v>
      </c>
      <c r="I69" s="62">
        <v>2.25</v>
      </c>
      <c r="J69" s="62">
        <v>2.59</v>
      </c>
      <c r="K69" s="62">
        <v>3.475</v>
      </c>
      <c r="L69" s="62">
        <v>1.53875</v>
      </c>
    </row>
    <row r="70" ht="18" spans="1:12">
      <c r="A70" s="65">
        <v>960</v>
      </c>
      <c r="B70" s="62">
        <v>2.198</v>
      </c>
      <c r="C70" s="62">
        <v>1.698</v>
      </c>
      <c r="D70" s="62">
        <v>1.406</v>
      </c>
      <c r="E70" s="62">
        <v>1.386</v>
      </c>
      <c r="F70" s="62">
        <v>1.446</v>
      </c>
      <c r="G70" s="62">
        <v>1.338</v>
      </c>
      <c r="H70" s="62">
        <v>1.388</v>
      </c>
      <c r="I70" s="62">
        <v>2.252</v>
      </c>
      <c r="J70" s="62">
        <v>2.6</v>
      </c>
      <c r="K70" s="62">
        <v>3.486</v>
      </c>
      <c r="L70" s="62">
        <v>1.54</v>
      </c>
    </row>
    <row r="71" ht="18" spans="1:12">
      <c r="A71" s="65">
        <v>970</v>
      </c>
      <c r="B71" s="62">
        <v>2.201</v>
      </c>
      <c r="C71" s="62">
        <v>1.701</v>
      </c>
      <c r="D71" s="62">
        <v>1.407</v>
      </c>
      <c r="E71" s="62">
        <v>1.387</v>
      </c>
      <c r="F71" s="62">
        <v>1.447</v>
      </c>
      <c r="G71" s="62">
        <v>1.3385</v>
      </c>
      <c r="H71" s="62">
        <v>1.3885</v>
      </c>
      <c r="I71" s="62">
        <v>2.254</v>
      </c>
      <c r="J71" s="62">
        <v>2.61</v>
      </c>
      <c r="K71" s="62">
        <v>3.497</v>
      </c>
      <c r="L71" s="62">
        <v>1.54125</v>
      </c>
    </row>
    <row r="72" ht="18" spans="1:12">
      <c r="A72" s="65">
        <v>980</v>
      </c>
      <c r="B72" s="62">
        <v>2.204</v>
      </c>
      <c r="C72" s="62">
        <v>1.704</v>
      </c>
      <c r="D72" s="62">
        <v>1.408</v>
      </c>
      <c r="E72" s="62">
        <v>1.388</v>
      </c>
      <c r="F72" s="62">
        <v>1.448</v>
      </c>
      <c r="G72" s="62">
        <v>1.339</v>
      </c>
      <c r="H72" s="62">
        <v>1.389</v>
      </c>
      <c r="I72" s="62">
        <v>2.256</v>
      </c>
      <c r="J72" s="62">
        <v>2.62</v>
      </c>
      <c r="K72" s="62">
        <v>3.508</v>
      </c>
      <c r="L72" s="62">
        <v>1.5425</v>
      </c>
    </row>
    <row r="73" ht="18" spans="1:12">
      <c r="A73" s="65">
        <v>990</v>
      </c>
      <c r="B73" s="62">
        <v>2.207</v>
      </c>
      <c r="C73" s="62">
        <v>1.707</v>
      </c>
      <c r="D73" s="62">
        <v>1.409</v>
      </c>
      <c r="E73" s="62">
        <v>1.389</v>
      </c>
      <c r="F73" s="62">
        <v>1.449</v>
      </c>
      <c r="G73" s="62">
        <v>1.3395</v>
      </c>
      <c r="H73" s="62">
        <v>1.3895</v>
      </c>
      <c r="I73" s="62">
        <v>2.258</v>
      </c>
      <c r="J73" s="62">
        <v>2.63</v>
      </c>
      <c r="K73" s="62">
        <v>3.519</v>
      </c>
      <c r="L73" s="62">
        <v>1.54375</v>
      </c>
    </row>
    <row r="74" ht="18" spans="1:12">
      <c r="A74" s="65">
        <v>1000</v>
      </c>
      <c r="B74" s="62">
        <v>2.21</v>
      </c>
      <c r="C74" s="62">
        <v>1.71</v>
      </c>
      <c r="D74" s="62">
        <v>1.41</v>
      </c>
      <c r="E74" s="62">
        <v>1.39</v>
      </c>
      <c r="F74" s="62">
        <v>1.45</v>
      </c>
      <c r="G74" s="62">
        <v>1.34</v>
      </c>
      <c r="H74" s="62">
        <v>1.39</v>
      </c>
      <c r="I74" s="62">
        <v>2.26</v>
      </c>
      <c r="J74" s="62">
        <v>2.64</v>
      </c>
      <c r="K74" s="62">
        <v>3.53</v>
      </c>
      <c r="L74" s="64">
        <v>1.545</v>
      </c>
    </row>
    <row r="75" ht="18" spans="1:12">
      <c r="A75" s="65">
        <v>1010</v>
      </c>
      <c r="B75" s="62">
        <v>2.214</v>
      </c>
      <c r="C75" s="62">
        <v>1.713</v>
      </c>
      <c r="D75" s="62">
        <v>1.411</v>
      </c>
      <c r="E75" s="62">
        <v>1.391</v>
      </c>
      <c r="F75" s="62">
        <v>1.451</v>
      </c>
      <c r="G75" s="62">
        <v>1.3405</v>
      </c>
      <c r="H75" s="62">
        <v>1.391</v>
      </c>
      <c r="I75" s="62">
        <v>2.263</v>
      </c>
      <c r="J75" s="62" t="s">
        <v>389</v>
      </c>
      <c r="K75" s="62" t="s">
        <v>389</v>
      </c>
      <c r="L75" s="62">
        <v>1.5461</v>
      </c>
    </row>
    <row r="76" ht="18" spans="1:12">
      <c r="A76" s="65">
        <v>1020</v>
      </c>
      <c r="B76" s="62">
        <v>2.218</v>
      </c>
      <c r="C76" s="62">
        <v>1.716</v>
      </c>
      <c r="D76" s="62">
        <v>1.412</v>
      </c>
      <c r="E76" s="62">
        <v>1.392</v>
      </c>
      <c r="F76" s="62">
        <v>1.452</v>
      </c>
      <c r="G76" s="62">
        <v>1.341</v>
      </c>
      <c r="H76" s="62">
        <v>1.392</v>
      </c>
      <c r="I76" s="62">
        <v>2.266</v>
      </c>
      <c r="J76" s="62" t="s">
        <v>389</v>
      </c>
      <c r="K76" s="62" t="s">
        <v>389</v>
      </c>
      <c r="L76" s="62">
        <v>1.5472</v>
      </c>
    </row>
    <row r="77" ht="18" spans="1:12">
      <c r="A77" s="65">
        <v>1030</v>
      </c>
      <c r="B77" s="62">
        <v>2.222</v>
      </c>
      <c r="C77" s="62">
        <v>1.719</v>
      </c>
      <c r="D77" s="62">
        <v>1.413</v>
      </c>
      <c r="E77" s="62">
        <v>1.393</v>
      </c>
      <c r="F77" s="62">
        <v>1.453</v>
      </c>
      <c r="G77" s="62">
        <v>1.3415</v>
      </c>
      <c r="H77" s="62">
        <v>1.393</v>
      </c>
      <c r="I77" s="62">
        <v>2.269</v>
      </c>
      <c r="J77" s="62" t="s">
        <v>389</v>
      </c>
      <c r="K77" s="62" t="s">
        <v>389</v>
      </c>
      <c r="L77" s="62">
        <v>1.5483</v>
      </c>
    </row>
    <row r="78" ht="18" spans="1:12">
      <c r="A78" s="65">
        <v>1040</v>
      </c>
      <c r="B78" s="62">
        <v>2.226</v>
      </c>
      <c r="C78" s="62">
        <v>1.722</v>
      </c>
      <c r="D78" s="62">
        <v>1.414</v>
      </c>
      <c r="E78" s="62">
        <v>1.394</v>
      </c>
      <c r="F78" s="62">
        <v>1.454</v>
      </c>
      <c r="G78" s="62">
        <v>1.342</v>
      </c>
      <c r="H78" s="62">
        <v>1.394</v>
      </c>
      <c r="I78" s="62">
        <v>2.272</v>
      </c>
      <c r="J78" s="62" t="s">
        <v>389</v>
      </c>
      <c r="K78" s="62" t="s">
        <v>389</v>
      </c>
      <c r="L78" s="62">
        <v>1.5494</v>
      </c>
    </row>
    <row r="79" ht="18" spans="1:12">
      <c r="A79" s="65">
        <v>1050</v>
      </c>
      <c r="B79" s="62">
        <v>2.23</v>
      </c>
      <c r="C79" s="62">
        <v>1.725</v>
      </c>
      <c r="D79" s="62">
        <v>1.415</v>
      </c>
      <c r="E79" s="62">
        <v>1.395</v>
      </c>
      <c r="F79" s="62">
        <v>1.455</v>
      </c>
      <c r="G79" s="62">
        <v>1.3425</v>
      </c>
      <c r="H79" s="62">
        <v>1.395</v>
      </c>
      <c r="I79" s="62">
        <v>2.275</v>
      </c>
      <c r="J79" s="62" t="s">
        <v>389</v>
      </c>
      <c r="K79" s="62" t="s">
        <v>389</v>
      </c>
      <c r="L79" s="62">
        <v>1.5505</v>
      </c>
    </row>
    <row r="80" ht="18" spans="1:12">
      <c r="A80" s="65">
        <v>1060</v>
      </c>
      <c r="B80" s="62">
        <v>2.234</v>
      </c>
      <c r="C80" s="62">
        <v>1.728</v>
      </c>
      <c r="D80" s="62">
        <v>1.416</v>
      </c>
      <c r="E80" s="62">
        <v>1.396</v>
      </c>
      <c r="F80" s="62">
        <v>1.456</v>
      </c>
      <c r="G80" s="62">
        <v>1.343</v>
      </c>
      <c r="H80" s="62">
        <v>1.396</v>
      </c>
      <c r="I80" s="62">
        <v>2.278</v>
      </c>
      <c r="J80" s="62" t="s">
        <v>389</v>
      </c>
      <c r="K80" s="62" t="s">
        <v>389</v>
      </c>
      <c r="L80" s="62">
        <v>1.5516</v>
      </c>
    </row>
    <row r="81" ht="18" spans="1:12">
      <c r="A81" s="65">
        <v>1070</v>
      </c>
      <c r="B81" s="62">
        <v>2.238</v>
      </c>
      <c r="C81" s="62">
        <v>1.731</v>
      </c>
      <c r="D81" s="62">
        <v>1.417</v>
      </c>
      <c r="E81" s="62">
        <v>1.397</v>
      </c>
      <c r="F81" s="62">
        <v>1.457</v>
      </c>
      <c r="G81" s="62">
        <v>1.3435</v>
      </c>
      <c r="H81" s="62">
        <v>1.397</v>
      </c>
      <c r="I81" s="62">
        <v>2.281</v>
      </c>
      <c r="J81" s="62" t="s">
        <v>389</v>
      </c>
      <c r="K81" s="62" t="s">
        <v>389</v>
      </c>
      <c r="L81" s="62">
        <v>1.5527</v>
      </c>
    </row>
    <row r="82" ht="18" spans="1:12">
      <c r="A82" s="65">
        <v>1080</v>
      </c>
      <c r="B82" s="62">
        <v>2.242</v>
      </c>
      <c r="C82" s="62">
        <v>1.734</v>
      </c>
      <c r="D82" s="62">
        <v>1.418</v>
      </c>
      <c r="E82" s="62">
        <v>1.398</v>
      </c>
      <c r="F82" s="62">
        <v>1.458</v>
      </c>
      <c r="G82" s="62">
        <v>1.344</v>
      </c>
      <c r="H82" s="62">
        <v>1.398</v>
      </c>
      <c r="I82" s="62">
        <v>2.284</v>
      </c>
      <c r="J82" s="62" t="s">
        <v>389</v>
      </c>
      <c r="K82" s="62" t="s">
        <v>389</v>
      </c>
      <c r="L82" s="62">
        <v>1.5538</v>
      </c>
    </row>
    <row r="83" ht="18" spans="1:12">
      <c r="A83" s="65">
        <v>1090</v>
      </c>
      <c r="B83" s="62">
        <v>2.246</v>
      </c>
      <c r="C83" s="62">
        <v>1.737</v>
      </c>
      <c r="D83" s="62">
        <v>1.419</v>
      </c>
      <c r="E83" s="62">
        <v>1.399</v>
      </c>
      <c r="F83" s="62">
        <v>1.459</v>
      </c>
      <c r="G83" s="62">
        <v>1.3445</v>
      </c>
      <c r="H83" s="62">
        <v>1.399</v>
      </c>
      <c r="I83" s="62">
        <v>2.287</v>
      </c>
      <c r="J83" s="62" t="s">
        <v>389</v>
      </c>
      <c r="K83" s="62" t="s">
        <v>389</v>
      </c>
      <c r="L83" s="62">
        <v>1.5549</v>
      </c>
    </row>
    <row r="84" ht="18" spans="1:12">
      <c r="A84" s="65">
        <v>1100</v>
      </c>
      <c r="B84" s="62">
        <v>2.25</v>
      </c>
      <c r="C84" s="62">
        <v>1.74</v>
      </c>
      <c r="D84" s="62">
        <v>1.42</v>
      </c>
      <c r="E84" s="62">
        <v>1.4</v>
      </c>
      <c r="F84" s="62">
        <v>1.46</v>
      </c>
      <c r="G84" s="62">
        <v>1.345</v>
      </c>
      <c r="H84" s="62">
        <v>1.4</v>
      </c>
      <c r="I84" s="62">
        <v>2.29</v>
      </c>
      <c r="J84" s="62" t="s">
        <v>389</v>
      </c>
      <c r="K84" s="62" t="s">
        <v>389</v>
      </c>
      <c r="L84" s="64">
        <v>1.556</v>
      </c>
    </row>
    <row r="85" ht="18" spans="1:12">
      <c r="A85" s="65">
        <v>1110</v>
      </c>
      <c r="B85" s="62">
        <v>2.252</v>
      </c>
      <c r="C85" s="62">
        <v>1.742</v>
      </c>
      <c r="D85" s="62">
        <v>1.421</v>
      </c>
      <c r="E85" s="62">
        <v>1.401</v>
      </c>
      <c r="F85" s="62">
        <v>1.461</v>
      </c>
      <c r="G85" s="62">
        <v>1.3455</v>
      </c>
      <c r="H85" s="62">
        <v>1.402</v>
      </c>
      <c r="I85" s="62">
        <v>2.2905</v>
      </c>
      <c r="J85" s="62" t="s">
        <v>389</v>
      </c>
      <c r="K85" s="62" t="s">
        <v>389</v>
      </c>
      <c r="L85" s="62">
        <v>1.5571</v>
      </c>
    </row>
    <row r="86" ht="18" spans="1:12">
      <c r="A86" s="65">
        <v>1120</v>
      </c>
      <c r="B86" s="62">
        <v>2.254</v>
      </c>
      <c r="C86" s="62">
        <v>1.744</v>
      </c>
      <c r="D86" s="62">
        <v>1.422</v>
      </c>
      <c r="E86" s="62">
        <v>1.402</v>
      </c>
      <c r="F86" s="62">
        <v>1.462</v>
      </c>
      <c r="G86" s="62">
        <v>1.346</v>
      </c>
      <c r="H86" s="62">
        <v>1.404</v>
      </c>
      <c r="I86" s="62">
        <v>2.291</v>
      </c>
      <c r="J86" s="62" t="s">
        <v>389</v>
      </c>
      <c r="K86" s="62" t="s">
        <v>389</v>
      </c>
      <c r="L86" s="62">
        <v>1.5582</v>
      </c>
    </row>
    <row r="87" ht="18" spans="1:12">
      <c r="A87" s="65">
        <v>1130</v>
      </c>
      <c r="B87" s="62">
        <v>2.256</v>
      </c>
      <c r="C87" s="62">
        <v>1.746</v>
      </c>
      <c r="D87" s="62">
        <v>1.423</v>
      </c>
      <c r="E87" s="62">
        <v>1.403</v>
      </c>
      <c r="F87" s="62">
        <v>1.463</v>
      </c>
      <c r="G87" s="62">
        <v>1.3465</v>
      </c>
      <c r="H87" s="62">
        <v>1.406</v>
      </c>
      <c r="I87" s="62">
        <v>2.2915</v>
      </c>
      <c r="J87" s="62" t="s">
        <v>389</v>
      </c>
      <c r="K87" s="62" t="s">
        <v>389</v>
      </c>
      <c r="L87" s="62">
        <v>1.5593</v>
      </c>
    </row>
    <row r="88" ht="18" spans="1:12">
      <c r="A88" s="65">
        <v>1140</v>
      </c>
      <c r="B88" s="62">
        <v>2.258</v>
      </c>
      <c r="C88" s="62">
        <v>1.748</v>
      </c>
      <c r="D88" s="62">
        <v>1.424</v>
      </c>
      <c r="E88" s="62">
        <v>1.404</v>
      </c>
      <c r="F88" s="62">
        <v>1.464</v>
      </c>
      <c r="G88" s="62">
        <v>1.347</v>
      </c>
      <c r="H88" s="62">
        <v>1.408</v>
      </c>
      <c r="I88" s="62">
        <v>2.292</v>
      </c>
      <c r="J88" s="62" t="s">
        <v>389</v>
      </c>
      <c r="K88" s="62" t="s">
        <v>389</v>
      </c>
      <c r="L88" s="62">
        <v>1.5604</v>
      </c>
    </row>
    <row r="89" ht="18" spans="1:12">
      <c r="A89" s="65">
        <v>1150</v>
      </c>
      <c r="B89" s="62">
        <v>2.26</v>
      </c>
      <c r="C89" s="62">
        <v>1.75</v>
      </c>
      <c r="D89" s="62">
        <v>1.425</v>
      </c>
      <c r="E89" s="62">
        <v>1.405</v>
      </c>
      <c r="F89" s="62">
        <v>1.465</v>
      </c>
      <c r="G89" s="62">
        <v>1.3475</v>
      </c>
      <c r="H89" s="62">
        <v>1.41</v>
      </c>
      <c r="I89" s="62">
        <v>2.2925</v>
      </c>
      <c r="J89" s="62" t="s">
        <v>389</v>
      </c>
      <c r="K89" s="62" t="s">
        <v>389</v>
      </c>
      <c r="L89" s="62">
        <v>1.5615</v>
      </c>
    </row>
    <row r="90" ht="18" spans="1:12">
      <c r="A90" s="65">
        <v>1160</v>
      </c>
      <c r="B90" s="62">
        <v>2.262</v>
      </c>
      <c r="C90" s="62">
        <v>1.752</v>
      </c>
      <c r="D90" s="62">
        <v>1.426</v>
      </c>
      <c r="E90" s="62">
        <v>1.406</v>
      </c>
      <c r="F90" s="62">
        <v>1.466</v>
      </c>
      <c r="G90" s="62">
        <v>1.348</v>
      </c>
      <c r="H90" s="62">
        <v>1.412</v>
      </c>
      <c r="I90" s="62">
        <v>2.293</v>
      </c>
      <c r="J90" s="62" t="s">
        <v>389</v>
      </c>
      <c r="K90" s="62" t="s">
        <v>389</v>
      </c>
      <c r="L90" s="62">
        <v>1.5626</v>
      </c>
    </row>
    <row r="91" ht="18" spans="1:12">
      <c r="A91" s="65">
        <v>1170</v>
      </c>
      <c r="B91" s="62">
        <v>2.264</v>
      </c>
      <c r="C91" s="62">
        <v>1.754</v>
      </c>
      <c r="D91" s="62">
        <v>1.427</v>
      </c>
      <c r="E91" s="62">
        <v>1.407</v>
      </c>
      <c r="F91" s="62">
        <v>1.467</v>
      </c>
      <c r="G91" s="62">
        <v>1.3485</v>
      </c>
      <c r="H91" s="62">
        <v>1.414</v>
      </c>
      <c r="I91" s="62">
        <v>2.2935</v>
      </c>
      <c r="J91" s="62" t="s">
        <v>389</v>
      </c>
      <c r="K91" s="62" t="s">
        <v>389</v>
      </c>
      <c r="L91" s="62">
        <v>1.5637</v>
      </c>
    </row>
    <row r="92" ht="18" spans="1:12">
      <c r="A92" s="65">
        <v>1180</v>
      </c>
      <c r="B92" s="62">
        <v>2.266</v>
      </c>
      <c r="C92" s="62">
        <v>1.756</v>
      </c>
      <c r="D92" s="62">
        <v>1.428</v>
      </c>
      <c r="E92" s="62">
        <v>1.408</v>
      </c>
      <c r="F92" s="62">
        <v>1.468</v>
      </c>
      <c r="G92" s="62">
        <v>1.349</v>
      </c>
      <c r="H92" s="62">
        <v>1.416</v>
      </c>
      <c r="I92" s="62">
        <v>2.294</v>
      </c>
      <c r="J92" s="62" t="s">
        <v>389</v>
      </c>
      <c r="K92" s="62" t="s">
        <v>389</v>
      </c>
      <c r="L92" s="62">
        <v>1.5648</v>
      </c>
    </row>
    <row r="93" ht="18" spans="1:12">
      <c r="A93" s="65">
        <v>1190</v>
      </c>
      <c r="B93" s="62">
        <v>2.268</v>
      </c>
      <c r="C93" s="62">
        <v>1.758</v>
      </c>
      <c r="D93" s="62">
        <v>1.429</v>
      </c>
      <c r="E93" s="62">
        <v>1.409</v>
      </c>
      <c r="F93" s="62">
        <v>1.469</v>
      </c>
      <c r="G93" s="62">
        <v>1.3495</v>
      </c>
      <c r="H93" s="62">
        <v>1.418</v>
      </c>
      <c r="I93" s="62">
        <v>2.2945</v>
      </c>
      <c r="J93" s="62" t="s">
        <v>389</v>
      </c>
      <c r="K93" s="62" t="s">
        <v>389</v>
      </c>
      <c r="L93" s="62">
        <v>1.5659</v>
      </c>
    </row>
    <row r="94" ht="18" spans="1:12">
      <c r="A94" s="65">
        <v>1200</v>
      </c>
      <c r="B94" s="62">
        <v>2.27</v>
      </c>
      <c r="C94" s="62">
        <v>1.76</v>
      </c>
      <c r="D94" s="62">
        <v>1.43</v>
      </c>
      <c r="E94" s="62">
        <v>1.41</v>
      </c>
      <c r="F94" s="62">
        <v>1.47</v>
      </c>
      <c r="G94" s="62">
        <v>1.35</v>
      </c>
      <c r="H94" s="62">
        <v>1.42</v>
      </c>
      <c r="I94" s="62">
        <v>2.295</v>
      </c>
      <c r="J94" s="62" t="s">
        <v>389</v>
      </c>
      <c r="K94" s="62" t="s">
        <v>389</v>
      </c>
      <c r="L94" s="64">
        <v>1.567</v>
      </c>
    </row>
    <row r="95" ht="18" spans="1:12">
      <c r="A95" s="65">
        <v>1210</v>
      </c>
      <c r="B95" s="62">
        <v>2.273</v>
      </c>
      <c r="C95" s="62">
        <v>1.762</v>
      </c>
      <c r="D95" s="62">
        <v>1.431</v>
      </c>
      <c r="E95" s="62">
        <v>1.411</v>
      </c>
      <c r="F95" s="62">
        <v>1.4705</v>
      </c>
      <c r="G95" s="62">
        <v>1.3505</v>
      </c>
      <c r="H95" s="62">
        <v>1.4205</v>
      </c>
      <c r="I95" s="62">
        <v>2.2955</v>
      </c>
      <c r="J95" s="62" t="s">
        <v>389</v>
      </c>
      <c r="K95" s="62" t="s">
        <v>389</v>
      </c>
      <c r="L95" s="62">
        <v>1.56815</v>
      </c>
    </row>
    <row r="96" ht="18" spans="1:12">
      <c r="A96" s="65">
        <v>1220</v>
      </c>
      <c r="B96" s="62">
        <v>2.276</v>
      </c>
      <c r="C96" s="62">
        <v>1.764</v>
      </c>
      <c r="D96" s="62">
        <v>1.432</v>
      </c>
      <c r="E96" s="62">
        <v>1.412</v>
      </c>
      <c r="F96" s="62">
        <v>1.471</v>
      </c>
      <c r="G96" s="62">
        <v>1.351</v>
      </c>
      <c r="H96" s="62">
        <v>1.421</v>
      </c>
      <c r="I96" s="62">
        <v>2.296</v>
      </c>
      <c r="J96" s="62" t="s">
        <v>389</v>
      </c>
      <c r="K96" s="62" t="s">
        <v>389</v>
      </c>
      <c r="L96" s="62">
        <v>1.5693</v>
      </c>
    </row>
    <row r="97" ht="18" spans="1:12">
      <c r="A97" s="65">
        <v>1230</v>
      </c>
      <c r="B97" s="62">
        <v>2.279</v>
      </c>
      <c r="C97" s="62">
        <v>1.766</v>
      </c>
      <c r="D97" s="62">
        <v>1.433</v>
      </c>
      <c r="E97" s="62">
        <v>1.413</v>
      </c>
      <c r="F97" s="62">
        <v>1.4715</v>
      </c>
      <c r="G97" s="62">
        <v>1.3515</v>
      </c>
      <c r="H97" s="62">
        <v>1.4215</v>
      </c>
      <c r="I97" s="62">
        <v>2.2965</v>
      </c>
      <c r="J97" s="62" t="s">
        <v>389</v>
      </c>
      <c r="K97" s="62" t="s">
        <v>389</v>
      </c>
      <c r="L97" s="62">
        <v>1.57045</v>
      </c>
    </row>
    <row r="98" ht="18" spans="1:12">
      <c r="A98" s="65">
        <v>1240</v>
      </c>
      <c r="B98" s="62">
        <v>2.282</v>
      </c>
      <c r="C98" s="62">
        <v>1.768</v>
      </c>
      <c r="D98" s="62">
        <v>1.434</v>
      </c>
      <c r="E98" s="62">
        <v>1.414</v>
      </c>
      <c r="F98" s="62">
        <v>1.472</v>
      </c>
      <c r="G98" s="62">
        <v>1.352</v>
      </c>
      <c r="H98" s="62">
        <v>1.422</v>
      </c>
      <c r="I98" s="62">
        <v>2.297</v>
      </c>
      <c r="J98" s="62" t="s">
        <v>389</v>
      </c>
      <c r="K98" s="62" t="s">
        <v>389</v>
      </c>
      <c r="L98" s="62">
        <v>1.5716</v>
      </c>
    </row>
    <row r="99" ht="18" spans="1:12">
      <c r="A99" s="65">
        <v>1250</v>
      </c>
      <c r="B99" s="62">
        <v>2.285</v>
      </c>
      <c r="C99" s="62">
        <v>1.77</v>
      </c>
      <c r="D99" s="62">
        <v>1.435</v>
      </c>
      <c r="E99" s="62">
        <v>1.415</v>
      </c>
      <c r="F99" s="62">
        <v>1.4725</v>
      </c>
      <c r="G99" s="62">
        <v>1.3525</v>
      </c>
      <c r="H99" s="62">
        <v>1.4225</v>
      </c>
      <c r="I99" s="62">
        <v>2.2975</v>
      </c>
      <c r="J99" s="62" t="s">
        <v>389</v>
      </c>
      <c r="K99" s="62" t="s">
        <v>389</v>
      </c>
      <c r="L99" s="62">
        <v>1.57275</v>
      </c>
    </row>
    <row r="100" ht="18" spans="1:12">
      <c r="A100" s="65">
        <v>1260</v>
      </c>
      <c r="B100" s="62">
        <v>2.288</v>
      </c>
      <c r="C100" s="62">
        <v>1.772</v>
      </c>
      <c r="D100" s="62">
        <v>1.436</v>
      </c>
      <c r="E100" s="62">
        <v>1.416</v>
      </c>
      <c r="F100" s="62">
        <v>1.473</v>
      </c>
      <c r="G100" s="62">
        <v>1.353</v>
      </c>
      <c r="H100" s="62">
        <v>1.423</v>
      </c>
      <c r="I100" s="62">
        <v>2.298</v>
      </c>
      <c r="J100" s="62" t="s">
        <v>389</v>
      </c>
      <c r="K100" s="62" t="s">
        <v>389</v>
      </c>
      <c r="L100" s="62">
        <v>1.5739</v>
      </c>
    </row>
    <row r="101" ht="18" spans="1:12">
      <c r="A101" s="65">
        <v>1270</v>
      </c>
      <c r="B101" s="62">
        <v>2.291</v>
      </c>
      <c r="C101" s="62">
        <v>1.774</v>
      </c>
      <c r="D101" s="62">
        <v>1.437</v>
      </c>
      <c r="E101" s="62">
        <v>1.417</v>
      </c>
      <c r="F101" s="62">
        <v>1.4735</v>
      </c>
      <c r="G101" s="62">
        <v>1.3535</v>
      </c>
      <c r="H101" s="62">
        <v>1.4235</v>
      </c>
      <c r="I101" s="62">
        <v>2.2985</v>
      </c>
      <c r="J101" s="62" t="s">
        <v>389</v>
      </c>
      <c r="K101" s="62" t="s">
        <v>389</v>
      </c>
      <c r="L101" s="62">
        <v>1.57505</v>
      </c>
    </row>
    <row r="102" ht="18" spans="1:12">
      <c r="A102" s="65">
        <v>1280</v>
      </c>
      <c r="B102" s="62">
        <v>2.294</v>
      </c>
      <c r="C102" s="62">
        <v>1.776</v>
      </c>
      <c r="D102" s="62">
        <v>1.438</v>
      </c>
      <c r="E102" s="62">
        <v>1.418</v>
      </c>
      <c r="F102" s="62">
        <v>1.474</v>
      </c>
      <c r="G102" s="62">
        <v>1.354</v>
      </c>
      <c r="H102" s="62">
        <v>1.424</v>
      </c>
      <c r="I102" s="62">
        <v>2.299</v>
      </c>
      <c r="J102" s="62" t="s">
        <v>389</v>
      </c>
      <c r="K102" s="62" t="s">
        <v>389</v>
      </c>
      <c r="L102" s="62">
        <v>1.5762</v>
      </c>
    </row>
    <row r="103" ht="18" spans="1:12">
      <c r="A103" s="65">
        <v>1290</v>
      </c>
      <c r="B103" s="62">
        <v>2.297</v>
      </c>
      <c r="C103" s="62">
        <v>1.778</v>
      </c>
      <c r="D103" s="62">
        <v>1.439</v>
      </c>
      <c r="E103" s="62">
        <v>1.419</v>
      </c>
      <c r="F103" s="62">
        <v>1.4745</v>
      </c>
      <c r="G103" s="62">
        <v>1.3545</v>
      </c>
      <c r="H103" s="62">
        <v>1.4245</v>
      </c>
      <c r="I103" s="62">
        <v>2.2995</v>
      </c>
      <c r="J103" s="62" t="s">
        <v>389</v>
      </c>
      <c r="K103" s="62" t="s">
        <v>389</v>
      </c>
      <c r="L103" s="62">
        <v>1.57735</v>
      </c>
    </row>
    <row r="104" ht="18" spans="1:12">
      <c r="A104" s="65">
        <v>1300</v>
      </c>
      <c r="B104" s="62">
        <v>2.3</v>
      </c>
      <c r="C104" s="62">
        <v>1.78</v>
      </c>
      <c r="D104" s="62">
        <v>1.44</v>
      </c>
      <c r="E104" s="62">
        <v>1.42</v>
      </c>
      <c r="F104" s="62">
        <v>1.475</v>
      </c>
      <c r="G104" s="62">
        <v>1.355</v>
      </c>
      <c r="H104" s="62">
        <v>1.425</v>
      </c>
      <c r="I104" s="62">
        <v>2.3</v>
      </c>
      <c r="J104" s="62" t="s">
        <v>389</v>
      </c>
      <c r="K104" s="62" t="s">
        <v>389</v>
      </c>
      <c r="L104" s="64">
        <v>1.5785</v>
      </c>
    </row>
    <row r="105" ht="18" spans="1:12">
      <c r="A105" s="65">
        <v>1310</v>
      </c>
      <c r="B105" s="62">
        <v>2.302</v>
      </c>
      <c r="C105" s="62">
        <v>1.781</v>
      </c>
      <c r="D105" s="62">
        <v>1.441</v>
      </c>
      <c r="E105" s="62">
        <v>1.422</v>
      </c>
      <c r="F105" s="62">
        <v>1.4755</v>
      </c>
      <c r="G105" s="62">
        <v>1.3555</v>
      </c>
      <c r="H105" s="62">
        <v>1.4255</v>
      </c>
      <c r="I105" s="62">
        <v>2.301</v>
      </c>
      <c r="J105" s="62" t="s">
        <v>389</v>
      </c>
      <c r="K105" s="62" t="s">
        <v>389</v>
      </c>
      <c r="L105" s="62">
        <v>1.57965</v>
      </c>
    </row>
    <row r="106" ht="18" spans="1:12">
      <c r="A106" s="65">
        <v>1320</v>
      </c>
      <c r="B106" s="62">
        <v>2.304</v>
      </c>
      <c r="C106" s="62">
        <v>1.782</v>
      </c>
      <c r="D106" s="62">
        <v>1.442</v>
      </c>
      <c r="E106" s="62">
        <v>1.424</v>
      </c>
      <c r="F106" s="62">
        <v>1.476</v>
      </c>
      <c r="G106" s="62">
        <v>1.356</v>
      </c>
      <c r="H106" s="62">
        <v>1.426</v>
      </c>
      <c r="I106" s="62">
        <v>2.302</v>
      </c>
      <c r="J106" s="62" t="s">
        <v>389</v>
      </c>
      <c r="K106" s="62" t="s">
        <v>389</v>
      </c>
      <c r="L106" s="62">
        <v>1.5808</v>
      </c>
    </row>
    <row r="107" ht="18" spans="1:12">
      <c r="A107" s="65">
        <v>1330</v>
      </c>
      <c r="B107" s="62">
        <v>2.306</v>
      </c>
      <c r="C107" s="62">
        <v>1.783</v>
      </c>
      <c r="D107" s="62">
        <v>1.443</v>
      </c>
      <c r="E107" s="62">
        <v>1.426</v>
      </c>
      <c r="F107" s="62">
        <v>1.4765</v>
      </c>
      <c r="G107" s="62">
        <v>1.3565</v>
      </c>
      <c r="H107" s="62">
        <v>1.4265</v>
      </c>
      <c r="I107" s="62">
        <v>2.303</v>
      </c>
      <c r="J107" s="62" t="s">
        <v>389</v>
      </c>
      <c r="K107" s="62" t="s">
        <v>389</v>
      </c>
      <c r="L107" s="62">
        <v>1.58195</v>
      </c>
    </row>
    <row r="108" ht="18" spans="1:12">
      <c r="A108" s="65">
        <v>1340</v>
      </c>
      <c r="B108" s="62">
        <v>2.308</v>
      </c>
      <c r="C108" s="62">
        <v>1.784</v>
      </c>
      <c r="D108" s="62">
        <v>1.444</v>
      </c>
      <c r="E108" s="62">
        <v>1.428</v>
      </c>
      <c r="F108" s="62">
        <v>1.477</v>
      </c>
      <c r="G108" s="62">
        <v>1.357</v>
      </c>
      <c r="H108" s="62">
        <v>1.427</v>
      </c>
      <c r="I108" s="62">
        <v>2.304</v>
      </c>
      <c r="J108" s="62" t="s">
        <v>389</v>
      </c>
      <c r="K108" s="62" t="s">
        <v>389</v>
      </c>
      <c r="L108" s="62">
        <v>1.5831</v>
      </c>
    </row>
    <row r="109" ht="18" spans="1:12">
      <c r="A109" s="65">
        <v>1350</v>
      </c>
      <c r="B109" s="62">
        <v>2.31</v>
      </c>
      <c r="C109" s="62">
        <v>1.785</v>
      </c>
      <c r="D109" s="62">
        <v>1.445</v>
      </c>
      <c r="E109" s="62">
        <v>1.43</v>
      </c>
      <c r="F109" s="62">
        <v>1.4775</v>
      </c>
      <c r="G109" s="62">
        <v>1.3575</v>
      </c>
      <c r="H109" s="62">
        <v>1.4275</v>
      </c>
      <c r="I109" s="62">
        <v>2.305</v>
      </c>
      <c r="J109" s="62" t="s">
        <v>389</v>
      </c>
      <c r="K109" s="62" t="s">
        <v>389</v>
      </c>
      <c r="L109" s="62">
        <v>1.58425</v>
      </c>
    </row>
    <row r="110" ht="18" spans="1:12">
      <c r="A110" s="65">
        <v>1360</v>
      </c>
      <c r="B110" s="62">
        <v>2.312</v>
      </c>
      <c r="C110" s="62">
        <v>1.786</v>
      </c>
      <c r="D110" s="62">
        <v>1.446</v>
      </c>
      <c r="E110" s="62">
        <v>1.432</v>
      </c>
      <c r="F110" s="62">
        <v>1.478</v>
      </c>
      <c r="G110" s="62">
        <v>1.358</v>
      </c>
      <c r="H110" s="62">
        <v>1.428</v>
      </c>
      <c r="I110" s="62">
        <v>2.306</v>
      </c>
      <c r="J110" s="62" t="s">
        <v>389</v>
      </c>
      <c r="K110" s="62" t="s">
        <v>389</v>
      </c>
      <c r="L110" s="62">
        <v>1.5854</v>
      </c>
    </row>
    <row r="111" ht="18" spans="1:12">
      <c r="A111" s="65">
        <v>1370</v>
      </c>
      <c r="B111" s="62">
        <v>2.314</v>
      </c>
      <c r="C111" s="62">
        <v>1.787</v>
      </c>
      <c r="D111" s="62">
        <v>1.447</v>
      </c>
      <c r="E111" s="62">
        <v>1.434</v>
      </c>
      <c r="F111" s="62">
        <v>1.4785</v>
      </c>
      <c r="G111" s="62">
        <v>1.3585</v>
      </c>
      <c r="H111" s="62">
        <v>1.4285</v>
      </c>
      <c r="I111" s="62">
        <v>2.307</v>
      </c>
      <c r="J111" s="62" t="s">
        <v>389</v>
      </c>
      <c r="K111" s="62" t="s">
        <v>389</v>
      </c>
      <c r="L111" s="62">
        <v>1.58655</v>
      </c>
    </row>
    <row r="112" ht="18" spans="1:12">
      <c r="A112" s="65">
        <v>1380</v>
      </c>
      <c r="B112" s="62">
        <v>2.316</v>
      </c>
      <c r="C112" s="62">
        <v>1.788</v>
      </c>
      <c r="D112" s="62">
        <v>1.448</v>
      </c>
      <c r="E112" s="62">
        <v>1.436</v>
      </c>
      <c r="F112" s="62">
        <v>1.479</v>
      </c>
      <c r="G112" s="62">
        <v>1.359</v>
      </c>
      <c r="H112" s="62">
        <v>1.429</v>
      </c>
      <c r="I112" s="62">
        <v>2.308</v>
      </c>
      <c r="J112" s="62" t="s">
        <v>389</v>
      </c>
      <c r="K112" s="62" t="s">
        <v>389</v>
      </c>
      <c r="L112" s="62">
        <v>1.5877</v>
      </c>
    </row>
    <row r="113" ht="18" spans="1:12">
      <c r="A113" s="65">
        <v>1390</v>
      </c>
      <c r="B113" s="62">
        <v>2.318</v>
      </c>
      <c r="C113" s="62">
        <v>1.789</v>
      </c>
      <c r="D113" s="62">
        <v>1.449</v>
      </c>
      <c r="E113" s="62">
        <v>1.438</v>
      </c>
      <c r="F113" s="62">
        <v>1.4795</v>
      </c>
      <c r="G113" s="62">
        <v>1.3595</v>
      </c>
      <c r="H113" s="62">
        <v>1.4295</v>
      </c>
      <c r="I113" s="62">
        <v>2.309</v>
      </c>
      <c r="J113" s="62" t="s">
        <v>389</v>
      </c>
      <c r="K113" s="62" t="s">
        <v>389</v>
      </c>
      <c r="L113" s="62">
        <v>1.58885</v>
      </c>
    </row>
    <row r="114" ht="18" spans="1:12">
      <c r="A114" s="70">
        <v>1400</v>
      </c>
      <c r="B114" s="71">
        <v>2.32</v>
      </c>
      <c r="C114" s="71">
        <v>1.79</v>
      </c>
      <c r="D114" s="71">
        <v>1.45</v>
      </c>
      <c r="E114" s="71">
        <v>1.44</v>
      </c>
      <c r="F114" s="71">
        <v>1.48</v>
      </c>
      <c r="G114" s="71">
        <v>1.36</v>
      </c>
      <c r="H114" s="71">
        <v>1.43</v>
      </c>
      <c r="I114" s="71">
        <v>2.31</v>
      </c>
      <c r="J114" s="71" t="s">
        <v>389</v>
      </c>
      <c r="K114" s="62" t="s">
        <v>389</v>
      </c>
      <c r="L114" s="72">
        <v>1.59</v>
      </c>
    </row>
    <row r="115" ht="18" spans="1:12">
      <c r="A115" s="70">
        <v>1500</v>
      </c>
      <c r="B115" s="64">
        <v>2.34</v>
      </c>
      <c r="C115" s="71">
        <v>1.81</v>
      </c>
      <c r="D115" s="71">
        <v>1.46</v>
      </c>
      <c r="E115" s="71">
        <v>1.445</v>
      </c>
      <c r="F115" s="71">
        <v>1.5</v>
      </c>
      <c r="G115" s="71">
        <v>1.365</v>
      </c>
      <c r="H115" s="71">
        <v>1.46</v>
      </c>
      <c r="I115" s="71">
        <v>2.315</v>
      </c>
      <c r="J115" s="71" t="s">
        <v>389</v>
      </c>
      <c r="K115" s="62" t="s">
        <v>389</v>
      </c>
      <c r="L115" s="64">
        <v>1.604</v>
      </c>
    </row>
    <row r="116" ht="18" spans="1:12">
      <c r="A116" s="70">
        <v>1600</v>
      </c>
      <c r="B116" s="64">
        <v>2.36</v>
      </c>
      <c r="C116" s="71">
        <v>1.815</v>
      </c>
      <c r="D116" s="71">
        <v>1.47</v>
      </c>
      <c r="E116" s="71">
        <v>1.45</v>
      </c>
      <c r="F116" s="71">
        <v>1.55</v>
      </c>
      <c r="G116" s="71">
        <v>1.37</v>
      </c>
      <c r="H116" s="71">
        <v>1.47</v>
      </c>
      <c r="I116" s="71">
        <v>2.32</v>
      </c>
      <c r="J116" s="71" t="s">
        <v>389</v>
      </c>
      <c r="K116" s="62" t="s">
        <v>389</v>
      </c>
      <c r="L116" s="72">
        <v>1.618</v>
      </c>
    </row>
    <row r="117" ht="18" spans="1:12">
      <c r="A117" s="70">
        <v>1700</v>
      </c>
      <c r="B117" s="64">
        <v>2.38</v>
      </c>
      <c r="C117" s="71">
        <v>1.83</v>
      </c>
      <c r="D117" s="71">
        <v>1.475</v>
      </c>
      <c r="E117" s="71">
        <v>1.46</v>
      </c>
      <c r="F117" s="71">
        <v>1.51</v>
      </c>
      <c r="G117" s="71">
        <v>1.375</v>
      </c>
      <c r="H117" s="71">
        <v>1.475</v>
      </c>
      <c r="I117" s="71">
        <v>2.325</v>
      </c>
      <c r="J117" s="71" t="s">
        <v>389</v>
      </c>
      <c r="K117" s="62" t="s">
        <v>389</v>
      </c>
      <c r="L117" s="72"/>
    </row>
    <row r="118" ht="18" spans="1:12">
      <c r="A118" s="70">
        <v>1800</v>
      </c>
      <c r="B118" s="64">
        <v>2.395</v>
      </c>
      <c r="C118" s="64">
        <v>1.875</v>
      </c>
      <c r="D118" s="64">
        <v>1.4825</v>
      </c>
      <c r="E118" s="64">
        <v>1.47</v>
      </c>
      <c r="F118" s="64">
        <v>1.52</v>
      </c>
      <c r="G118" s="64">
        <v>1.38</v>
      </c>
      <c r="H118" s="64">
        <v>1.4825</v>
      </c>
      <c r="I118" s="64">
        <v>2.33</v>
      </c>
      <c r="J118" s="71" t="s">
        <v>389</v>
      </c>
      <c r="K118" s="62" t="s">
        <v>389</v>
      </c>
      <c r="L118" s="72"/>
    </row>
    <row r="119" ht="18" spans="1:12">
      <c r="A119" s="70">
        <v>1900</v>
      </c>
      <c r="B119" s="64">
        <v>2.41</v>
      </c>
      <c r="C119" s="71">
        <v>1.92</v>
      </c>
      <c r="D119" s="64">
        <v>1.49</v>
      </c>
      <c r="E119" s="71">
        <v>1.48</v>
      </c>
      <c r="F119" s="71">
        <v>1.53</v>
      </c>
      <c r="G119" s="71">
        <v>1.385</v>
      </c>
      <c r="H119" s="71">
        <v>1.49</v>
      </c>
      <c r="I119" s="64">
        <v>2.335</v>
      </c>
      <c r="J119" s="71" t="s">
        <v>389</v>
      </c>
      <c r="K119" s="62" t="s">
        <v>389</v>
      </c>
      <c r="L119" s="72"/>
    </row>
    <row r="120" ht="18" spans="1:12">
      <c r="A120" s="70">
        <v>2000</v>
      </c>
      <c r="B120" s="64">
        <v>2.42</v>
      </c>
      <c r="C120" s="64">
        <v>1.935</v>
      </c>
      <c r="D120" s="64">
        <v>1.5</v>
      </c>
      <c r="E120" s="64">
        <v>1.49</v>
      </c>
      <c r="F120" s="64">
        <v>1.54</v>
      </c>
      <c r="G120" s="64">
        <v>1.3905</v>
      </c>
      <c r="H120" s="64">
        <v>1.5</v>
      </c>
      <c r="I120" s="64">
        <v>2.3725</v>
      </c>
      <c r="J120" s="71" t="s">
        <v>389</v>
      </c>
      <c r="K120" s="62" t="s">
        <v>389</v>
      </c>
      <c r="L120" s="72"/>
    </row>
    <row r="121" ht="18" spans="1:12">
      <c r="A121" s="70">
        <v>2100</v>
      </c>
      <c r="B121" s="64">
        <v>2.43</v>
      </c>
      <c r="C121" s="71">
        <v>1.95</v>
      </c>
      <c r="D121" s="64">
        <v>1.51</v>
      </c>
      <c r="E121" s="71">
        <v>1.5</v>
      </c>
      <c r="F121" s="71">
        <v>1.55</v>
      </c>
      <c r="G121" s="71">
        <v>1.396</v>
      </c>
      <c r="H121" s="71">
        <v>1.51</v>
      </c>
      <c r="I121" s="64">
        <v>2.41</v>
      </c>
      <c r="J121" s="71" t="s">
        <v>389</v>
      </c>
      <c r="K121" s="62" t="s">
        <v>389</v>
      </c>
      <c r="L121" s="72"/>
    </row>
    <row r="122" ht="18" spans="1:12">
      <c r="A122" s="70">
        <v>2200</v>
      </c>
      <c r="B122" s="64">
        <v>2.44</v>
      </c>
      <c r="C122" s="64">
        <v>1.97</v>
      </c>
      <c r="D122" s="64">
        <v>1.515</v>
      </c>
      <c r="E122" s="64">
        <v>1.5075</v>
      </c>
      <c r="F122" s="64">
        <v>1.5575</v>
      </c>
      <c r="G122" s="64">
        <v>1.4005</v>
      </c>
      <c r="H122" s="64">
        <v>1.515</v>
      </c>
      <c r="I122" s="64">
        <v>2.415</v>
      </c>
      <c r="J122" s="71" t="s">
        <v>389</v>
      </c>
      <c r="K122" s="62" t="s">
        <v>389</v>
      </c>
      <c r="L122" s="72"/>
    </row>
    <row r="123" ht="18" spans="1:12">
      <c r="A123" s="70">
        <v>2300</v>
      </c>
      <c r="B123" s="71">
        <v>2.45</v>
      </c>
      <c r="C123" s="71">
        <v>1.99</v>
      </c>
      <c r="D123" s="71">
        <v>1.52</v>
      </c>
      <c r="E123" s="71">
        <v>1.515</v>
      </c>
      <c r="F123" s="71">
        <v>1.565</v>
      </c>
      <c r="G123" s="71">
        <v>1.405</v>
      </c>
      <c r="H123" s="71">
        <v>1.52</v>
      </c>
      <c r="I123" s="71">
        <v>2.42</v>
      </c>
      <c r="J123" s="71" t="s">
        <v>389</v>
      </c>
      <c r="K123" s="62" t="s">
        <v>389</v>
      </c>
      <c r="L123" s="72"/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"/>
  <sheetViews>
    <sheetView zoomScale="50" zoomScaleNormal="50" workbookViewId="0">
      <selection activeCell="K34" sqref="K34"/>
    </sheetView>
  </sheetViews>
  <sheetFormatPr defaultColWidth="9" defaultRowHeight="14.4"/>
  <cols>
    <col min="1" max="1" width="31.6666666666667" customWidth="1"/>
    <col min="2" max="3" width="12.3333333333333" style="27" customWidth="1"/>
    <col min="4" max="19" width="8" style="27" customWidth="1"/>
    <col min="20" max="22" width="15.6666666666667" style="27" customWidth="1"/>
    <col min="23" max="29" width="17.8888888888889" customWidth="1"/>
    <col min="31" max="32" width="6.66666666666667" customWidth="1"/>
    <col min="33" max="38" width="7.33333333333333" customWidth="1"/>
  </cols>
  <sheetData>
    <row r="1" ht="108" spans="1:38">
      <c r="A1" s="28" t="s">
        <v>390</v>
      </c>
      <c r="B1" s="29" t="s">
        <v>391</v>
      </c>
      <c r="C1" s="29" t="s">
        <v>392</v>
      </c>
      <c r="D1" s="29" t="s">
        <v>393</v>
      </c>
      <c r="E1" s="29" t="s">
        <v>394</v>
      </c>
      <c r="F1" s="29" t="s">
        <v>395</v>
      </c>
      <c r="G1" s="29" t="s">
        <v>396</v>
      </c>
      <c r="H1" s="29" t="s">
        <v>397</v>
      </c>
      <c r="I1" s="29" t="s">
        <v>398</v>
      </c>
      <c r="J1" s="29" t="s">
        <v>399</v>
      </c>
      <c r="K1" s="29" t="s">
        <v>400</v>
      </c>
      <c r="L1" s="29" t="s">
        <v>401</v>
      </c>
      <c r="M1" s="29" t="s">
        <v>402</v>
      </c>
      <c r="N1" s="29" t="s">
        <v>403</v>
      </c>
      <c r="O1" s="29" t="s">
        <v>404</v>
      </c>
      <c r="P1" s="29" t="s">
        <v>405</v>
      </c>
      <c r="Q1" s="29" t="s">
        <v>406</v>
      </c>
      <c r="R1" s="29" t="s">
        <v>407</v>
      </c>
      <c r="S1" s="29" t="s">
        <v>408</v>
      </c>
      <c r="T1" s="29" t="s">
        <v>409</v>
      </c>
      <c r="U1" s="29" t="s">
        <v>410</v>
      </c>
      <c r="V1" s="39" t="s">
        <v>411</v>
      </c>
      <c r="W1" s="39" t="s">
        <v>412</v>
      </c>
      <c r="X1" s="39" t="s">
        <v>413</v>
      </c>
      <c r="Y1" s="39" t="s">
        <v>414</v>
      </c>
      <c r="Z1" s="39" t="s">
        <v>415</v>
      </c>
      <c r="AA1" s="39" t="s">
        <v>416</v>
      </c>
      <c r="AB1" s="39" t="s">
        <v>417</v>
      </c>
      <c r="AC1" s="46" t="s">
        <v>418</v>
      </c>
      <c r="AD1" s="46" t="s">
        <v>419</v>
      </c>
      <c r="AE1" s="47" t="s">
        <v>420</v>
      </c>
      <c r="AF1" s="48" t="s">
        <v>421</v>
      </c>
      <c r="AG1" s="48" t="s">
        <v>422</v>
      </c>
      <c r="AH1" s="48" t="s">
        <v>423</v>
      </c>
      <c r="AI1" s="48" t="s">
        <v>424</v>
      </c>
      <c r="AJ1" s="48" t="s">
        <v>425</v>
      </c>
      <c r="AK1" s="48" t="s">
        <v>426</v>
      </c>
      <c r="AL1" s="48" t="s">
        <v>427</v>
      </c>
    </row>
    <row r="2" ht="18" spans="1:38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39"/>
      <c r="X2" s="39"/>
      <c r="Y2" s="39"/>
      <c r="Z2" s="39"/>
      <c r="AA2" s="39"/>
      <c r="AB2" s="39"/>
      <c r="AC2" s="46"/>
      <c r="AD2" s="46"/>
      <c r="AE2" s="49">
        <v>600</v>
      </c>
      <c r="AF2" s="49">
        <v>800</v>
      </c>
      <c r="AG2" s="49">
        <v>1000</v>
      </c>
      <c r="AH2" s="49">
        <v>1200</v>
      </c>
      <c r="AI2" s="49">
        <v>1400</v>
      </c>
      <c r="AJ2" s="49">
        <v>1600</v>
      </c>
      <c r="AK2" s="49">
        <v>1800</v>
      </c>
      <c r="AL2" s="49">
        <v>2000</v>
      </c>
    </row>
    <row r="3" ht="36" spans="1:38">
      <c r="A3" s="30" t="s">
        <v>428</v>
      </c>
      <c r="B3" s="31">
        <v>12000</v>
      </c>
      <c r="C3" s="31">
        <v>16000</v>
      </c>
      <c r="D3" s="32" t="s">
        <v>52</v>
      </c>
      <c r="E3" s="32" t="s">
        <v>52</v>
      </c>
      <c r="F3" s="32" t="s">
        <v>52</v>
      </c>
      <c r="G3" s="32" t="s">
        <v>52</v>
      </c>
      <c r="H3" s="32">
        <v>0</v>
      </c>
      <c r="I3" s="32">
        <v>0.1</v>
      </c>
      <c r="J3" s="32">
        <v>0.001</v>
      </c>
      <c r="K3" s="32">
        <v>0.002</v>
      </c>
      <c r="L3" s="32"/>
      <c r="M3" s="32"/>
      <c r="N3" s="32">
        <v>0.05</v>
      </c>
      <c r="O3" s="32">
        <v>0.08</v>
      </c>
      <c r="P3" s="32">
        <v>0.03</v>
      </c>
      <c r="Q3" s="32">
        <v>0.04</v>
      </c>
      <c r="R3" s="32">
        <v>0.75</v>
      </c>
      <c r="S3" s="32">
        <v>0.78</v>
      </c>
      <c r="T3" s="40"/>
      <c r="U3" s="40"/>
      <c r="V3" s="40">
        <v>100</v>
      </c>
      <c r="W3" s="41">
        <v>150</v>
      </c>
      <c r="X3" s="41">
        <v>50</v>
      </c>
      <c r="Y3" s="41">
        <v>100</v>
      </c>
      <c r="Z3" s="50">
        <v>1</v>
      </c>
      <c r="AA3" s="50">
        <v>1</v>
      </c>
      <c r="AB3" s="51" t="s">
        <v>429</v>
      </c>
      <c r="AC3" s="46">
        <v>0.02</v>
      </c>
      <c r="AD3" s="46"/>
      <c r="AE3" s="48">
        <v>0.87</v>
      </c>
      <c r="AF3" s="48">
        <v>0.93</v>
      </c>
      <c r="AG3" s="48">
        <v>1</v>
      </c>
      <c r="AH3" s="48">
        <v>1.04</v>
      </c>
      <c r="AI3" s="48">
        <v>1.08</v>
      </c>
      <c r="AJ3" s="48"/>
      <c r="AK3" s="48"/>
      <c r="AL3" s="48"/>
    </row>
    <row r="4" ht="36" spans="1:38">
      <c r="A4" s="30" t="s">
        <v>430</v>
      </c>
      <c r="B4" s="31">
        <v>40000</v>
      </c>
      <c r="C4" s="31">
        <v>80000</v>
      </c>
      <c r="D4" s="32">
        <v>0.06</v>
      </c>
      <c r="E4" s="32">
        <v>0.12</v>
      </c>
      <c r="F4" s="32" t="s">
        <v>52</v>
      </c>
      <c r="G4" s="32" t="s">
        <v>52</v>
      </c>
      <c r="H4" s="32">
        <v>0.02</v>
      </c>
      <c r="I4" s="32">
        <v>0.05</v>
      </c>
      <c r="J4" s="32" t="s">
        <v>52</v>
      </c>
      <c r="K4" s="32" t="s">
        <v>52</v>
      </c>
      <c r="L4" s="32" t="s">
        <v>52</v>
      </c>
      <c r="M4" s="32" t="s">
        <v>52</v>
      </c>
      <c r="N4" s="32">
        <v>0.05</v>
      </c>
      <c r="O4" s="32">
        <v>0.06</v>
      </c>
      <c r="P4" s="32">
        <v>0.08</v>
      </c>
      <c r="Q4" s="32">
        <v>0.1</v>
      </c>
      <c r="R4" s="32">
        <v>0.74</v>
      </c>
      <c r="S4" s="32">
        <v>0.76</v>
      </c>
      <c r="T4" s="40">
        <v>875</v>
      </c>
      <c r="U4" s="40">
        <v>975</v>
      </c>
      <c r="V4" s="40">
        <v>1</v>
      </c>
      <c r="W4" s="41">
        <v>12</v>
      </c>
      <c r="X4" s="41"/>
      <c r="Y4" s="41"/>
      <c r="Z4" s="50"/>
      <c r="AA4" s="50"/>
      <c r="AB4" s="51"/>
      <c r="AC4" s="46"/>
      <c r="AD4" s="46"/>
      <c r="AE4" s="48"/>
      <c r="AF4" s="48"/>
      <c r="AG4" s="48"/>
      <c r="AH4" s="48"/>
      <c r="AI4" s="48"/>
      <c r="AJ4" s="48"/>
      <c r="AK4" s="48"/>
      <c r="AL4" s="48"/>
    </row>
    <row r="5" ht="54" spans="1:38">
      <c r="A5" s="33" t="s">
        <v>431</v>
      </c>
      <c r="B5" s="34">
        <v>80000</v>
      </c>
      <c r="C5" s="34">
        <v>120000</v>
      </c>
      <c r="D5" s="35">
        <v>0.13</v>
      </c>
      <c r="E5" s="35">
        <v>0.16</v>
      </c>
      <c r="F5" s="35">
        <v>0</v>
      </c>
      <c r="G5" s="35">
        <v>0.01</v>
      </c>
      <c r="H5" s="35">
        <v>0.005</v>
      </c>
      <c r="I5" s="35">
        <v>0.02</v>
      </c>
      <c r="J5" s="35" t="s">
        <v>52</v>
      </c>
      <c r="K5" s="35" t="s">
        <v>52</v>
      </c>
      <c r="L5" s="35" t="s">
        <v>52</v>
      </c>
      <c r="M5" s="35" t="s">
        <v>52</v>
      </c>
      <c r="N5" s="35">
        <v>0.08</v>
      </c>
      <c r="O5" s="35">
        <v>0.17</v>
      </c>
      <c r="P5" s="35">
        <v>0.005</v>
      </c>
      <c r="Q5" s="35">
        <v>0.03</v>
      </c>
      <c r="R5" s="35">
        <v>0.7</v>
      </c>
      <c r="S5" s="35">
        <v>0.75</v>
      </c>
      <c r="T5" s="42">
        <v>1475</v>
      </c>
      <c r="U5" s="42">
        <v>1575</v>
      </c>
      <c r="V5" s="42">
        <v>20</v>
      </c>
      <c r="W5" s="43">
        <v>30</v>
      </c>
      <c r="X5" s="43">
        <v>100</v>
      </c>
      <c r="Y5" s="43">
        <v>100</v>
      </c>
      <c r="Z5" s="52">
        <v>0.3</v>
      </c>
      <c r="AA5" s="52">
        <v>0.4</v>
      </c>
      <c r="AB5" s="46" t="s">
        <v>432</v>
      </c>
      <c r="AC5" s="46">
        <v>0.02</v>
      </c>
      <c r="AD5" s="46"/>
      <c r="AE5" s="48"/>
      <c r="AF5" s="48"/>
      <c r="AG5" s="48"/>
      <c r="AH5" s="48"/>
      <c r="AI5" s="48"/>
      <c r="AJ5" s="48"/>
      <c r="AK5" s="48"/>
      <c r="AL5" s="48"/>
    </row>
    <row r="6" ht="36" spans="1:38">
      <c r="A6" s="33" t="s">
        <v>433</v>
      </c>
      <c r="B6" s="34">
        <v>12000</v>
      </c>
      <c r="C6" s="34">
        <v>15000</v>
      </c>
      <c r="D6" s="35" t="s">
        <v>52</v>
      </c>
      <c r="E6" s="35" t="s">
        <v>52</v>
      </c>
      <c r="F6" s="35" t="s">
        <v>52</v>
      </c>
      <c r="G6" s="35" t="s">
        <v>52</v>
      </c>
      <c r="H6" s="35">
        <v>0.75</v>
      </c>
      <c r="I6" s="35">
        <v>0.85</v>
      </c>
      <c r="J6" s="35">
        <v>0.01</v>
      </c>
      <c r="K6" s="35">
        <v>0.02</v>
      </c>
      <c r="L6" s="35" t="s">
        <v>52</v>
      </c>
      <c r="M6" s="35" t="s">
        <v>52</v>
      </c>
      <c r="N6" s="35" t="s">
        <v>52</v>
      </c>
      <c r="O6" s="35" t="s">
        <v>52</v>
      </c>
      <c r="P6" s="35">
        <v>0.03</v>
      </c>
      <c r="Q6" s="35">
        <v>0.05</v>
      </c>
      <c r="R6" s="35">
        <v>0.1</v>
      </c>
      <c r="S6" s="35">
        <v>0.2</v>
      </c>
      <c r="T6" s="42">
        <v>1475</v>
      </c>
      <c r="U6" s="42">
        <v>1675</v>
      </c>
      <c r="V6" s="42">
        <v>200</v>
      </c>
      <c r="W6" s="43">
        <v>250</v>
      </c>
      <c r="X6" s="43">
        <v>5</v>
      </c>
      <c r="Y6" s="43">
        <v>5</v>
      </c>
      <c r="Z6" s="52">
        <v>1</v>
      </c>
      <c r="AA6" s="52">
        <v>1</v>
      </c>
      <c r="AB6" s="46" t="s">
        <v>434</v>
      </c>
      <c r="AC6" s="46">
        <v>0.03</v>
      </c>
      <c r="AD6" s="46"/>
      <c r="AE6" s="48"/>
      <c r="AF6" s="48"/>
      <c r="AG6" s="48"/>
      <c r="AH6" s="48"/>
      <c r="AI6" s="48"/>
      <c r="AJ6" s="48"/>
      <c r="AK6" s="48"/>
      <c r="AL6" s="48"/>
    </row>
    <row r="7" ht="36" spans="1:38">
      <c r="A7" s="30" t="s">
        <v>435</v>
      </c>
      <c r="B7" s="31">
        <v>20000</v>
      </c>
      <c r="C7" s="31">
        <v>40000</v>
      </c>
      <c r="D7" s="32" t="s">
        <v>52</v>
      </c>
      <c r="E7" s="32" t="s">
        <v>52</v>
      </c>
      <c r="F7" s="32" t="s">
        <v>52</v>
      </c>
      <c r="G7" s="32" t="s">
        <v>52</v>
      </c>
      <c r="H7" s="32">
        <v>0.1</v>
      </c>
      <c r="I7" s="32">
        <v>0.18</v>
      </c>
      <c r="J7" s="32">
        <v>0.001</v>
      </c>
      <c r="K7" s="32">
        <v>0.002</v>
      </c>
      <c r="L7" s="32" t="s">
        <v>52</v>
      </c>
      <c r="M7" s="32" t="s">
        <v>52</v>
      </c>
      <c r="N7" s="32">
        <v>0</v>
      </c>
      <c r="O7" s="32">
        <v>0.014</v>
      </c>
      <c r="P7" s="32">
        <v>0.003</v>
      </c>
      <c r="Q7" s="32">
        <v>0.07</v>
      </c>
      <c r="R7" s="32">
        <v>0.8</v>
      </c>
      <c r="S7" s="32">
        <v>0.85</v>
      </c>
      <c r="T7" s="40">
        <v>725</v>
      </c>
      <c r="U7" s="40">
        <v>875</v>
      </c>
      <c r="V7" s="40">
        <v>3</v>
      </c>
      <c r="W7" s="41">
        <v>3.5</v>
      </c>
      <c r="X7" s="41"/>
      <c r="Y7" s="41"/>
      <c r="Z7" s="50"/>
      <c r="AA7" s="50"/>
      <c r="AB7" s="51"/>
      <c r="AC7" s="46"/>
      <c r="AD7" s="46"/>
      <c r="AE7" s="48">
        <v>0.74</v>
      </c>
      <c r="AF7" s="48">
        <v>0.82</v>
      </c>
      <c r="AG7" s="48">
        <v>0.88</v>
      </c>
      <c r="AH7" s="48">
        <v>0.95</v>
      </c>
      <c r="AI7" s="48">
        <v>1.01</v>
      </c>
      <c r="AJ7" s="48"/>
      <c r="AK7" s="48"/>
      <c r="AL7" s="48"/>
    </row>
    <row r="8" ht="36" spans="1:38">
      <c r="A8" s="30" t="s">
        <v>436</v>
      </c>
      <c r="B8" s="31">
        <v>8000</v>
      </c>
      <c r="C8" s="31">
        <v>15000</v>
      </c>
      <c r="D8" s="32">
        <v>0.11</v>
      </c>
      <c r="E8" s="32">
        <v>0.13</v>
      </c>
      <c r="F8" s="32">
        <v>0</v>
      </c>
      <c r="G8" s="32">
        <v>0.005</v>
      </c>
      <c r="H8" s="32">
        <v>0</v>
      </c>
      <c r="I8" s="32">
        <v>0.001</v>
      </c>
      <c r="J8" s="32" t="s">
        <v>52</v>
      </c>
      <c r="K8" s="32" t="s">
        <v>52</v>
      </c>
      <c r="L8" s="32" t="s">
        <v>52</v>
      </c>
      <c r="M8" s="32" t="s">
        <v>52</v>
      </c>
      <c r="N8" s="32">
        <v>0.08</v>
      </c>
      <c r="O8" s="32">
        <v>0.1</v>
      </c>
      <c r="P8" s="32">
        <v>0</v>
      </c>
      <c r="Q8" s="32">
        <v>0.03</v>
      </c>
      <c r="R8" s="32">
        <v>0.74</v>
      </c>
      <c r="S8" s="32">
        <v>0.76</v>
      </c>
      <c r="T8" s="40">
        <v>1450</v>
      </c>
      <c r="U8" s="40">
        <v>1475</v>
      </c>
      <c r="V8" s="40">
        <v>1</v>
      </c>
      <c r="W8" s="41">
        <v>2</v>
      </c>
      <c r="X8" s="41"/>
      <c r="Y8" s="41"/>
      <c r="Z8" s="50"/>
      <c r="AA8" s="50"/>
      <c r="AB8" s="51"/>
      <c r="AC8" s="46"/>
      <c r="AD8" s="46"/>
      <c r="AE8" s="48"/>
      <c r="AF8" s="48"/>
      <c r="AG8" s="48"/>
      <c r="AH8" s="48"/>
      <c r="AI8" s="48"/>
      <c r="AJ8" s="48"/>
      <c r="AK8" s="48"/>
      <c r="AL8" s="48"/>
    </row>
    <row r="9" ht="18" spans="1:38">
      <c r="A9" s="30" t="s">
        <v>437</v>
      </c>
      <c r="B9" s="31">
        <v>60000</v>
      </c>
      <c r="C9" s="31">
        <v>80000</v>
      </c>
      <c r="D9" s="32">
        <v>0.09</v>
      </c>
      <c r="E9" s="32">
        <v>0.19</v>
      </c>
      <c r="F9" s="32">
        <v>0.05</v>
      </c>
      <c r="G9" s="32">
        <v>0.21</v>
      </c>
      <c r="H9" s="32">
        <v>0.001</v>
      </c>
      <c r="I9" s="32">
        <v>0.002</v>
      </c>
      <c r="J9" s="32" t="s">
        <v>52</v>
      </c>
      <c r="K9" s="32" t="s">
        <v>52</v>
      </c>
      <c r="L9" s="32" t="s">
        <v>52</v>
      </c>
      <c r="M9" s="32" t="s">
        <v>52</v>
      </c>
      <c r="N9" s="32">
        <v>0.01</v>
      </c>
      <c r="O9" s="32">
        <v>0.02</v>
      </c>
      <c r="P9" s="32">
        <v>0.005</v>
      </c>
      <c r="Q9" s="32">
        <v>0.08</v>
      </c>
      <c r="R9" s="32">
        <v>0.7</v>
      </c>
      <c r="S9" s="32">
        <v>0.75</v>
      </c>
      <c r="T9" s="40">
        <v>425</v>
      </c>
      <c r="U9" s="40">
        <v>1025</v>
      </c>
      <c r="V9" s="40">
        <v>1</v>
      </c>
      <c r="W9" s="41">
        <v>9.5</v>
      </c>
      <c r="X9" s="41"/>
      <c r="Y9" s="41"/>
      <c r="Z9" s="50"/>
      <c r="AA9" s="50"/>
      <c r="AB9" s="51"/>
      <c r="AC9" s="46"/>
      <c r="AD9" s="46"/>
      <c r="AE9" s="48"/>
      <c r="AF9" s="48"/>
      <c r="AG9" s="48"/>
      <c r="AH9" s="48"/>
      <c r="AI9" s="48"/>
      <c r="AJ9" s="48"/>
      <c r="AK9" s="48"/>
      <c r="AL9" s="48"/>
    </row>
    <row r="10" ht="18" spans="1:38">
      <c r="A10" s="30" t="s">
        <v>438</v>
      </c>
      <c r="B10" s="31">
        <v>12000</v>
      </c>
      <c r="C10" s="31">
        <v>20000</v>
      </c>
      <c r="D10" s="32">
        <v>0.1</v>
      </c>
      <c r="E10" s="32">
        <v>0.13</v>
      </c>
      <c r="F10" s="32">
        <v>0.015</v>
      </c>
      <c r="G10" s="32">
        <v>0.2</v>
      </c>
      <c r="H10" s="32">
        <v>0.001</v>
      </c>
      <c r="I10" s="32">
        <v>0.002</v>
      </c>
      <c r="J10" s="32" t="s">
        <v>52</v>
      </c>
      <c r="K10" s="32" t="s">
        <v>52</v>
      </c>
      <c r="L10" s="32" t="s">
        <v>52</v>
      </c>
      <c r="M10" s="32" t="s">
        <v>52</v>
      </c>
      <c r="N10" s="32">
        <v>0.01</v>
      </c>
      <c r="O10" s="32">
        <v>0.02</v>
      </c>
      <c r="P10" s="32">
        <v>0.01</v>
      </c>
      <c r="Q10" s="32">
        <v>0.1</v>
      </c>
      <c r="R10" s="32">
        <v>0.7</v>
      </c>
      <c r="S10" s="32">
        <v>0.75</v>
      </c>
      <c r="T10" s="40">
        <v>375</v>
      </c>
      <c r="U10" s="40">
        <v>875</v>
      </c>
      <c r="V10" s="40">
        <v>1</v>
      </c>
      <c r="W10" s="41">
        <v>9.5</v>
      </c>
      <c r="X10" s="41"/>
      <c r="Y10" s="41"/>
      <c r="Z10" s="50"/>
      <c r="AA10" s="50"/>
      <c r="AB10" s="51"/>
      <c r="AC10" s="46"/>
      <c r="AD10" s="46"/>
      <c r="AE10" s="48"/>
      <c r="AF10" s="48"/>
      <c r="AG10" s="48"/>
      <c r="AH10" s="48"/>
      <c r="AI10" s="48"/>
      <c r="AJ10" s="48"/>
      <c r="AK10" s="48"/>
      <c r="AL10" s="48"/>
    </row>
    <row r="11" ht="36" spans="1:38">
      <c r="A11" s="33" t="s">
        <v>439</v>
      </c>
      <c r="B11" s="34">
        <v>40000</v>
      </c>
      <c r="C11" s="34">
        <v>50000</v>
      </c>
      <c r="D11" s="35">
        <v>0.12</v>
      </c>
      <c r="E11" s="35">
        <v>0.14</v>
      </c>
      <c r="F11" s="35">
        <v>0</v>
      </c>
      <c r="G11" s="35">
        <v>0.12</v>
      </c>
      <c r="H11" s="35">
        <v>0.0005</v>
      </c>
      <c r="I11" s="35">
        <v>0.003</v>
      </c>
      <c r="J11" s="35" t="s">
        <v>52</v>
      </c>
      <c r="K11" s="35" t="s">
        <v>52</v>
      </c>
      <c r="L11" s="35" t="s">
        <v>52</v>
      </c>
      <c r="M11" s="35" t="s">
        <v>52</v>
      </c>
      <c r="N11" s="35">
        <v>0.06</v>
      </c>
      <c r="O11" s="35">
        <v>0.1</v>
      </c>
      <c r="P11" s="35">
        <v>0</v>
      </c>
      <c r="Q11" s="35">
        <v>0.03</v>
      </c>
      <c r="R11" s="35">
        <v>0.65</v>
      </c>
      <c r="S11" s="35">
        <v>0.75</v>
      </c>
      <c r="T11" s="42">
        <v>1425</v>
      </c>
      <c r="U11" s="42">
        <v>1525</v>
      </c>
      <c r="V11" s="42">
        <v>100</v>
      </c>
      <c r="W11" s="43">
        <v>150</v>
      </c>
      <c r="X11" s="43">
        <v>5</v>
      </c>
      <c r="Y11" s="43">
        <v>5</v>
      </c>
      <c r="Z11" s="52">
        <v>1</v>
      </c>
      <c r="AA11" s="52">
        <v>1</v>
      </c>
      <c r="AB11" s="46" t="s">
        <v>434</v>
      </c>
      <c r="AC11" s="46">
        <v>0.025</v>
      </c>
      <c r="AD11" s="46"/>
      <c r="AE11" s="48"/>
      <c r="AF11" s="48"/>
      <c r="AG11" s="48"/>
      <c r="AH11" s="48"/>
      <c r="AI11" s="48"/>
      <c r="AJ11" s="48"/>
      <c r="AK11" s="48"/>
      <c r="AL11" s="48"/>
    </row>
    <row r="12" ht="36" spans="1:38">
      <c r="A12" s="30" t="s">
        <v>440</v>
      </c>
      <c r="B12" s="31">
        <v>170000</v>
      </c>
      <c r="C12" s="31">
        <v>250000</v>
      </c>
      <c r="D12" s="32">
        <v>0.1</v>
      </c>
      <c r="E12" s="32">
        <v>0.2</v>
      </c>
      <c r="F12" s="32">
        <v>0.4</v>
      </c>
      <c r="G12" s="32">
        <v>0.6</v>
      </c>
      <c r="H12" s="32">
        <v>0</v>
      </c>
      <c r="I12" s="32">
        <v>0</v>
      </c>
      <c r="J12" s="32">
        <v>0</v>
      </c>
      <c r="K12" s="32">
        <v>0</v>
      </c>
      <c r="L12" s="32">
        <v>0.02</v>
      </c>
      <c r="M12" s="32">
        <v>0.03</v>
      </c>
      <c r="N12" s="32"/>
      <c r="O12" s="32"/>
      <c r="P12" s="32"/>
      <c r="Q12" s="32"/>
      <c r="R12" s="32">
        <v>0.2</v>
      </c>
      <c r="S12" s="32">
        <v>0.4</v>
      </c>
      <c r="T12" s="40" t="s">
        <v>422</v>
      </c>
      <c r="U12" s="40" t="s">
        <v>425</v>
      </c>
      <c r="V12" s="40"/>
      <c r="W12" s="41"/>
      <c r="X12" s="41"/>
      <c r="Y12" s="41"/>
      <c r="Z12" s="50"/>
      <c r="AA12" s="50"/>
      <c r="AB12" s="51"/>
      <c r="AC12" s="51"/>
      <c r="AD12" s="51"/>
      <c r="AE12" s="53"/>
      <c r="AF12" s="53"/>
      <c r="AG12" s="53"/>
      <c r="AH12" s="53"/>
      <c r="AI12" s="53"/>
      <c r="AJ12" s="53"/>
      <c r="AK12" s="53"/>
      <c r="AL12" s="53"/>
    </row>
    <row r="13" ht="54" spans="1:38">
      <c r="A13" s="33" t="s">
        <v>441</v>
      </c>
      <c r="B13" s="34"/>
      <c r="C13" s="34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42"/>
      <c r="U13" s="42"/>
      <c r="V13" s="42">
        <v>120</v>
      </c>
      <c r="W13" s="43">
        <v>150</v>
      </c>
      <c r="X13" s="43">
        <v>5</v>
      </c>
      <c r="Y13" s="43">
        <v>5</v>
      </c>
      <c r="Z13" s="52">
        <v>0.8</v>
      </c>
      <c r="AA13" s="52">
        <v>0.9</v>
      </c>
      <c r="AB13" s="46" t="s">
        <v>442</v>
      </c>
      <c r="AC13" s="46">
        <v>0.01</v>
      </c>
      <c r="AD13" s="46"/>
      <c r="AE13" s="48"/>
      <c r="AF13" s="48"/>
      <c r="AG13" s="48"/>
      <c r="AH13" s="48">
        <v>0.87</v>
      </c>
      <c r="AI13" s="48">
        <v>1.04</v>
      </c>
      <c r="AJ13" s="48">
        <v>1.23</v>
      </c>
      <c r="AK13" s="48">
        <v>1.39</v>
      </c>
      <c r="AL13" s="48">
        <v>1.52</v>
      </c>
    </row>
    <row r="14" ht="18" spans="1:38">
      <c r="A14" s="36" t="s">
        <v>4</v>
      </c>
      <c r="B14" s="37"/>
      <c r="C14" s="37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44"/>
      <c r="U14" s="44"/>
      <c r="V14" s="44"/>
      <c r="W14" s="45"/>
      <c r="X14" s="45"/>
      <c r="Y14" s="45"/>
      <c r="Z14" s="54"/>
      <c r="AA14" s="54"/>
      <c r="AB14" s="55"/>
      <c r="AC14" s="55"/>
      <c r="AD14" s="55"/>
      <c r="AE14" s="56"/>
      <c r="AF14" s="56"/>
      <c r="AG14" s="56"/>
      <c r="AH14" s="56"/>
      <c r="AI14" s="56"/>
      <c r="AJ14" s="56"/>
      <c r="AK14" s="56"/>
      <c r="AL14" s="56"/>
    </row>
  </sheetData>
  <pageMargins left="0.7" right="0.7" top="0.75" bottom="0.75" header="0.3" footer="0.3"/>
  <pageSetup paperSize="9" orientation="portrait" horizontalDpi="300"/>
  <headerFooter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zoomScale="70" zoomScaleNormal="70" workbookViewId="0">
      <selection activeCell="H20" sqref="H20"/>
    </sheetView>
  </sheetViews>
  <sheetFormatPr defaultColWidth="9" defaultRowHeight="14.4" outlineLevelRow="3"/>
  <cols>
    <col min="1" max="1" width="22.8888888888889" customWidth="1"/>
  </cols>
  <sheetData>
    <row r="1" ht="18" spans="1:1">
      <c r="A1" s="24" t="s">
        <v>59</v>
      </c>
    </row>
    <row r="2" ht="18" spans="1:1">
      <c r="A2" s="25" t="s">
        <v>60</v>
      </c>
    </row>
    <row r="3" ht="18" spans="1:1">
      <c r="A3" s="25" t="s">
        <v>61</v>
      </c>
    </row>
    <row r="4" ht="18" spans="1:1">
      <c r="A4" s="26" t="s">
        <v>443</v>
      </c>
    </row>
  </sheetData>
  <pageMargins left="0.7" right="0.7" top="0.75" bottom="0.75" header="0.3" footer="0.3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zoomScale="70" zoomScaleNormal="70" workbookViewId="0">
      <selection activeCell="A3" sqref="A2:A9"/>
    </sheetView>
  </sheetViews>
  <sheetFormatPr defaultColWidth="9" defaultRowHeight="14.4"/>
  <cols>
    <col min="1" max="1" width="22.3333333333333" customWidth="1"/>
  </cols>
  <sheetData>
    <row r="1" ht="36" spans="1:1">
      <c r="A1" s="24" t="s">
        <v>444</v>
      </c>
    </row>
    <row r="2" ht="18" spans="1:1">
      <c r="A2" s="25">
        <v>1</v>
      </c>
    </row>
    <row r="3" ht="18" spans="1:1">
      <c r="A3" s="25">
        <v>2</v>
      </c>
    </row>
    <row r="4" ht="18" spans="1:1">
      <c r="A4" s="25">
        <v>3</v>
      </c>
    </row>
    <row r="5" ht="18" spans="1:1">
      <c r="A5" s="25">
        <v>4</v>
      </c>
    </row>
    <row r="6" ht="18" spans="1:1">
      <c r="A6" s="25">
        <v>5</v>
      </c>
    </row>
    <row r="7" ht="18" spans="1:1">
      <c r="A7" s="25">
        <v>6</v>
      </c>
    </row>
    <row r="8" ht="18" spans="1:1">
      <c r="A8" s="25">
        <v>7</v>
      </c>
    </row>
    <row r="9" ht="18" spans="1:1">
      <c r="A9" s="26">
        <v>8</v>
      </c>
    </row>
  </sheetData>
  <pageMargins left="0.7" right="0.7" top="0.75" bottom="0.75" header="0.3" footer="0.3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zoomScale="70" zoomScaleNormal="70" workbookViewId="0">
      <selection activeCell="A7" sqref="A2:A9"/>
    </sheetView>
  </sheetViews>
  <sheetFormatPr defaultColWidth="9" defaultRowHeight="14.4"/>
  <cols>
    <col min="1" max="1" width="22.3333333333333" customWidth="1"/>
  </cols>
  <sheetData>
    <row r="1" ht="36" spans="1:1">
      <c r="A1" s="24" t="s">
        <v>445</v>
      </c>
    </row>
    <row r="2" ht="18" spans="1:1">
      <c r="A2" s="20">
        <v>0.001</v>
      </c>
    </row>
    <row r="3" ht="18" spans="1:1">
      <c r="A3" s="20">
        <v>0.002</v>
      </c>
    </row>
    <row r="4" ht="18" spans="1:1">
      <c r="A4" s="20">
        <v>0.003</v>
      </c>
    </row>
    <row r="5" ht="18" spans="1:1">
      <c r="A5" s="20">
        <v>0.004</v>
      </c>
    </row>
    <row r="6" ht="18" spans="1:1">
      <c r="A6" s="20">
        <v>0.005</v>
      </c>
    </row>
    <row r="7" ht="18" spans="1:1">
      <c r="A7" s="20">
        <v>0.006</v>
      </c>
    </row>
    <row r="8" ht="18" spans="1:1">
      <c r="A8" s="20">
        <v>0.007</v>
      </c>
    </row>
    <row r="9" ht="18" spans="1:1">
      <c r="A9" s="23">
        <v>0.008</v>
      </c>
    </row>
  </sheetData>
  <pageMargins left="0.7" right="0.7" top="0.75" bottom="0.75" header="0.3" footer="0.3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zoomScale="70" zoomScaleNormal="70" workbookViewId="0">
      <selection activeCell="A4" sqref="A2:A10"/>
    </sheetView>
  </sheetViews>
  <sheetFormatPr defaultColWidth="9" defaultRowHeight="14.4"/>
  <cols>
    <col min="1" max="1" width="24.3333333333333" customWidth="1"/>
  </cols>
  <sheetData>
    <row r="1" ht="36" spans="1:1">
      <c r="A1" s="19" t="s">
        <v>446</v>
      </c>
    </row>
    <row r="2" ht="18" spans="1:1">
      <c r="A2" s="20">
        <v>40</v>
      </c>
    </row>
    <row r="3" ht="18" spans="1:1">
      <c r="A3" s="20">
        <v>50</v>
      </c>
    </row>
    <row r="4" ht="18" spans="1:1">
      <c r="A4" s="20">
        <v>60</v>
      </c>
    </row>
    <row r="5" ht="18" spans="1:1">
      <c r="A5" s="20">
        <v>70</v>
      </c>
    </row>
    <row r="6" ht="18" spans="1:1">
      <c r="A6" s="20">
        <v>80</v>
      </c>
    </row>
    <row r="7" ht="18" spans="1:1">
      <c r="A7" s="20">
        <v>90</v>
      </c>
    </row>
    <row r="8" ht="18" spans="1:1">
      <c r="A8" s="20">
        <v>100</v>
      </c>
    </row>
    <row r="9" ht="18" spans="1:1">
      <c r="A9" s="20">
        <v>110</v>
      </c>
    </row>
    <row r="10" ht="18" spans="1:1">
      <c r="A10" s="23">
        <v>120</v>
      </c>
    </row>
  </sheetData>
  <pageMargins left="0.7" right="0.7" top="0.75" bottom="0.75" header="0.3" footer="0.3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zoomScale="70" zoomScaleNormal="70" workbookViewId="0">
      <selection activeCell="A2" sqref="A2:A11"/>
    </sheetView>
  </sheetViews>
  <sheetFormatPr defaultColWidth="9" defaultRowHeight="14.4"/>
  <cols>
    <col min="1" max="1" width="32.4444444444444" customWidth="1"/>
  </cols>
  <sheetData>
    <row r="1" ht="18" spans="1:1">
      <c r="A1" s="19" t="s">
        <v>447</v>
      </c>
    </row>
    <row r="2" ht="18" spans="1:1">
      <c r="A2" s="20" t="s">
        <v>448</v>
      </c>
    </row>
    <row r="3" ht="18" spans="1:1">
      <c r="A3" s="20" t="s">
        <v>53</v>
      </c>
    </row>
    <row r="4" ht="36" spans="1:1">
      <c r="A4" s="21" t="s">
        <v>54</v>
      </c>
    </row>
    <row r="5" ht="36" spans="1:1">
      <c r="A5" s="21" t="s">
        <v>56</v>
      </c>
    </row>
    <row r="6" ht="36" spans="1:1">
      <c r="A6" s="21" t="s">
        <v>449</v>
      </c>
    </row>
    <row r="7" ht="36" spans="1:1">
      <c r="A7" s="21" t="s">
        <v>58</v>
      </c>
    </row>
    <row r="8" ht="36" spans="1:1">
      <c r="A8" s="21" t="s">
        <v>55</v>
      </c>
    </row>
    <row r="9" ht="18" spans="1:1">
      <c r="A9" s="20" t="s">
        <v>450</v>
      </c>
    </row>
    <row r="10" ht="18" spans="1:1">
      <c r="A10" s="21" t="s">
        <v>57</v>
      </c>
    </row>
    <row r="11" ht="36" spans="1:1">
      <c r="A11" s="22" t="s">
        <v>451</v>
      </c>
    </row>
  </sheetData>
  <pageMargins left="0.7" right="0.7" top="0.75" bottom="0.75" header="0.3" footer="0.3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zoomScale="55" zoomScaleNormal="55" topLeftCell="A79" workbookViewId="0">
      <selection activeCell="O19" sqref="O19"/>
    </sheetView>
  </sheetViews>
  <sheetFormatPr defaultColWidth="9.11111111111111" defaultRowHeight="14.4"/>
  <cols>
    <col min="1" max="1" width="14" style="1" customWidth="1"/>
    <col min="2" max="3" width="17.6666666666667" style="1" customWidth="1"/>
    <col min="4" max="5" width="12" style="1" customWidth="1"/>
    <col min="6" max="9" width="14.6666666666667" style="2" customWidth="1"/>
    <col min="10" max="10" width="17.8888888888889" style="1" customWidth="1"/>
    <col min="11" max="15" width="17.8888888888889" style="2" customWidth="1"/>
    <col min="16" max="16384" width="9.11111111111111" style="1"/>
  </cols>
  <sheetData>
    <row r="1" ht="45.75" customHeight="1" spans="1:15">
      <c r="A1" s="3" t="s">
        <v>452</v>
      </c>
      <c r="B1" s="4" t="s">
        <v>453</v>
      </c>
      <c r="C1" s="5" t="s">
        <v>260</v>
      </c>
      <c r="D1" s="4" t="s">
        <v>454</v>
      </c>
      <c r="E1" s="4" t="s">
        <v>455</v>
      </c>
      <c r="F1" s="5" t="s">
        <v>456</v>
      </c>
      <c r="G1" s="5" t="s">
        <v>457</v>
      </c>
      <c r="H1" s="5" t="s">
        <v>458</v>
      </c>
      <c r="I1" s="5" t="s">
        <v>459</v>
      </c>
      <c r="J1" s="4" t="s">
        <v>460</v>
      </c>
      <c r="K1" s="5" t="s">
        <v>461</v>
      </c>
      <c r="L1" s="5" t="s">
        <v>462</v>
      </c>
      <c r="M1" s="5" t="s">
        <v>463</v>
      </c>
      <c r="N1" s="15" t="s">
        <v>464</v>
      </c>
      <c r="O1" s="5" t="s">
        <v>465</v>
      </c>
    </row>
    <row r="2" ht="16.8" spans="1:15">
      <c r="A2" s="6"/>
      <c r="B2" s="7" t="s">
        <v>232</v>
      </c>
      <c r="C2" s="7" t="s">
        <v>184</v>
      </c>
      <c r="D2" s="7" t="s">
        <v>466</v>
      </c>
      <c r="E2" s="7" t="s">
        <v>466</v>
      </c>
      <c r="F2" s="7" t="s">
        <v>153</v>
      </c>
      <c r="G2" s="7" t="s">
        <v>153</v>
      </c>
      <c r="H2" s="7" t="s">
        <v>153</v>
      </c>
      <c r="I2" s="7" t="s">
        <v>153</v>
      </c>
      <c r="J2" s="16" t="s">
        <v>467</v>
      </c>
      <c r="K2" s="16" t="s">
        <v>467</v>
      </c>
      <c r="L2" s="16" t="s">
        <v>467</v>
      </c>
      <c r="M2" s="16" t="s">
        <v>467</v>
      </c>
      <c r="N2" s="16" t="s">
        <v>467</v>
      </c>
      <c r="O2" s="16" t="s">
        <v>467</v>
      </c>
    </row>
    <row r="3" spans="1:15">
      <c r="A3" s="6"/>
      <c r="B3" s="7"/>
      <c r="C3" s="7"/>
      <c r="D3" s="7">
        <v>0</v>
      </c>
      <c r="E3" s="7">
        <v>1200</v>
      </c>
      <c r="F3" s="7">
        <v>0</v>
      </c>
      <c r="G3" s="7">
        <v>400</v>
      </c>
      <c r="H3" s="7">
        <v>600</v>
      </c>
      <c r="I3" s="7">
        <v>1000</v>
      </c>
      <c r="J3" s="7">
        <v>0</v>
      </c>
      <c r="K3" s="7">
        <v>127</v>
      </c>
      <c r="L3" s="7">
        <v>327</v>
      </c>
      <c r="M3" s="7">
        <v>527</v>
      </c>
      <c r="N3" s="7">
        <v>927</v>
      </c>
      <c r="O3" s="11">
        <v>1127</v>
      </c>
    </row>
    <row r="4" spans="1:15">
      <c r="A4" s="6" t="s">
        <v>217</v>
      </c>
      <c r="B4" s="8">
        <v>64</v>
      </c>
      <c r="C4" s="9">
        <f>22.4/Пр13_Свойства_газов[[#This Row],[Молярная масса]]</f>
        <v>0.35</v>
      </c>
      <c r="D4" s="8">
        <v>1.301</v>
      </c>
      <c r="E4" s="8">
        <v>1.166</v>
      </c>
      <c r="F4" s="10">
        <v>1.158e-5</v>
      </c>
      <c r="G4" s="10">
        <v>2.82e-5</v>
      </c>
      <c r="H4" s="10">
        <v>3.465e-5</v>
      </c>
      <c r="I4" s="10">
        <v>4.54e-5</v>
      </c>
      <c r="J4" s="10">
        <v>0.0084</v>
      </c>
      <c r="K4" s="10">
        <v>0.0148</v>
      </c>
      <c r="L4" s="10">
        <v>0.0253</v>
      </c>
      <c r="M4" s="10">
        <v>0.0357</v>
      </c>
      <c r="N4" s="17">
        <v>0.0548</v>
      </c>
      <c r="O4" s="17">
        <v>61.6</v>
      </c>
    </row>
    <row r="5" spans="1:15">
      <c r="A5" s="6" t="s">
        <v>468</v>
      </c>
      <c r="B5" s="8">
        <v>18</v>
      </c>
      <c r="C5" s="9">
        <f>22.4/Пр13_Свойства_газов[[#This Row],[Молярная масса]]</f>
        <v>1.24444444444444</v>
      </c>
      <c r="D5" s="8">
        <v>1.33</v>
      </c>
      <c r="E5" s="8">
        <v>1.216</v>
      </c>
      <c r="F5" s="10">
        <v>8.83e-6</v>
      </c>
      <c r="G5" s="10">
        <v>2.35e-5</v>
      </c>
      <c r="H5" s="10">
        <v>3.09e-5</v>
      </c>
      <c r="I5" s="10">
        <v>4.56e-5</v>
      </c>
      <c r="J5" s="10">
        <f>17.1/1000</f>
        <v>0.0171</v>
      </c>
      <c r="K5" s="10">
        <v>0.0548</v>
      </c>
      <c r="L5" s="10">
        <v>0.0799</v>
      </c>
      <c r="M5" s="10">
        <v>0.107</v>
      </c>
      <c r="N5" s="17">
        <v>0.1588667</v>
      </c>
      <c r="O5" s="17"/>
    </row>
    <row r="6" spans="1:15">
      <c r="A6" s="6" t="s">
        <v>469</v>
      </c>
      <c r="B6" s="8">
        <v>32</v>
      </c>
      <c r="C6" s="9">
        <f>22.4/Пр13_Свойства_газов[[#This Row],[Молярная масса]]</f>
        <v>0.7</v>
      </c>
      <c r="D6" s="8">
        <v>1.398</v>
      </c>
      <c r="E6" s="8">
        <v>1.295</v>
      </c>
      <c r="F6" s="10">
        <v>1.91e-5</v>
      </c>
      <c r="G6" s="10">
        <v>3.686e-5</v>
      </c>
      <c r="H6" s="10">
        <v>4.35e-5</v>
      </c>
      <c r="I6" s="10">
        <v>5.47e-5</v>
      </c>
      <c r="J6" s="10">
        <v>0.0243</v>
      </c>
      <c r="K6" s="10">
        <v>0.034</v>
      </c>
      <c r="L6" s="10">
        <v>0.047</v>
      </c>
      <c r="M6" s="10">
        <v>0.058</v>
      </c>
      <c r="N6" s="17">
        <f>6*10^-5*N3+0.0106</f>
        <v>0.06622</v>
      </c>
      <c r="O6" s="17"/>
    </row>
    <row r="7" spans="1:15">
      <c r="A7" s="6" t="s">
        <v>470</v>
      </c>
      <c r="B7" s="8">
        <v>28</v>
      </c>
      <c r="C7" s="9">
        <f>22.4/Пр13_Свойства_газов[[#This Row],[Молярная масса]]</f>
        <v>0.8</v>
      </c>
      <c r="D7" s="8">
        <v>1.4</v>
      </c>
      <c r="E7" s="8">
        <v>1.314</v>
      </c>
      <c r="F7" s="10">
        <v>1.665e-5</v>
      </c>
      <c r="G7" s="10">
        <v>3.118e-5</v>
      </c>
      <c r="H7" s="10">
        <v>3.665e-5</v>
      </c>
      <c r="I7" s="10">
        <v>4.6e-5</v>
      </c>
      <c r="J7" s="10">
        <v>0.0239</v>
      </c>
      <c r="K7" s="10">
        <v>0.0324</v>
      </c>
      <c r="L7" s="10">
        <v>0.0446</v>
      </c>
      <c r="M7" s="10">
        <v>0.0554</v>
      </c>
      <c r="N7" s="17">
        <f>5*10^-5*N3+0.0113</f>
        <v>0.05765</v>
      </c>
      <c r="O7" s="17"/>
    </row>
    <row r="8" spans="1:15">
      <c r="A8" s="6" t="s">
        <v>471</v>
      </c>
      <c r="B8" s="8">
        <v>44</v>
      </c>
      <c r="C8" s="9">
        <f>22.4/Пр13_Свойства_газов[[#This Row],[Молярная масса]]</f>
        <v>0.509090909090909</v>
      </c>
      <c r="D8" s="8">
        <v>1.301</v>
      </c>
      <c r="E8" s="8">
        <v>1.166</v>
      </c>
      <c r="F8" s="10">
        <v>1.367e-5</v>
      </c>
      <c r="G8" s="10">
        <v>2.994e-5</v>
      </c>
      <c r="H8" s="10">
        <v>3.605e-5</v>
      </c>
      <c r="I8" s="10">
        <v>4.658e-5</v>
      </c>
      <c r="J8" s="10">
        <v>0.0149</v>
      </c>
      <c r="K8" s="10">
        <v>0.0243</v>
      </c>
      <c r="L8" s="10">
        <v>0.0407</v>
      </c>
      <c r="M8" s="10">
        <v>0.0551</v>
      </c>
      <c r="N8" s="17">
        <v>0.0803</v>
      </c>
      <c r="O8" s="17">
        <v>92.1</v>
      </c>
    </row>
    <row r="9" spans="1:15">
      <c r="A9" s="6" t="s">
        <v>226</v>
      </c>
      <c r="B9" s="8">
        <v>28</v>
      </c>
      <c r="C9" s="9">
        <f>22.4/Пр13_Свойства_газов[[#This Row],[Молярная масса]]</f>
        <v>0.8</v>
      </c>
      <c r="D9" s="8">
        <v>1.4</v>
      </c>
      <c r="E9" s="8">
        <v>1.31</v>
      </c>
      <c r="F9" s="10">
        <v>1.662e-5</v>
      </c>
      <c r="G9" s="10">
        <v>3.09e-5</v>
      </c>
      <c r="H9" s="10">
        <v>3.63e-5</v>
      </c>
      <c r="I9" s="10">
        <v>4.53e-5</v>
      </c>
      <c r="J9" s="10">
        <v>0.0233</v>
      </c>
      <c r="K9" s="10">
        <v>0.0319</v>
      </c>
      <c r="L9" s="10">
        <v>0.045</v>
      </c>
      <c r="M9" s="10">
        <v>0.057</v>
      </c>
      <c r="N9" s="17">
        <v>0.0792</v>
      </c>
      <c r="O9" s="17">
        <v>90</v>
      </c>
    </row>
    <row r="10" spans="1:15">
      <c r="A10" s="6" t="s">
        <v>472</v>
      </c>
      <c r="B10" s="11">
        <v>28.97</v>
      </c>
      <c r="C10" s="9">
        <f>22.4/Пр13_Свойства_газов[[#This Row],[Молярная масса]]</f>
        <v>0.773213669313082</v>
      </c>
      <c r="D10" s="8">
        <v>1.401</v>
      </c>
      <c r="E10" s="8">
        <v>1.312</v>
      </c>
      <c r="F10" s="10">
        <v>1.708e-5</v>
      </c>
      <c r="G10" s="10">
        <v>3.275e-5</v>
      </c>
      <c r="H10" s="10">
        <v>3.842e-5</v>
      </c>
      <c r="I10" s="10">
        <v>4.85e-5</v>
      </c>
      <c r="J10" s="10">
        <v>0.0242</v>
      </c>
      <c r="K10" s="10">
        <v>0.0338</v>
      </c>
      <c r="L10" s="10">
        <v>0.0469</v>
      </c>
      <c r="M10" s="10">
        <v>0.0573</v>
      </c>
      <c r="N10" s="17">
        <v>0.0763</v>
      </c>
      <c r="O10" s="17"/>
    </row>
    <row r="11" spans="1:15">
      <c r="A11" s="12"/>
      <c r="B11" s="13"/>
      <c r="C11" s="13"/>
      <c r="D11" s="13"/>
      <c r="E11" s="13"/>
      <c r="F11" s="14"/>
      <c r="G11" s="14"/>
      <c r="H11" s="14"/>
      <c r="I11" s="14"/>
      <c r="J11" s="18"/>
      <c r="K11" s="18"/>
      <c r="L11" s="18"/>
      <c r="M11" s="18"/>
      <c r="N11" s="18"/>
      <c r="O11" s="18"/>
    </row>
  </sheetData>
  <pageMargins left="0.7" right="0.7" top="0.75" bottom="0.75" header="0.3" footer="0.3"/>
  <pageSetup paperSize="9" orientation="portrait" horizontalDpi="300"/>
  <headerFooter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Таб1</vt:lpstr>
      <vt:lpstr>Таб2</vt:lpstr>
      <vt:lpstr>Таб8</vt:lpstr>
      <vt:lpstr>Таб3</vt:lpstr>
      <vt:lpstr>Таб4</vt:lpstr>
      <vt:lpstr>Таб5</vt:lpstr>
      <vt:lpstr>Таб6</vt:lpstr>
      <vt:lpstr>Таб7</vt:lpstr>
      <vt:lpstr>Результаты</vt:lpstr>
      <vt:lpstr>Пр1</vt:lpstr>
      <vt:lpstr>Пр2</vt:lpstr>
      <vt:lpstr>Пр3</vt:lpstr>
      <vt:lpstr>Пр4</vt:lpstr>
      <vt:lpstr>Пр5</vt:lpstr>
      <vt:lpstr>Пр6</vt:lpstr>
      <vt:lpstr>Пр7</vt:lpstr>
      <vt:lpstr>Пр8</vt:lpstr>
      <vt:lpstr>Пр9</vt:lpstr>
      <vt:lpstr>Пр10</vt:lpstr>
      <vt:lpstr>Пр11</vt:lpstr>
      <vt:lpstr>Пр12</vt:lpstr>
      <vt:lpstr>Пр13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2025-12-09T00:17:26Z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FC0D782CCA1E4BA5A143A7D4DD69574B_13</vt:lpwstr>
  </property>
  <property fmtid="{D5CDD505-2E9C-101B-9397-08002B2CF9AE}" pid="3" name="KSOProductBuildVer">
    <vt:lpwstr>1049-12.2.0.23155</vt:lpwstr>
  </property>
</Properties>
</file>