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FOPRE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G25" i="1" l="1"/>
  <c r="G14" i="1"/>
  <c r="G6" i="1" l="1"/>
  <c r="C20" i="1"/>
  <c r="M36" i="1"/>
  <c r="M35" i="1"/>
  <c r="M34" i="1"/>
  <c r="K32" i="1"/>
  <c r="C48" i="1"/>
  <c r="M33" i="1" s="1"/>
  <c r="AC22" i="1"/>
  <c r="K18" i="1"/>
  <c r="G41" i="1"/>
  <c r="G42" i="1" s="1"/>
  <c r="G43" i="1" s="1"/>
  <c r="G10" i="1"/>
  <c r="G9" i="1"/>
  <c r="G24" i="1"/>
  <c r="C6" i="1"/>
  <c r="C5" i="1"/>
  <c r="C25" i="1"/>
  <c r="K3" i="1"/>
  <c r="D9" i="1"/>
  <c r="C21" i="1" l="1"/>
  <c r="G5" i="1"/>
  <c r="G7" i="1" s="1"/>
  <c r="K31" i="1"/>
  <c r="G26" i="1"/>
  <c r="G27" i="1" s="1"/>
  <c r="G28" i="1" s="1"/>
  <c r="K6" i="1" l="1"/>
  <c r="K43" i="1"/>
  <c r="L43" i="1" s="1"/>
  <c r="K37" i="1"/>
  <c r="K40" i="1"/>
  <c r="K39" i="1"/>
  <c r="K44" i="1" s="1"/>
  <c r="K41" i="1"/>
  <c r="G29" i="1"/>
  <c r="G34" i="1" s="1"/>
  <c r="H34" i="1" s="1"/>
  <c r="K19" i="1"/>
  <c r="K38" i="1" l="1"/>
  <c r="K42" i="1" s="1"/>
  <c r="G11" i="1"/>
  <c r="G12" i="1" s="1"/>
  <c r="G44" i="1"/>
  <c r="G49" i="1" s="1"/>
  <c r="G45" i="1"/>
  <c r="G30" i="1"/>
  <c r="G35" i="1" s="1"/>
  <c r="H35" i="1" s="1"/>
  <c r="K17" i="1"/>
  <c r="K20" i="1" s="1"/>
  <c r="K22" i="1" s="1"/>
  <c r="K5" i="1"/>
  <c r="K10" i="1" s="1"/>
  <c r="L10" i="1" s="1"/>
  <c r="K24" i="1"/>
  <c r="L24" i="1" s="1"/>
  <c r="G46" i="1" l="1"/>
  <c r="G50" i="1"/>
  <c r="G47" i="1"/>
  <c r="G51" i="1" s="1"/>
  <c r="G32" i="1"/>
  <c r="G36" i="1" s="1"/>
  <c r="H36" i="1" s="1"/>
  <c r="G31" i="1"/>
  <c r="K11" i="1"/>
  <c r="L11" i="1" s="1"/>
  <c r="K7" i="1"/>
  <c r="K8" i="1"/>
  <c r="K12" i="1" s="1"/>
  <c r="L12" i="1" s="1"/>
  <c r="G17" i="1"/>
  <c r="H17" i="1" s="1"/>
  <c r="K26" i="1"/>
  <c r="L26" i="1" s="1"/>
  <c r="K21" i="1"/>
  <c r="K23" i="1" s="1"/>
  <c r="K25" i="1"/>
  <c r="L25" i="1" s="1"/>
  <c r="G52" i="1" l="1"/>
  <c r="G48" i="1"/>
  <c r="G53" i="1" s="1"/>
  <c r="G37" i="1"/>
  <c r="H37" i="1" s="1"/>
  <c r="G33" i="1"/>
  <c r="G38" i="1" s="1"/>
  <c r="H38" i="1" s="1"/>
  <c r="K13" i="1"/>
  <c r="L13" i="1" s="1"/>
  <c r="K9" i="1"/>
  <c r="K14" i="1" s="1"/>
  <c r="K28" i="1"/>
  <c r="L28" i="1" s="1"/>
  <c r="K27" i="1"/>
  <c r="L27" i="1" s="1"/>
  <c r="G15" i="1"/>
  <c r="G19" i="1" s="1"/>
  <c r="G18" i="1"/>
  <c r="H18" i="1" s="1"/>
  <c r="G13" i="1"/>
  <c r="H19" i="1" l="1"/>
  <c r="L14" i="1"/>
  <c r="G20" i="1"/>
  <c r="G16" i="1"/>
  <c r="G21" i="1" s="1"/>
  <c r="H21" i="1" l="1"/>
  <c r="H20" i="1"/>
  <c r="L42" i="1" l="1"/>
  <c r="L41" i="1"/>
  <c r="H49" i="1"/>
  <c r="H51" i="1"/>
  <c r="L44" i="1" l="1"/>
  <c r="L40" i="1"/>
  <c r="H50" i="1"/>
  <c r="H53" i="1"/>
  <c r="H52" i="1" l="1"/>
</calcChain>
</file>

<file path=xl/sharedStrings.xml><?xml version="1.0" encoding="utf-8"?>
<sst xmlns="http://schemas.openxmlformats.org/spreadsheetml/2006/main" count="176" uniqueCount="121">
  <si>
    <t>Рассчитываем поверхность корпуса (S_k):</t>
  </si>
  <si>
    <t>K_w</t>
  </si>
  <si>
    <t>ИСХОДНЫЕ ДАННЫЕ</t>
  </si>
  <si>
    <t>С ВНУТРЕННИМ ПЕРЕМЕШИВАНИЕМ</t>
  </si>
  <si>
    <t>α</t>
  </si>
  <si>
    <t>Температура окружающей среды 𝑇𝑐 (К)</t>
  </si>
  <si>
    <t>Удельную мощность корпуса блока  (q_k)</t>
  </si>
  <si>
    <t>Удельную мощность нагретой зоны (q_з):</t>
  </si>
  <si>
    <t>Коэффициент (ϑ_1) в зависимости от удельной мощности корпуса</t>
  </si>
  <si>
    <t>Коэффициент (ϑ_2) в зависимости от удельной мощности нагретой зоны:</t>
  </si>
  <si>
    <t>Коэффициент (K_H1) в зависимости от давления среды вне корпуса</t>
  </si>
  <si>
    <t>Коэффициент (K_H2) в зависимости от давления среды внутри корпуса:</t>
  </si>
  <si>
    <t>Перегрев корпуса блока (ϑ_к):</t>
  </si>
  <si>
    <t>Перегрев нагретой зоны (ϑ_з):</t>
  </si>
  <si>
    <t>Средний перегрев воздуха в блоке (ϑ_в):</t>
  </si>
  <si>
    <t>Удельную мощность элемента (q_эл):</t>
  </si>
  <si>
    <t>Перегрев поверхности элемента (ϑ_эл):</t>
  </si>
  <si>
    <t>Перегрев окружающей элемент среды (ϑ_эс):</t>
  </si>
  <si>
    <t>Температуру корпуса блока (T_k):</t>
  </si>
  <si>
    <t>Температуру нагретой зоны (T_з):</t>
  </si>
  <si>
    <t>Температуру поверхности элемента (T_эл):</t>
  </si>
  <si>
    <t>Среднюю температуру воздуха в блоке (T_в):</t>
  </si>
  <si>
    <t>Температуру окружающей элемент среды (T_эс):</t>
  </si>
  <si>
    <t>Объем воздуха в блоке (V_в):</t>
  </si>
  <si>
    <t>Перегрев между нагретой зоной и корпусом блока (ϑ_21):</t>
  </si>
  <si>
    <t xml:space="preserve">Скорость обдува (ϑ) </t>
  </si>
  <si>
    <t>Перегрев корпуса блока с наружным обдувом (ϑ_К):</t>
  </si>
  <si>
    <t>Перегрев нагретой зоны блока с наружным обдувом (ϑ_З):</t>
  </si>
  <si>
    <t>С НАРУЖНЫМ ОБДУВОМ</t>
  </si>
  <si>
    <t>РАСЧЕТ С ВНУТРЕННИМ ПЕРЕМЕШИВАНИЕМ</t>
  </si>
  <si>
    <t>РАСЧЕТ С НАРУЖНЫМ ОБДУВОМ</t>
  </si>
  <si>
    <t>РАСЧЕТ В ГЕРМЕТИЧНОМ ОРЕБРЕННОМ КОРПУСЕ</t>
  </si>
  <si>
    <t>Поверхность оребрённого корпуса блока (S_kp):</t>
  </si>
  <si>
    <t>Поверхность ребер оребрённого корпуса блока (S_р):</t>
  </si>
  <si>
    <t>Поверхность оребрённого корпуса блока без ребер (S_kh):</t>
  </si>
  <si>
    <t>Коэффициент (ϑ_1р) в зависимости от оребрённого корпуса блока:</t>
  </si>
  <si>
    <t>В ГЕРМЕТИЧНОМ ОРЕБРЕННОМ КОРПУСЕ</t>
  </si>
  <si>
    <t>Удельная мощность оребрённого корпуса блока (q_kp):</t>
  </si>
  <si>
    <t xml:space="preserve">Площадь крышки (Sос) </t>
  </si>
  <si>
    <r>
      <t xml:space="preserve">Длина (L) </t>
    </r>
    <r>
      <rPr>
        <sz val="12"/>
        <color rgb="FFFF0000"/>
        <rFont val="Times New Roman"/>
        <family val="1"/>
        <charset val="204"/>
      </rPr>
      <t>*</t>
    </r>
  </si>
  <si>
    <r>
      <t xml:space="preserve">Высота (H) </t>
    </r>
    <r>
      <rPr>
        <sz val="12"/>
        <color rgb="FFFF0000"/>
        <rFont val="Times New Roman"/>
        <family val="1"/>
        <charset val="204"/>
      </rPr>
      <t>*</t>
    </r>
  </si>
  <si>
    <r>
      <t xml:space="preserve">Ширина (W) </t>
    </r>
    <r>
      <rPr>
        <sz val="12"/>
        <color rgb="FFFF0000"/>
        <rFont val="Times New Roman"/>
        <family val="1"/>
        <charset val="204"/>
      </rPr>
      <t>*</t>
    </r>
  </si>
  <si>
    <r>
      <t xml:space="preserve">N – количество оборотов в минуту </t>
    </r>
    <r>
      <rPr>
        <sz val="12"/>
        <color rgb="FFFF0000"/>
        <rFont val="Times New Roman"/>
        <family val="1"/>
        <charset val="204"/>
      </rPr>
      <t>*</t>
    </r>
  </si>
  <si>
    <r>
      <t xml:space="preserve">Ширина ребра l_p: </t>
    </r>
    <r>
      <rPr>
        <sz val="12"/>
        <color rgb="FFFF0000"/>
        <rFont val="Times New Roman"/>
        <family val="1"/>
        <charset val="204"/>
      </rPr>
      <t>*</t>
    </r>
  </si>
  <si>
    <r>
      <t xml:space="preserve">Количество ребер N_p: </t>
    </r>
    <r>
      <rPr>
        <sz val="12"/>
        <color rgb="FFFF0000"/>
        <rFont val="Times New Roman"/>
        <family val="1"/>
        <charset val="204"/>
      </rPr>
      <t>*</t>
    </r>
  </si>
  <si>
    <t>В ПЕРФОРИРОВАННОМ КОРПУСЕ</t>
  </si>
  <si>
    <r>
      <t xml:space="preserve">Ширина отверстия w_п: </t>
    </r>
    <r>
      <rPr>
        <sz val="12"/>
        <color rgb="FFFF0000"/>
        <rFont val="Times New Roman"/>
        <family val="1"/>
        <charset val="204"/>
      </rPr>
      <t>*</t>
    </r>
  </si>
  <si>
    <r>
      <t xml:space="preserve">Длина отверстия l_п: </t>
    </r>
    <r>
      <rPr>
        <sz val="12"/>
        <color rgb="FFFF0000"/>
        <rFont val="Times New Roman"/>
        <family val="1"/>
        <charset val="204"/>
      </rPr>
      <t>*</t>
    </r>
  </si>
  <si>
    <t>РАСЧЕТ В ПЕРФОРИРОВАННОМ КОРПУСЕ</t>
  </si>
  <si>
    <t>* Расчет ведется для перфорированных отверстий расположенных с двух торцевых частей корпуса (верхней и нижней со сторонами W и H) в один ряд (в соотв. С ГОСТ 58602-2019)</t>
  </si>
  <si>
    <r>
      <t>Шаг между отверстиями d_п:</t>
    </r>
    <r>
      <rPr>
        <sz val="12"/>
        <color rgb="FFFF0000"/>
        <rFont val="Times New Roman"/>
        <family val="1"/>
        <charset val="204"/>
      </rPr>
      <t xml:space="preserve"> *</t>
    </r>
  </si>
  <si>
    <t>Площадь перфорационных отверстий (S_п):</t>
  </si>
  <si>
    <t>Коэффициент перфорации (П):</t>
  </si>
  <si>
    <t>K_w(W)</t>
  </si>
  <si>
    <t>К_п(П)</t>
  </si>
  <si>
    <t>К_п:</t>
  </si>
  <si>
    <t>ПРИ ПРИНУДИТЕЛЬНОМ ВОЗДУШНОМ ОХЛАЖДЕНИИ</t>
  </si>
  <si>
    <t>* Расчет ведется для лицевой стороны корпуса блока со сторонами L и W</t>
  </si>
  <si>
    <t>Элемент</t>
  </si>
  <si>
    <t>Тип</t>
  </si>
  <si>
    <t>Диод</t>
  </si>
  <si>
    <t>BAV70</t>
  </si>
  <si>
    <t>B27V</t>
  </si>
  <si>
    <t>1N4007</t>
  </si>
  <si>
    <t>FR104</t>
  </si>
  <si>
    <t>1N4148</t>
  </si>
  <si>
    <t>2N7002</t>
  </si>
  <si>
    <t>Транзистор</t>
  </si>
  <si>
    <t>2N3904</t>
  </si>
  <si>
    <t>7N60-B</t>
  </si>
  <si>
    <t>Рабочая рассеиваемая мощность</t>
  </si>
  <si>
    <t>MBRB20100CTG</t>
  </si>
  <si>
    <t>MBRB20150CTG</t>
  </si>
  <si>
    <t>Трансформатор</t>
  </si>
  <si>
    <t>Сумма (мощность нагретой зоны)</t>
  </si>
  <si>
    <r>
      <t xml:space="preserve">Мощность, рассеиваемая нагретой зоной </t>
    </r>
    <r>
      <rPr>
        <i/>
        <sz val="12"/>
        <color theme="1"/>
        <rFont val="Times New Roman"/>
        <family val="1"/>
        <charset val="204"/>
      </rPr>
      <t>Pз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*</t>
    </r>
  </si>
  <si>
    <r>
      <t xml:space="preserve">Коэффициент заполнения </t>
    </r>
    <r>
      <rPr>
        <i/>
        <sz val="12"/>
        <color theme="1"/>
        <rFont val="Times New Roman"/>
        <family val="1"/>
        <charset val="204"/>
      </rPr>
      <t>Кз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*</t>
    </r>
  </si>
  <si>
    <r>
      <t xml:space="preserve">Мощность, рассеиваемая элементом </t>
    </r>
    <r>
      <rPr>
        <i/>
        <sz val="12"/>
        <color theme="1"/>
        <rFont val="Times New Roman"/>
        <family val="1"/>
        <charset val="204"/>
      </rPr>
      <t>Pэл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*</t>
    </r>
  </si>
  <si>
    <t>Величина атмосферного давления снаружи корпуса аппарата.   H_1</t>
  </si>
  <si>
    <t>Кол-во резисторов(~):</t>
  </si>
  <si>
    <t>Кол-во кондеснторов(~):</t>
  </si>
  <si>
    <t>Плотность воздуха ρ:</t>
  </si>
  <si>
    <t>Массовый расход воздуха G:</t>
  </si>
  <si>
    <t>Площадь поперечного сечения корпуса блока (S):</t>
  </si>
  <si>
    <t>Вот такие пироги</t>
  </si>
  <si>
    <t>Брать из графиков справа -&gt;</t>
  </si>
  <si>
    <t>Перегрев нагретой зоны блока (ϑ_з):</t>
  </si>
  <si>
    <r>
      <t xml:space="preserve">Коэффициент (m_1): </t>
    </r>
    <r>
      <rPr>
        <sz val="12"/>
        <color rgb="FFFF0000"/>
        <rFont val="Times New Roman"/>
        <family val="1"/>
        <charset val="204"/>
      </rPr>
      <t>*</t>
    </r>
  </si>
  <si>
    <r>
      <t xml:space="preserve">Коэффициент (m_2): </t>
    </r>
    <r>
      <rPr>
        <sz val="12"/>
        <color rgb="FFFF0000"/>
        <rFont val="Times New Roman"/>
        <family val="1"/>
        <charset val="204"/>
      </rPr>
      <t>*</t>
    </r>
  </si>
  <si>
    <r>
      <t xml:space="preserve">Коэффициент (m_3): </t>
    </r>
    <r>
      <rPr>
        <sz val="12"/>
        <color rgb="FFFF0000"/>
        <rFont val="Times New Roman"/>
        <family val="1"/>
        <charset val="204"/>
      </rPr>
      <t>*</t>
    </r>
  </si>
  <si>
    <r>
      <t xml:space="preserve">Коэффициент (m_4): </t>
    </r>
    <r>
      <rPr>
        <sz val="12"/>
        <color rgb="FFFF0000"/>
        <rFont val="Times New Roman"/>
        <family val="1"/>
        <charset val="204"/>
      </rPr>
      <t>*</t>
    </r>
  </si>
  <si>
    <r>
      <t xml:space="preserve">Расстояние от вентилятора до элемента l: </t>
    </r>
    <r>
      <rPr>
        <sz val="12"/>
        <color rgb="FFFF0000"/>
        <rFont val="Times New Roman"/>
        <family val="1"/>
        <charset val="204"/>
      </rPr>
      <t>*</t>
    </r>
  </si>
  <si>
    <t>Температуру воздуха на выходе из блока (T_в2):</t>
  </si>
  <si>
    <t>Tр-р на EFD30</t>
  </si>
  <si>
    <t>G*10^3  =</t>
  </si>
  <si>
    <t>l_1*l_2  =</t>
  </si>
  <si>
    <t>l_3  =</t>
  </si>
  <si>
    <t>Кз  =</t>
  </si>
  <si>
    <t>m_1(G)</t>
  </si>
  <si>
    <t>m_2(l1l2)</t>
  </si>
  <si>
    <t>m_3(l3)</t>
  </si>
  <si>
    <t>m_4(Kз)</t>
  </si>
  <si>
    <t>РАСЧЕТ В ГЕРМЕТИЧНОМ КОРПУСЕ</t>
  </si>
  <si>
    <t>* Радиатор для корпуса ТО-220, 6 ребер, двухсторонний (4-2), для расчетов возьмем HS184-100, тепловое сопротивление Rra=5,1 К/Вт, 30х41х100, алюминий</t>
  </si>
  <si>
    <t>Скорость перемешивания воздуха в блоке (W):</t>
  </si>
  <si>
    <r>
      <t xml:space="preserve">Gв/0,000472 – воздушный поток в CFM; </t>
    </r>
    <r>
      <rPr>
        <sz val="12"/>
        <color rgb="FFFF0000"/>
        <rFont val="Times New Roman"/>
        <family val="1"/>
        <charset val="204"/>
      </rPr>
      <t>*</t>
    </r>
  </si>
  <si>
    <t>Gв – производительность вентилятора* в кубометрах в секунду;</t>
  </si>
  <si>
    <r>
      <t xml:space="preserve">Высота ребра* h_p: </t>
    </r>
    <r>
      <rPr>
        <sz val="12"/>
        <color rgb="FFFF0000"/>
        <rFont val="Times New Roman"/>
        <family val="1"/>
        <charset val="204"/>
      </rPr>
      <t>*</t>
    </r>
  </si>
  <si>
    <t>Количество перфорационных отверстий*, n</t>
  </si>
  <si>
    <t>* Вентилятор EC4010SL12X</t>
  </si>
  <si>
    <t>* Вентилятор Case Fan ID-Cooling WF-14025-XT</t>
  </si>
  <si>
    <r>
      <t xml:space="preserve">D_вен  – диаметр вентилятора*; </t>
    </r>
    <r>
      <rPr>
        <sz val="12"/>
        <color rgb="FFFF0000"/>
        <rFont val="Times New Roman"/>
        <family val="1"/>
        <charset val="204"/>
      </rPr>
      <t>*</t>
    </r>
  </si>
  <si>
    <r>
      <t xml:space="preserve">Объемный расход вентилятора* Q: </t>
    </r>
    <r>
      <rPr>
        <sz val="12"/>
        <color rgb="FFFF0000"/>
        <rFont val="Times New Roman"/>
        <family val="1"/>
        <charset val="204"/>
      </rPr>
      <t>*</t>
    </r>
  </si>
  <si>
    <t>* Вентилятор EX04010S3P</t>
  </si>
  <si>
    <t>РАСЧЕТ ПРИ</t>
  </si>
  <si>
    <t xml:space="preserve">Объём (Vвнут) </t>
  </si>
  <si>
    <r>
      <t xml:space="preserve">Площадь поверхности элемента с радиатором* обдуваемая воздухом, </t>
    </r>
    <r>
      <rPr>
        <i/>
        <sz val="12"/>
        <color rgb="FF000000"/>
        <rFont val="Times New Roman"/>
        <family val="1"/>
        <charset val="204"/>
      </rPr>
      <t>S</t>
    </r>
    <r>
      <rPr>
        <vertAlign val="subscript"/>
        <sz val="12"/>
        <color rgb="FF000000"/>
        <rFont val="Times New Roman"/>
        <family val="1"/>
        <charset val="204"/>
      </rPr>
      <t>эл</t>
    </r>
    <r>
      <rPr>
        <sz val="12"/>
        <color rgb="FF000000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*</t>
    </r>
  </si>
  <si>
    <t xml:space="preserve">Предел температуры рабочей схемы </t>
  </si>
  <si>
    <t>* формулу поверхности нагретой зоны надо изменить (брать из книги, но размеры не корпуса, а печатной платы с элементами)</t>
  </si>
  <si>
    <r>
      <rPr>
        <b/>
        <sz val="14"/>
        <color rgb="FFFF0000"/>
        <rFont val="Times New Roman"/>
        <family val="1"/>
        <charset val="204"/>
      </rPr>
      <t>*</t>
    </r>
    <r>
      <rPr>
        <sz val="12"/>
        <color theme="1"/>
        <rFont val="Times New Roman"/>
        <family val="1"/>
        <charset val="204"/>
      </rPr>
      <t>Определяем условную поверхность нагретой зоны (S_з):</t>
    </r>
  </si>
  <si>
    <t>Герметичный теоречтич.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</si>
</sst>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u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i/>
      <sz val="12"/>
      <color theme="5" tint="-0.499984740745262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2"/>
      <color rgb="FF000000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b/>
      <sz val="14"/>
      <color rgb="FF000000"/>
      <name val="Calibri"/>
      <family val="2"/>
      <charset val="204"/>
      <scheme val="minor"/>
    </font>
    <font>
      <b/>
      <i/>
      <sz val="12"/>
      <color rgb="FF000000"/>
      <name val="Calibri"/>
      <family val="2"/>
      <charset val="204"/>
      <scheme val="minor"/>
    </font>
    <font>
      <sz val="12"/>
      <color theme="5" tint="-0.499984740745262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0" fontId="3" fillId="0" borderId="3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vertical="center"/>
    </xf>
    <xf numFmtId="0" fontId="1" fillId="0" borderId="0" xfId="0" applyFont="1"/>
    <xf numFmtId="0" fontId="3" fillId="0" borderId="4" xfId="0" applyFont="1" applyBorder="1"/>
    <xf numFmtId="0" fontId="2" fillId="0" borderId="8" xfId="0" applyFont="1" applyBorder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/>
    <xf numFmtId="0" fontId="2" fillId="3" borderId="8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0" xfId="0" applyFont="1"/>
    <xf numFmtId="1" fontId="3" fillId="0" borderId="4" xfId="0" applyNumberFormat="1" applyFont="1" applyBorder="1"/>
    <xf numFmtId="0" fontId="2" fillId="0" borderId="9" xfId="0" applyFont="1" applyBorder="1"/>
    <xf numFmtId="0" fontId="2" fillId="0" borderId="3" xfId="0" applyFont="1" applyBorder="1" applyAlignment="1">
      <alignment vertical="center"/>
    </xf>
    <xf numFmtId="0" fontId="8" fillId="0" borderId="0" xfId="0" applyFont="1" applyAlignment="1">
      <alignment vertical="top"/>
    </xf>
    <xf numFmtId="0" fontId="2" fillId="3" borderId="3" xfId="0" applyFont="1" applyFill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0" fillId="0" borderId="0" xfId="0" applyAlignment="1">
      <alignment vertical="top"/>
    </xf>
    <xf numFmtId="0" fontId="2" fillId="3" borderId="3" xfId="0" applyFont="1" applyFill="1" applyBorder="1" applyAlignment="1">
      <alignment vertical="top"/>
    </xf>
    <xf numFmtId="0" fontId="2" fillId="0" borderId="3" xfId="0" applyFont="1" applyBorder="1" applyAlignment="1">
      <alignment vertical="top"/>
    </xf>
    <xf numFmtId="0" fontId="15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28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0" xfId="0" applyBorder="1"/>
    <xf numFmtId="0" fontId="0" fillId="0" borderId="33" xfId="0" applyBorder="1"/>
    <xf numFmtId="0" fontId="2" fillId="5" borderId="3" xfId="0" applyFont="1" applyFill="1" applyBorder="1"/>
    <xf numFmtId="0" fontId="2" fillId="5" borderId="0" xfId="0" applyFont="1" applyFill="1"/>
    <xf numFmtId="0" fontId="12" fillId="0" borderId="23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3" borderId="27" xfId="0" applyFont="1" applyFill="1" applyBorder="1" applyAlignment="1">
      <alignment horizontal="right" vertical="center"/>
    </xf>
    <xf numFmtId="0" fontId="2" fillId="3" borderId="34" xfId="0" applyFont="1" applyFill="1" applyBorder="1" applyAlignment="1">
      <alignment horizontal="left"/>
    </xf>
    <xf numFmtId="0" fontId="2" fillId="3" borderId="34" xfId="0" applyFont="1" applyFill="1" applyBorder="1" applyAlignment="1">
      <alignment horizontal="left" vertical="center"/>
    </xf>
    <xf numFmtId="0" fontId="11" fillId="0" borderId="27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center"/>
    </xf>
    <xf numFmtId="0" fontId="18" fillId="5" borderId="38" xfId="0" applyFont="1" applyFill="1" applyBorder="1" applyAlignment="1">
      <alignment horizontal="center"/>
    </xf>
    <xf numFmtId="0" fontId="12" fillId="5" borderId="38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9" fillId="4" borderId="28" xfId="0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4" borderId="32" xfId="0" applyFont="1" applyFill="1" applyBorder="1" applyAlignment="1">
      <alignment horizontal="center" vertical="center" wrapText="1"/>
    </xf>
    <xf numFmtId="0" fontId="19" fillId="4" borderId="3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94938636699188E-3"/>
          <c:y val="2.39137602492605E-2"/>
          <c:w val="0.92666664741906757"/>
          <c:h val="0.869731929384821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Лист1!$O$17:$T$17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Лист1!$O$18:$T$18</c:f>
              <c:numCache>
                <c:formatCode>General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0.6</c:v>
                </c:pt>
                <c:pt idx="3">
                  <c:v>0.51</c:v>
                </c:pt>
                <c:pt idx="4">
                  <c:v>0.48</c:v>
                </c:pt>
                <c:pt idx="5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5-44E4-9483-2D413F9C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03455"/>
        <c:axId val="2099906335"/>
      </c:scatterChart>
      <c:valAx>
        <c:axId val="2099903455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9906335"/>
        <c:crosses val="autoZero"/>
        <c:crossBetween val="midCat"/>
        <c:minorUnit val="0.1"/>
      </c:valAx>
      <c:valAx>
        <c:axId val="2099906335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9903455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38189955671198E-2"/>
          <c:y val="0.10059182845845795"/>
          <c:w val="0.90446997762190418"/>
          <c:h val="0.85246531826092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Лист1!$O$3:$T$3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Лист1!$O$4:$T$4</c:f>
              <c:numCache>
                <c:formatCode>General</c:formatCode>
                <c:ptCount val="6"/>
                <c:pt idx="0">
                  <c:v>1</c:v>
                </c:pt>
                <c:pt idx="1">
                  <c:v>0.82</c:v>
                </c:pt>
                <c:pt idx="2">
                  <c:v>0.7</c:v>
                </c:pt>
                <c:pt idx="3">
                  <c:v>0.6</c:v>
                </c:pt>
                <c:pt idx="4">
                  <c:v>0.52</c:v>
                </c:pt>
                <c:pt idx="5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F-4EA2-BA39-8D389CDA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88895"/>
        <c:axId val="670692255"/>
      </c:scatterChart>
      <c:valAx>
        <c:axId val="67068889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one"/>
        <c:spPr>
          <a:noFill/>
          <a:ln w="12700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0692255"/>
        <c:crosses val="autoZero"/>
        <c:crossBetween val="midCat"/>
      </c:valAx>
      <c:valAx>
        <c:axId val="67069225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06888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microsoft.com/office/2007/relationships/hdphoto" Target="../media/hdphoto1.wdp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244517</xdr:colOff>
      <xdr:row>18</xdr:row>
      <xdr:rowOff>129052</xdr:rowOff>
    </xdr:from>
    <xdr:to>
      <xdr:col>19</xdr:col>
      <xdr:colOff>471364</xdr:colOff>
      <xdr:row>30</xdr:row>
      <xdr:rowOff>16883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0C0CED7-01E4-8989-207C-9156895D1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60000">
          <a:off x="20090135" y="3995081"/>
          <a:ext cx="3308465" cy="2453978"/>
        </a:xfrm>
        <a:prstGeom prst="rect">
          <a:avLst/>
        </a:prstGeom>
      </xdr:spPr>
    </xdr:pic>
    <xdr:clientData/>
  </xdr:twoCellAnchor>
  <xdr:twoCellAnchor editAs="oneCell">
    <xdr:from>
      <xdr:col>14</xdr:col>
      <xdr:colOff>123265</xdr:colOff>
      <xdr:row>4</xdr:row>
      <xdr:rowOff>145674</xdr:rowOff>
    </xdr:from>
    <xdr:to>
      <xdr:col>19</xdr:col>
      <xdr:colOff>272382</xdr:colOff>
      <xdr:row>14</xdr:row>
      <xdr:rowOff>145675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9D6547F-99EC-95F0-1B70-850CAF4AE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saturation sat="127000"/>
                  </a14:imgEffect>
                  <a14:imgEffect>
                    <a14:brightnessContrast bright="28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733559" y="997321"/>
          <a:ext cx="3249706" cy="2095501"/>
        </a:xfrm>
        <a:prstGeom prst="rect">
          <a:avLst/>
        </a:prstGeom>
      </xdr:spPr>
    </xdr:pic>
    <xdr:clientData/>
  </xdr:twoCellAnchor>
  <xdr:twoCellAnchor>
    <xdr:from>
      <xdr:col>15</xdr:col>
      <xdr:colOff>43075</xdr:colOff>
      <xdr:row>19</xdr:row>
      <xdr:rowOff>136404</xdr:rowOff>
    </xdr:from>
    <xdr:to>
      <xdr:col>19</xdr:col>
      <xdr:colOff>485828</xdr:colOff>
      <xdr:row>29</xdr:row>
      <xdr:rowOff>128121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D2FB32-FC0F-8C7D-D289-078A2920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467724</xdr:colOff>
      <xdr:row>4</xdr:row>
      <xdr:rowOff>173448</xdr:rowOff>
    </xdr:from>
    <xdr:to>
      <xdr:col>19</xdr:col>
      <xdr:colOff>303609</xdr:colOff>
      <xdr:row>13</xdr:row>
      <xdr:rowOff>196453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B90D471-E20B-6753-DFFE-A751F8F6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235322</xdr:colOff>
      <xdr:row>2</xdr:row>
      <xdr:rowOff>56030</xdr:rowOff>
    </xdr:from>
    <xdr:to>
      <xdr:col>26</xdr:col>
      <xdr:colOff>457759</xdr:colOff>
      <xdr:row>11</xdr:row>
      <xdr:rowOff>168649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5B04193-90F5-2139-41A9-9A5FEBCFE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60000">
          <a:off x="24081440" y="493059"/>
          <a:ext cx="3248025" cy="1984002"/>
        </a:xfrm>
        <a:prstGeom prst="rect">
          <a:avLst/>
        </a:prstGeom>
      </xdr:spPr>
    </xdr:pic>
    <xdr:clientData/>
  </xdr:twoCellAnchor>
  <xdr:twoCellAnchor editAs="oneCell">
    <xdr:from>
      <xdr:col>21</xdr:col>
      <xdr:colOff>425822</xdr:colOff>
      <xdr:row>14</xdr:row>
      <xdr:rowOff>33618</xdr:rowOff>
    </xdr:from>
    <xdr:to>
      <xdr:col>26</xdr:col>
      <xdr:colOff>198679</xdr:colOff>
      <xdr:row>23</xdr:row>
      <xdr:rowOff>131483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BEEF87E-9144-6973-5C3B-089D2B139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60000">
          <a:off x="24271940" y="2980765"/>
          <a:ext cx="2798445" cy="2070100"/>
        </a:xfrm>
        <a:prstGeom prst="rect">
          <a:avLst/>
        </a:prstGeom>
      </xdr:spPr>
    </xdr:pic>
    <xdr:clientData/>
  </xdr:twoCellAnchor>
  <xdr:twoCellAnchor editAs="oneCell">
    <xdr:from>
      <xdr:col>21</xdr:col>
      <xdr:colOff>452981</xdr:colOff>
      <xdr:row>26</xdr:row>
      <xdr:rowOff>79345</xdr:rowOff>
    </xdr:from>
    <xdr:to>
      <xdr:col>26</xdr:col>
      <xdr:colOff>74044</xdr:colOff>
      <xdr:row>35</xdr:row>
      <xdr:rowOff>179521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0566BEF-1907-B2AB-9C2F-4EAFEAE9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299099" y="5671080"/>
          <a:ext cx="2646651" cy="1993970"/>
        </a:xfrm>
        <a:prstGeom prst="rect">
          <a:avLst/>
        </a:prstGeom>
      </xdr:spPr>
    </xdr:pic>
    <xdr:clientData/>
  </xdr:twoCellAnchor>
  <xdr:twoCellAnchor editAs="oneCell">
    <xdr:from>
      <xdr:col>21</xdr:col>
      <xdr:colOff>493057</xdr:colOff>
      <xdr:row>38</xdr:row>
      <xdr:rowOff>123265</xdr:rowOff>
    </xdr:from>
    <xdr:to>
      <xdr:col>26</xdr:col>
      <xdr:colOff>162409</xdr:colOff>
      <xdr:row>48</xdr:row>
      <xdr:rowOff>55357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33D5D69C-500A-4E02-ADD0-122046827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339175" y="8258736"/>
          <a:ext cx="2694940" cy="2061210"/>
        </a:xfrm>
        <a:prstGeom prst="rect">
          <a:avLst/>
        </a:prstGeom>
      </xdr:spPr>
    </xdr:pic>
    <xdr:clientData/>
  </xdr:twoCellAnchor>
  <xdr:oneCellAnchor>
    <xdr:from>
      <xdr:col>22</xdr:col>
      <xdr:colOff>47626</xdr:colOff>
      <xdr:row>2</xdr:row>
      <xdr:rowOff>40403</xdr:rowOff>
    </xdr:from>
    <xdr:ext cx="81512" cy="2544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9CC2904-AE1E-DA1B-5DD6-2D51B9EC3D97}"/>
            </a:ext>
          </a:extLst>
        </xdr:cNvPr>
        <xdr:cNvSpPr txBox="1"/>
      </xdr:nvSpPr>
      <xdr:spPr>
        <a:xfrm>
          <a:off x="24729282" y="492841"/>
          <a:ext cx="81512" cy="25449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  <a:endParaRPr lang="ru-BY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topLeftCell="B4" zoomScale="85" zoomScaleNormal="85" workbookViewId="0">
      <selection activeCell="C11" sqref="C11"/>
    </sheetView>
  </sheetViews>
  <sheetFormatPr defaultRowHeight="14.4" x14ac:dyDescent="0.3"/>
  <cols>
    <col min="1" max="1" width="3" customWidth="1"/>
    <col min="2" max="2" width="75.88671875" customWidth="1"/>
    <col min="3" max="3" width="10.5546875" customWidth="1"/>
    <col min="4" max="4" width="3.88671875" customWidth="1"/>
    <col min="5" max="5" width="3.5546875" customWidth="1"/>
    <col min="6" max="6" width="74.109375" customWidth="1"/>
    <col min="7" max="7" width="9.5546875" customWidth="1"/>
    <col min="8" max="8" width="12.5546875" style="32" customWidth="1"/>
    <col min="9" max="9" width="3.33203125" customWidth="1"/>
    <col min="10" max="10" width="59.88671875" customWidth="1"/>
    <col min="11" max="11" width="12.44140625" bestFit="1" customWidth="1"/>
    <col min="12" max="12" width="9.6640625" customWidth="1"/>
    <col min="13" max="13" width="9.33203125" bestFit="1" customWidth="1"/>
    <col min="14" max="14" width="8.5546875" customWidth="1"/>
    <col min="15" max="20" width="9.33203125" bestFit="1" customWidth="1"/>
    <col min="28" max="28" width="11.109375" customWidth="1"/>
    <col min="29" max="29" width="16.44140625" customWidth="1"/>
    <col min="30" max="30" width="18" customWidth="1"/>
    <col min="31" max="31" width="9.33203125" bestFit="1" customWidth="1"/>
    <col min="35" max="35" width="9.33203125" bestFit="1" customWidth="1"/>
  </cols>
  <sheetData>
    <row r="1" spans="2:35" ht="15.75" customHeight="1" thickBot="1" x14ac:dyDescent="0.4">
      <c r="B1" s="114" t="s">
        <v>120</v>
      </c>
      <c r="C1" s="115"/>
      <c r="D1" s="25"/>
      <c r="E1" s="25"/>
      <c r="F1" s="25"/>
      <c r="G1" s="25"/>
      <c r="H1" s="29"/>
      <c r="I1" s="25"/>
      <c r="J1" s="25"/>
      <c r="K1" s="25"/>
      <c r="L1" s="25"/>
      <c r="M1" s="25"/>
      <c r="N1" s="25"/>
      <c r="O1" s="25"/>
      <c r="P1" s="25"/>
    </row>
    <row r="2" spans="2:35" ht="18" thickBot="1" x14ac:dyDescent="0.35">
      <c r="B2" s="112" t="s">
        <v>2</v>
      </c>
      <c r="C2" s="113"/>
      <c r="D2" s="9"/>
      <c r="E2" s="9"/>
      <c r="F2" s="116" t="s">
        <v>102</v>
      </c>
      <c r="G2" s="117"/>
      <c r="H2" s="108" t="s">
        <v>118</v>
      </c>
      <c r="J2" s="112" t="s">
        <v>29</v>
      </c>
      <c r="K2" s="113"/>
      <c r="L2" s="9"/>
      <c r="O2" s="110" t="s">
        <v>53</v>
      </c>
      <c r="P2" s="110"/>
      <c r="Q2" s="110"/>
      <c r="R2" s="110"/>
      <c r="S2" s="110"/>
      <c r="T2" s="110"/>
      <c r="V2" s="101" t="s">
        <v>98</v>
      </c>
      <c r="W2" s="101"/>
      <c r="X2" s="101"/>
      <c r="Y2" s="101"/>
      <c r="Z2" s="101"/>
      <c r="AA2" s="101"/>
    </row>
    <row r="3" spans="2:35" ht="16.5" customHeight="1" thickBot="1" x14ac:dyDescent="0.35">
      <c r="B3" s="66" t="s">
        <v>41</v>
      </c>
      <c r="C3" s="27">
        <v>5.6000000000000001E-2</v>
      </c>
      <c r="D3" s="9"/>
      <c r="E3" s="9"/>
      <c r="F3" s="66" t="s">
        <v>0</v>
      </c>
      <c r="G3" s="14">
        <v>1.12E-2</v>
      </c>
      <c r="H3" s="108"/>
      <c r="J3" s="66" t="s">
        <v>23</v>
      </c>
      <c r="K3" s="12">
        <f>C4*C3*C7*(1-C10)</f>
        <v>2.1638400000000006E-5</v>
      </c>
      <c r="L3" s="9"/>
      <c r="O3" s="2">
        <v>0</v>
      </c>
      <c r="P3" s="3">
        <v>1</v>
      </c>
      <c r="Q3" s="3">
        <v>2</v>
      </c>
      <c r="R3" s="3">
        <v>3</v>
      </c>
      <c r="S3" s="3">
        <v>4</v>
      </c>
      <c r="T3" s="4">
        <v>5</v>
      </c>
      <c r="V3" s="39"/>
      <c r="W3" s="40"/>
      <c r="X3" s="40"/>
      <c r="Y3" s="40"/>
      <c r="Z3" s="40"/>
      <c r="AA3" s="41"/>
    </row>
    <row r="4" spans="2:35" ht="18.75" customHeight="1" thickBot="1" x14ac:dyDescent="0.35">
      <c r="B4" s="65" t="s">
        <v>40</v>
      </c>
      <c r="C4" s="11">
        <v>2.8000000000000001E-2</v>
      </c>
      <c r="D4" s="9"/>
      <c r="E4" s="9"/>
      <c r="F4" s="28" t="s">
        <v>119</v>
      </c>
      <c r="G4" s="15">
        <v>6.1500000000000001E-3</v>
      </c>
      <c r="H4" s="108"/>
      <c r="J4" s="28" t="s">
        <v>104</v>
      </c>
      <c r="K4" s="13">
        <v>1.78</v>
      </c>
      <c r="L4" s="9"/>
      <c r="O4" s="1">
        <v>1</v>
      </c>
      <c r="P4" s="1">
        <v>0.82</v>
      </c>
      <c r="Q4" s="1">
        <v>0.7</v>
      </c>
      <c r="R4" s="1">
        <v>0.6</v>
      </c>
      <c r="S4" s="1">
        <v>0.52</v>
      </c>
      <c r="T4" s="1">
        <v>0.46</v>
      </c>
      <c r="V4" s="42"/>
      <c r="AA4" s="43"/>
    </row>
    <row r="5" spans="2:35" ht="14.25" customHeight="1" thickBot="1" x14ac:dyDescent="0.35">
      <c r="B5" s="28" t="s">
        <v>115</v>
      </c>
      <c r="C5" s="11">
        <f>C3*C4*C7</f>
        <v>7.2128000000000011E-5</v>
      </c>
      <c r="D5" s="9"/>
      <c r="E5" s="9"/>
      <c r="F5" s="65" t="s">
        <v>6</v>
      </c>
      <c r="G5" s="15">
        <f>C8/G3</f>
        <v>312.5</v>
      </c>
      <c r="H5" s="108"/>
      <c r="J5" s="65" t="s">
        <v>12</v>
      </c>
      <c r="K5" s="13">
        <f>G7*G9</f>
        <v>26.590996101289313</v>
      </c>
      <c r="L5" s="9"/>
      <c r="V5" s="42"/>
      <c r="AA5" s="43"/>
      <c r="AC5" s="36" t="s">
        <v>58</v>
      </c>
      <c r="AD5" s="37" t="s">
        <v>59</v>
      </c>
      <c r="AE5" s="83" t="s">
        <v>70</v>
      </c>
      <c r="AF5" s="84"/>
      <c r="AG5" s="84"/>
      <c r="AH5" s="84"/>
      <c r="AI5" s="85"/>
    </row>
    <row r="6" spans="2:35" ht="16.5" customHeight="1" x14ac:dyDescent="0.3">
      <c r="B6" s="8" t="s">
        <v>38</v>
      </c>
      <c r="C6" s="11">
        <f>C3*C7</f>
        <v>2.5760000000000002E-3</v>
      </c>
      <c r="D6" s="9"/>
      <c r="E6" s="9"/>
      <c r="F6" s="28" t="s">
        <v>7</v>
      </c>
      <c r="G6" s="15">
        <f>C8/G4</f>
        <v>569.10569105691059</v>
      </c>
      <c r="H6" s="108"/>
      <c r="J6" s="28" t="s">
        <v>13</v>
      </c>
      <c r="K6" s="13">
        <f>G7*(G9-1)+G8*C21</f>
        <v>36.072109494001822</v>
      </c>
      <c r="L6" s="9"/>
      <c r="V6" s="42"/>
      <c r="AA6" s="43"/>
      <c r="AC6" s="50"/>
      <c r="AD6" s="51"/>
      <c r="AE6" s="52"/>
      <c r="AF6" s="86" t="s">
        <v>84</v>
      </c>
      <c r="AG6" s="87"/>
      <c r="AH6" s="87"/>
      <c r="AI6" s="88"/>
    </row>
    <row r="7" spans="2:35" ht="15.6" x14ac:dyDescent="0.3">
      <c r="B7" s="28" t="s">
        <v>39</v>
      </c>
      <c r="C7" s="11">
        <v>4.5999999999999999E-2</v>
      </c>
      <c r="D7" s="9"/>
      <c r="E7" s="9"/>
      <c r="F7" s="28" t="s">
        <v>8</v>
      </c>
      <c r="G7" s="15">
        <f>0.1472*G5-0.2962*10^(-3) *G5^2+0.3127*10^(-6)* G5^3</f>
        <v>26.617065429687496</v>
      </c>
      <c r="H7" s="108"/>
      <c r="J7" s="28" t="s">
        <v>14</v>
      </c>
      <c r="K7" s="13">
        <f>0.75*K6</f>
        <v>27.054082120501366</v>
      </c>
      <c r="L7" s="9"/>
      <c r="V7" s="42"/>
      <c r="AA7" s="43"/>
      <c r="AC7" s="72" t="s">
        <v>61</v>
      </c>
      <c r="AD7" s="35" t="s">
        <v>60</v>
      </c>
      <c r="AE7" s="53">
        <v>0.35</v>
      </c>
      <c r="AF7" s="89"/>
      <c r="AG7" s="90"/>
      <c r="AH7" s="90"/>
      <c r="AI7" s="91"/>
    </row>
    <row r="8" spans="2:35" ht="17.25" customHeight="1" x14ac:dyDescent="0.3">
      <c r="B8" s="28" t="s">
        <v>75</v>
      </c>
      <c r="C8" s="11">
        <v>3.5</v>
      </c>
      <c r="D8" s="9"/>
      <c r="E8" s="9"/>
      <c r="F8" s="28" t="s">
        <v>9</v>
      </c>
      <c r="G8" s="15">
        <v>50</v>
      </c>
      <c r="H8" s="108"/>
      <c r="J8" s="28" t="s">
        <v>16</v>
      </c>
      <c r="K8" s="13">
        <f>K6*(0.75+(0.25*G14)/G6)</f>
        <v>54.784516294015262</v>
      </c>
      <c r="L8" s="9"/>
      <c r="V8" s="42"/>
      <c r="AA8" s="43"/>
      <c r="AC8" s="72" t="s">
        <v>62</v>
      </c>
      <c r="AD8" s="35" t="s">
        <v>60</v>
      </c>
      <c r="AE8" s="53">
        <v>1</v>
      </c>
      <c r="AF8" s="89"/>
      <c r="AG8" s="90"/>
      <c r="AH8" s="90"/>
      <c r="AI8" s="91"/>
    </row>
    <row r="9" spans="2:35" ht="15.6" x14ac:dyDescent="0.3">
      <c r="B9" s="67" t="s">
        <v>5</v>
      </c>
      <c r="C9" s="22">
        <v>318</v>
      </c>
      <c r="D9" s="18">
        <f>C9-273</f>
        <v>45</v>
      </c>
      <c r="E9" s="9"/>
      <c r="F9" s="28" t="s">
        <v>10</v>
      </c>
      <c r="G9" s="15">
        <f>0.82+ 1/(0.925+4.6*10^(-5)*C13)</f>
        <v>0.99902057841548886</v>
      </c>
      <c r="H9" s="108"/>
      <c r="J9" s="28" t="s">
        <v>17</v>
      </c>
      <c r="K9" s="13">
        <f>K7*(0.75+(0.25*G14)/G6)</f>
        <v>41.088387220511443</v>
      </c>
      <c r="L9" s="9"/>
      <c r="V9" s="42"/>
      <c r="AA9" s="43"/>
      <c r="AC9" s="72" t="s">
        <v>63</v>
      </c>
      <c r="AD9" s="35" t="s">
        <v>60</v>
      </c>
      <c r="AE9" s="53">
        <v>1</v>
      </c>
      <c r="AF9" s="89"/>
      <c r="AG9" s="90"/>
      <c r="AH9" s="90"/>
      <c r="AI9" s="91"/>
    </row>
    <row r="10" spans="2:35" ht="15.6" x14ac:dyDescent="0.3">
      <c r="B10" s="28" t="s">
        <v>76</v>
      </c>
      <c r="C10" s="11">
        <v>0.7</v>
      </c>
      <c r="D10" s="9"/>
      <c r="E10" s="9"/>
      <c r="F10" s="28" t="s">
        <v>11</v>
      </c>
      <c r="G10" s="15">
        <f>0.8+ 1/(1.25+3.8*10^(-5) *C13)</f>
        <v>0.99606497593302423</v>
      </c>
      <c r="H10" s="108"/>
      <c r="J10" s="67" t="s">
        <v>18</v>
      </c>
      <c r="K10" s="20">
        <f>K5+C9</f>
        <v>344.59099610128931</v>
      </c>
      <c r="L10" s="18">
        <f>K10-273</f>
        <v>71.590996101289306</v>
      </c>
      <c r="V10" s="42"/>
      <c r="AA10" s="43"/>
      <c r="AC10" s="72" t="s">
        <v>64</v>
      </c>
      <c r="AD10" s="35" t="s">
        <v>60</v>
      </c>
      <c r="AE10" s="53">
        <v>1</v>
      </c>
      <c r="AF10" s="89"/>
      <c r="AG10" s="90"/>
      <c r="AH10" s="90"/>
      <c r="AI10" s="91"/>
    </row>
    <row r="11" spans="2:35" ht="15.6" x14ac:dyDescent="0.3">
      <c r="B11" s="28" t="s">
        <v>77</v>
      </c>
      <c r="C11" s="11">
        <v>3.5</v>
      </c>
      <c r="D11" s="9"/>
      <c r="E11" s="9"/>
      <c r="F11" s="28" t="s">
        <v>12</v>
      </c>
      <c r="G11" s="15">
        <f>G7*G9</f>
        <v>26.590996101289313</v>
      </c>
      <c r="H11" s="108"/>
      <c r="J11" s="28" t="s">
        <v>19</v>
      </c>
      <c r="K11" s="13">
        <f>K6+C9</f>
        <v>354.07210949400184</v>
      </c>
      <c r="L11" s="7">
        <f>K11-273</f>
        <v>81.072109494001836</v>
      </c>
      <c r="V11" s="42"/>
      <c r="AA11" s="43"/>
      <c r="AC11" s="72" t="s">
        <v>65</v>
      </c>
      <c r="AD11" s="35" t="s">
        <v>60</v>
      </c>
      <c r="AE11" s="53">
        <v>0.3</v>
      </c>
      <c r="AF11" s="89"/>
      <c r="AG11" s="90"/>
      <c r="AH11" s="90"/>
      <c r="AI11" s="91"/>
    </row>
    <row r="12" spans="2:35" ht="17.25" customHeight="1" thickBot="1" x14ac:dyDescent="0.35">
      <c r="B12" s="65" t="s">
        <v>116</v>
      </c>
      <c r="C12" s="11">
        <v>2E-3</v>
      </c>
      <c r="D12" s="9"/>
      <c r="E12" s="9"/>
      <c r="F12" s="28" t="s">
        <v>13</v>
      </c>
      <c r="G12" s="15">
        <f>G11+(G8-G7)*G10</f>
        <v>49.881918261311114</v>
      </c>
      <c r="H12" s="108"/>
      <c r="J12" s="67" t="s">
        <v>20</v>
      </c>
      <c r="K12" s="20">
        <f>K8+C9</f>
        <v>372.78451629401525</v>
      </c>
      <c r="L12" s="18">
        <f>K12-273</f>
        <v>99.784516294015248</v>
      </c>
      <c r="V12" s="44"/>
      <c r="W12" s="45"/>
      <c r="X12" s="45"/>
      <c r="Y12" s="45"/>
      <c r="Z12" s="45"/>
      <c r="AA12" s="46"/>
      <c r="AC12" s="72" t="s">
        <v>66</v>
      </c>
      <c r="AD12" s="35" t="s">
        <v>67</v>
      </c>
      <c r="AE12" s="53">
        <v>0.2</v>
      </c>
      <c r="AF12" s="89"/>
      <c r="AG12" s="90"/>
      <c r="AH12" s="90"/>
      <c r="AI12" s="91"/>
    </row>
    <row r="13" spans="2:35" ht="15.6" x14ac:dyDescent="0.3">
      <c r="B13" s="28" t="s">
        <v>78</v>
      </c>
      <c r="C13" s="11">
        <v>101325</v>
      </c>
      <c r="D13" s="9"/>
      <c r="E13" s="9"/>
      <c r="F13" s="28" t="s">
        <v>14</v>
      </c>
      <c r="G13" s="15">
        <f>0.5*(G11+G12)</f>
        <v>38.23645718130021</v>
      </c>
      <c r="H13" s="108"/>
      <c r="J13" s="28" t="s">
        <v>21</v>
      </c>
      <c r="K13" s="13">
        <f>K7+C9</f>
        <v>345.05408212050139</v>
      </c>
      <c r="L13" s="7">
        <f>K13-273</f>
        <v>72.054082120501391</v>
      </c>
      <c r="AC13" s="72" t="s">
        <v>68</v>
      </c>
      <c r="AD13" s="35" t="s">
        <v>67</v>
      </c>
      <c r="AE13" s="53">
        <v>0.35</v>
      </c>
      <c r="AF13" s="89"/>
      <c r="AG13" s="90"/>
      <c r="AH13" s="90"/>
      <c r="AI13" s="91"/>
    </row>
    <row r="14" spans="2:35" ht="18" thickBot="1" x14ac:dyDescent="0.35">
      <c r="B14" s="118" t="s">
        <v>103</v>
      </c>
      <c r="C14" s="9"/>
      <c r="D14" s="9"/>
      <c r="E14" s="9"/>
      <c r="F14" s="28" t="s">
        <v>15</v>
      </c>
      <c r="G14" s="15">
        <f>C11/C12</f>
        <v>1750</v>
      </c>
      <c r="H14" s="108"/>
      <c r="J14" s="67" t="s">
        <v>22</v>
      </c>
      <c r="K14" s="20">
        <f>K9+C9</f>
        <v>359.08838722051144</v>
      </c>
      <c r="L14" s="18">
        <f>K14-273</f>
        <v>86.088387220511436</v>
      </c>
      <c r="V14" s="101" t="s">
        <v>99</v>
      </c>
      <c r="W14" s="101"/>
      <c r="X14" s="101"/>
      <c r="Y14" s="101"/>
      <c r="Z14" s="101"/>
      <c r="AA14" s="101"/>
      <c r="AC14" s="72">
        <v>3904</v>
      </c>
      <c r="AD14" s="35" t="s">
        <v>67</v>
      </c>
      <c r="AE14" s="53">
        <v>0.35</v>
      </c>
      <c r="AF14" s="89"/>
      <c r="AG14" s="90"/>
      <c r="AH14" s="90"/>
      <c r="AI14" s="91"/>
    </row>
    <row r="15" spans="2:35" ht="16.2" thickBot="1" x14ac:dyDescent="0.35">
      <c r="B15" s="118"/>
      <c r="E15" s="9"/>
      <c r="F15" s="28" t="s">
        <v>16</v>
      </c>
      <c r="G15" s="15">
        <f>G12*(0.75+0.25*G14/G6)</f>
        <v>75.75816335936625</v>
      </c>
      <c r="H15" s="108"/>
      <c r="V15" s="39"/>
      <c r="W15" s="40"/>
      <c r="X15" s="40"/>
      <c r="Y15" s="40"/>
      <c r="Z15" s="40"/>
      <c r="AA15" s="41"/>
      <c r="AC15" s="72">
        <v>4160</v>
      </c>
      <c r="AD15" s="35" t="s">
        <v>67</v>
      </c>
      <c r="AE15" s="53">
        <v>1</v>
      </c>
      <c r="AF15" s="89"/>
      <c r="AG15" s="90"/>
      <c r="AH15" s="90"/>
      <c r="AI15" s="91"/>
    </row>
    <row r="16" spans="2:35" ht="18.600000000000001" thickBot="1" x14ac:dyDescent="0.4">
      <c r="E16" s="9"/>
      <c r="F16" s="28" t="s">
        <v>17</v>
      </c>
      <c r="G16" s="15">
        <f>G13*(0.75+0.25*G14/G6)</f>
        <v>58.071619344099688</v>
      </c>
      <c r="H16" s="109"/>
      <c r="J16" s="112" t="s">
        <v>30</v>
      </c>
      <c r="K16" s="113"/>
      <c r="O16" s="110" t="s">
        <v>54</v>
      </c>
      <c r="P16" s="111"/>
      <c r="Q16" s="111"/>
      <c r="R16" s="111"/>
      <c r="S16" s="111"/>
      <c r="T16" s="111"/>
      <c r="V16" s="42"/>
      <c r="AA16" s="43"/>
      <c r="AC16" s="73" t="s">
        <v>69</v>
      </c>
      <c r="AD16" s="59" t="s">
        <v>67</v>
      </c>
      <c r="AE16" s="58">
        <v>15</v>
      </c>
      <c r="AF16" s="89"/>
      <c r="AG16" s="90"/>
      <c r="AH16" s="90"/>
      <c r="AI16" s="91"/>
    </row>
    <row r="17" spans="2:35" ht="16.2" thickBot="1" x14ac:dyDescent="0.35">
      <c r="B17" s="112" t="s">
        <v>3</v>
      </c>
      <c r="C17" s="113"/>
      <c r="D17" s="9"/>
      <c r="E17" s="9"/>
      <c r="F17" s="67" t="s">
        <v>18</v>
      </c>
      <c r="G17" s="19">
        <f>G11+C9</f>
        <v>344.59099610128931</v>
      </c>
      <c r="H17" s="30">
        <f>G17-273</f>
        <v>71.590996101289306</v>
      </c>
      <c r="J17" s="66" t="s">
        <v>24</v>
      </c>
      <c r="K17" s="5">
        <f>(G8-G7)*G10</f>
        <v>23.290922160021804</v>
      </c>
      <c r="O17" s="2">
        <v>0</v>
      </c>
      <c r="P17" s="3">
        <v>0.2</v>
      </c>
      <c r="Q17" s="3">
        <v>0.4</v>
      </c>
      <c r="R17" s="3">
        <v>0.6</v>
      </c>
      <c r="S17" s="3">
        <v>0.8</v>
      </c>
      <c r="T17" s="4">
        <v>1</v>
      </c>
      <c r="V17" s="42"/>
      <c r="AA17" s="43"/>
      <c r="AC17" s="72" t="s">
        <v>71</v>
      </c>
      <c r="AD17" s="35" t="s">
        <v>67</v>
      </c>
      <c r="AE17" s="54">
        <v>8</v>
      </c>
      <c r="AF17" s="89"/>
      <c r="AG17" s="90"/>
      <c r="AH17" s="90"/>
      <c r="AI17" s="91"/>
    </row>
    <row r="18" spans="2:35" ht="15.6" x14ac:dyDescent="0.3">
      <c r="B18" s="70" t="s">
        <v>4</v>
      </c>
      <c r="C18" s="10">
        <v>0.6</v>
      </c>
      <c r="D18" s="9"/>
      <c r="E18" s="9"/>
      <c r="F18" s="28" t="s">
        <v>19</v>
      </c>
      <c r="G18" s="15">
        <f>G12+C9</f>
        <v>367.88191826131111</v>
      </c>
      <c r="H18" s="31">
        <f>G18-273</f>
        <v>94.881918261311114</v>
      </c>
      <c r="J18" s="28" t="s">
        <v>25</v>
      </c>
      <c r="K18" s="7">
        <f>3.14*C26*C27/60</f>
        <v>11.722666666666669</v>
      </c>
      <c r="L18" s="9"/>
      <c r="O18" s="1">
        <v>1</v>
      </c>
      <c r="P18" s="1">
        <v>0.7</v>
      </c>
      <c r="Q18" s="1">
        <v>0.6</v>
      </c>
      <c r="R18" s="1">
        <v>0.51</v>
      </c>
      <c r="S18" s="1">
        <v>0.48</v>
      </c>
      <c r="T18" s="1">
        <v>0.46</v>
      </c>
      <c r="V18" s="42"/>
      <c r="AA18" s="43"/>
      <c r="AC18" s="74" t="s">
        <v>72</v>
      </c>
      <c r="AD18" s="35" t="s">
        <v>67</v>
      </c>
      <c r="AE18" s="54">
        <v>8.5</v>
      </c>
      <c r="AF18" s="89"/>
      <c r="AG18" s="90"/>
      <c r="AH18" s="90"/>
      <c r="AI18" s="91"/>
    </row>
    <row r="19" spans="2:35" ht="16.2" thickBot="1" x14ac:dyDescent="0.35">
      <c r="B19" s="28" t="s">
        <v>105</v>
      </c>
      <c r="C19" s="7">
        <v>2.96</v>
      </c>
      <c r="D19" s="9"/>
      <c r="E19" s="9"/>
      <c r="F19" s="67" t="s">
        <v>20</v>
      </c>
      <c r="G19" s="19">
        <f>G15+C9</f>
        <v>393.75816335936622</v>
      </c>
      <c r="H19" s="30">
        <f>G19-273</f>
        <v>120.75816335936622</v>
      </c>
      <c r="J19" s="28" t="s">
        <v>26</v>
      </c>
      <c r="K19" s="7">
        <f>G5/(12+4.17*K18)</f>
        <v>5.132751851404123</v>
      </c>
      <c r="L19" s="9"/>
      <c r="V19" s="42"/>
      <c r="AA19" s="43"/>
      <c r="AC19" s="55" t="s">
        <v>93</v>
      </c>
      <c r="AD19" s="56" t="s">
        <v>73</v>
      </c>
      <c r="AE19" s="57">
        <v>6</v>
      </c>
      <c r="AF19" s="92"/>
      <c r="AG19" s="93"/>
      <c r="AH19" s="93"/>
      <c r="AI19" s="94"/>
    </row>
    <row r="20" spans="2:35" ht="16.2" thickBot="1" x14ac:dyDescent="0.35">
      <c r="B20" s="28" t="s">
        <v>106</v>
      </c>
      <c r="C20" s="6">
        <f>C19*0.000472</f>
        <v>1.39712E-3</v>
      </c>
      <c r="D20" s="9"/>
      <c r="E20" s="9"/>
      <c r="F20" s="28" t="s">
        <v>21</v>
      </c>
      <c r="G20" s="15">
        <f>G13+C9</f>
        <v>356.23645718130024</v>
      </c>
      <c r="H20" s="31">
        <f>G20-273</f>
        <v>83.236457181300239</v>
      </c>
      <c r="J20" s="28" t="s">
        <v>27</v>
      </c>
      <c r="K20" s="7">
        <f>K19+K17</f>
        <v>28.423674011425927</v>
      </c>
      <c r="L20" s="9"/>
      <c r="V20" s="42"/>
      <c r="AA20" s="43"/>
      <c r="AC20" s="75" t="s">
        <v>79</v>
      </c>
      <c r="AD20" s="76"/>
      <c r="AE20" s="49">
        <v>10</v>
      </c>
      <c r="AF20" s="95" t="s">
        <v>80</v>
      </c>
      <c r="AG20" s="96"/>
      <c r="AH20" s="97"/>
      <c r="AI20" s="38">
        <v>10</v>
      </c>
    </row>
    <row r="21" spans="2:35" ht="16.5" customHeight="1" x14ac:dyDescent="0.3">
      <c r="B21" s="28" t="s">
        <v>1</v>
      </c>
      <c r="C21" s="7">
        <f xml:space="preserve"> 0.0008*K4*K4*K4*K4 - 0.0102*K4*K4*K4 + 0.0531*K4*K4 - 0.2228*K4 + 0.9998</f>
        <v>0.72196357644800002</v>
      </c>
      <c r="D21" s="9"/>
      <c r="E21" s="9"/>
      <c r="F21" s="67" t="s">
        <v>22</v>
      </c>
      <c r="G21" s="19">
        <f>G16+C9</f>
        <v>376.0716193440997</v>
      </c>
      <c r="H21" s="30">
        <f>G21-273</f>
        <v>103.0716193440997</v>
      </c>
      <c r="I21" s="9"/>
      <c r="J21" s="28" t="s">
        <v>14</v>
      </c>
      <c r="K21" s="7">
        <f>0.75*K20</f>
        <v>21.317755508569444</v>
      </c>
      <c r="L21" s="9"/>
      <c r="V21" s="42"/>
      <c r="AA21" s="43"/>
      <c r="AC21" s="77" t="s">
        <v>74</v>
      </c>
      <c r="AD21" s="78"/>
      <c r="AE21" s="78"/>
      <c r="AF21" s="78"/>
      <c r="AG21" s="78"/>
      <c r="AH21" s="78"/>
      <c r="AI21" s="79"/>
    </row>
    <row r="22" spans="2:35" ht="18.600000000000001" thickBot="1" x14ac:dyDescent="0.4">
      <c r="B22" s="71" t="s">
        <v>109</v>
      </c>
      <c r="E22" s="9"/>
      <c r="J22" s="28" t="s">
        <v>16</v>
      </c>
      <c r="K22" s="7">
        <f>K20*(0.75+(0.25*G14)/G6)</f>
        <v>43.168454904853121</v>
      </c>
      <c r="L22" s="9"/>
      <c r="V22" s="42"/>
      <c r="AA22" s="43"/>
      <c r="AC22" s="80">
        <f>SUM(AE6:AI19)+AE20*0.1+AI20*0.01</f>
        <v>44.15</v>
      </c>
      <c r="AD22" s="81"/>
      <c r="AE22" s="81"/>
      <c r="AF22" s="81"/>
      <c r="AG22" s="81"/>
      <c r="AH22" s="81"/>
      <c r="AI22" s="82"/>
    </row>
    <row r="23" spans="2:35" ht="16.2" thickBot="1" x14ac:dyDescent="0.35">
      <c r="E23" s="9"/>
      <c r="F23" s="16" t="s">
        <v>31</v>
      </c>
      <c r="G23" s="17"/>
      <c r="J23" s="28" t="s">
        <v>17</v>
      </c>
      <c r="K23" s="7">
        <f>K21*(0.75+(0.25*G14)/G6)</f>
        <v>32.376341178639841</v>
      </c>
      <c r="L23" s="9"/>
      <c r="V23" s="42"/>
      <c r="AA23" s="43"/>
    </row>
    <row r="24" spans="2:35" ht="16.2" thickBot="1" x14ac:dyDescent="0.35">
      <c r="B24" s="23" t="s">
        <v>28</v>
      </c>
      <c r="C24" s="24"/>
      <c r="D24" s="9"/>
      <c r="F24" s="68" t="s">
        <v>34</v>
      </c>
      <c r="G24" s="5">
        <f>G3</f>
        <v>1.12E-2</v>
      </c>
      <c r="J24" s="67" t="s">
        <v>18</v>
      </c>
      <c r="K24" s="18">
        <f>K19+C9</f>
        <v>323.13275185140412</v>
      </c>
      <c r="L24" s="18">
        <f>K24-273</f>
        <v>50.132751851404123</v>
      </c>
      <c r="V24" s="44"/>
      <c r="W24" s="45"/>
      <c r="X24" s="45"/>
      <c r="Y24" s="45"/>
      <c r="Z24" s="45"/>
      <c r="AA24" s="46"/>
    </row>
    <row r="25" spans="2:35" ht="15.6" x14ac:dyDescent="0.3">
      <c r="B25" s="21" t="s">
        <v>117</v>
      </c>
      <c r="C25" s="21">
        <f>D25+273</f>
        <v>423</v>
      </c>
      <c r="D25" s="18">
        <v>150</v>
      </c>
      <c r="F25" s="65" t="s">
        <v>33</v>
      </c>
      <c r="G25" s="7">
        <f>2*C7*C33*C31</f>
        <v>1.84E-2</v>
      </c>
      <c r="J25" s="28" t="s">
        <v>19</v>
      </c>
      <c r="K25" s="7">
        <f>K20+C9</f>
        <v>346.42367401142593</v>
      </c>
      <c r="L25" s="7">
        <f>K25-273</f>
        <v>73.423674011425931</v>
      </c>
    </row>
    <row r="26" spans="2:35" ht="18" customHeight="1" thickBot="1" x14ac:dyDescent="0.35">
      <c r="B26" s="28" t="s">
        <v>111</v>
      </c>
      <c r="C26" s="7">
        <v>0.14000000000000001</v>
      </c>
      <c r="D26" s="9"/>
      <c r="F26" s="28" t="s">
        <v>32</v>
      </c>
      <c r="G26" s="7">
        <f>G24+G25</f>
        <v>2.9600000000000001E-2</v>
      </c>
      <c r="J26" s="67" t="s">
        <v>20</v>
      </c>
      <c r="K26" s="18">
        <f>K22+C9</f>
        <v>361.16845490485309</v>
      </c>
      <c r="L26" s="18">
        <f>K26-273</f>
        <v>88.168454904853093</v>
      </c>
      <c r="V26" s="101" t="s">
        <v>100</v>
      </c>
      <c r="W26" s="101"/>
      <c r="X26" s="101"/>
      <c r="Y26" s="101"/>
      <c r="Z26" s="101"/>
      <c r="AA26" s="101"/>
    </row>
    <row r="27" spans="2:35" ht="15.6" x14ac:dyDescent="0.3">
      <c r="B27" s="7" t="s">
        <v>42</v>
      </c>
      <c r="C27" s="7">
        <v>1600</v>
      </c>
      <c r="D27" s="9"/>
      <c r="F27" s="28" t="s">
        <v>37</v>
      </c>
      <c r="G27" s="7">
        <f>C8/G26</f>
        <v>118.24324324324324</v>
      </c>
      <c r="J27" s="28" t="s">
        <v>21</v>
      </c>
      <c r="K27" s="7">
        <f>K21+C9</f>
        <v>339.31775550856946</v>
      </c>
      <c r="L27" s="7">
        <f>K27-273</f>
        <v>66.317755508569462</v>
      </c>
      <c r="V27" s="39"/>
      <c r="W27" s="40"/>
      <c r="X27" s="40"/>
      <c r="Y27" s="40"/>
      <c r="Z27" s="40"/>
      <c r="AA27" s="41"/>
    </row>
    <row r="28" spans="2:35" ht="15.6" x14ac:dyDescent="0.3">
      <c r="B28" s="64" t="s">
        <v>110</v>
      </c>
      <c r="C28" s="9"/>
      <c r="D28" s="9"/>
      <c r="F28" s="28" t="s">
        <v>35</v>
      </c>
      <c r="G28" s="7">
        <f>0.1472*G27-0.2962*10^(-3) *G27^2+0.3127*10^(-6)* G27^3</f>
        <v>13.781055528084464</v>
      </c>
      <c r="J28" s="67" t="s">
        <v>22</v>
      </c>
      <c r="K28" s="18">
        <f>K23+C9</f>
        <v>350.37634117863985</v>
      </c>
      <c r="L28" s="18">
        <f>K28-273</f>
        <v>77.376341178639848</v>
      </c>
      <c r="V28" s="42"/>
      <c r="AA28" s="43"/>
    </row>
    <row r="29" spans="2:35" ht="16.2" thickBot="1" x14ac:dyDescent="0.35">
      <c r="D29" s="9"/>
      <c r="F29" s="28" t="s">
        <v>12</v>
      </c>
      <c r="G29" s="15">
        <f>G28*G9</f>
        <v>13.767558064842911</v>
      </c>
      <c r="V29" s="42"/>
      <c r="AA29" s="43"/>
    </row>
    <row r="30" spans="2:35" ht="16.2" thickBot="1" x14ac:dyDescent="0.35">
      <c r="B30" s="23" t="s">
        <v>36</v>
      </c>
      <c r="C30" s="24"/>
      <c r="D30" s="9"/>
      <c r="F30" s="28" t="s">
        <v>13</v>
      </c>
      <c r="G30" s="15">
        <f>G29+(G8-G7)*G10</f>
        <v>37.058480224864716</v>
      </c>
      <c r="J30" s="112" t="s">
        <v>114</v>
      </c>
      <c r="K30" s="113"/>
      <c r="V30" s="42"/>
      <c r="AA30" s="43"/>
    </row>
    <row r="31" spans="2:35" ht="15.6" x14ac:dyDescent="0.3">
      <c r="B31" s="66" t="s">
        <v>107</v>
      </c>
      <c r="C31" s="10">
        <v>2.5000000000000001E-2</v>
      </c>
      <c r="D31" s="9"/>
      <c r="F31" s="28" t="s">
        <v>14</v>
      </c>
      <c r="G31" s="15">
        <f>0.75*G30</f>
        <v>27.793860168648536</v>
      </c>
      <c r="J31" s="66" t="s">
        <v>14</v>
      </c>
      <c r="K31" s="5">
        <f>5*10^(-4)*(C11/C48)</f>
        <v>0.57459942211715265</v>
      </c>
      <c r="V31" s="42"/>
      <c r="AA31" s="43"/>
    </row>
    <row r="32" spans="2:35" ht="16.2" thickBot="1" x14ac:dyDescent="0.35">
      <c r="B32" s="28" t="s">
        <v>43</v>
      </c>
      <c r="C32" s="6">
        <v>3.0000000000000001E-3</v>
      </c>
      <c r="D32" s="9"/>
      <c r="F32" s="28" t="s">
        <v>16</v>
      </c>
      <c r="G32" s="15">
        <f>G30*(0.75+0.25*G14/G6)</f>
        <v>56.28256684151328</v>
      </c>
      <c r="J32" s="28" t="s">
        <v>83</v>
      </c>
      <c r="K32" s="7">
        <f>C3*C4</f>
        <v>1.5680000000000002E-3</v>
      </c>
      <c r="L32" s="9"/>
      <c r="V32" s="42"/>
      <c r="AA32" s="43"/>
    </row>
    <row r="33" spans="1:27" ht="16.5" customHeight="1" x14ac:dyDescent="0.35">
      <c r="B33" s="28" t="s">
        <v>44</v>
      </c>
      <c r="C33" s="7">
        <v>8</v>
      </c>
      <c r="D33" s="9"/>
      <c r="F33" s="28" t="s">
        <v>17</v>
      </c>
      <c r="G33" s="15">
        <f>G31*(0.75+0.25*G14/G6)</f>
        <v>42.211925131134961</v>
      </c>
      <c r="J33" s="28" t="s">
        <v>87</v>
      </c>
      <c r="K33" s="63">
        <v>0.02</v>
      </c>
      <c r="L33" s="60" t="s">
        <v>94</v>
      </c>
      <c r="M33" s="61">
        <f>C48*10^3</f>
        <v>3.0455999999999999</v>
      </c>
      <c r="N33" s="102" t="s">
        <v>85</v>
      </c>
      <c r="O33" s="103"/>
      <c r="V33" s="42"/>
      <c r="AA33" s="43"/>
    </row>
    <row r="34" spans="1:27" ht="17.25" customHeight="1" x14ac:dyDescent="0.35">
      <c r="B34" s="64" t="s">
        <v>57</v>
      </c>
      <c r="C34" s="9"/>
      <c r="D34" s="9"/>
      <c r="F34" s="67" t="s">
        <v>18</v>
      </c>
      <c r="G34" s="19">
        <f>G29+C9</f>
        <v>331.76755806484289</v>
      </c>
      <c r="H34" s="33">
        <f>G34-273</f>
        <v>58.767558064842888</v>
      </c>
      <c r="J34" s="28" t="s">
        <v>88</v>
      </c>
      <c r="K34" s="63">
        <v>2.7</v>
      </c>
      <c r="L34" s="60" t="s">
        <v>95</v>
      </c>
      <c r="M34" s="62">
        <f>C3*C4</f>
        <v>1.5680000000000002E-3</v>
      </c>
      <c r="N34" s="104"/>
      <c r="O34" s="105"/>
      <c r="V34" s="42"/>
      <c r="AA34" s="43"/>
    </row>
    <row r="35" spans="1:27" ht="16.5" customHeight="1" thickBot="1" x14ac:dyDescent="0.4">
      <c r="D35" s="9"/>
      <c r="F35" s="28" t="s">
        <v>19</v>
      </c>
      <c r="G35" s="15">
        <f>G30+C9</f>
        <v>355.0584802248647</v>
      </c>
      <c r="H35" s="34">
        <f t="shared" ref="H35:H38" si="0">G35-273</f>
        <v>82.058480224864695</v>
      </c>
      <c r="J35" s="28" t="s">
        <v>89</v>
      </c>
      <c r="K35" s="63">
        <v>5</v>
      </c>
      <c r="L35" s="60" t="s">
        <v>96</v>
      </c>
      <c r="M35" s="62">
        <f>C7</f>
        <v>4.5999999999999999E-2</v>
      </c>
      <c r="N35" s="104"/>
      <c r="O35" s="105"/>
      <c r="V35" s="42"/>
      <c r="AA35" s="43"/>
    </row>
    <row r="36" spans="1:27" ht="17.25" customHeight="1" thickBot="1" x14ac:dyDescent="0.4">
      <c r="B36" s="23" t="s">
        <v>45</v>
      </c>
      <c r="C36" s="24"/>
      <c r="D36" s="9"/>
      <c r="F36" s="67" t="s">
        <v>20</v>
      </c>
      <c r="G36" s="19">
        <f>G32+C9</f>
        <v>374.2825668415133</v>
      </c>
      <c r="H36" s="33">
        <f t="shared" si="0"/>
        <v>101.2825668415133</v>
      </c>
      <c r="J36" s="28" t="s">
        <v>90</v>
      </c>
      <c r="K36" s="63">
        <v>1.8</v>
      </c>
      <c r="L36" s="60" t="s">
        <v>97</v>
      </c>
      <c r="M36" s="62">
        <f>C10</f>
        <v>0.7</v>
      </c>
      <c r="N36" s="106"/>
      <c r="O36" s="107"/>
      <c r="V36" s="44"/>
      <c r="W36" s="45"/>
      <c r="X36" s="45"/>
      <c r="Y36" s="45"/>
      <c r="Z36" s="45"/>
      <c r="AA36" s="46"/>
    </row>
    <row r="37" spans="1:27" ht="18" customHeight="1" x14ac:dyDescent="0.3">
      <c r="A37" s="9"/>
      <c r="B37" s="66" t="s">
        <v>108</v>
      </c>
      <c r="C37" s="26">
        <f>_xlfn.FLOOR.MATH((C3-C40)/(C38+C40))*2</f>
        <v>16</v>
      </c>
      <c r="D37" s="9"/>
      <c r="F37" s="28" t="s">
        <v>21</v>
      </c>
      <c r="G37" s="15">
        <f>G31+C9</f>
        <v>345.79386016864851</v>
      </c>
      <c r="H37" s="34">
        <f t="shared" si="0"/>
        <v>72.793860168648507</v>
      </c>
      <c r="J37" s="28" t="s">
        <v>86</v>
      </c>
      <c r="K37" s="7">
        <f>K31+C11*K33*K34*K35*K36</f>
        <v>2.2755994221171529</v>
      </c>
    </row>
    <row r="38" spans="1:27" ht="18" customHeight="1" thickBot="1" x14ac:dyDescent="0.35">
      <c r="A38" s="9"/>
      <c r="B38" s="28" t="s">
        <v>46</v>
      </c>
      <c r="C38" s="6">
        <v>3.0000000000000001E-3</v>
      </c>
      <c r="D38" s="9"/>
      <c r="F38" s="67" t="s">
        <v>22</v>
      </c>
      <c r="G38" s="19">
        <f>G33+C9</f>
        <v>360.21192513113499</v>
      </c>
      <c r="H38" s="33">
        <f t="shared" si="0"/>
        <v>87.21192513113499</v>
      </c>
      <c r="J38" s="28" t="s">
        <v>16</v>
      </c>
      <c r="K38" s="7">
        <f>K37*(0.75+(0.25*G14)/G6)*(C49/C7+0.5)</f>
        <v>18.257047591928771</v>
      </c>
      <c r="L38" s="9"/>
      <c r="V38" s="101" t="s">
        <v>101</v>
      </c>
      <c r="W38" s="101"/>
      <c r="X38" s="101"/>
      <c r="Y38" s="101"/>
      <c r="Z38" s="101"/>
      <c r="AA38" s="101"/>
    </row>
    <row r="39" spans="1:27" ht="16.2" thickBot="1" x14ac:dyDescent="0.35">
      <c r="A39" s="9"/>
      <c r="B39" s="28" t="s">
        <v>47</v>
      </c>
      <c r="C39" s="7">
        <v>0</v>
      </c>
      <c r="D39" s="9"/>
      <c r="J39" s="28" t="s">
        <v>17</v>
      </c>
      <c r="K39" s="7">
        <f>K31*(0.75+(0.25*G14)/G6)*(C49/C7+0.5)</f>
        <v>4.6099893038852908</v>
      </c>
      <c r="L39" s="9"/>
      <c r="V39" s="39"/>
      <c r="W39" s="40"/>
      <c r="X39" s="40"/>
      <c r="Y39" s="40"/>
      <c r="Z39" s="40"/>
      <c r="AA39" s="41"/>
    </row>
    <row r="40" spans="1:27" ht="18.75" customHeight="1" thickBot="1" x14ac:dyDescent="0.35">
      <c r="A40" s="9"/>
      <c r="B40" s="28" t="s">
        <v>50</v>
      </c>
      <c r="C40" s="7">
        <v>3.0999999999999999E-3</v>
      </c>
      <c r="D40" s="9"/>
      <c r="F40" s="16" t="s">
        <v>48</v>
      </c>
      <c r="G40" s="17"/>
      <c r="J40" s="67" t="s">
        <v>21</v>
      </c>
      <c r="K40" s="18">
        <f>C9+K31</f>
        <v>318.57459942211716</v>
      </c>
      <c r="L40" s="18">
        <f>K40-273</f>
        <v>45.57459942211716</v>
      </c>
      <c r="V40" s="42"/>
      <c r="AA40" s="43"/>
    </row>
    <row r="41" spans="1:27" ht="18.75" customHeight="1" x14ac:dyDescent="0.3">
      <c r="A41" s="9"/>
      <c r="B41" s="98" t="s">
        <v>49</v>
      </c>
      <c r="C41" s="9"/>
      <c r="F41" s="68" t="s">
        <v>51</v>
      </c>
      <c r="G41" s="5">
        <f>C37*C38*C39</f>
        <v>0</v>
      </c>
      <c r="J41" s="28" t="s">
        <v>19</v>
      </c>
      <c r="K41" s="7">
        <f>C9+K37</f>
        <v>320.27559942211712</v>
      </c>
      <c r="L41" s="7">
        <f>K41-273</f>
        <v>47.275599422117125</v>
      </c>
      <c r="V41" s="42"/>
      <c r="AA41" s="43"/>
    </row>
    <row r="42" spans="1:27" ht="15.6" x14ac:dyDescent="0.3">
      <c r="A42" s="9"/>
      <c r="B42" s="99"/>
      <c r="C42" s="9"/>
      <c r="F42" s="65" t="s">
        <v>52</v>
      </c>
      <c r="G42" s="7">
        <f>G41/(2*C3*C4)</f>
        <v>0</v>
      </c>
      <c r="J42" s="67" t="s">
        <v>20</v>
      </c>
      <c r="K42" s="18">
        <f>C9+K38</f>
        <v>336.25704759192877</v>
      </c>
      <c r="L42" s="18">
        <f>K42-273</f>
        <v>63.257047591928767</v>
      </c>
      <c r="V42" s="42"/>
      <c r="AA42" s="43"/>
    </row>
    <row r="43" spans="1:27" ht="16.5" customHeight="1" x14ac:dyDescent="0.3">
      <c r="A43" s="9"/>
      <c r="B43" s="100"/>
      <c r="C43" s="9"/>
      <c r="D43" s="9"/>
      <c r="F43" s="65" t="s">
        <v>55</v>
      </c>
      <c r="G43" s="7">
        <f xml:space="preserve"> 1.8229*G42^4 - 4.5718*G42^3 + 4.3785*G42^2 - 2.1669*G42 + 0.9987</f>
        <v>0.99870000000000003</v>
      </c>
      <c r="J43" s="69" t="s">
        <v>92</v>
      </c>
      <c r="K43" s="48">
        <f>C9+2*K31</f>
        <v>319.14919884423432</v>
      </c>
      <c r="L43" s="47">
        <f>K43-273</f>
        <v>46.14919884423432</v>
      </c>
      <c r="V43" s="42"/>
      <c r="AA43" s="43"/>
    </row>
    <row r="44" spans="1:27" ht="16.2" thickBot="1" x14ac:dyDescent="0.35">
      <c r="A44" s="9"/>
      <c r="B44" s="9"/>
      <c r="C44" s="9"/>
      <c r="D44" s="9"/>
      <c r="F44" s="28" t="s">
        <v>12</v>
      </c>
      <c r="G44" s="15">
        <f>G7*G9*G43*0.93</f>
        <v>24.697477859912606</v>
      </c>
      <c r="J44" s="67" t="s">
        <v>22</v>
      </c>
      <c r="K44" s="18">
        <f>C9+K39</f>
        <v>322.6099893038853</v>
      </c>
      <c r="L44" s="18">
        <f>K44-273</f>
        <v>49.6099893038853</v>
      </c>
      <c r="V44" s="42"/>
      <c r="AA44" s="43"/>
    </row>
    <row r="45" spans="1:27" ht="16.2" thickBot="1" x14ac:dyDescent="0.35">
      <c r="A45" s="9"/>
      <c r="B45" s="23" t="s">
        <v>56</v>
      </c>
      <c r="C45" s="24"/>
      <c r="D45" s="9"/>
      <c r="F45" s="28" t="s">
        <v>13</v>
      </c>
      <c r="G45" s="15">
        <f>0.93*G43*(G7*G9+(G8/0.93-G7)*G10)</f>
        <v>49.811572063966501</v>
      </c>
      <c r="V45" s="42"/>
      <c r="AA45" s="43"/>
    </row>
    <row r="46" spans="1:27" ht="15.6" x14ac:dyDescent="0.3">
      <c r="A46" s="9"/>
      <c r="B46" s="66" t="s">
        <v>112</v>
      </c>
      <c r="C46" s="10">
        <v>2.7000000000000001E-3</v>
      </c>
      <c r="D46" s="9"/>
      <c r="F46" s="28" t="s">
        <v>14</v>
      </c>
      <c r="G46" s="15">
        <f>0.6*G45</f>
        <v>29.886943238379899</v>
      </c>
      <c r="V46" s="42"/>
      <c r="AA46" s="43"/>
    </row>
    <row r="47" spans="1:27" ht="15.6" x14ac:dyDescent="0.3">
      <c r="A47" s="9"/>
      <c r="B47" s="28" t="s">
        <v>81</v>
      </c>
      <c r="C47" s="6">
        <v>1.1279999999999999</v>
      </c>
      <c r="D47" s="9"/>
      <c r="F47" s="28" t="s">
        <v>16</v>
      </c>
      <c r="G47" s="15">
        <f>G45*(0.75+0.25*G14/G6)</f>
        <v>75.65132507214912</v>
      </c>
      <c r="V47" s="42"/>
      <c r="AA47" s="43"/>
    </row>
    <row r="48" spans="1:27" ht="15.6" x14ac:dyDescent="0.3">
      <c r="A48" s="9"/>
      <c r="B48" s="28" t="s">
        <v>82</v>
      </c>
      <c r="C48" s="7">
        <f>C46*C47</f>
        <v>3.0455999999999999E-3</v>
      </c>
      <c r="D48" s="9"/>
      <c r="F48" s="28" t="s">
        <v>17</v>
      </c>
      <c r="G48" s="15">
        <f>G46*(0.75+0.25*G14/G6)</f>
        <v>45.390795043289465</v>
      </c>
      <c r="V48" s="42"/>
      <c r="AA48" s="43"/>
    </row>
    <row r="49" spans="1:27" ht="16.2" thickBot="1" x14ac:dyDescent="0.35">
      <c r="A49" s="9"/>
      <c r="B49" s="28" t="s">
        <v>91</v>
      </c>
      <c r="C49" s="7">
        <v>0.22</v>
      </c>
      <c r="D49" s="9"/>
      <c r="F49" s="67" t="s">
        <v>18</v>
      </c>
      <c r="G49" s="19">
        <f>G44+C9</f>
        <v>342.69747785991262</v>
      </c>
      <c r="H49" s="33">
        <f>G49-273</f>
        <v>69.697477859912624</v>
      </c>
      <c r="V49" s="44"/>
      <c r="W49" s="45"/>
      <c r="X49" s="45"/>
      <c r="Y49" s="45"/>
      <c r="Z49" s="45"/>
      <c r="AA49" s="46"/>
    </row>
    <row r="50" spans="1:27" ht="15.6" x14ac:dyDescent="0.3">
      <c r="B50" s="71" t="s">
        <v>113</v>
      </c>
      <c r="F50" s="28" t="s">
        <v>19</v>
      </c>
      <c r="G50" s="15">
        <f>G45+C9</f>
        <v>367.81157206396648</v>
      </c>
      <c r="H50" s="34">
        <f t="shared" ref="H50:H53" si="1">G50-273</f>
        <v>94.81157206396648</v>
      </c>
    </row>
    <row r="51" spans="1:27" ht="15.6" x14ac:dyDescent="0.3">
      <c r="F51" s="67" t="s">
        <v>20</v>
      </c>
      <c r="G51" s="19">
        <f>G47+C9</f>
        <v>393.65132507214912</v>
      </c>
      <c r="H51" s="33">
        <f t="shared" si="1"/>
        <v>120.65132507214912</v>
      </c>
    </row>
    <row r="52" spans="1:27" ht="15.6" x14ac:dyDescent="0.3">
      <c r="F52" s="28" t="s">
        <v>21</v>
      </c>
      <c r="G52" s="15">
        <f>G46+C9</f>
        <v>347.8869432383799</v>
      </c>
      <c r="H52" s="34">
        <f t="shared" si="1"/>
        <v>74.886943238379899</v>
      </c>
    </row>
    <row r="53" spans="1:27" ht="15.6" x14ac:dyDescent="0.3">
      <c r="F53" s="67" t="s">
        <v>22</v>
      </c>
      <c r="G53" s="19">
        <f>G48+C9</f>
        <v>363.39079504328947</v>
      </c>
      <c r="H53" s="33">
        <f t="shared" si="1"/>
        <v>90.390795043289472</v>
      </c>
    </row>
  </sheetData>
  <mergeCells count="23">
    <mergeCell ref="B1:C1"/>
    <mergeCell ref="J16:K16"/>
    <mergeCell ref="B17:C17"/>
    <mergeCell ref="F2:G2"/>
    <mergeCell ref="B2:C2"/>
    <mergeCell ref="J2:K2"/>
    <mergeCell ref="B14:B15"/>
    <mergeCell ref="B41:B43"/>
    <mergeCell ref="V26:AA26"/>
    <mergeCell ref="V38:AA38"/>
    <mergeCell ref="N33:O36"/>
    <mergeCell ref="H2:H16"/>
    <mergeCell ref="V2:AA2"/>
    <mergeCell ref="V14:AA14"/>
    <mergeCell ref="O2:T2"/>
    <mergeCell ref="O16:T16"/>
    <mergeCell ref="J30:K30"/>
    <mergeCell ref="AC20:AD20"/>
    <mergeCell ref="AC21:AI21"/>
    <mergeCell ref="AC22:AI22"/>
    <mergeCell ref="AE5:AI5"/>
    <mergeCell ref="AF6:AI19"/>
    <mergeCell ref="AF20:AH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RePack by Diakov</cp:lastModifiedBy>
  <cp:lastPrinted>2024-11-10T15:38:02Z</cp:lastPrinted>
  <dcterms:created xsi:type="dcterms:W3CDTF">2024-09-28T14:07:18Z</dcterms:created>
  <dcterms:modified xsi:type="dcterms:W3CDTF">2024-12-01T18:13:25Z</dcterms:modified>
</cp:coreProperties>
</file>