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ana Lain\Desktop\Banking_analysis\Spreadsheets\"/>
    </mc:Choice>
  </mc:AlternateContent>
  <xr:revisionPtr revIDLastSave="0" documentId="13_ncr:1_{A6AFAB03-35F6-4D3E-9808-BDE66042F45A}" xr6:coauthVersionLast="46" xr6:coauthVersionMax="46" xr10:uidLastSave="{00000000-0000-0000-0000-000000000000}"/>
  <bookViews>
    <workbookView xWindow="-108" yWindow="-108" windowWidth="23256" windowHeight="12576" xr2:uid="{623B461B-9A73-4429-966C-33A0D2A23B5D}"/>
  </bookViews>
  <sheets>
    <sheet name="Public-Comps" sheetId="1" r:id="rId1"/>
    <sheet name="ValS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2" l="1"/>
  <c r="E23" i="2"/>
  <c r="W21" i="1"/>
  <c r="V21" i="1"/>
  <c r="U21" i="1"/>
  <c r="P21" i="1"/>
  <c r="X21" i="1" s="1"/>
  <c r="M21" i="1"/>
  <c r="T21" i="1" s="1"/>
  <c r="G21" i="1"/>
  <c r="D21" i="1" a="1"/>
  <c r="D21" i="1" s="1"/>
  <c r="C21" i="1" a="1"/>
  <c r="C21" i="1" s="1"/>
  <c r="V15" i="1"/>
  <c r="B39" i="1"/>
  <c r="S27" i="1"/>
  <c r="S28" i="1"/>
  <c r="S29" i="1"/>
  <c r="S30" i="1"/>
  <c r="S31" i="1"/>
  <c r="R27" i="1"/>
  <c r="R28" i="1"/>
  <c r="R29" i="1"/>
  <c r="R30" i="1"/>
  <c r="R31" i="1"/>
  <c r="Q27" i="1"/>
  <c r="Q28" i="1"/>
  <c r="Q29" i="1"/>
  <c r="Q30" i="1"/>
  <c r="Q31" i="1"/>
  <c r="S26" i="1"/>
  <c r="R26" i="1"/>
  <c r="Q26" i="1"/>
  <c r="P27" i="1"/>
  <c r="P28" i="1"/>
  <c r="P29" i="1"/>
  <c r="P30" i="1"/>
  <c r="P31" i="1"/>
  <c r="O27" i="1"/>
  <c r="O28" i="1"/>
  <c r="O29" i="1"/>
  <c r="O30" i="1"/>
  <c r="O31" i="1"/>
  <c r="N27" i="1"/>
  <c r="N28" i="1"/>
  <c r="N29" i="1"/>
  <c r="N30" i="1"/>
  <c r="N31" i="1"/>
  <c r="M27" i="1"/>
  <c r="M28" i="1"/>
  <c r="M29" i="1"/>
  <c r="M30" i="1"/>
  <c r="M31" i="1"/>
  <c r="L27" i="1"/>
  <c r="L28" i="1"/>
  <c r="L29" i="1"/>
  <c r="L30" i="1"/>
  <c r="L31" i="1"/>
  <c r="L26" i="1"/>
  <c r="K27" i="1"/>
  <c r="K28" i="1"/>
  <c r="K29" i="1"/>
  <c r="K30" i="1"/>
  <c r="K31" i="1"/>
  <c r="K26" i="1"/>
  <c r="J37" i="1"/>
  <c r="J36" i="1"/>
  <c r="J35" i="1"/>
  <c r="J34" i="1"/>
  <c r="J33" i="1"/>
  <c r="J27" i="1"/>
  <c r="J28" i="1"/>
  <c r="J29" i="1"/>
  <c r="J30" i="1"/>
  <c r="J31" i="1"/>
  <c r="J26" i="1"/>
  <c r="T9" i="1"/>
  <c r="T10" i="1"/>
  <c r="T11" i="1"/>
  <c r="T12" i="1"/>
  <c r="T13" i="1"/>
  <c r="T8" i="1"/>
  <c r="S12" i="1"/>
  <c r="S15" i="1" s="1"/>
  <c r="S11" i="1"/>
  <c r="S10" i="1"/>
  <c r="S9" i="1"/>
  <c r="S8" i="1"/>
  <c r="S13" i="1"/>
  <c r="P13" i="1"/>
  <c r="U13" i="1" s="1"/>
  <c r="X13" i="1"/>
  <c r="X9" i="1"/>
  <c r="X10" i="1"/>
  <c r="X11" i="1"/>
  <c r="X12" i="1"/>
  <c r="W9" i="1"/>
  <c r="W10" i="1"/>
  <c r="W11" i="1"/>
  <c r="W12" i="1"/>
  <c r="W13" i="1"/>
  <c r="V9" i="1"/>
  <c r="V10" i="1"/>
  <c r="V11" i="1"/>
  <c r="V12" i="1"/>
  <c r="V13" i="1"/>
  <c r="U9" i="1"/>
  <c r="U10" i="1"/>
  <c r="U11" i="1"/>
  <c r="U12" i="1"/>
  <c r="P12" i="1"/>
  <c r="P11" i="1"/>
  <c r="P9" i="1"/>
  <c r="P8" i="1"/>
  <c r="P16" i="1" s="1"/>
  <c r="M9" i="1"/>
  <c r="M10" i="1"/>
  <c r="M11" i="1"/>
  <c r="M12" i="1"/>
  <c r="M8" i="1"/>
  <c r="M13" i="1"/>
  <c r="G13" i="1"/>
  <c r="W8" i="1"/>
  <c r="V8" i="1"/>
  <c r="G12" i="1"/>
  <c r="G11" i="1"/>
  <c r="F11" i="1"/>
  <c r="G10" i="1"/>
  <c r="K15" i="1"/>
  <c r="L15" i="1"/>
  <c r="N15" i="1"/>
  <c r="O15" i="1"/>
  <c r="Q15" i="1"/>
  <c r="R15" i="1"/>
  <c r="K16" i="1"/>
  <c r="L16" i="1"/>
  <c r="N16" i="1"/>
  <c r="O16" i="1"/>
  <c r="Q16" i="1"/>
  <c r="R16" i="1"/>
  <c r="K17" i="1"/>
  <c r="L17" i="1"/>
  <c r="N17" i="1"/>
  <c r="O17" i="1"/>
  <c r="Q17" i="1"/>
  <c r="R17" i="1"/>
  <c r="K18" i="1"/>
  <c r="L18" i="1"/>
  <c r="N18" i="1"/>
  <c r="O18" i="1"/>
  <c r="Q18" i="1"/>
  <c r="R18" i="1"/>
  <c r="K19" i="1"/>
  <c r="L19" i="1"/>
  <c r="N19" i="1"/>
  <c r="O19" i="1"/>
  <c r="Q19" i="1"/>
  <c r="R19" i="1"/>
  <c r="E37" i="1"/>
  <c r="E36" i="1"/>
  <c r="E35" i="1"/>
  <c r="E34" i="1"/>
  <c r="E33" i="1"/>
  <c r="E27" i="1"/>
  <c r="E28" i="1"/>
  <c r="E29" i="1"/>
  <c r="E30" i="1"/>
  <c r="E31" i="1"/>
  <c r="E26" i="1"/>
  <c r="B27" i="1"/>
  <c r="B28" i="1"/>
  <c r="B29" i="1"/>
  <c r="B30" i="1"/>
  <c r="B31" i="1"/>
  <c r="B26" i="1"/>
  <c r="G9" i="1"/>
  <c r="F9" i="1"/>
  <c r="F8" i="1"/>
  <c r="E21" i="1" l="1"/>
  <c r="J21" i="1" s="1"/>
  <c r="J39" i="1" s="1"/>
  <c r="S21" i="1"/>
  <c r="S18" i="1"/>
  <c r="S16" i="1"/>
  <c r="S17" i="1"/>
  <c r="S19" i="1"/>
  <c r="P19" i="1"/>
  <c r="U8" i="1"/>
  <c r="U17" i="1" s="1"/>
  <c r="P17" i="1"/>
  <c r="P15" i="1"/>
  <c r="P18" i="1"/>
  <c r="U18" i="1"/>
  <c r="M19" i="1"/>
  <c r="M16" i="1"/>
  <c r="X8" i="1"/>
  <c r="M17" i="1"/>
  <c r="M15" i="1"/>
  <c r="M18" i="1"/>
  <c r="U19" i="1"/>
  <c r="U15" i="1"/>
  <c r="U16" i="1"/>
  <c r="X18" i="1" l="1"/>
  <c r="X15" i="1"/>
  <c r="X17" i="1"/>
  <c r="X19" i="1"/>
  <c r="X16" i="1"/>
  <c r="W18" i="1"/>
  <c r="W15" i="1"/>
  <c r="W19" i="1"/>
  <c r="W17" i="1"/>
  <c r="W16" i="1"/>
  <c r="V19" i="1"/>
  <c r="V16" i="1"/>
  <c r="V18" i="1"/>
  <c r="V17" i="1"/>
  <c r="G8" i="1" l="1"/>
  <c r="C9" i="1" a="1"/>
  <c r="C9" i="1" s="1"/>
  <c r="C10" i="1" a="1"/>
  <c r="C10" i="1" s="1"/>
  <c r="C11" i="1" a="1"/>
  <c r="C11" i="1" s="1"/>
  <c r="C12" i="1" a="1"/>
  <c r="C12" i="1" s="1"/>
  <c r="C13" i="1" a="1"/>
  <c r="C13" i="1" s="1"/>
  <c r="D9" i="1" a="1"/>
  <c r="D9" i="1" s="1"/>
  <c r="E9" i="1" s="1"/>
  <c r="J9" i="1" s="1"/>
  <c r="D10" i="1" a="1"/>
  <c r="D10" i="1" s="1"/>
  <c r="D11" i="1" a="1"/>
  <c r="D11" i="1" s="1"/>
  <c r="E11" i="1" s="1"/>
  <c r="J11" i="1" s="1"/>
  <c r="D12" i="1" a="1"/>
  <c r="D12" i="1" s="1"/>
  <c r="E12" i="1" s="1"/>
  <c r="J12" i="1" s="1"/>
  <c r="D13" i="1" a="1"/>
  <c r="D13" i="1" s="1"/>
  <c r="E13" i="1" l="1"/>
  <c r="J13" i="1" s="1"/>
  <c r="E10" i="1"/>
  <c r="J10" i="1" s="1"/>
  <c r="C8" i="1" a="1"/>
  <c r="C8" i="1" s="1"/>
  <c r="D8" i="1" a="1"/>
  <c r="D8" i="1" s="1"/>
  <c r="T18" i="1" l="1"/>
  <c r="T15" i="1"/>
  <c r="C18" i="1"/>
  <c r="C17" i="1"/>
  <c r="C16" i="1"/>
  <c r="C19" i="1"/>
  <c r="C15" i="1"/>
  <c r="E8" i="1"/>
  <c r="T17" i="1" l="1"/>
  <c r="T16" i="1"/>
  <c r="T19" i="1"/>
  <c r="J8" i="1"/>
  <c r="E19" i="1"/>
  <c r="E15" i="1"/>
  <c r="E18" i="1"/>
  <c r="E17" i="1"/>
  <c r="E16" i="1"/>
  <c r="H12" i="2" a="1"/>
  <c r="H12" i="2" s="1"/>
  <c r="O39" i="1"/>
  <c r="S39" i="1"/>
  <c r="N39" i="1"/>
  <c r="R39" i="1"/>
  <c r="L39" i="1"/>
  <c r="P39" i="1"/>
  <c r="K39" i="1"/>
  <c r="M39" i="1"/>
  <c r="Q39" i="1"/>
  <c r="J16" i="1" l="1"/>
  <c r="J17" i="1"/>
  <c r="J15" i="1"/>
  <c r="J19" i="1"/>
  <c r="J18" i="1"/>
  <c r="P26" i="1"/>
  <c r="O26" i="1"/>
  <c r="M26" i="1"/>
  <c r="N26" i="1"/>
  <c r="S37" i="1" l="1"/>
  <c r="S35" i="1"/>
  <c r="S36" i="1"/>
  <c r="S34" i="1"/>
  <c r="S33" i="1"/>
  <c r="K36" i="1"/>
  <c r="K33" i="1"/>
  <c r="K34" i="1"/>
  <c r="K37" i="1"/>
  <c r="O37" i="1"/>
  <c r="O35" i="1"/>
  <c r="O33" i="1"/>
  <c r="O36" i="1"/>
  <c r="O34" i="1"/>
  <c r="N37" i="1"/>
  <c r="N35" i="1"/>
  <c r="N33" i="1"/>
  <c r="N36" i="1"/>
  <c r="N34" i="1"/>
  <c r="K35" i="1"/>
  <c r="Q36" i="1"/>
  <c r="Q37" i="1"/>
  <c r="Q35" i="1"/>
  <c r="Q33" i="1"/>
  <c r="Q34" i="1"/>
  <c r="P36" i="1"/>
  <c r="P34" i="1"/>
  <c r="P37" i="1"/>
  <c r="P35" i="1"/>
  <c r="P33" i="1"/>
  <c r="R37" i="1"/>
  <c r="R35" i="1"/>
  <c r="R33" i="1"/>
  <c r="R36" i="1"/>
  <c r="R34" i="1"/>
  <c r="M36" i="1"/>
  <c r="M34" i="1"/>
  <c r="M37" i="1"/>
  <c r="M35" i="1"/>
  <c r="M33" i="1"/>
  <c r="L36" i="1"/>
  <c r="L34" i="1"/>
  <c r="L37" i="1"/>
  <c r="L35" i="1"/>
  <c r="L33" i="1"/>
  <c r="C14" i="2" l="1" a="1"/>
  <c r="J26" i="2" s="1"/>
  <c r="J14" i="2" s="1"/>
  <c r="C18" i="2" a="1"/>
  <c r="C18" i="2" s="1"/>
  <c r="M30" i="2" s="1"/>
  <c r="M18" i="2" s="1"/>
  <c r="C16" i="2" a="1"/>
  <c r="K28" i="2" s="1"/>
  <c r="C12" i="2" a="1"/>
  <c r="C17" i="2" a="1"/>
  <c r="C13" i="2" a="1"/>
  <c r="C19" i="2" a="1"/>
  <c r="C15" i="2" a="1"/>
  <c r="C20" i="2" a="1"/>
  <c r="K16" i="2" l="1"/>
  <c r="E24" i="2"/>
  <c r="E28" i="2" s="1"/>
  <c r="E29" i="2" s="1"/>
  <c r="L28" i="2"/>
  <c r="L16" i="2" s="1"/>
  <c r="L26" i="2"/>
  <c r="L14" i="2" s="1"/>
  <c r="J28" i="2"/>
  <c r="J16" i="2" s="1"/>
  <c r="I26" i="2"/>
  <c r="I14" i="2" s="1"/>
  <c r="I28" i="2"/>
  <c r="I16" i="2" s="1"/>
  <c r="C16" i="2"/>
  <c r="M28" i="2" s="1"/>
  <c r="M16" i="2" s="1"/>
  <c r="J30" i="2"/>
  <c r="J18" i="2" s="1"/>
  <c r="K26" i="2"/>
  <c r="K14" i="2" s="1"/>
  <c r="C14" i="2"/>
  <c r="M26" i="2" s="1"/>
  <c r="M14" i="2" s="1"/>
  <c r="I30" i="2"/>
  <c r="I18" i="2" s="1"/>
  <c r="L30" i="2"/>
  <c r="L18" i="2" s="1"/>
  <c r="K30" i="2"/>
  <c r="K18" i="2" s="1"/>
  <c r="C12" i="2"/>
  <c r="M24" i="2" s="1"/>
  <c r="M12" i="2" s="1"/>
  <c r="K24" i="2"/>
  <c r="K12" i="2" s="1"/>
  <c r="L24" i="2"/>
  <c r="L12" i="2" s="1"/>
  <c r="I24" i="2"/>
  <c r="I12" i="2" s="1"/>
  <c r="J24" i="2"/>
  <c r="J12" i="2" s="1"/>
  <c r="C20" i="2"/>
  <c r="M32" i="2" s="1"/>
  <c r="M20" i="2" s="1"/>
  <c r="J32" i="2"/>
  <c r="J20" i="2" s="1"/>
  <c r="K32" i="2"/>
  <c r="K20" i="2" s="1"/>
  <c r="L32" i="2"/>
  <c r="L20" i="2" s="1"/>
  <c r="I32" i="2"/>
  <c r="I20" i="2" s="1"/>
  <c r="C15" i="2"/>
  <c r="M27" i="2" s="1"/>
  <c r="M15" i="2" s="1"/>
  <c r="K27" i="2"/>
  <c r="K15" i="2" s="1"/>
  <c r="L27" i="2"/>
  <c r="L15" i="2" s="1"/>
  <c r="I27" i="2"/>
  <c r="I15" i="2" s="1"/>
  <c r="J27" i="2"/>
  <c r="J15" i="2" s="1"/>
  <c r="C17" i="2"/>
  <c r="M29" i="2" s="1"/>
  <c r="M17" i="2" s="1"/>
  <c r="I29" i="2"/>
  <c r="I17" i="2" s="1"/>
  <c r="J29" i="2"/>
  <c r="J17" i="2" s="1"/>
  <c r="K29" i="2"/>
  <c r="K17" i="2" s="1"/>
  <c r="L29" i="2"/>
  <c r="L17" i="2" s="1"/>
  <c r="C19" i="2"/>
  <c r="M31" i="2" s="1"/>
  <c r="M19" i="2" s="1"/>
  <c r="K31" i="2"/>
  <c r="K19" i="2" s="1"/>
  <c r="L31" i="2"/>
  <c r="L19" i="2" s="1"/>
  <c r="I31" i="2"/>
  <c r="I19" i="2" s="1"/>
  <c r="J31" i="2"/>
  <c r="J19" i="2" s="1"/>
  <c r="C13" i="2"/>
  <c r="M25" i="2" s="1"/>
  <c r="M13" i="2" s="1"/>
  <c r="I25" i="2"/>
  <c r="I13" i="2" s="1"/>
  <c r="J25" i="2"/>
  <c r="J13" i="2" s="1"/>
  <c r="K25" i="2"/>
  <c r="K13" i="2" s="1"/>
  <c r="L25" i="2"/>
  <c r="L1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Dana Lain</author>
  </authors>
  <commentList>
    <comment ref="L6" authorId="0" shapeId="0" xr:uid="{684A3B4C-3CD2-4280-8E6A-FDCFFAD2C23E}">
      <text>
        <r>
          <rPr>
            <b/>
            <sz val="9"/>
            <color indexed="81"/>
            <rFont val="Tahoma"/>
            <family val="2"/>
          </rPr>
          <t>Dana Lain:</t>
        </r>
        <r>
          <rPr>
            <sz val="9"/>
            <color indexed="81"/>
            <rFont val="Tahoma"/>
            <family val="2"/>
          </rPr>
          <t xml:space="preserve">
Interest Income + Non Interest Income</t>
        </r>
      </text>
    </comment>
    <comment ref="I7" authorId="0" shapeId="0" xr:uid="{B1EDF3E5-AB32-4A10-A9D6-E86E3320DF5B}">
      <text>
        <r>
          <rPr>
            <b/>
            <sz val="9"/>
            <color indexed="81"/>
            <rFont val="Tahoma"/>
            <family val="2"/>
          </rPr>
          <t>Dana Lain:</t>
        </r>
        <r>
          <rPr>
            <sz val="9"/>
            <color indexed="81"/>
            <rFont val="Tahoma"/>
            <family val="2"/>
          </rPr>
          <t xml:space="preserve">
Non-Controlling Interest</t>
        </r>
      </text>
    </comment>
    <comment ref="M7" authorId="0" shapeId="0" xr:uid="{B859A5EF-703B-4B49-B781-0F2024998750}">
      <text>
        <r>
          <rPr>
            <b/>
            <sz val="9"/>
            <color indexed="81"/>
            <rFont val="Tahoma"/>
            <family val="2"/>
          </rPr>
          <t>Dana Lain:</t>
        </r>
        <r>
          <rPr>
            <sz val="9"/>
            <color indexed="81"/>
            <rFont val="Tahoma"/>
            <family val="2"/>
          </rPr>
          <t xml:space="preserve">
Revenue Growth Est 2% except COF: Refer to ICV.xlsx</t>
        </r>
      </text>
    </comment>
    <comment ref="S7" authorId="0" shapeId="0" xr:uid="{817DDD92-CC74-4987-AB65-9B55D42DA07C}">
      <text>
        <r>
          <rPr>
            <b/>
            <sz val="9"/>
            <color indexed="81"/>
            <rFont val="Tahoma"/>
            <family val="2"/>
          </rPr>
          <t>Dana Lain:</t>
        </r>
        <r>
          <rPr>
            <sz val="9"/>
            <color indexed="81"/>
            <rFont val="Tahoma"/>
            <family val="2"/>
          </rPr>
          <t xml:space="preserve">
I am assuming Avg Net Income Margin from ICV.xlsx</t>
        </r>
      </text>
    </comment>
    <comment ref="P8" authorId="0" shapeId="0" xr:uid="{9FDAC86E-4416-4A6E-8341-F0BC1E059ABF}">
      <text>
        <r>
          <rPr>
            <b/>
            <sz val="9"/>
            <color indexed="81"/>
            <rFont val="Tahoma"/>
            <family val="2"/>
          </rPr>
          <t>Dana Lain:</t>
        </r>
        <r>
          <rPr>
            <sz val="9"/>
            <color indexed="81"/>
            <rFont val="Tahoma"/>
            <family val="2"/>
          </rPr>
          <t xml:space="preserve">
I took Avg EPS growth from past 10 years. JPM wasn't effected too much by 2020 compared to other banks.</t>
        </r>
      </text>
    </comment>
    <comment ref="P9" authorId="0" shapeId="0" xr:uid="{00300B51-FE38-4D27-BC05-CF1128A4B61A}">
      <text>
        <r>
          <rPr>
            <b/>
            <sz val="9"/>
            <color indexed="81"/>
            <rFont val="Tahoma"/>
            <family val="2"/>
          </rPr>
          <t>Dana Lain:</t>
        </r>
        <r>
          <rPr>
            <sz val="9"/>
            <color indexed="81"/>
            <rFont val="Tahoma"/>
            <family val="2"/>
          </rPr>
          <t xml:space="preserve">
I took the average earnings per share growth from 2013-2019. I didn't penalize BAC for 2020 because 2021 will be a recovery year.</t>
        </r>
      </text>
    </comment>
    <comment ref="P10" authorId="0" shapeId="0" xr:uid="{4226D9B3-EF0B-497C-9F5D-89B3C95D1436}">
      <text>
        <r>
          <rPr>
            <b/>
            <sz val="9"/>
            <color indexed="81"/>
            <rFont val="Tahoma"/>
            <family val="2"/>
          </rPr>
          <t>Dana Lain:</t>
        </r>
        <r>
          <rPr>
            <sz val="9"/>
            <color indexed="81"/>
            <rFont val="Tahoma"/>
            <family val="2"/>
          </rPr>
          <t xml:space="preserve">
I don't think WFC will do as bad as 2020 but I don't think they will do as good as 2019 either. So, I'll just assume a cap at 20k EBIT.</t>
        </r>
      </text>
    </comment>
    <comment ref="P11" authorId="0" shapeId="0" xr:uid="{CB6CDF07-FFCD-4DAF-A679-E472A61807F7}">
      <text>
        <r>
          <rPr>
            <b/>
            <sz val="9"/>
            <color indexed="81"/>
            <rFont val="Tahoma"/>
            <family val="2"/>
          </rPr>
          <t>Dana Lain:</t>
        </r>
        <r>
          <rPr>
            <sz val="9"/>
            <color indexed="81"/>
            <rFont val="Tahoma"/>
            <family val="2"/>
          </rPr>
          <t xml:space="preserve">
Just assuming the avg EPS growth from ICV.xlsx</t>
        </r>
      </text>
    </comment>
    <comment ref="P12" authorId="0" shapeId="0" xr:uid="{04FEF0AE-78BE-43CB-82F7-301BB9C69F7A}">
      <text>
        <r>
          <rPr>
            <b/>
            <sz val="9"/>
            <color indexed="81"/>
            <rFont val="Tahoma"/>
            <family val="2"/>
          </rPr>
          <t>Dana Lain:</t>
        </r>
        <r>
          <rPr>
            <sz val="9"/>
            <color indexed="81"/>
            <rFont val="Tahoma"/>
            <family val="2"/>
          </rPr>
          <t xml:space="preserve">
Not penalizing for 2020 for USB. Assuming the avg EPS growth from 2012 to 2019.</t>
        </r>
      </text>
    </comment>
    <comment ref="P13" authorId="0" shapeId="0" xr:uid="{1A96462A-7CFE-4938-A706-FF22F1E65C8C}">
      <text>
        <r>
          <rPr>
            <b/>
            <sz val="9"/>
            <color indexed="81"/>
            <rFont val="Tahoma"/>
            <family val="2"/>
          </rPr>
          <t>Dana Lain:</t>
        </r>
        <r>
          <rPr>
            <sz val="9"/>
            <color indexed="81"/>
            <rFont val="Tahoma"/>
            <family val="2"/>
          </rPr>
          <t xml:space="preserve">
No penalty for 2020. Assumed avg EPS growth from 2012-2019.</t>
        </r>
      </text>
    </comment>
    <comment ref="P21" authorId="0" shapeId="0" xr:uid="{8D8E9B70-9670-4757-9CB4-90257002869C}">
      <text>
        <r>
          <rPr>
            <b/>
            <sz val="9"/>
            <color indexed="81"/>
            <rFont val="Tahoma"/>
            <family val="2"/>
          </rPr>
          <t>Dana Lain:</t>
        </r>
        <r>
          <rPr>
            <sz val="9"/>
            <color indexed="81"/>
            <rFont val="Tahoma"/>
            <family val="2"/>
          </rPr>
          <t xml:space="preserve">
Not penalizing for 2020 for USB. Assuming the avg EPS growth from 2012 to 2019.</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<sst xmlns="http://schemas.openxmlformats.org/spreadsheetml/2006/main" count="109" uniqueCount="62">
  <si>
    <t>Capitalization</t>
  </si>
  <si>
    <t>Operating Statistics:</t>
  </si>
  <si>
    <t>Company Name and Symbol</t>
  </si>
  <si>
    <t>Share</t>
  </si>
  <si>
    <t>Price</t>
  </si>
  <si>
    <t>Diluted</t>
  </si>
  <si>
    <t>Shares</t>
  </si>
  <si>
    <t>Equity</t>
  </si>
  <si>
    <t>Value</t>
  </si>
  <si>
    <t>Enterprise</t>
  </si>
  <si>
    <t>Revenue</t>
  </si>
  <si>
    <t>Cash</t>
  </si>
  <si>
    <t>Debt</t>
  </si>
  <si>
    <t>Preferred</t>
  </si>
  <si>
    <t>Stock</t>
  </si>
  <si>
    <t>NCI</t>
  </si>
  <si>
    <t>Net Income</t>
  </si>
  <si>
    <t>Projected</t>
  </si>
  <si>
    <t>Growth</t>
  </si>
  <si>
    <t>Maximum</t>
  </si>
  <si>
    <t>75th Percentile</t>
  </si>
  <si>
    <t>Median</t>
  </si>
  <si>
    <t>25th Percentile</t>
  </si>
  <si>
    <t>Minimum</t>
  </si>
  <si>
    <t>Valuation Statistics:</t>
  </si>
  <si>
    <t>Enterprise Value /</t>
  </si>
  <si>
    <t>P / E Multiple</t>
  </si>
  <si>
    <t>($ USD in Millions Except Per Share Amounts in USD as Stated)</t>
  </si>
  <si>
    <t>Methodology Name</t>
  </si>
  <si>
    <t>75th</t>
  </si>
  <si>
    <t>25th</t>
  </si>
  <si>
    <t>Applicable</t>
  </si>
  <si>
    <t>Percentile</t>
  </si>
  <si>
    <t>Company</t>
  </si>
  <si>
    <t>Multiple</t>
  </si>
  <si>
    <t>Figure</t>
  </si>
  <si>
    <t>Public Company Comparables:</t>
  </si>
  <si>
    <t>2019 EV / Revenue:</t>
  </si>
  <si>
    <t>2020 EV / Revenue:</t>
  </si>
  <si>
    <t>2021 EV / Revenue:</t>
  </si>
  <si>
    <t>2019 P / E:</t>
  </si>
  <si>
    <t>2020 P / E:</t>
  </si>
  <si>
    <t>2021 P / E:</t>
  </si>
  <si>
    <t>Implied Enterprise Value:</t>
  </si>
  <si>
    <t>Implied Equity Value:</t>
  </si>
  <si>
    <t>Diluted Shares Outstanding:</t>
  </si>
  <si>
    <t>Premium / (Discount) to Current:</t>
  </si>
  <si>
    <t>Implied Enterprise Value or Equity Value at a Range of Multiples:</t>
  </si>
  <si>
    <t>Enterprise Value --&gt;</t>
  </si>
  <si>
    <t>Equity Value --&gt;</t>
  </si>
  <si>
    <t>Comparable Companies - Banking Industry Revenue $30B - $130B</t>
  </si>
  <si>
    <t>Valuation Summary - GS</t>
  </si>
  <si>
    <t>EBT</t>
  </si>
  <si>
    <t>(-) Net Debt:</t>
  </si>
  <si>
    <t>Valuation Summary - US Bancorp</t>
  </si>
  <si>
    <t>US Bancorp - Range of Valuation Multiples / Premiums</t>
  </si>
  <si>
    <t>US Bancorp - Implied Per Share Value Range</t>
  </si>
  <si>
    <t>Implied Share Price:</t>
  </si>
  <si>
    <t>2019 EV / EBT:</t>
  </si>
  <si>
    <t>2020 EV / EBT:</t>
  </si>
  <si>
    <t>2021 EV / EBT:</t>
  </si>
  <si>
    <t>EBT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</si>
</sst>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5" formatCode="_([$$-409]* #,##0.00_);_([$$-409]* \(#,##0.00\);_([$$-409]* &quot;-&quot;??_);_(@_)"/>
    <numFmt numFmtId="166" formatCode="_(* #,##0.000_);_(* \(#,##0.000\);_(* &quot;-&quot;??_);_(@_)"/>
    <numFmt numFmtId="167" formatCode="0.00_);[Red]\(0.00\)"/>
    <numFmt numFmtId="168" formatCode="0.0%"/>
    <numFmt numFmtId="169" formatCode="_(&quot;$&quot;* #,##0_);_(&quot;$&quot;* \(#,##0\);_(&quot;$&quot;* &quot;-&quot;??_);_(@_)"/>
    <numFmt numFmtId="170" formatCode="0.0\ \x"/>
    <numFmt numFmtId="171" formatCode="_(* #,##0.0_);_(* \(#,##0.0\);_(* &quot;-&quot;?_);_(@_)"/>
    <numFmt numFmtId="172" formatCode="0.0%;\(0.0%\)"/>
    <numFmt numFmtId="173" formatCode="_(* #,##0_);_(* \(#,##0\);_(* &quot;-&quot;??_);_(@_)"/>
    <numFmt numFmtId="174" formatCode="_([$$-409]* #,##0_);_([$$-409]* \(#,##0\);_([$$-409]* &quot;-&quot;??_);_(@_)"/>
    <numFmt numFmtId="175" formatCode="_(* #,##0_);_(* \(#,##0\);_(* &quot;-&quot;?_);_(@_)"/>
    <numFmt numFmtId="176" formatCode="_(&quot;$&quot;* #,##0_);_(&quot;$&quot;* \(#,##0\);_(&quot;$&quot;* &quot;-&quot;?_);_(@_)"/>
    <numFmt numFmtId="177" formatCode="_(* #,##0_);_(* \(#,##0\);_(* &quot;-&quot;???_);_(@_)"/>
  </numFmts>
  <fonts count="19" x14ac:knownFonts="1">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
      <b/>
      <sz val="12"/>
      <color rgb="FFFFFFFF"/>
      <name val="Calibri"/>
      <family val="2"/>
      <scheme val="minor"/>
    </font>
    <font>
      <b/>
      <u/>
      <sz val="12"/>
      <color rgb="FFFFFFFF"/>
      <name val="Calibri"/>
      <family val="2"/>
      <scheme val="minor"/>
    </font>
    <font>
      <sz val="12"/>
      <color rgb="FFFFFFFF"/>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
      <b/>
      <u/>
      <sz val="12"/>
      <color theme="0"/>
      <name val="Calibri"/>
      <family val="2"/>
      <scheme val="minor"/>
    </font>
    <font>
      <sz val="12"/>
      <color theme="0"/>
      <name val="Calibri"/>
      <family val="2"/>
      <scheme val="minor"/>
    </font>
    <font>
      <sz val="12"/>
      <name val="Calibri"/>
      <family val="2"/>
      <scheme val="minor"/>
    </font>
    <font>
      <b/>
      <sz val="12"/>
      <name val="Calibri"/>
      <family val="2"/>
      <scheme val="minor"/>
    </font>
    <font>
      <u/>
      <sz val="12"/>
      <color theme="0"/>
      <name val="Calibri"/>
      <family val="2"/>
      <scheme val="minor"/>
    </font>
    <font>
      <sz val="12"/>
      <color rgb="FF000000"/>
      <name val="Calibri"/>
      <family val="2"/>
      <scheme val="minor"/>
    </font>
    <font>
      <b/>
      <sz val="12"/>
      <color rgb="FF000000"/>
      <name val="Calibri"/>
      <family val="2"/>
      <scheme val="minor"/>
    </font>
    <font>
      <sz val="12"/>
      <color rgb="FF0000FF"/>
      <name val="Calibri"/>
      <family val="2"/>
      <scheme val="minor"/>
    </font>
    <font>
      <sz val="12"/>
      <color rgb="FF3710F8"/>
      <name val="Calibri"/>
      <family val="2"/>
      <scheme val="minor"/>
    </font>
  </fonts>
  <fills count="7">
    <fill>
      <patternFill patternType="none"/>
    </fill>
    <fill>
      <patternFill patternType="gray125"/>
    </fill>
    <fill>
      <patternFill patternType="solid">
        <fgColor rgb="FF006600"/>
        <bgColor indexed="64"/>
      </patternFill>
    </fill>
    <fill>
      <patternFill patternType="solid">
        <fgColor theme="9" tint="0.59999389629810485"/>
        <bgColor indexed="64"/>
      </patternFill>
    </fill>
    <fill>
      <patternFill patternType="solid">
        <fgColor rgb="FF006600"/>
        <bgColor rgb="FF000000"/>
      </patternFill>
    </fill>
    <fill>
      <patternFill patternType="solid">
        <fgColor rgb="FFD9D9D9"/>
        <bgColor rgb="FF000000"/>
      </patternFill>
    </fill>
    <fill>
      <patternFill patternType="solid">
        <fgColor rgb="FFDCE6F1"/>
        <bgColor rgb="FF000000"/>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8">
    <xf numFmtId="0" fontId="0" fillId="0" borderId="0" xfId="0"/>
    <xf numFmtId="0" fontId="4" fillId="4" borderId="0" xfId="0" applyFont="1" applyFill="1"/>
    <xf numFmtId="0" fontId="5" fillId="4" borderId="0" xfId="0" applyFont="1" applyFill="1" applyAlignment="1">
      <alignment horizontal="centerContinuous"/>
    </xf>
    <xf numFmtId="0" fontId="6" fillId="4" borderId="0" xfId="0" applyFont="1" applyFill="1"/>
    <xf numFmtId="0" fontId="4" fillId="4" borderId="0" xfId="0" applyFont="1" applyFill="1" applyAlignment="1">
      <alignment horizontal="center"/>
    </xf>
    <xf numFmtId="0" fontId="4" fillId="4" borderId="1" xfId="0" applyFont="1" applyFill="1" applyBorder="1"/>
    <xf numFmtId="0" fontId="4" fillId="4" borderId="1" xfId="0" applyFont="1" applyFill="1" applyBorder="1" applyAlignment="1">
      <alignment horizontal="center"/>
    </xf>
    <xf numFmtId="0" fontId="7" fillId="0" borderId="0" xfId="0" applyFont="1"/>
    <xf numFmtId="0" fontId="8" fillId="0" borderId="0" xfId="0" applyFont="1"/>
    <xf numFmtId="0" fontId="9" fillId="2" borderId="0" xfId="0" applyFont="1" applyFill="1"/>
    <xf numFmtId="0" fontId="9" fillId="2" borderId="0" xfId="0" applyFont="1" applyFill="1" applyAlignment="1">
      <alignment horizontal="center"/>
    </xf>
    <xf numFmtId="0" fontId="11" fillId="2" borderId="0" xfId="0" applyFont="1" applyFill="1"/>
    <xf numFmtId="0" fontId="10" fillId="2" borderId="0" xfId="0" applyFont="1" applyFill="1" applyAlignment="1">
      <alignment horizontal="center"/>
    </xf>
    <xf numFmtId="169" fontId="8" fillId="0" borderId="0" xfId="2" applyNumberFormat="1" applyFont="1"/>
    <xf numFmtId="167" fontId="8" fillId="0" borderId="0" xfId="0" applyNumberFormat="1" applyFont="1"/>
    <xf numFmtId="2" fontId="8" fillId="0" borderId="0" xfId="0" applyNumberFormat="1" applyFont="1"/>
    <xf numFmtId="168" fontId="8" fillId="0" borderId="0" xfId="3" applyNumberFormat="1" applyFont="1"/>
    <xf numFmtId="9" fontId="8" fillId="0" borderId="0" xfId="3" applyFont="1"/>
    <xf numFmtId="170" fontId="8" fillId="0" borderId="0" xfId="0" applyNumberFormat="1" applyFont="1"/>
    <xf numFmtId="0" fontId="8" fillId="0" borderId="2" xfId="0" applyFont="1" applyBorder="1"/>
    <xf numFmtId="165" fontId="8" fillId="0" borderId="3" xfId="0" applyNumberFormat="1" applyFont="1" applyBorder="1"/>
    <xf numFmtId="0" fontId="8" fillId="0" borderId="3" xfId="0" applyFont="1" applyBorder="1"/>
    <xf numFmtId="9" fontId="8" fillId="0" borderId="3" xfId="3" applyFont="1" applyBorder="1"/>
    <xf numFmtId="0" fontId="8" fillId="0" borderId="5" xfId="0" applyFont="1" applyBorder="1"/>
    <xf numFmtId="44" fontId="8" fillId="0" borderId="0" xfId="2" applyFont="1" applyBorder="1"/>
    <xf numFmtId="0" fontId="8" fillId="0" borderId="0" xfId="0" applyFont="1" applyBorder="1"/>
    <xf numFmtId="9" fontId="8" fillId="0" borderId="0" xfId="3" applyFont="1" applyBorder="1"/>
    <xf numFmtId="0" fontId="7" fillId="3" borderId="5" xfId="0" applyFont="1" applyFill="1" applyBorder="1"/>
    <xf numFmtId="165" fontId="7" fillId="3" borderId="0" xfId="0" applyNumberFormat="1" applyFont="1" applyFill="1" applyBorder="1"/>
    <xf numFmtId="0" fontId="7" fillId="3" borderId="0" xfId="0" applyFont="1" applyFill="1" applyBorder="1"/>
    <xf numFmtId="9" fontId="7" fillId="3" borderId="0" xfId="3" applyFont="1" applyFill="1" applyBorder="1"/>
    <xf numFmtId="0" fontId="8" fillId="0" borderId="7" xfId="0" applyFont="1" applyBorder="1"/>
    <xf numFmtId="165" fontId="8" fillId="0" borderId="1" xfId="0" applyNumberFormat="1" applyFont="1" applyBorder="1"/>
    <xf numFmtId="0" fontId="8" fillId="0" borderId="1" xfId="0" applyFont="1" applyBorder="1"/>
    <xf numFmtId="9" fontId="8" fillId="0" borderId="1" xfId="3" applyFont="1" applyBorder="1"/>
    <xf numFmtId="170" fontId="8" fillId="0" borderId="3" xfId="0" applyNumberFormat="1" applyFont="1" applyBorder="1"/>
    <xf numFmtId="170" fontId="8" fillId="0" borderId="4" xfId="0" applyNumberFormat="1" applyFont="1" applyBorder="1"/>
    <xf numFmtId="170" fontId="8" fillId="0" borderId="0" xfId="2" applyNumberFormat="1" applyFont="1" applyBorder="1"/>
    <xf numFmtId="170" fontId="8" fillId="0" borderId="6" xfId="2" applyNumberFormat="1" applyFont="1" applyBorder="1"/>
    <xf numFmtId="170" fontId="7" fillId="3" borderId="0" xfId="0" applyNumberFormat="1" applyFont="1" applyFill="1" applyBorder="1"/>
    <xf numFmtId="170" fontId="7" fillId="3" borderId="6" xfId="0" applyNumberFormat="1" applyFont="1" applyFill="1" applyBorder="1"/>
    <xf numFmtId="170" fontId="8" fillId="0" borderId="1" xfId="0" applyNumberFormat="1" applyFont="1" applyBorder="1"/>
    <xf numFmtId="170" fontId="8" fillId="0" borderId="8" xfId="0" applyNumberFormat="1" applyFont="1" applyBorder="1"/>
    <xf numFmtId="0" fontId="12" fillId="0" borderId="0" xfId="0" applyFont="1"/>
    <xf numFmtId="0" fontId="10" fillId="4" borderId="0" xfId="0" applyFont="1" applyFill="1" applyAlignment="1">
      <alignment horizontal="centerContinuous"/>
    </xf>
    <xf numFmtId="0" fontId="9" fillId="4" borderId="0" xfId="0" applyFont="1" applyFill="1" applyAlignment="1">
      <alignment horizontal="center"/>
    </xf>
    <xf numFmtId="0" fontId="14" fillId="4" borderId="0" xfId="0" applyFont="1" applyFill="1" applyAlignment="1">
      <alignment horizontal="centerContinuous"/>
    </xf>
    <xf numFmtId="0" fontId="9" fillId="4" borderId="1" xfId="0" applyFont="1" applyFill="1" applyBorder="1" applyAlignment="1">
      <alignment horizontal="center"/>
    </xf>
    <xf numFmtId="0" fontId="8" fillId="0" borderId="0" xfId="0" applyNumberFormat="1" applyFont="1"/>
    <xf numFmtId="0" fontId="13" fillId="5" borderId="1" xfId="0" applyFont="1" applyFill="1" applyBorder="1"/>
    <xf numFmtId="0" fontId="15" fillId="0" borderId="0" xfId="0" applyFont="1"/>
    <xf numFmtId="0" fontId="15" fillId="5" borderId="1" xfId="0" applyFont="1" applyFill="1" applyBorder="1"/>
    <xf numFmtId="0" fontId="12" fillId="0" borderId="0" xfId="0" applyFont="1" applyAlignment="1">
      <alignment horizontal="left" indent="1"/>
    </xf>
    <xf numFmtId="0" fontId="13" fillId="5" borderId="3" xfId="0" applyFont="1" applyFill="1" applyBorder="1" applyAlignment="1">
      <alignment horizontal="left"/>
    </xf>
    <xf numFmtId="0" fontId="12" fillId="5" borderId="3" xfId="0" applyFont="1" applyFill="1" applyBorder="1"/>
    <xf numFmtId="0" fontId="13" fillId="6" borderId="2" xfId="0" applyFont="1" applyFill="1" applyBorder="1"/>
    <xf numFmtId="0" fontId="12" fillId="6" borderId="3" xfId="0" applyFont="1" applyFill="1" applyBorder="1"/>
    <xf numFmtId="44" fontId="13" fillId="6" borderId="4" xfId="0" applyNumberFormat="1" applyFont="1" applyFill="1" applyBorder="1"/>
    <xf numFmtId="0" fontId="13" fillId="6" borderId="7" xfId="0" applyFont="1" applyFill="1" applyBorder="1"/>
    <xf numFmtId="0" fontId="12" fillId="6" borderId="1" xfId="0" applyFont="1" applyFill="1" applyBorder="1"/>
    <xf numFmtId="172" fontId="13" fillId="6" borderId="8" xfId="0" applyNumberFormat="1" applyFont="1" applyFill="1" applyBorder="1"/>
    <xf numFmtId="0" fontId="16" fillId="5" borderId="1" xfId="0" applyFont="1" applyFill="1" applyBorder="1" applyAlignment="1">
      <alignment horizontal="centerContinuous"/>
    </xf>
    <xf numFmtId="174" fontId="8" fillId="0" borderId="3" xfId="0" applyNumberFormat="1" applyFont="1" applyBorder="1"/>
    <xf numFmtId="174" fontId="8" fillId="0" borderId="0" xfId="2" applyNumberFormat="1" applyFont="1" applyBorder="1"/>
    <xf numFmtId="174" fontId="7" fillId="3" borderId="0" xfId="0" applyNumberFormat="1" applyFont="1" applyFill="1" applyBorder="1"/>
    <xf numFmtId="174" fontId="8" fillId="0" borderId="1" xfId="0" applyNumberFormat="1" applyFont="1" applyBorder="1"/>
    <xf numFmtId="165" fontId="18" fillId="0" borderId="0" xfId="0" applyNumberFormat="1" applyFont="1"/>
    <xf numFmtId="173" fontId="18" fillId="0" borderId="0" xfId="1" applyNumberFormat="1" applyFont="1"/>
    <xf numFmtId="169" fontId="18" fillId="0" borderId="0" xfId="2" applyNumberFormat="1" applyFont="1"/>
    <xf numFmtId="173" fontId="18" fillId="0" borderId="0" xfId="1" applyNumberFormat="1" applyFont="1" applyAlignment="1">
      <alignment horizontal="center"/>
    </xf>
    <xf numFmtId="169" fontId="8" fillId="0" borderId="0" xfId="0" applyNumberFormat="1" applyFont="1"/>
    <xf numFmtId="0" fontId="9" fillId="2" borderId="9" xfId="0" applyFont="1" applyFill="1" applyBorder="1"/>
    <xf numFmtId="165" fontId="9" fillId="2" borderId="10" xfId="0" applyNumberFormat="1" applyFont="1" applyFill="1" applyBorder="1"/>
    <xf numFmtId="166" fontId="9" fillId="2" borderId="10" xfId="1" applyNumberFormat="1" applyFont="1" applyFill="1" applyBorder="1"/>
    <xf numFmtId="169" fontId="9" fillId="2" borderId="10" xfId="2" applyNumberFormat="1" applyFont="1" applyFill="1" applyBorder="1"/>
    <xf numFmtId="167" fontId="9" fillId="2" borderId="10" xfId="0" applyNumberFormat="1" applyFont="1" applyFill="1" applyBorder="1"/>
    <xf numFmtId="43" fontId="9" fillId="2" borderId="10" xfId="1" applyFont="1" applyFill="1" applyBorder="1"/>
    <xf numFmtId="0" fontId="9" fillId="2" borderId="10" xfId="0" applyFont="1" applyFill="1" applyBorder="1" applyAlignment="1">
      <alignment horizontal="center"/>
    </xf>
    <xf numFmtId="170" fontId="9" fillId="2" borderId="10" xfId="1" applyNumberFormat="1" applyFont="1" applyFill="1" applyBorder="1" applyAlignment="1">
      <alignment vertical="center"/>
    </xf>
    <xf numFmtId="170" fontId="9" fillId="2" borderId="11" xfId="1" applyNumberFormat="1" applyFont="1" applyFill="1" applyBorder="1" applyAlignment="1">
      <alignment vertical="center"/>
    </xf>
    <xf numFmtId="175" fontId="17" fillId="0" borderId="0" xfId="0" applyNumberFormat="1" applyFont="1"/>
    <xf numFmtId="176" fontId="15" fillId="0" borderId="0" xfId="0" applyNumberFormat="1" applyFont="1"/>
    <xf numFmtId="171" fontId="13" fillId="5" borderId="3" xfId="0" applyNumberFormat="1" applyFont="1" applyFill="1" applyBorder="1"/>
    <xf numFmtId="177" fontId="17" fillId="0" borderId="0" xfId="0" applyNumberFormat="1" applyFont="1"/>
    <xf numFmtId="176" fontId="16" fillId="5" borderId="1" xfId="0" applyNumberFormat="1" applyFont="1" applyFill="1" applyBorder="1"/>
    <xf numFmtId="0" fontId="9" fillId="2" borderId="0" xfId="0" applyFont="1" applyFill="1" applyAlignment="1">
      <alignment horizontal="center"/>
    </xf>
    <xf numFmtId="0" fontId="10" fillId="2" borderId="0" xfId="0" applyFont="1" applyFill="1" applyAlignment="1">
      <alignment horizontal="center"/>
    </xf>
    <xf numFmtId="0" fontId="9" fillId="4" borderId="0" xfId="0" applyFont="1" applyFill="1" applyAlignment="1">
      <alignment horizontal="center"/>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colors>
    <mruColors>
      <color rgb="FF006600"/>
      <color rgb="FF3710F8"/>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37">
  <rv s="0">
    <v>http://en.wikipedia.org/wiki/Public_domain</v>
    <v>Public domain</v>
  </rv>
  <rv s="0">
    <v>http://en.wikipedia.org/wiki/JPMorgan_Chase</v>
    <v>Wikipedia</v>
  </rv>
  <rv s="1">
    <v>0</v>
    <v>1</v>
  </rv>
  <rv s="2">
    <v>6</v>
    <v>https://www.bing.com/th?id=AMMS_06392bb84e5fdc62d2356a2306f4ae1e&amp;qlt=95</v>
    <v>2</v>
    <v>0</v>
    <v>https://www.bing.com/images/search?form=xlimg&amp;q=jpmorgan+chase</v>
    <v>Image of JPMORGAN CHASE &amp; CO.</v>
  </rv>
  <rv s="0">
    <v>https://www.bing.com/financeapi/forcetrigger?t=a1waa2&amp;q=XNYS%3aJPM&amp;form=skydnc</v>
    <v>Learn more on Bing</v>
  </rv>
  <rv s="3">
    <v>en-US</v>
    <v>a1waa2</v>
    <v>268435456</v>
    <v>1</v>
    <v>Powered by Refinitiv</v>
    <v>0</v>
    <v>JPMORGAN CHASE &amp; CO. (XNYS:JPM)</v>
    <v>3</v>
    <v>4</v>
    <v>Finance</v>
    <v>5</v>
    <v>161.69</v>
    <v>82.4</v>
    <v>1.2162999999999999</v>
    <v>2.54</v>
    <v>-5.8029999999999996E-4</v>
    <v>1.6650000000000002E-2</v>
    <v>-0.09</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255351</v>
    <v>New York Stock Exchange</v>
    <v>XNYS</v>
    <v>XNYS</v>
    <v>383 Madison Ave, NEW YORK, NY, 10017-3217 US</v>
    <v>155.44999999999999</v>
    <v>3</v>
    <v>Banking Services</v>
    <v>Stock</v>
    <v>44281.99944231406</v>
    <v>4</v>
    <v>152.55000000000001</v>
    <v>473258100000</v>
    <v>JPMORGAN CHASE &amp; CO.</v>
    <v>JPMORGAN CHASE &amp; CO.</v>
    <v>154.30000000000001</v>
    <v>17.178799999999999</v>
    <v>152.55000000000001</v>
    <v>155.09</v>
    <v>155</v>
    <v>3051506000</v>
    <v>JPM</v>
    <v>JPMORGAN CHASE &amp; CO. (XNYS:JPM)</v>
    <v>16754402</v>
    <v>17115373</v>
    <v>1968</v>
  </rv>
  <rv s="4">
    <v>5</v>
  </rv>
  <rv s="0">
    <v>http://en.wikipedia.org/wiki/Bank_of_America</v>
    <v>Wikipedia</v>
  </rv>
  <rv s="1">
    <v>0</v>
    <v>7</v>
  </rv>
  <rv s="2">
    <v>6</v>
    <v>https://www.bing.com/th?id=AMMS_0720042c42661f705c810fedd777349a&amp;qlt=95</v>
    <v>8</v>
    <v>0</v>
    <v>https://www.bing.com/images/search?form=xlimg&amp;q=bank+of+america</v>
    <v>Image of BANK OF AMERICA CORPORATION</v>
  </rv>
  <rv s="0">
    <v>https://www.bing.com/financeapi/forcetrigger?t=a1o4sm&amp;q=XNYS%3aBAC&amp;form=skydnc</v>
    <v>Learn more on Bing</v>
  </rv>
  <rv s="3">
    <v>en-US</v>
    <v>a1o4sm</v>
    <v>268435456</v>
    <v>1</v>
    <v>Powered by Refinitiv</v>
    <v>0</v>
    <v>BANK OF AMERICA CORPORATION (XNYS:BAC)</v>
    <v>3</v>
    <v>4</v>
    <v>Finance</v>
    <v>5</v>
    <v>39.967799999999997</v>
    <v>19.510000000000002</v>
    <v>1.5792999999999999</v>
    <v>1.02</v>
    <v>2.3270000000000001E-3</v>
    <v>2.7084E-2</v>
    <v>0.09</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38.76</v>
    <v>9</v>
    <v>Banking Services</v>
    <v>Stock</v>
    <v>44281.999907453122</v>
    <v>10</v>
    <v>38.075000000000003</v>
    <v>333702100000</v>
    <v>BANK OF AMERICA CORPORATION</v>
    <v>BANK OF AMERICA CORPORATION</v>
    <v>38.35</v>
    <v>20.105399999999999</v>
    <v>37.659999999999997</v>
    <v>38.68</v>
    <v>38.770000000000003</v>
    <v>8627253000</v>
    <v>BAC</v>
    <v>BANK OF AMERICA CORPORATION (XNYS:BAC)</v>
    <v>66846032</v>
    <v>61719300</v>
    <v>1998</v>
  </rv>
  <rv s="4">
    <v>11</v>
  </rv>
  <rv s="0">
    <v>http://en.wikipedia.org/wiki/Wells_Fargo</v>
    <v>Wikipedia</v>
  </rv>
  <rv s="1">
    <v>0</v>
    <v>13</v>
  </rv>
  <rv s="2">
    <v>6</v>
    <v>https://www.bing.com/th?id=AMMS_97bd8dad8c0360a49d8c3a8c9f408be5&amp;qlt=95</v>
    <v>14</v>
    <v>0</v>
    <v>https://www.bing.com/images/search?form=xlimg&amp;q=wells+fargo</v>
    <v>Image of WELLS FARGO &amp; COMPANY</v>
  </rv>
  <rv s="0">
    <v>https://www.bing.com/financeapi/forcetrigger?t=a25tgh&amp;q=XNYS%3aWFC&amp;form=skydnc</v>
    <v>Learn more on Bing</v>
  </rv>
  <rv s="3">
    <v>en-US</v>
    <v>a25tgh</v>
    <v>268435456</v>
    <v>1</v>
    <v>Powered by Refinitiv</v>
    <v>0</v>
    <v>WELLS FARGO &amp; COMPANY (XNYS:WFC)</v>
    <v>3</v>
    <v>4</v>
    <v>Finance</v>
    <v>5</v>
    <v>41.54</v>
    <v>20.76</v>
    <v>1.3272999999999999</v>
    <v>0.46</v>
    <v>2.5149999999999999E-4</v>
    <v>1.1705E-2</v>
    <v>0.01</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200000</v>
    <v>New York Stock Exchange</v>
    <v>XNYS</v>
    <v>XNYS</v>
    <v>420 Montgomery St, SAN FRANCISCO, CA, 94104-1207 US</v>
    <v>40.229999999999997</v>
    <v>15</v>
    <v>Banking Services</v>
    <v>Stock</v>
    <v>44281.999263217185</v>
    <v>16</v>
    <v>39.17</v>
    <v>164373600000</v>
    <v>WELLS FARGO &amp; COMPANY</v>
    <v>WELLS FARGO &amp; COMPANY</v>
    <v>39.9</v>
    <v>98.580200000000005</v>
    <v>39.299999999999997</v>
    <v>39.76</v>
    <v>39.770000000000003</v>
    <v>4134145000</v>
    <v>WFC</v>
    <v>WELLS FARGO &amp; COMPANY (XNYS:WFC)</v>
    <v>29156073</v>
    <v>35279531</v>
    <v>1929</v>
  </rv>
  <rv s="4">
    <v>17</v>
  </rv>
  <rv s="0">
    <v>http://en.wikipedia.org/wiki/Citigroup</v>
    <v>Wikipedia</v>
  </rv>
  <rv s="1">
    <v>0</v>
    <v>19</v>
  </rv>
  <rv s="2">
    <v>6</v>
    <v>https://www.bing.com/th?id=AMMS_761dcd4c0ed01f53f5a8e667db77edfc&amp;qlt=95</v>
    <v>20</v>
    <v>0</v>
    <v>https://www.bing.com/images/search?form=xlimg&amp;q=citigroup</v>
    <v>Image of CITIGROUP INC.</v>
  </rv>
  <rv s="0">
    <v>https://www.bing.com/financeapi/forcetrigger?t=a1p3ww&amp;q=XNYS%3aC&amp;form=skydnc</v>
    <v>Learn more on Bing</v>
  </rv>
  <rv s="3">
    <v>en-US</v>
    <v>a1p3ww</v>
    <v>268435456</v>
    <v>1</v>
    <v>Powered by Refinitiv</v>
    <v>0</v>
    <v>CITIGROUP INC. (XNYS:C)</v>
    <v>3</v>
    <v>4</v>
    <v>Finance</v>
    <v>5</v>
    <v>76.13</v>
    <v>36.67</v>
    <v>1.9541999999999999</v>
    <v>1.3</v>
    <v>0</v>
    <v>1.8126E-2</v>
    <v>0</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provides traditional banking services to retail customers through retail banking, Citi-branded cards and Citi retail services. ICG segment provides corporate, institutional, public sector and high-net-worth clients with a range of wholesale banking products and services, including fixed income and equity sales and trading, foreign exchange, prime brokerage, derivative services, corporate lending, investment banking and advisory services, private banking, and securities services. Corporate/Other segment includes corporate treasury, operations and technology, and consumer loans.</v>
    <v>210153</v>
    <v>New York Stock Exchange</v>
    <v>XNYS</v>
    <v>XNYS</v>
    <v>388 Greenwich St, NEW YORK, NY, 10013-2375 US</v>
    <v>73.239999999999995</v>
    <v>21</v>
    <v>Banking Services</v>
    <v>Stock</v>
    <v>44281.999378425782</v>
    <v>22</v>
    <v>72</v>
    <v>152369800000</v>
    <v>CITIGROUP INC.</v>
    <v>CITIGROUP INC.</v>
    <v>72.569999999999993</v>
    <v>15.690799999999999</v>
    <v>71.72</v>
    <v>73.02</v>
    <v>73.02</v>
    <v>2086687000</v>
    <v>C</v>
    <v>CITIGROUP INC. (XNYS:C)</v>
    <v>15716614</v>
    <v>21725061</v>
    <v>1988</v>
  </rv>
  <rv s="4">
    <v>23</v>
  </rv>
  <rv s="0">
    <v>http://en.wikipedia.org/wiki/U.S._Bancorp</v>
    <v>Wikipedia</v>
  </rv>
  <rv s="1">
    <v>0</v>
    <v>25</v>
  </rv>
  <rv s="2">
    <v>6</v>
    <v>https://www.bing.com/th?id=AMMS_92118627359b78f33a94013e8d77b22d&amp;qlt=95</v>
    <v>26</v>
    <v>0</v>
    <v>https://www.bing.com/images/search?form=xlimg&amp;q=usbank</v>
    <v>Image of U.S. BANCORP</v>
  </rv>
  <rv s="0">
    <v>https://www.bing.com/financeapi/forcetrigger?t=a251gh&amp;q=XNYS%3aUSB&amp;form=skydnc</v>
    <v>Learn more on Bing</v>
  </rv>
  <rv s="3">
    <v>en-US</v>
    <v>a251gh</v>
    <v>268435456</v>
    <v>1</v>
    <v>Powered by Refinitiv</v>
    <v>0</v>
    <v>U.S. BANCORP (XNYS:USB)</v>
    <v>3</v>
    <v>4</v>
    <v>Finance</v>
    <v>5</v>
    <v>57.02</v>
    <v>28.36</v>
    <v>1.1696</v>
    <v>1.32</v>
    <v>2.4909999999999997E-3</v>
    <v>2.4048E-2</v>
    <v>0.14000000000000001</v>
    <v>USD</v>
    <v>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bank and trust subsidiaries provide a range of asset management and fiduciary services for individuals, estates, foundations, business corporations and charitable organizations.</v>
    <v>68108</v>
    <v>New York Stock Exchange</v>
    <v>XNYS</v>
    <v>XNYS</v>
    <v>800 Nicollet Mall, MINNEAPOLIS, MN, 55402-7000 US</v>
    <v>56.3</v>
    <v>27</v>
    <v>Banking Services</v>
    <v>Stock</v>
    <v>44281.972016747655</v>
    <v>28</v>
    <v>55.31</v>
    <v>84459680000</v>
    <v>U.S. BANCORP</v>
    <v>U.S. BANCORP</v>
    <v>55.53</v>
    <v>17.937899999999999</v>
    <v>54.89</v>
    <v>56.21</v>
    <v>56.35</v>
    <v>1502574000</v>
    <v>USB</v>
    <v>U.S. BANCORP (XNYS:USB)</v>
    <v>9628352</v>
    <v>9011329</v>
    <v>1929</v>
  </rv>
  <rv s="4">
    <v>29</v>
  </rv>
  <rv s="0">
    <v>http://en.wikipedia.org/wiki/Capital_One</v>
    <v>Wikipedia</v>
  </rv>
  <rv s="1">
    <v>0</v>
    <v>31</v>
  </rv>
  <rv s="2">
    <v>6</v>
    <v>https://www.bing.com/th?id=AMMS_6d3ca362046ee166c6c9bb2119b31aa3&amp;qlt=95</v>
    <v>32</v>
    <v>0</v>
    <v>https://www.bing.com/images/search?form=xlimg&amp;q=capital+one</v>
    <v>Image of CAPITAL ONE FINANCIAL CORPORATION</v>
  </rv>
  <rv s="0">
    <v>https://www.bing.com/financeapi/forcetrigger?t=a1q3jc&amp;q=XNYS%3aCOF&amp;form=skydnc</v>
    <v>Learn more on Bing</v>
  </rv>
  <rv s="3">
    <v>en-US</v>
    <v>a1q3jc</v>
    <v>268435456</v>
    <v>1</v>
    <v>Powered by Refinitiv</v>
    <v>0</v>
    <v>CAPITAL ONE FINANCIAL CORPORATION (XNYS:COF)</v>
    <v>3</v>
    <v>4</v>
    <v>Finance</v>
    <v>5</v>
    <v>134.69999999999999</v>
    <v>39.9</v>
    <v>1.7566999999999999</v>
    <v>1.72</v>
    <v>4.6300000000000004E-3</v>
    <v>1.3450999999999999E-2</v>
    <v>0.6</v>
    <v>USD</v>
    <v>Capital One Financial Corporation is a diversified financial services holding company. The Company, along with its subsidiaries, offers a range of financial products and services to consumers, small businesses and commercial clients through branches, the Internet and other distribution channels. The Company's segments include Credit Card, Consumer Banking, Commercial Banking and Other. The Credit Card segment consists of its domestic consumer and small business card lending, and the international card lending businesses in Canada and the United Kingdom. The Consumer Banking segment consists of its branch-based lending and deposit gathering activities for consumers and small businesses, national deposit gathering, national auto lending and consumer home loan lending and servicing activities. The Commercial Banking consists of its lending, deposit gathering and treasury management services to commercial real estate, and commercial and industrial customers.</v>
    <v>51985</v>
    <v>New York Stock Exchange</v>
    <v>XNYS</v>
    <v>XNYS</v>
    <v>1680 Capital One Dr Ste 1400, MC LEAN, VA, 22102-3407 US</v>
    <v>130.49</v>
    <v>33</v>
    <v>Banking Services</v>
    <v>Stock</v>
    <v>44281.996947823434</v>
    <v>34</v>
    <v>126.57</v>
    <v>59455030000</v>
    <v>CAPITAL ONE FINANCIAL CORPORATION</v>
    <v>CAPITAL ONE FINANCIAL CORPORATION</v>
    <v>129.86000000000001</v>
    <v>25.188600000000001</v>
    <v>127.87</v>
    <v>129.59</v>
    <v>130.19</v>
    <v>458793300</v>
    <v>COF</v>
    <v>CAPITAL ONE FINANCIAL CORPORATION (XNYS:COF)</v>
    <v>2864920</v>
    <v>3007020</v>
    <v>1994</v>
  </rv>
  <rv s="4">
    <v>35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19EB8-A6E1-43E0-AFE2-AD919A55104A}">
  <dimension ref="B2:X39"/>
  <sheetViews>
    <sheetView showGridLines="0" tabSelected="1" topLeftCell="G1" workbookViewId="0">
      <selection activeCell="X7" sqref="X7"/>
    </sheetView>
  </sheetViews>
  <sheetFormatPr defaultRowHeight="15.6" x14ac:dyDescent="0.3"/>
  <cols>
    <col min="1" max="1" width="3.77734375" style="8" customWidth="1"/>
    <col min="2" max="2" width="59.21875" style="8" bestFit="1" customWidth="1"/>
    <col min="3" max="3" width="9.5546875" style="8" bestFit="1" customWidth="1"/>
    <col min="4" max="4" width="11.21875" style="8" bestFit="1" customWidth="1"/>
    <col min="5" max="5" width="13.5546875" style="8" bestFit="1" customWidth="1"/>
    <col min="6" max="6" width="14.77734375" style="8" bestFit="1" customWidth="1"/>
    <col min="7" max="7" width="12.33203125" style="8" bestFit="1" customWidth="1"/>
    <col min="8" max="8" width="11.21875" style="8" bestFit="1" customWidth="1"/>
    <col min="9" max="9" width="10.109375" style="8" bestFit="1" customWidth="1"/>
    <col min="10" max="10" width="14.6640625" style="8" customWidth="1"/>
    <col min="11" max="11" width="13.33203125" style="8" customWidth="1"/>
    <col min="12" max="12" width="13.5546875" style="8" bestFit="1" customWidth="1"/>
    <col min="13" max="13" width="11.21875" style="8" bestFit="1" customWidth="1"/>
    <col min="14" max="15" width="12.33203125" style="8" bestFit="1" customWidth="1"/>
    <col min="16" max="16" width="10.88671875" style="8" customWidth="1"/>
    <col min="17" max="18" width="12.33203125" style="8" bestFit="1" customWidth="1"/>
    <col min="19" max="19" width="10.21875" style="8" bestFit="1" customWidth="1"/>
    <col min="20" max="21" width="9.21875" style="8" bestFit="1" customWidth="1"/>
    <col min="22" max="23" width="8.33203125" style="8" bestFit="1" customWidth="1"/>
    <col min="24" max="24" width="9" style="8" bestFit="1" customWidth="1"/>
    <col min="25" max="16384" width="8.88671875" style="8"/>
  </cols>
  <sheetData>
    <row r="2" spans="2:24" x14ac:dyDescent="0.3">
      <c r="B2" s="7" t="s">
        <v>50</v>
      </c>
    </row>
    <row r="3" spans="2:24" x14ac:dyDescent="0.3">
      <c r="B3" s="8" t="s">
        <v>27</v>
      </c>
    </row>
    <row r="5" spans="2:24" x14ac:dyDescent="0.3">
      <c r="B5" s="9" t="s">
        <v>1</v>
      </c>
      <c r="C5" s="86" t="s">
        <v>0</v>
      </c>
      <c r="D5" s="86"/>
      <c r="E5" s="86"/>
      <c r="F5" s="86"/>
      <c r="G5" s="86"/>
      <c r="H5" s="86"/>
      <c r="I5" s="86"/>
      <c r="J5" s="86"/>
      <c r="K5" s="10"/>
      <c r="L5" s="10"/>
      <c r="M5" s="10"/>
      <c r="N5" s="10"/>
      <c r="O5" s="10"/>
      <c r="P5" s="10"/>
      <c r="Q5" s="10"/>
      <c r="R5" s="10"/>
      <c r="S5" s="10"/>
      <c r="T5" s="10" t="s">
        <v>17</v>
      </c>
      <c r="U5" s="10" t="s">
        <v>17</v>
      </c>
      <c r="V5" s="9"/>
      <c r="W5" s="9"/>
      <c r="X5" s="9"/>
    </row>
    <row r="6" spans="2:24" x14ac:dyDescent="0.3">
      <c r="B6" s="11"/>
      <c r="C6" s="10" t="s">
        <v>3</v>
      </c>
      <c r="D6" s="10" t="s">
        <v>5</v>
      </c>
      <c r="E6" s="10" t="s">
        <v>7</v>
      </c>
      <c r="F6" s="10"/>
      <c r="G6" s="10"/>
      <c r="H6" s="10" t="s">
        <v>13</v>
      </c>
      <c r="I6" s="10"/>
      <c r="J6" s="10" t="s">
        <v>9</v>
      </c>
      <c r="K6" s="10"/>
      <c r="L6" s="12" t="s">
        <v>10</v>
      </c>
      <c r="M6" s="10"/>
      <c r="N6" s="10"/>
      <c r="O6" s="12" t="s">
        <v>52</v>
      </c>
      <c r="P6" s="10"/>
      <c r="Q6" s="10"/>
      <c r="R6" s="12" t="s">
        <v>16</v>
      </c>
      <c r="S6" s="10"/>
      <c r="T6" s="10" t="s">
        <v>10</v>
      </c>
      <c r="U6" s="10" t="s">
        <v>52</v>
      </c>
      <c r="V6" s="85" t="s">
        <v>61</v>
      </c>
      <c r="W6" s="85"/>
      <c r="X6" s="85"/>
    </row>
    <row r="7" spans="2:24" x14ac:dyDescent="0.3">
      <c r="B7" s="9" t="s">
        <v>2</v>
      </c>
      <c r="C7" s="10" t="s">
        <v>4</v>
      </c>
      <c r="D7" s="10" t="s">
        <v>6</v>
      </c>
      <c r="E7" s="10" t="s">
        <v>8</v>
      </c>
      <c r="F7" s="10" t="s">
        <v>11</v>
      </c>
      <c r="G7" s="10" t="s">
        <v>12</v>
      </c>
      <c r="H7" s="10" t="s">
        <v>14</v>
      </c>
      <c r="I7" s="10" t="s">
        <v>15</v>
      </c>
      <c r="J7" s="10" t="s">
        <v>8</v>
      </c>
      <c r="K7" s="10">
        <v>2019</v>
      </c>
      <c r="L7" s="10">
        <v>2020</v>
      </c>
      <c r="M7" s="10">
        <v>2021</v>
      </c>
      <c r="N7" s="10">
        <v>2019</v>
      </c>
      <c r="O7" s="10">
        <v>2020</v>
      </c>
      <c r="P7" s="10">
        <v>2021</v>
      </c>
      <c r="Q7" s="10">
        <v>2019</v>
      </c>
      <c r="R7" s="10">
        <v>2020</v>
      </c>
      <c r="S7" s="10">
        <v>2021</v>
      </c>
      <c r="T7" s="10" t="s">
        <v>18</v>
      </c>
      <c r="U7" s="10" t="s">
        <v>18</v>
      </c>
      <c r="V7" s="9">
        <v>2019</v>
      </c>
      <c r="W7" s="9">
        <v>2020</v>
      </c>
      <c r="X7" s="9">
        <v>2021</v>
      </c>
    </row>
    <row r="8" spans="2:24" x14ac:dyDescent="0.3">
      <c r="B8" s="8" t="e" vm="1">
        <v>#VALUE!</v>
      </c>
      <c r="C8" s="66" cm="1">
        <f t="array" ref="C8">_FV(B8,"Price")</f>
        <v>155.09</v>
      </c>
      <c r="D8" s="67" cm="1">
        <f t="array" ref="D8">_FV(B8,"Shares outstanding",TRUE)/1000000</f>
        <v>3051.5059999999999</v>
      </c>
      <c r="E8" s="68">
        <f t="shared" ref="E8:E13" si="0">D8*C8</f>
        <v>473258.06553999998</v>
      </c>
      <c r="F8" s="67">
        <f>24874+502735</f>
        <v>527609</v>
      </c>
      <c r="G8" s="67">
        <f>45208+281685</f>
        <v>326893</v>
      </c>
      <c r="H8" s="69">
        <v>30063</v>
      </c>
      <c r="I8" s="69">
        <v>0</v>
      </c>
      <c r="J8" s="13">
        <f>SUM(E8,G8:I8)-F8</f>
        <v>302605.06553999998</v>
      </c>
      <c r="K8" s="68">
        <v>142422</v>
      </c>
      <c r="L8" s="68">
        <v>129503</v>
      </c>
      <c r="M8" s="13">
        <f>L8*(1+2%)</f>
        <v>132093.06</v>
      </c>
      <c r="N8" s="68">
        <v>44545</v>
      </c>
      <c r="O8" s="68">
        <v>35407</v>
      </c>
      <c r="P8" s="13">
        <f>O8*(1+9.3%)</f>
        <v>38699.851000000002</v>
      </c>
      <c r="Q8" s="68">
        <v>34642</v>
      </c>
      <c r="R8" s="68">
        <v>27410</v>
      </c>
      <c r="S8" s="13">
        <f>M8*20%</f>
        <v>26418.612000000001</v>
      </c>
      <c r="T8" s="16">
        <f>M8/L8-1</f>
        <v>2.0000000000000018E-2</v>
      </c>
      <c r="U8" s="16">
        <f t="shared" ref="U8:U13" si="1">(P8-O8)/ABS(O8)</f>
        <v>9.3000000000000069E-2</v>
      </c>
      <c r="V8" s="17">
        <f>N8/K8</f>
        <v>0.31276769038491242</v>
      </c>
      <c r="W8" s="17">
        <f t="shared" ref="W8:X13" si="2">O8/L8</f>
        <v>0.27340679366501164</v>
      </c>
      <c r="X8" s="17">
        <f t="shared" si="2"/>
        <v>0.29297414262338994</v>
      </c>
    </row>
    <row r="9" spans="2:24" x14ac:dyDescent="0.3">
      <c r="B9" s="8" t="e" vm="2">
        <v>#VALUE!</v>
      </c>
      <c r="C9" s="66" cm="1">
        <f t="array" ref="C9">_FV(B9,"Price")</f>
        <v>38.68</v>
      </c>
      <c r="D9" s="67" cm="1">
        <f t="array" ref="D9">_FV(B9,"Shares outstanding",TRUE)/1000000</f>
        <v>8627.2530000000006</v>
      </c>
      <c r="E9" s="68">
        <f t="shared" si="0"/>
        <v>333702.14604000002</v>
      </c>
      <c r="F9" s="67">
        <f>36430+344033</f>
        <v>380463</v>
      </c>
      <c r="G9" s="67">
        <f>19321+262934</f>
        <v>282255</v>
      </c>
      <c r="H9" s="69">
        <v>23624</v>
      </c>
      <c r="I9" s="69">
        <v>0</v>
      </c>
      <c r="J9" s="13">
        <f t="shared" ref="J9:J13" si="3">SUM(E9,G9:I9)-F9</f>
        <v>259118.14604000002</v>
      </c>
      <c r="K9" s="68">
        <v>113589</v>
      </c>
      <c r="L9" s="68">
        <v>93753</v>
      </c>
      <c r="M9" s="13">
        <f t="shared" ref="M9:M12" si="4">L9*(1+2%)</f>
        <v>95628.06</v>
      </c>
      <c r="N9" s="68">
        <v>32754</v>
      </c>
      <c r="O9" s="68">
        <v>18995</v>
      </c>
      <c r="P9" s="70">
        <f>O9*(1+67.5%)</f>
        <v>31816.625</v>
      </c>
      <c r="Q9" s="68">
        <v>25998</v>
      </c>
      <c r="R9" s="68">
        <v>16473</v>
      </c>
      <c r="S9" s="13">
        <f>M9*13%</f>
        <v>12431.647800000001</v>
      </c>
      <c r="T9" s="16">
        <f t="shared" ref="T9:T13" si="5">M9/L9-1</f>
        <v>2.0000000000000018E-2</v>
      </c>
      <c r="U9" s="16">
        <f t="shared" si="1"/>
        <v>0.67500000000000004</v>
      </c>
      <c r="V9" s="17">
        <f t="shared" ref="V9:V13" si="6">N9/K9</f>
        <v>0.28835538652510367</v>
      </c>
      <c r="W9" s="17">
        <f t="shared" si="2"/>
        <v>0.20260684991413608</v>
      </c>
      <c r="X9" s="17">
        <f t="shared" si="2"/>
        <v>0.33271222902566466</v>
      </c>
    </row>
    <row r="10" spans="2:24" x14ac:dyDescent="0.3">
      <c r="B10" s="8" t="e" vm="3">
        <v>#VALUE!</v>
      </c>
      <c r="C10" s="66" cm="1">
        <f t="array" ref="C10">_FV(B10,"Price")</f>
        <v>39.76</v>
      </c>
      <c r="D10" s="67" cm="1">
        <f t="array" ref="D10">_FV(B10,"Shares outstanding",TRUE)/1000000</f>
        <v>4134.1450000000004</v>
      </c>
      <c r="E10" s="68">
        <f t="shared" si="0"/>
        <v>164373.60520000002</v>
      </c>
      <c r="F10" s="67">
        <v>264612</v>
      </c>
      <c r="G10" s="67">
        <f>58999+212950</f>
        <v>271949</v>
      </c>
      <c r="H10" s="69">
        <v>21136</v>
      </c>
      <c r="I10" s="69">
        <v>285</v>
      </c>
      <c r="J10" s="13">
        <f t="shared" si="3"/>
        <v>193131.60519999999</v>
      </c>
      <c r="K10" s="68">
        <v>103915</v>
      </c>
      <c r="L10" s="68">
        <v>80303</v>
      </c>
      <c r="M10" s="13">
        <f t="shared" si="4"/>
        <v>81909.06</v>
      </c>
      <c r="N10" s="68">
        <v>24198</v>
      </c>
      <c r="O10" s="68">
        <v>581</v>
      </c>
      <c r="P10" s="13">
        <v>20000</v>
      </c>
      <c r="Q10" s="68">
        <v>17938</v>
      </c>
      <c r="R10" s="68">
        <v>1710</v>
      </c>
      <c r="S10" s="13">
        <f>M10*19%</f>
        <v>15562.7214</v>
      </c>
      <c r="T10" s="16">
        <f t="shared" si="5"/>
        <v>2.0000000000000018E-2</v>
      </c>
      <c r="U10" s="16">
        <f t="shared" si="1"/>
        <v>33.42340791738382</v>
      </c>
      <c r="V10" s="17">
        <f t="shared" si="6"/>
        <v>0.23286339796949429</v>
      </c>
      <c r="W10" s="17">
        <f t="shared" si="2"/>
        <v>7.2350970698479506E-3</v>
      </c>
      <c r="X10" s="17">
        <f t="shared" si="2"/>
        <v>0.2441732330953377</v>
      </c>
    </row>
    <row r="11" spans="2:24" x14ac:dyDescent="0.3">
      <c r="B11" s="8" t="e" vm="4">
        <v>#VALUE!</v>
      </c>
      <c r="C11" s="66" cm="1">
        <f t="array" ref="C11">_FV(B11,"Price")</f>
        <v>73.02</v>
      </c>
      <c r="D11" s="67" cm="1">
        <f t="array" ref="D11">_FV(B11,"Shares outstanding",TRUE)/1000000</f>
        <v>2086.6869999999999</v>
      </c>
      <c r="E11" s="68">
        <f t="shared" si="0"/>
        <v>152369.88473999998</v>
      </c>
      <c r="F11" s="67">
        <f>26349+283266</f>
        <v>309615</v>
      </c>
      <c r="G11" s="67">
        <f>29514+271686</f>
        <v>301200</v>
      </c>
      <c r="H11" s="69">
        <v>19480</v>
      </c>
      <c r="I11" s="69">
        <v>758</v>
      </c>
      <c r="J11" s="13">
        <f t="shared" si="3"/>
        <v>164192.88474000001</v>
      </c>
      <c r="K11" s="68">
        <v>103449</v>
      </c>
      <c r="L11" s="68">
        <v>88839</v>
      </c>
      <c r="M11" s="13">
        <f t="shared" si="4"/>
        <v>90615.78</v>
      </c>
      <c r="N11" s="68">
        <v>23901</v>
      </c>
      <c r="O11" s="68">
        <v>13632</v>
      </c>
      <c r="P11" s="13">
        <f>O11*(1+29.2%)</f>
        <v>17612.544000000002</v>
      </c>
      <c r="Q11" s="68">
        <v>18171</v>
      </c>
      <c r="R11" s="68">
        <v>9886.6920000000009</v>
      </c>
      <c r="S11" s="13">
        <f>M11*11%</f>
        <v>9967.7358000000004</v>
      </c>
      <c r="T11" s="16">
        <f t="shared" si="5"/>
        <v>2.0000000000000018E-2</v>
      </c>
      <c r="U11" s="16">
        <f t="shared" si="1"/>
        <v>0.29200000000000015</v>
      </c>
      <c r="V11" s="17">
        <f t="shared" si="6"/>
        <v>0.23104138271032104</v>
      </c>
      <c r="W11" s="17">
        <f t="shared" si="2"/>
        <v>0.15344612163576807</v>
      </c>
      <c r="X11" s="17">
        <f t="shared" si="2"/>
        <v>0.19436508740530625</v>
      </c>
    </row>
    <row r="12" spans="2:24" x14ac:dyDescent="0.3">
      <c r="B12" s="8" t="e" vm="5">
        <v>#VALUE!</v>
      </c>
      <c r="C12" s="66" cm="1">
        <f t="array" ref="C12">_FV(B12,"Price")</f>
        <v>56.21</v>
      </c>
      <c r="D12" s="67" cm="1">
        <f t="array" ref="D12">_FV(B12,"Shares outstanding",TRUE)/1000000</f>
        <v>1502.5740000000001</v>
      </c>
      <c r="E12" s="68">
        <f t="shared" si="0"/>
        <v>84459.684540000002</v>
      </c>
      <c r="F12" s="67">
        <v>62580</v>
      </c>
      <c r="G12" s="67">
        <f>11766+41297</f>
        <v>53063</v>
      </c>
      <c r="H12" s="69">
        <v>5983</v>
      </c>
      <c r="I12" s="69">
        <v>630</v>
      </c>
      <c r="J12" s="13">
        <f t="shared" si="3"/>
        <v>81555.684539999987</v>
      </c>
      <c r="K12" s="68">
        <v>27325</v>
      </c>
      <c r="L12" s="68">
        <v>25241</v>
      </c>
      <c r="M12" s="13">
        <f t="shared" si="4"/>
        <v>25745.82</v>
      </c>
      <c r="N12" s="68">
        <v>8594</v>
      </c>
      <c r="O12" s="68">
        <v>6051</v>
      </c>
      <c r="P12" s="13">
        <f>O12*(1+6.9%)</f>
        <v>6468.5189999999993</v>
      </c>
      <c r="Q12" s="68">
        <v>6583</v>
      </c>
      <c r="R12" s="68">
        <v>4621</v>
      </c>
      <c r="S12" s="13">
        <f>M12*24%</f>
        <v>6178.9967999999999</v>
      </c>
      <c r="T12" s="16">
        <f t="shared" si="5"/>
        <v>2.0000000000000018E-2</v>
      </c>
      <c r="U12" s="16">
        <f t="shared" si="1"/>
        <v>6.8999999999999895E-2</v>
      </c>
      <c r="V12" s="17">
        <f t="shared" si="6"/>
        <v>0.31451052150045744</v>
      </c>
      <c r="W12" s="17">
        <f t="shared" si="2"/>
        <v>0.2397290123212234</v>
      </c>
      <c r="X12" s="17">
        <f t="shared" si="2"/>
        <v>0.2512454060503802</v>
      </c>
    </row>
    <row r="13" spans="2:24" x14ac:dyDescent="0.3">
      <c r="B13" s="8" t="e" vm="6">
        <v>#VALUE!</v>
      </c>
      <c r="C13" s="66" cm="1">
        <f t="array" ref="C13">_FV(B13,"Price")</f>
        <v>129.59</v>
      </c>
      <c r="D13" s="67" cm="1">
        <f t="array" ref="D13">_FV(B13,"Shares outstanding",TRUE)/1000000</f>
        <v>458.79329999999999</v>
      </c>
      <c r="E13" s="68">
        <f t="shared" si="0"/>
        <v>59455.023746999999</v>
      </c>
      <c r="F13" s="67">
        <v>40509</v>
      </c>
      <c r="G13" s="67">
        <f>668+27382+75+28125</f>
        <v>56250</v>
      </c>
      <c r="H13" s="69">
        <v>0</v>
      </c>
      <c r="I13" s="69">
        <v>0</v>
      </c>
      <c r="J13" s="13">
        <f t="shared" si="3"/>
        <v>75196.023746999999</v>
      </c>
      <c r="K13" s="68">
        <v>33766</v>
      </c>
      <c r="L13" s="68">
        <v>31613</v>
      </c>
      <c r="M13" s="13">
        <f>L13*(1+5.1%)</f>
        <v>33225.262999999999</v>
      </c>
      <c r="N13" s="68">
        <v>6874</v>
      </c>
      <c r="O13" s="68">
        <v>3203</v>
      </c>
      <c r="P13" s="13">
        <f>O13*(1+24.6%)</f>
        <v>3990.9380000000001</v>
      </c>
      <c r="Q13" s="68">
        <v>5192</v>
      </c>
      <c r="R13" s="68">
        <v>2375</v>
      </c>
      <c r="S13" s="13">
        <f>M13*14%</f>
        <v>4651.5368200000003</v>
      </c>
      <c r="T13" s="16">
        <f t="shared" si="5"/>
        <v>5.0999999999999934E-2</v>
      </c>
      <c r="U13" s="16">
        <f t="shared" si="1"/>
        <v>0.24600000000000002</v>
      </c>
      <c r="V13" s="17">
        <f t="shared" si="6"/>
        <v>0.20357756322928389</v>
      </c>
      <c r="W13" s="17">
        <f t="shared" si="2"/>
        <v>0.10131907759466043</v>
      </c>
      <c r="X13" s="17">
        <f t="shared" si="2"/>
        <v>0.12011757438910266</v>
      </c>
    </row>
    <row r="15" spans="2:24" x14ac:dyDescent="0.3">
      <c r="B15" s="19" t="s">
        <v>19</v>
      </c>
      <c r="C15" s="20">
        <f>MAX(C8:C13)</f>
        <v>155.09</v>
      </c>
      <c r="D15" s="21"/>
      <c r="E15" s="62">
        <f>MAX(E8:E13)</f>
        <v>473258.06553999998</v>
      </c>
      <c r="F15" s="62"/>
      <c r="G15" s="62"/>
      <c r="H15" s="62"/>
      <c r="I15" s="62"/>
      <c r="J15" s="62">
        <f t="shared" ref="J15:X15" si="7">MAX(J8:J13)</f>
        <v>302605.06553999998</v>
      </c>
      <c r="K15" s="62">
        <f t="shared" si="7"/>
        <v>142422</v>
      </c>
      <c r="L15" s="62">
        <f t="shared" si="7"/>
        <v>129503</v>
      </c>
      <c r="M15" s="62">
        <f t="shared" si="7"/>
        <v>132093.06</v>
      </c>
      <c r="N15" s="62">
        <f>MAX(N8:N12)</f>
        <v>44545</v>
      </c>
      <c r="O15" s="62">
        <f>MAX(O8:O12)</f>
        <v>35407</v>
      </c>
      <c r="P15" s="62">
        <f t="shared" si="7"/>
        <v>38699.851000000002</v>
      </c>
      <c r="Q15" s="62">
        <f t="shared" si="7"/>
        <v>34642</v>
      </c>
      <c r="R15" s="62">
        <f t="shared" si="7"/>
        <v>27410</v>
      </c>
      <c r="S15" s="62">
        <f t="shared" si="7"/>
        <v>26418.612000000001</v>
      </c>
      <c r="T15" s="22">
        <f t="shared" si="7"/>
        <v>5.0999999999999934E-2</v>
      </c>
      <c r="U15" s="22">
        <f t="shared" si="7"/>
        <v>33.42340791738382</v>
      </c>
      <c r="V15" s="22">
        <f>MAX(V8:V13)</f>
        <v>0.31451052150045744</v>
      </c>
      <c r="W15" s="22">
        <f t="shared" si="7"/>
        <v>0.27340679366501164</v>
      </c>
      <c r="X15" s="22">
        <f t="shared" si="7"/>
        <v>0.33271222902566466</v>
      </c>
    </row>
    <row r="16" spans="2:24" x14ac:dyDescent="0.3">
      <c r="B16" s="23" t="s">
        <v>20</v>
      </c>
      <c r="C16" s="24">
        <f>QUARTILE(C8:C13, 3)</f>
        <v>115.44750000000001</v>
      </c>
      <c r="D16" s="25"/>
      <c r="E16" s="63">
        <f>QUARTILE(E8:E13, 3)</f>
        <v>291370.01083000004</v>
      </c>
      <c r="F16" s="63"/>
      <c r="G16" s="63"/>
      <c r="H16" s="63"/>
      <c r="I16" s="63"/>
      <c r="J16" s="63">
        <f t="shared" ref="J16:X16" si="8">QUARTILE(J8:J13, 3)</f>
        <v>242621.51083000001</v>
      </c>
      <c r="K16" s="63">
        <f t="shared" si="8"/>
        <v>111170.5</v>
      </c>
      <c r="L16" s="63">
        <f t="shared" si="8"/>
        <v>92524.5</v>
      </c>
      <c r="M16" s="63">
        <f t="shared" si="8"/>
        <v>94374.989999999991</v>
      </c>
      <c r="N16" s="63">
        <f>QUARTILE(N8:N12, 3)</f>
        <v>32754</v>
      </c>
      <c r="O16" s="63">
        <f>QUARTILE(O8:O12, 3)</f>
        <v>18995</v>
      </c>
      <c r="P16" s="63">
        <f t="shared" si="8"/>
        <v>28862.46875</v>
      </c>
      <c r="Q16" s="63">
        <f t="shared" si="8"/>
        <v>24041.25</v>
      </c>
      <c r="R16" s="63">
        <f t="shared" si="8"/>
        <v>14826.423000000001</v>
      </c>
      <c r="S16" s="63">
        <f t="shared" si="8"/>
        <v>14779.953000000001</v>
      </c>
      <c r="T16" s="26">
        <f t="shared" si="8"/>
        <v>2.0000000000000018E-2</v>
      </c>
      <c r="U16" s="26">
        <f t="shared" si="8"/>
        <v>0.57925000000000004</v>
      </c>
      <c r="V16" s="26">
        <f t="shared" si="8"/>
        <v>0.30666461441996024</v>
      </c>
      <c r="W16" s="26">
        <f t="shared" si="8"/>
        <v>0.23044847171945157</v>
      </c>
      <c r="X16" s="26">
        <f t="shared" si="8"/>
        <v>0.28254195848013752</v>
      </c>
    </row>
    <row r="17" spans="2:24" x14ac:dyDescent="0.3">
      <c r="B17" s="27" t="s">
        <v>21</v>
      </c>
      <c r="C17" s="28">
        <f>MEDIAN(C8:C13)</f>
        <v>64.614999999999995</v>
      </c>
      <c r="D17" s="29"/>
      <c r="E17" s="64">
        <f>MEDIAN(E8:E13)</f>
        <v>158371.74497</v>
      </c>
      <c r="F17" s="64"/>
      <c r="G17" s="64"/>
      <c r="H17" s="64"/>
      <c r="I17" s="64"/>
      <c r="J17" s="64">
        <f t="shared" ref="J17:X17" si="9">MEDIAN(J8:J13)</f>
        <v>178662.24497</v>
      </c>
      <c r="K17" s="64">
        <f t="shared" si="9"/>
        <v>103682</v>
      </c>
      <c r="L17" s="64">
        <f t="shared" si="9"/>
        <v>84571</v>
      </c>
      <c r="M17" s="64">
        <f t="shared" si="9"/>
        <v>86262.42</v>
      </c>
      <c r="N17" s="64">
        <f>MEDIAN(N8:N12)</f>
        <v>24198</v>
      </c>
      <c r="O17" s="64">
        <f>MEDIAN(O8:O12)</f>
        <v>13632</v>
      </c>
      <c r="P17" s="64">
        <f t="shared" si="9"/>
        <v>18806.272000000001</v>
      </c>
      <c r="Q17" s="64">
        <f t="shared" si="9"/>
        <v>18054.5</v>
      </c>
      <c r="R17" s="64">
        <f t="shared" si="9"/>
        <v>7253.8460000000005</v>
      </c>
      <c r="S17" s="64">
        <f t="shared" si="9"/>
        <v>11199.691800000001</v>
      </c>
      <c r="T17" s="30">
        <f t="shared" si="9"/>
        <v>2.0000000000000018E-2</v>
      </c>
      <c r="U17" s="30">
        <f t="shared" si="9"/>
        <v>0.26900000000000007</v>
      </c>
      <c r="V17" s="30">
        <f t="shared" si="9"/>
        <v>0.26060939224729895</v>
      </c>
      <c r="W17" s="30">
        <f t="shared" si="9"/>
        <v>0.17802648577495206</v>
      </c>
      <c r="X17" s="30">
        <f t="shared" si="9"/>
        <v>0.24770931957285897</v>
      </c>
    </row>
    <row r="18" spans="2:24" x14ac:dyDescent="0.3">
      <c r="B18" s="23" t="s">
        <v>22</v>
      </c>
      <c r="C18" s="24">
        <f>QUARTILE(C8:C13, 1)</f>
        <v>43.872500000000002</v>
      </c>
      <c r="D18" s="25"/>
      <c r="E18" s="63">
        <f>QUARTILE(E8:E13, 1)</f>
        <v>101437.23458999999</v>
      </c>
      <c r="F18" s="63"/>
      <c r="G18" s="63"/>
      <c r="H18" s="63"/>
      <c r="I18" s="63"/>
      <c r="J18" s="63">
        <f t="shared" ref="J18:X18" si="10">QUARTILE(J8:J13, 1)</f>
        <v>102214.98458999999</v>
      </c>
      <c r="K18" s="63">
        <f t="shared" si="10"/>
        <v>51186.75</v>
      </c>
      <c r="L18" s="63">
        <f t="shared" si="10"/>
        <v>43785.5</v>
      </c>
      <c r="M18" s="63">
        <f t="shared" si="10"/>
        <v>45396.212249999997</v>
      </c>
      <c r="N18" s="63">
        <f>QUARTILE(N8:N12, 1)</f>
        <v>23901</v>
      </c>
      <c r="O18" s="63">
        <f>QUARTILE(O8:O12, 1)</f>
        <v>6051</v>
      </c>
      <c r="P18" s="63">
        <f t="shared" si="10"/>
        <v>9254.5252499999988</v>
      </c>
      <c r="Q18" s="63">
        <f t="shared" si="10"/>
        <v>9421.75</v>
      </c>
      <c r="R18" s="63">
        <f t="shared" si="10"/>
        <v>2936.5</v>
      </c>
      <c r="S18" s="63">
        <f t="shared" si="10"/>
        <v>7126.1815500000002</v>
      </c>
      <c r="T18" s="26">
        <f t="shared" si="10"/>
        <v>2.0000000000000018E-2</v>
      </c>
      <c r="U18" s="26">
        <f t="shared" si="10"/>
        <v>0.13125000000000006</v>
      </c>
      <c r="V18" s="26">
        <f t="shared" si="10"/>
        <v>0.23149688652511435</v>
      </c>
      <c r="W18" s="26">
        <f t="shared" si="10"/>
        <v>0.11435083860493733</v>
      </c>
      <c r="X18" s="26">
        <f t="shared" si="10"/>
        <v>0.20681712382781411</v>
      </c>
    </row>
    <row r="19" spans="2:24" x14ac:dyDescent="0.3">
      <c r="B19" s="31" t="s">
        <v>23</v>
      </c>
      <c r="C19" s="32">
        <f>MIN(C8:C13)</f>
        <v>38.68</v>
      </c>
      <c r="D19" s="33"/>
      <c r="E19" s="65">
        <f>MIN(E8:E13)</f>
        <v>59455.023746999999</v>
      </c>
      <c r="F19" s="65"/>
      <c r="G19" s="65"/>
      <c r="H19" s="65"/>
      <c r="I19" s="65"/>
      <c r="J19" s="65">
        <f t="shared" ref="J19:X19" si="11">MIN(J8:J13)</f>
        <v>75196.023746999999</v>
      </c>
      <c r="K19" s="65">
        <f t="shared" si="11"/>
        <v>27325</v>
      </c>
      <c r="L19" s="65">
        <f t="shared" si="11"/>
        <v>25241</v>
      </c>
      <c r="M19" s="65">
        <f t="shared" si="11"/>
        <v>25745.82</v>
      </c>
      <c r="N19" s="65">
        <f>MIN(N8:N12)</f>
        <v>8594</v>
      </c>
      <c r="O19" s="65">
        <f>MIN(O8:O12)</f>
        <v>581</v>
      </c>
      <c r="P19" s="65">
        <f t="shared" si="11"/>
        <v>3990.9380000000001</v>
      </c>
      <c r="Q19" s="65">
        <f t="shared" si="11"/>
        <v>5192</v>
      </c>
      <c r="R19" s="65">
        <f t="shared" si="11"/>
        <v>1710</v>
      </c>
      <c r="S19" s="65">
        <f t="shared" si="11"/>
        <v>4651.5368200000003</v>
      </c>
      <c r="T19" s="34">
        <f t="shared" si="11"/>
        <v>2.0000000000000018E-2</v>
      </c>
      <c r="U19" s="34">
        <f t="shared" si="11"/>
        <v>6.8999999999999895E-2</v>
      </c>
      <c r="V19" s="34">
        <f t="shared" si="11"/>
        <v>0.20357756322928389</v>
      </c>
      <c r="W19" s="34">
        <f t="shared" si="11"/>
        <v>7.2350970698479506E-3</v>
      </c>
      <c r="X19" s="34">
        <f t="shared" si="11"/>
        <v>0.12011757438910266</v>
      </c>
    </row>
    <row r="21" spans="2:24" x14ac:dyDescent="0.3">
      <c r="B21" s="8" t="e" vm="5">
        <v>#VALUE!</v>
      </c>
      <c r="C21" s="66" cm="1">
        <f t="array" ref="C21">_FV(B21,"Price")</f>
        <v>56.21</v>
      </c>
      <c r="D21" s="67" cm="1">
        <f t="array" ref="D21">_FV(B21,"Shares outstanding",TRUE)/1000000</f>
        <v>1502.5740000000001</v>
      </c>
      <c r="E21" s="68">
        <f t="shared" ref="E21" si="12">D21*C21</f>
        <v>84459.684540000002</v>
      </c>
      <c r="F21" s="67">
        <v>62580</v>
      </c>
      <c r="G21" s="67">
        <f>11766+41297</f>
        <v>53063</v>
      </c>
      <c r="H21" s="69">
        <v>5983</v>
      </c>
      <c r="I21" s="69">
        <v>630</v>
      </c>
      <c r="J21" s="13">
        <f t="shared" ref="J21" si="13">SUM(E21,G21:I21)-F21</f>
        <v>81555.684539999987</v>
      </c>
      <c r="K21" s="68">
        <v>27325</v>
      </c>
      <c r="L21" s="68">
        <v>25241</v>
      </c>
      <c r="M21" s="13">
        <f t="shared" ref="M21" si="14">L21*(1+2%)</f>
        <v>25745.82</v>
      </c>
      <c r="N21" s="68">
        <v>8594</v>
      </c>
      <c r="O21" s="68">
        <v>6051</v>
      </c>
      <c r="P21" s="13">
        <f>O21*(1+6.9%)</f>
        <v>6468.5189999999993</v>
      </c>
      <c r="Q21" s="68">
        <v>6583</v>
      </c>
      <c r="R21" s="68">
        <v>4621</v>
      </c>
      <c r="S21" s="13">
        <f>M21*24%</f>
        <v>6178.9967999999999</v>
      </c>
      <c r="T21" s="16">
        <f t="shared" ref="T21" si="15">M21/L21-1</f>
        <v>2.0000000000000018E-2</v>
      </c>
      <c r="U21" s="16">
        <f t="shared" ref="U21" si="16">(P21-O21)/ABS(O21)</f>
        <v>6.8999999999999895E-2</v>
      </c>
      <c r="V21" s="17">
        <f t="shared" ref="V21" si="17">N21/K21</f>
        <v>0.31451052150045744</v>
      </c>
      <c r="W21" s="17">
        <f t="shared" ref="W21" si="18">O21/L21</f>
        <v>0.2397290123212234</v>
      </c>
      <c r="X21" s="17">
        <f t="shared" ref="X21" si="19">P21/M21</f>
        <v>0.2512454060503802</v>
      </c>
    </row>
    <row r="23" spans="2:24" x14ac:dyDescent="0.3">
      <c r="B23" s="1" t="s">
        <v>24</v>
      </c>
      <c r="C23" s="86" t="s">
        <v>0</v>
      </c>
      <c r="D23" s="86"/>
      <c r="E23" s="86"/>
      <c r="F23" s="86"/>
      <c r="G23" s="86"/>
      <c r="H23" s="86"/>
      <c r="I23" s="86"/>
      <c r="J23" s="86"/>
      <c r="K23" s="86" t="s">
        <v>25</v>
      </c>
      <c r="L23" s="86"/>
      <c r="M23" s="86"/>
      <c r="N23" s="2" t="s">
        <v>25</v>
      </c>
      <c r="O23" s="2"/>
      <c r="P23" s="2"/>
      <c r="Q23" s="3"/>
      <c r="R23" s="3"/>
      <c r="S23" s="3"/>
    </row>
    <row r="24" spans="2:24" x14ac:dyDescent="0.3">
      <c r="B24" s="3"/>
      <c r="C24" s="3"/>
      <c r="D24" s="4"/>
      <c r="E24" s="4" t="s">
        <v>7</v>
      </c>
      <c r="F24" s="4"/>
      <c r="G24" s="4"/>
      <c r="H24" s="4"/>
      <c r="I24" s="4"/>
      <c r="J24" s="4" t="s">
        <v>9</v>
      </c>
      <c r="K24" s="2" t="s">
        <v>10</v>
      </c>
      <c r="L24" s="2"/>
      <c r="M24" s="2"/>
      <c r="N24" s="2" t="s">
        <v>52</v>
      </c>
      <c r="O24" s="2"/>
      <c r="P24" s="2"/>
      <c r="Q24" s="2" t="s">
        <v>26</v>
      </c>
      <c r="R24" s="2"/>
      <c r="S24" s="2"/>
    </row>
    <row r="25" spans="2:24" x14ac:dyDescent="0.3">
      <c r="B25" s="5" t="s">
        <v>2</v>
      </c>
      <c r="C25" s="5"/>
      <c r="D25" s="6"/>
      <c r="E25" s="6" t="s">
        <v>8</v>
      </c>
      <c r="F25" s="6"/>
      <c r="G25" s="6"/>
      <c r="H25" s="6"/>
      <c r="I25" s="6"/>
      <c r="J25" s="6" t="s">
        <v>8</v>
      </c>
      <c r="K25" s="10">
        <v>2019</v>
      </c>
      <c r="L25" s="10">
        <v>2020</v>
      </c>
      <c r="M25" s="10">
        <v>2021</v>
      </c>
      <c r="N25" s="10">
        <v>2019</v>
      </c>
      <c r="O25" s="10">
        <v>2020</v>
      </c>
      <c r="P25" s="10">
        <v>2021</v>
      </c>
      <c r="Q25" s="10">
        <v>2019</v>
      </c>
      <c r="R25" s="10">
        <v>2020</v>
      </c>
      <c r="S25" s="10">
        <v>2021</v>
      </c>
    </row>
    <row r="26" spans="2:24" x14ac:dyDescent="0.3">
      <c r="B26" s="8" t="e" vm="1">
        <f>B8</f>
        <v>#VALUE!</v>
      </c>
      <c r="E26" s="13">
        <f>E8</f>
        <v>473258.06553999998</v>
      </c>
      <c r="J26" s="13">
        <f>J8</f>
        <v>302605.06553999998</v>
      </c>
      <c r="K26" s="18">
        <f>IFERROR(IF(OR(+$J8/K8&lt;0,+$J8/K8&gt;=100),"NM",+$J8/K8),"N/A")</f>
        <v>2.1247073172683995</v>
      </c>
      <c r="L26" s="18">
        <f>IFERROR(IF(OR(+$J8/L8&lt;0,+$J8/L8&gt;=100),"NM",+$J8/L8),"N/A")</f>
        <v>2.336664521594094</v>
      </c>
      <c r="M26" s="18">
        <f t="shared" ref="M26" si="20">IFERROR(IF(OR(+$J8/M8&lt;0,+$J8/M8&gt;=100),"NM",+$J8/M8),"N/A")</f>
        <v>2.2908475701902886</v>
      </c>
      <c r="N26" s="18">
        <f>IFERROR(IF(OR(+$J8/N8&lt;0,+$J8/N8&gt;=100),"NM",+$J8/N8),"N/A")</f>
        <v>6.7932442595128517</v>
      </c>
      <c r="O26" s="18">
        <f>IFERROR(IF(OR(+$J8/O8&lt;0,+$J8/O8&gt;=100),"NM",+$J8/O8),"N/A")</f>
        <v>8.5464757121473145</v>
      </c>
      <c r="P26" s="18">
        <f>IFERROR(IF(OR(+$J8/P8&lt;0,+$J8/P8&gt;=100),"NM",+$J8/P8),"N/A")</f>
        <v>7.8192824447825382</v>
      </c>
      <c r="Q26" s="18">
        <f>IFERROR(IF(OR(+$E8/Q8&lt;0,+$E8/Q8&gt;=100),"NM",+$E8/Q8),"N/A")</f>
        <v>13.661395575890538</v>
      </c>
      <c r="R26" s="18">
        <f>IFERROR(IF(OR(+$E8/R8&lt;0,+$E8/R8&gt;=100),"NM",+$E8/R8),"N/A")</f>
        <v>17.265890753009849</v>
      </c>
      <c r="S26" s="18">
        <f>IFERROR(IF(OR(+$E8/S8&lt;0,+$E8/S8&gt;=100),"NM",+$E8/S8),"N/A")</f>
        <v>17.913812638604934</v>
      </c>
    </row>
    <row r="27" spans="2:24" x14ac:dyDescent="0.3">
      <c r="B27" s="8" t="e" vm="2">
        <f t="shared" ref="B27:B31" si="21">B9</f>
        <v>#VALUE!</v>
      </c>
      <c r="E27" s="13">
        <f t="shared" ref="E27:E31" si="22">E9</f>
        <v>333702.14604000002</v>
      </c>
      <c r="J27" s="13">
        <f t="shared" ref="J27:J31" si="23">J9</f>
        <v>259118.14604000002</v>
      </c>
      <c r="K27" s="18">
        <f t="shared" ref="K27:P31" si="24">IFERROR(IF(OR(+$J9/K9&lt;0,+$J9/K9&gt;=100),"NM",+$J9/K9),"N/A")</f>
        <v>2.2811904853462925</v>
      </c>
      <c r="L27" s="18">
        <f t="shared" si="24"/>
        <v>2.7638384482629892</v>
      </c>
      <c r="M27" s="18">
        <f t="shared" si="24"/>
        <v>2.7096455375127344</v>
      </c>
      <c r="N27" s="18">
        <f t="shared" si="24"/>
        <v>7.9110382255602376</v>
      </c>
      <c r="O27" s="18">
        <f t="shared" si="24"/>
        <v>13.641386998683865</v>
      </c>
      <c r="P27" s="18">
        <f t="shared" si="24"/>
        <v>8.1441116410052921</v>
      </c>
      <c r="Q27" s="18">
        <f t="shared" ref="Q27:S31" si="25">IFERROR(IF(OR(+$E9/Q9&lt;0,+$E9/Q9&gt;=100),"NM",+$E9/Q9),"N/A")</f>
        <v>12.835685285021926</v>
      </c>
      <c r="R27" s="18">
        <f t="shared" si="25"/>
        <v>20.257521158258971</v>
      </c>
      <c r="S27" s="18">
        <f t="shared" si="25"/>
        <v>26.842953678272643</v>
      </c>
    </row>
    <row r="28" spans="2:24" x14ac:dyDescent="0.3">
      <c r="B28" s="8" t="e" vm="3">
        <f t="shared" si="21"/>
        <v>#VALUE!</v>
      </c>
      <c r="E28" s="13">
        <f t="shared" si="22"/>
        <v>164373.60520000002</v>
      </c>
      <c r="J28" s="13">
        <f t="shared" si="23"/>
        <v>193131.60519999999</v>
      </c>
      <c r="K28" s="18">
        <f t="shared" si="24"/>
        <v>1.8585536756002501</v>
      </c>
      <c r="L28" s="18">
        <f t="shared" si="24"/>
        <v>2.405035991183393</v>
      </c>
      <c r="M28" s="18">
        <f t="shared" si="24"/>
        <v>2.3578784227288163</v>
      </c>
      <c r="N28" s="18">
        <f t="shared" si="24"/>
        <v>7.9813044549136292</v>
      </c>
      <c r="O28" s="18" t="str">
        <f t="shared" si="24"/>
        <v>NM</v>
      </c>
      <c r="P28" s="18">
        <f t="shared" si="24"/>
        <v>9.6565802600000001</v>
      </c>
      <c r="Q28" s="18">
        <f t="shared" si="25"/>
        <v>9.1634298807001908</v>
      </c>
      <c r="R28" s="18">
        <f t="shared" si="25"/>
        <v>96.124915321637445</v>
      </c>
      <c r="S28" s="18">
        <f t="shared" si="25"/>
        <v>10.562009109794898</v>
      </c>
    </row>
    <row r="29" spans="2:24" x14ac:dyDescent="0.3">
      <c r="B29" s="8" t="e" vm="4">
        <f t="shared" si="21"/>
        <v>#VALUE!</v>
      </c>
      <c r="E29" s="13">
        <f t="shared" si="22"/>
        <v>152369.88473999998</v>
      </c>
      <c r="J29" s="13">
        <f t="shared" si="23"/>
        <v>164192.88474000001</v>
      </c>
      <c r="K29" s="18">
        <f t="shared" si="24"/>
        <v>1.5871867755125715</v>
      </c>
      <c r="L29" s="18">
        <f t="shared" si="24"/>
        <v>1.8482072596494783</v>
      </c>
      <c r="M29" s="18">
        <f t="shared" si="24"/>
        <v>1.8119679016171357</v>
      </c>
      <c r="N29" s="18">
        <f t="shared" si="24"/>
        <v>6.8697077419354846</v>
      </c>
      <c r="O29" s="18">
        <f t="shared" si="24"/>
        <v>12.044665840669015</v>
      </c>
      <c r="P29" s="18">
        <f t="shared" si="24"/>
        <v>9.3224967807035704</v>
      </c>
      <c r="Q29" s="18">
        <f t="shared" si="25"/>
        <v>8.385332933795608</v>
      </c>
      <c r="R29" s="18">
        <f t="shared" si="25"/>
        <v>15.411614394379836</v>
      </c>
      <c r="S29" s="18">
        <f t="shared" si="25"/>
        <v>15.286308525553013</v>
      </c>
    </row>
    <row r="30" spans="2:24" x14ac:dyDescent="0.3">
      <c r="B30" s="8" t="e" vm="5">
        <f t="shared" si="21"/>
        <v>#VALUE!</v>
      </c>
      <c r="E30" s="13">
        <f t="shared" si="22"/>
        <v>84459.684540000002</v>
      </c>
      <c r="J30" s="13">
        <f t="shared" si="23"/>
        <v>81555.684539999987</v>
      </c>
      <c r="K30" s="18">
        <f t="shared" si="24"/>
        <v>2.9846545119853611</v>
      </c>
      <c r="L30" s="18">
        <f t="shared" si="24"/>
        <v>3.2310797725922105</v>
      </c>
      <c r="M30" s="18">
        <f t="shared" si="24"/>
        <v>3.1677252672472651</v>
      </c>
      <c r="N30" s="18">
        <f t="shared" si="24"/>
        <v>9.4898399511286922</v>
      </c>
      <c r="O30" s="18">
        <f t="shared" si="24"/>
        <v>13.478050659395139</v>
      </c>
      <c r="P30" s="18">
        <f t="shared" si="24"/>
        <v>12.608092291295735</v>
      </c>
      <c r="Q30" s="18">
        <f t="shared" si="25"/>
        <v>12.829968789305788</v>
      </c>
      <c r="R30" s="18">
        <f t="shared" si="25"/>
        <v>18.277360861285437</v>
      </c>
      <c r="S30" s="18">
        <f t="shared" si="25"/>
        <v>13.668834484588178</v>
      </c>
    </row>
    <row r="31" spans="2:24" x14ac:dyDescent="0.3">
      <c r="B31" s="8" t="e" vm="6">
        <f t="shared" si="21"/>
        <v>#VALUE!</v>
      </c>
      <c r="E31" s="13">
        <f t="shared" si="22"/>
        <v>59455.023746999999</v>
      </c>
      <c r="J31" s="13">
        <f t="shared" si="23"/>
        <v>75196.023746999999</v>
      </c>
      <c r="K31" s="18">
        <f t="shared" si="24"/>
        <v>2.2269745823313394</v>
      </c>
      <c r="L31" s="18">
        <f t="shared" si="24"/>
        <v>2.3786424492139311</v>
      </c>
      <c r="M31" s="18">
        <f t="shared" si="24"/>
        <v>2.263218315141704</v>
      </c>
      <c r="N31" s="18">
        <f t="shared" si="24"/>
        <v>10.939194609688682</v>
      </c>
      <c r="O31" s="18">
        <f t="shared" si="24"/>
        <v>23.476747969715891</v>
      </c>
      <c r="P31" s="18">
        <f t="shared" si="24"/>
        <v>18.841691789499109</v>
      </c>
      <c r="Q31" s="18">
        <f t="shared" si="25"/>
        <v>11.451275760208013</v>
      </c>
      <c r="R31" s="18">
        <f t="shared" si="25"/>
        <v>25.033694209263157</v>
      </c>
      <c r="S31" s="18">
        <f t="shared" si="25"/>
        <v>12.781802240361497</v>
      </c>
    </row>
    <row r="33" spans="2:19" x14ac:dyDescent="0.3">
      <c r="B33" s="19" t="s">
        <v>19</v>
      </c>
      <c r="C33" s="20"/>
      <c r="D33" s="21"/>
      <c r="E33" s="62">
        <f>MAX(E26:E31)</f>
        <v>473258.06553999998</v>
      </c>
      <c r="F33" s="21"/>
      <c r="G33" s="21"/>
      <c r="H33" s="21"/>
      <c r="I33" s="21"/>
      <c r="J33" s="20">
        <f>MAX(J26:J31)</f>
        <v>302605.06553999998</v>
      </c>
      <c r="K33" s="35">
        <f t="shared" ref="K33:S33" si="26">MAX(K26:K30)</f>
        <v>2.9846545119853611</v>
      </c>
      <c r="L33" s="35">
        <f t="shared" si="26"/>
        <v>3.2310797725922105</v>
      </c>
      <c r="M33" s="35">
        <f t="shared" si="26"/>
        <v>3.1677252672472651</v>
      </c>
      <c r="N33" s="35">
        <f t="shared" si="26"/>
        <v>9.4898399511286922</v>
      </c>
      <c r="O33" s="35">
        <f t="shared" si="26"/>
        <v>13.641386998683865</v>
      </c>
      <c r="P33" s="35">
        <f t="shared" si="26"/>
        <v>12.608092291295735</v>
      </c>
      <c r="Q33" s="35">
        <f t="shared" si="26"/>
        <v>13.661395575890538</v>
      </c>
      <c r="R33" s="35">
        <f t="shared" si="26"/>
        <v>96.124915321637445</v>
      </c>
      <c r="S33" s="36">
        <f t="shared" si="26"/>
        <v>26.842953678272643</v>
      </c>
    </row>
    <row r="34" spans="2:19" x14ac:dyDescent="0.3">
      <c r="B34" s="23" t="s">
        <v>20</v>
      </c>
      <c r="C34" s="24"/>
      <c r="D34" s="25"/>
      <c r="E34" s="63">
        <f>QUARTILE(E26:E31, 3)</f>
        <v>291370.01083000004</v>
      </c>
      <c r="F34" s="25"/>
      <c r="G34" s="25"/>
      <c r="H34" s="25"/>
      <c r="I34" s="25"/>
      <c r="J34" s="24">
        <f>QUARTILE(J26:J31, 3)</f>
        <v>242621.51083000001</v>
      </c>
      <c r="K34" s="37">
        <f t="shared" ref="K34:S34" si="27">QUARTILE(K26:K30, 3)</f>
        <v>2.2811904853462925</v>
      </c>
      <c r="L34" s="37">
        <f t="shared" si="27"/>
        <v>2.7638384482629892</v>
      </c>
      <c r="M34" s="37">
        <f t="shared" si="27"/>
        <v>2.7096455375127344</v>
      </c>
      <c r="N34" s="37">
        <f t="shared" si="27"/>
        <v>7.9813044549136292</v>
      </c>
      <c r="O34" s="37">
        <f t="shared" si="27"/>
        <v>13.518884744217321</v>
      </c>
      <c r="P34" s="37">
        <f t="shared" si="27"/>
        <v>9.6565802600000001</v>
      </c>
      <c r="Q34" s="37">
        <f t="shared" si="27"/>
        <v>12.835685285021926</v>
      </c>
      <c r="R34" s="37">
        <f t="shared" si="27"/>
        <v>20.257521158258971</v>
      </c>
      <c r="S34" s="38">
        <f t="shared" si="27"/>
        <v>17.913812638604934</v>
      </c>
    </row>
    <row r="35" spans="2:19" x14ac:dyDescent="0.3">
      <c r="B35" s="27" t="s">
        <v>21</v>
      </c>
      <c r="C35" s="28"/>
      <c r="D35" s="29"/>
      <c r="E35" s="64">
        <f>MEDIAN(E26:E31)</f>
        <v>158371.74497</v>
      </c>
      <c r="F35" s="29"/>
      <c r="G35" s="29"/>
      <c r="H35" s="29"/>
      <c r="I35" s="29"/>
      <c r="J35" s="28">
        <f>MEDIAN(J26:J31)</f>
        <v>178662.24497</v>
      </c>
      <c r="K35" s="39">
        <f t="shared" ref="K35:S35" si="28">MEDIAN(K26:K30)</f>
        <v>2.1247073172683995</v>
      </c>
      <c r="L35" s="39">
        <f t="shared" si="28"/>
        <v>2.405035991183393</v>
      </c>
      <c r="M35" s="39">
        <f t="shared" si="28"/>
        <v>2.3578784227288163</v>
      </c>
      <c r="N35" s="39">
        <f t="shared" si="28"/>
        <v>7.9110382255602376</v>
      </c>
      <c r="O35" s="39">
        <f t="shared" si="28"/>
        <v>12.761358250032078</v>
      </c>
      <c r="P35" s="39">
        <f t="shared" si="28"/>
        <v>9.3224967807035704</v>
      </c>
      <c r="Q35" s="39">
        <f t="shared" si="28"/>
        <v>12.829968789305788</v>
      </c>
      <c r="R35" s="39">
        <f t="shared" si="28"/>
        <v>18.277360861285437</v>
      </c>
      <c r="S35" s="40">
        <f t="shared" si="28"/>
        <v>15.286308525553013</v>
      </c>
    </row>
    <row r="36" spans="2:19" x14ac:dyDescent="0.3">
      <c r="B36" s="23" t="s">
        <v>22</v>
      </c>
      <c r="C36" s="24"/>
      <c r="D36" s="25"/>
      <c r="E36" s="63">
        <f>QUARTILE(E26:E31, 1)</f>
        <v>101437.23458999999</v>
      </c>
      <c r="F36" s="25"/>
      <c r="G36" s="25"/>
      <c r="H36" s="25"/>
      <c r="I36" s="25"/>
      <c r="J36" s="24">
        <f>QUARTILE(J26:J31, 1)</f>
        <v>102214.98458999999</v>
      </c>
      <c r="K36" s="37">
        <f t="shared" ref="K36:S36" si="29">QUARTILE(K26:K30, 1)</f>
        <v>1.8585536756002501</v>
      </c>
      <c r="L36" s="37">
        <f t="shared" si="29"/>
        <v>2.336664521594094</v>
      </c>
      <c r="M36" s="37">
        <f t="shared" si="29"/>
        <v>2.2908475701902886</v>
      </c>
      <c r="N36" s="37">
        <f t="shared" si="29"/>
        <v>6.8697077419354846</v>
      </c>
      <c r="O36" s="37">
        <f t="shared" si="29"/>
        <v>11.170118308538591</v>
      </c>
      <c r="P36" s="37">
        <f t="shared" si="29"/>
        <v>8.1441116410052921</v>
      </c>
      <c r="Q36" s="37">
        <f t="shared" si="29"/>
        <v>9.1634298807001908</v>
      </c>
      <c r="R36" s="37">
        <f t="shared" si="29"/>
        <v>17.265890753009849</v>
      </c>
      <c r="S36" s="38">
        <f t="shared" si="29"/>
        <v>13.668834484588178</v>
      </c>
    </row>
    <row r="37" spans="2:19" x14ac:dyDescent="0.3">
      <c r="B37" s="31" t="s">
        <v>23</v>
      </c>
      <c r="C37" s="32"/>
      <c r="D37" s="33"/>
      <c r="E37" s="65">
        <f>MIN(E26:E31)</f>
        <v>59455.023746999999</v>
      </c>
      <c r="F37" s="33"/>
      <c r="G37" s="33"/>
      <c r="H37" s="33"/>
      <c r="I37" s="33"/>
      <c r="J37" s="32">
        <f>MIN(J26:J31)</f>
        <v>75196.023746999999</v>
      </c>
      <c r="K37" s="41">
        <f t="shared" ref="K37:S37" si="30">MIN(K26:K30)</f>
        <v>1.5871867755125715</v>
      </c>
      <c r="L37" s="41">
        <f t="shared" si="30"/>
        <v>1.8482072596494783</v>
      </c>
      <c r="M37" s="41">
        <f t="shared" si="30"/>
        <v>1.8119679016171357</v>
      </c>
      <c r="N37" s="41">
        <f t="shared" si="30"/>
        <v>6.7932442595128517</v>
      </c>
      <c r="O37" s="41">
        <f t="shared" si="30"/>
        <v>8.5464757121473145</v>
      </c>
      <c r="P37" s="41">
        <f t="shared" si="30"/>
        <v>7.8192824447825382</v>
      </c>
      <c r="Q37" s="41">
        <f t="shared" si="30"/>
        <v>8.385332933795608</v>
      </c>
      <c r="R37" s="41">
        <f t="shared" si="30"/>
        <v>15.411614394379836</v>
      </c>
      <c r="S37" s="42">
        <f t="shared" si="30"/>
        <v>10.562009109794898</v>
      </c>
    </row>
    <row r="39" spans="2:19" x14ac:dyDescent="0.3">
      <c r="B39" s="71" t="e" vm="5">
        <f>B21</f>
        <v>#VALUE!</v>
      </c>
      <c r="C39" s="72"/>
      <c r="D39" s="73"/>
      <c r="E39" s="74"/>
      <c r="F39" s="75"/>
      <c r="G39" s="76"/>
      <c r="H39" s="77"/>
      <c r="I39" s="77"/>
      <c r="J39" s="74">
        <f>J21</f>
        <v>81555.684539999987</v>
      </c>
      <c r="K39" s="78">
        <f>IFERROR(IF(OR(+$J21/K21&lt;0,+$J21/K21&gt;=100),"NM",+$J21/K21),"N/A")</f>
        <v>2.9846545119853611</v>
      </c>
      <c r="L39" s="78">
        <f t="shared" ref="L39:M39" si="31">IFERROR(IF(OR(+$J21/L21&lt;0,+$J21/L21&gt;=100),"NM",+$J21/L21),"N/A")</f>
        <v>3.2310797725922105</v>
      </c>
      <c r="M39" s="78">
        <f t="shared" si="31"/>
        <v>3.1677252672472651</v>
      </c>
      <c r="N39" s="78">
        <f t="shared" ref="N39:S39" si="32">IFERROR(IF(OR(+$J21/N21&lt;0,+$J21/N21&gt;=100),"NM",+$J21/N21),"N/A")</f>
        <v>9.4898399511286922</v>
      </c>
      <c r="O39" s="78">
        <f t="shared" si="32"/>
        <v>13.478050659395139</v>
      </c>
      <c r="P39" s="78">
        <f t="shared" si="32"/>
        <v>12.608092291295735</v>
      </c>
      <c r="Q39" s="78">
        <f t="shared" si="32"/>
        <v>12.388832529241984</v>
      </c>
      <c r="R39" s="78">
        <f t="shared" si="32"/>
        <v>17.648925457693139</v>
      </c>
      <c r="S39" s="79">
        <f t="shared" si="32"/>
        <v>13.198855280196939</v>
      </c>
    </row>
  </sheetData>
  <mergeCells count="4">
    <mergeCell ref="V6:X6"/>
    <mergeCell ref="C5:J5"/>
    <mergeCell ref="C23:J23"/>
    <mergeCell ref="K23:M23"/>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369A3-CF38-4702-B054-525C7B05D137}">
  <dimension ref="B2:M32"/>
  <sheetViews>
    <sheetView showGridLines="0" workbookViewId="0">
      <selection activeCell="B14" sqref="B14"/>
    </sheetView>
  </sheetViews>
  <sheetFormatPr defaultRowHeight="15.6" x14ac:dyDescent="0.3"/>
  <cols>
    <col min="1" max="1" width="3.21875" style="8" customWidth="1"/>
    <col min="2" max="2" width="36.21875" style="8" customWidth="1"/>
    <col min="3" max="4" width="10.77734375" style="8" customWidth="1"/>
    <col min="5" max="5" width="13.5546875" style="8" bestFit="1" customWidth="1"/>
    <col min="6" max="8" width="10.77734375" style="8" customWidth="1"/>
    <col min="9" max="13" width="12.33203125" style="8" bestFit="1" customWidth="1"/>
    <col min="14" max="16384" width="8.88671875" style="8"/>
  </cols>
  <sheetData>
    <row r="2" spans="2:13" x14ac:dyDescent="0.3">
      <c r="B2" s="7" t="s">
        <v>54</v>
      </c>
    </row>
    <row r="3" spans="2:13" x14ac:dyDescent="0.3">
      <c r="B3" s="8" t="s">
        <v>27</v>
      </c>
    </row>
    <row r="5" spans="2:13" x14ac:dyDescent="0.3">
      <c r="B5" s="9" t="s">
        <v>51</v>
      </c>
      <c r="C5" s="87" t="s">
        <v>55</v>
      </c>
      <c r="D5" s="87"/>
      <c r="E5" s="87"/>
      <c r="F5" s="87"/>
      <c r="G5" s="87"/>
      <c r="H5" s="87"/>
      <c r="I5" s="87" t="s">
        <v>56</v>
      </c>
      <c r="J5" s="87"/>
      <c r="K5" s="87"/>
      <c r="L5" s="87"/>
      <c r="M5" s="87"/>
    </row>
    <row r="6" spans="2:13" x14ac:dyDescent="0.3">
      <c r="B6" s="11"/>
      <c r="C6" s="45"/>
      <c r="D6" s="44"/>
      <c r="E6" s="44"/>
      <c r="F6" s="46"/>
      <c r="G6" s="44"/>
      <c r="H6" s="44"/>
      <c r="I6" s="44"/>
      <c r="J6" s="44"/>
      <c r="K6" s="44"/>
      <c r="L6" s="44"/>
      <c r="M6" s="44"/>
    </row>
    <row r="7" spans="2:13" x14ac:dyDescent="0.3">
      <c r="B7" s="11"/>
      <c r="C7" s="45"/>
      <c r="D7" s="45" t="s">
        <v>29</v>
      </c>
      <c r="E7" s="45"/>
      <c r="F7" s="45" t="s">
        <v>30</v>
      </c>
      <c r="G7" s="44"/>
      <c r="H7" s="45" t="s">
        <v>31</v>
      </c>
      <c r="I7" s="45"/>
      <c r="J7" s="45" t="s">
        <v>30</v>
      </c>
      <c r="K7" s="45"/>
      <c r="L7" s="45" t="s">
        <v>29</v>
      </c>
      <c r="M7" s="45"/>
    </row>
    <row r="8" spans="2:13" x14ac:dyDescent="0.3">
      <c r="B8" s="11"/>
      <c r="C8" s="45" t="s">
        <v>19</v>
      </c>
      <c r="D8" s="45" t="s">
        <v>32</v>
      </c>
      <c r="E8" s="45" t="s">
        <v>21</v>
      </c>
      <c r="F8" s="45" t="s">
        <v>32</v>
      </c>
      <c r="G8" s="45" t="s">
        <v>23</v>
      </c>
      <c r="H8" s="45" t="s">
        <v>33</v>
      </c>
      <c r="I8" s="45" t="s">
        <v>23</v>
      </c>
      <c r="J8" s="45" t="s">
        <v>32</v>
      </c>
      <c r="K8" s="45" t="s">
        <v>21</v>
      </c>
      <c r="L8" s="45" t="s">
        <v>32</v>
      </c>
      <c r="M8" s="45" t="s">
        <v>19</v>
      </c>
    </row>
    <row r="9" spans="2:13" x14ac:dyDescent="0.3">
      <c r="B9" s="9" t="s">
        <v>28</v>
      </c>
      <c r="C9" s="47" t="s">
        <v>34</v>
      </c>
      <c r="D9" s="47" t="s">
        <v>34</v>
      </c>
      <c r="E9" s="47" t="s">
        <v>34</v>
      </c>
      <c r="F9" s="47" t="s">
        <v>34</v>
      </c>
      <c r="G9" s="47" t="s">
        <v>34</v>
      </c>
      <c r="H9" s="47" t="s">
        <v>35</v>
      </c>
      <c r="I9" s="47" t="s">
        <v>34</v>
      </c>
      <c r="J9" s="47" t="s">
        <v>34</v>
      </c>
      <c r="K9" s="47" t="s">
        <v>34</v>
      </c>
      <c r="L9" s="47" t="s">
        <v>34</v>
      </c>
      <c r="M9" s="47" t="s">
        <v>34</v>
      </c>
    </row>
    <row r="11" spans="2:13" x14ac:dyDescent="0.3">
      <c r="B11" s="8" t="s">
        <v>36</v>
      </c>
    </row>
    <row r="12" spans="2:13" x14ac:dyDescent="0.3">
      <c r="B12" s="48" t="s">
        <v>37</v>
      </c>
      <c r="C12" s="18" cm="1">
        <f t="array" ref="C12:G12">TRANSPOSE('Public-Comps'!K33:K37)</f>
        <v>2.9846545119853611</v>
      </c>
      <c r="D12" s="18">
        <v>2.2811904853462925</v>
      </c>
      <c r="E12" s="18">
        <v>2.1247073172683995</v>
      </c>
      <c r="F12" s="18">
        <v>1.8585536756002501</v>
      </c>
      <c r="G12" s="18">
        <v>1.5871867755125715</v>
      </c>
      <c r="H12" s="14" cm="1">
        <f t="array" ref="H12:H20">TRANSPOSE('Public-Comps'!K21:S21)</f>
        <v>27325</v>
      </c>
      <c r="I12" s="15">
        <f>(+I24+E23)/$E$26</f>
        <v>22.523538683220906</v>
      </c>
      <c r="J12" s="15">
        <f t="shared" ref="J12:M20" si="0">(+J24+SUM($E$23:$E$23))/$E$26</f>
        <v>27.457071979891442</v>
      </c>
      <c r="K12" s="15">
        <f t="shared" si="0"/>
        <v>32.295826642953436</v>
      </c>
      <c r="L12" s="15">
        <f t="shared" si="0"/>
        <v>35.140738530996302</v>
      </c>
      <c r="M12" s="15">
        <f t="shared" si="0"/>
        <v>47.929929833665994</v>
      </c>
    </row>
    <row r="13" spans="2:13" x14ac:dyDescent="0.3">
      <c r="B13" s="48" t="s">
        <v>38</v>
      </c>
      <c r="C13" s="18" cm="1">
        <f t="array" ref="C13:G13">TRANSPOSE('Public-Comps'!L33:L37)</f>
        <v>3.2310797725922105</v>
      </c>
      <c r="D13" s="18">
        <v>2.7638384482629892</v>
      </c>
      <c r="E13" s="18">
        <v>2.405035991183393</v>
      </c>
      <c r="F13" s="18">
        <v>2.336664521594094</v>
      </c>
      <c r="G13" s="18">
        <v>1.8482072596494783</v>
      </c>
      <c r="H13" s="14">
        <v>25241</v>
      </c>
      <c r="I13" s="15">
        <f t="shared" ref="I13:I20" si="1">(+I25+SUM($E$23:$E$23))/$E$26</f>
        <v>24.706320319901852</v>
      </c>
      <c r="J13" s="15">
        <f t="shared" si="0"/>
        <v>32.909347431508003</v>
      </c>
      <c r="K13" s="15">
        <f t="shared" si="0"/>
        <v>34.057560514610792</v>
      </c>
      <c r="L13" s="15">
        <f t="shared" si="0"/>
        <v>40.083197786165073</v>
      </c>
      <c r="M13" s="15">
        <f t="shared" si="0"/>
        <v>47.929929833665994</v>
      </c>
    </row>
    <row r="14" spans="2:13" x14ac:dyDescent="0.3">
      <c r="B14" s="48" t="s">
        <v>39</v>
      </c>
      <c r="C14" s="18" cm="1">
        <f t="array" ref="C14:G14">TRANSPOSE('Public-Comps'!M33:M37)</f>
        <v>3.1677252672472651</v>
      </c>
      <c r="D14" s="18">
        <v>2.7096455375127344</v>
      </c>
      <c r="E14" s="18">
        <v>2.3578784227288163</v>
      </c>
      <c r="F14" s="18">
        <v>2.2908475701902886</v>
      </c>
      <c r="G14" s="18">
        <v>1.8119679016171357</v>
      </c>
      <c r="H14" s="14">
        <v>25745.82</v>
      </c>
      <c r="I14" s="15">
        <f t="shared" si="1"/>
        <v>24.706320319901852</v>
      </c>
      <c r="J14" s="15">
        <f t="shared" si="0"/>
        <v>32.909347431508003</v>
      </c>
      <c r="K14" s="15">
        <f t="shared" si="0"/>
        <v>34.057560514610785</v>
      </c>
      <c r="L14" s="15">
        <f t="shared" si="0"/>
        <v>40.083197786165073</v>
      </c>
      <c r="M14" s="15">
        <f t="shared" si="0"/>
        <v>47.929929833665994</v>
      </c>
    </row>
    <row r="15" spans="2:13" x14ac:dyDescent="0.3">
      <c r="B15" s="48" t="s">
        <v>58</v>
      </c>
      <c r="C15" s="18" cm="1">
        <f t="array" ref="C15:G15">TRANSPOSE('Public-Comps'!N33:N37)</f>
        <v>9.4898399511286922</v>
      </c>
      <c r="D15" s="18">
        <v>7.9813044549136292</v>
      </c>
      <c r="E15" s="18">
        <v>7.9110382255602376</v>
      </c>
      <c r="F15" s="18">
        <v>6.8697077419354846</v>
      </c>
      <c r="G15" s="18">
        <v>6.7932442595128517</v>
      </c>
      <c r="H15" s="14">
        <v>8594</v>
      </c>
      <c r="I15" s="15">
        <f t="shared" si="1"/>
        <v>32.511071966901824</v>
      </c>
      <c r="J15" s="15">
        <f t="shared" si="0"/>
        <v>32.948282324812745</v>
      </c>
      <c r="K15" s="15">
        <f t="shared" si="0"/>
        <v>38.902503333642507</v>
      </c>
      <c r="L15" s="15">
        <f t="shared" si="0"/>
        <v>39.304278433484846</v>
      </c>
      <c r="M15" s="15">
        <f t="shared" si="0"/>
        <v>47.929929833665994</v>
      </c>
    </row>
    <row r="16" spans="2:13" x14ac:dyDescent="0.3">
      <c r="B16" s="48" t="s">
        <v>59</v>
      </c>
      <c r="C16" s="18" cm="1">
        <f t="array" ref="C16:G16">TRANSPOSE('Public-Comps'!O33:O37)</f>
        <v>13.641386998683865</v>
      </c>
      <c r="D16" s="18">
        <v>13.518884744217321</v>
      </c>
      <c r="E16" s="18">
        <v>12.761358250032078</v>
      </c>
      <c r="F16" s="18">
        <v>11.170118308538591</v>
      </c>
      <c r="G16" s="18">
        <v>8.5464757121473145</v>
      </c>
      <c r="H16" s="14">
        <v>6051</v>
      </c>
      <c r="I16" s="15">
        <f t="shared" si="1"/>
        <v>28.075665026083435</v>
      </c>
      <c r="J16" s="15">
        <f t="shared" si="0"/>
        <v>38.6383139620539</v>
      </c>
      <c r="K16" s="15">
        <f t="shared" si="0"/>
        <v>45.044563387188354</v>
      </c>
      <c r="L16" s="15">
        <f t="shared" si="0"/>
        <v>48.094325740025951</v>
      </c>
      <c r="M16" s="15">
        <f t="shared" si="0"/>
        <v>48.587513459105836</v>
      </c>
    </row>
    <row r="17" spans="2:13" x14ac:dyDescent="0.3">
      <c r="B17" s="48" t="s">
        <v>60</v>
      </c>
      <c r="C17" s="18" cm="1">
        <f t="array" ref="C17:G17">TRANSPOSE('Public-Comps'!P33:P37)</f>
        <v>12.608092291295735</v>
      </c>
      <c r="D17" s="18">
        <v>9.6565802600000001</v>
      </c>
      <c r="E17" s="18">
        <v>9.3224967807035704</v>
      </c>
      <c r="F17" s="18">
        <v>8.1441116410052921</v>
      </c>
      <c r="G17" s="18">
        <v>7.8192824447825382</v>
      </c>
      <c r="H17" s="14">
        <v>6468.5189999999993</v>
      </c>
      <c r="I17" s="15">
        <f t="shared" si="1"/>
        <v>27.320144418125277</v>
      </c>
      <c r="J17" s="15">
        <f t="shared" si="0"/>
        <v>28.718124343289357</v>
      </c>
      <c r="K17" s="15">
        <f t="shared" si="0"/>
        <v>33.789585863885478</v>
      </c>
      <c r="L17" s="15">
        <f t="shared" si="0"/>
        <v>35.22739380361606</v>
      </c>
      <c r="M17" s="15">
        <f t="shared" si="0"/>
        <v>47.929929833665994</v>
      </c>
    </row>
    <row r="18" spans="2:13" x14ac:dyDescent="0.3">
      <c r="B18" s="48" t="s">
        <v>40</v>
      </c>
      <c r="C18" s="18" cm="1">
        <f t="array" ref="C18:G18">TRANSPOSE('Public-Comps'!Q33:Q37)</f>
        <v>13.661395575890538</v>
      </c>
      <c r="D18" s="18">
        <v>12.835685285021926</v>
      </c>
      <c r="E18" s="18">
        <v>12.829968789305788</v>
      </c>
      <c r="F18" s="18">
        <v>9.1634298807001908</v>
      </c>
      <c r="G18" s="18">
        <v>8.385332933795608</v>
      </c>
      <c r="H18" s="14">
        <v>6583</v>
      </c>
      <c r="I18" s="15">
        <f t="shared" si="1"/>
        <v>30.394974519744832</v>
      </c>
      <c r="J18" s="15">
        <f t="shared" si="0"/>
        <v>33.802966669760053</v>
      </c>
      <c r="K18" s="15">
        <f t="shared" si="0"/>
        <v>49.862065562208919</v>
      </c>
      <c r="L18" s="15">
        <f t="shared" si="0"/>
        <v>49.887103280970948</v>
      </c>
      <c r="M18" s="15">
        <f t="shared" si="0"/>
        <v>53.503637442506594</v>
      </c>
    </row>
    <row r="19" spans="2:13" x14ac:dyDescent="0.3">
      <c r="B19" s="48" t="s">
        <v>41</v>
      </c>
      <c r="C19" s="18" cm="1">
        <f t="array" ref="C19:G19">TRANSPOSE('Public-Comps'!R33:R37)</f>
        <v>96.124915321637445</v>
      </c>
      <c r="D19" s="18">
        <v>20.257521158258971</v>
      </c>
      <c r="E19" s="18">
        <v>18.277360861285437</v>
      </c>
      <c r="F19" s="18">
        <v>17.265890753009849</v>
      </c>
      <c r="G19" s="18">
        <v>15.411614394379836</v>
      </c>
      <c r="H19" s="14">
        <v>4621</v>
      </c>
      <c r="I19" s="15">
        <f t="shared" si="1"/>
        <v>41.051277522574338</v>
      </c>
      <c r="J19" s="15">
        <f t="shared" si="0"/>
        <v>46.752282880677647</v>
      </c>
      <c r="K19" s="15">
        <f t="shared" si="0"/>
        <v>49.862065562208919</v>
      </c>
      <c r="L19" s="15">
        <f t="shared" si="0"/>
        <v>55.950103308259955</v>
      </c>
      <c r="M19" s="15">
        <f t="shared" si="0"/>
        <v>289.20574431223332</v>
      </c>
    </row>
    <row r="20" spans="2:13" x14ac:dyDescent="0.3">
      <c r="B20" s="48" t="s">
        <v>42</v>
      </c>
      <c r="C20" s="18" cm="1">
        <f t="array" ref="C20:G20">TRANSPOSE('Public-Comps'!S33:S37)</f>
        <v>26.842953678272643</v>
      </c>
      <c r="D20" s="18">
        <v>17.913812638604934</v>
      </c>
      <c r="E20" s="18">
        <v>15.286308525553013</v>
      </c>
      <c r="F20" s="18">
        <v>13.668834484588178</v>
      </c>
      <c r="G20" s="18">
        <v>10.562009109794898</v>
      </c>
      <c r="H20" s="14">
        <v>6178.9967999999999</v>
      </c>
      <c r="I20" s="15">
        <f t="shared" si="1"/>
        <v>37.089567858279125</v>
      </c>
      <c r="J20" s="15">
        <f t="shared" si="0"/>
        <v>49.862065562208919</v>
      </c>
      <c r="K20" s="15">
        <f t="shared" si="0"/>
        <v>56.511677620229399</v>
      </c>
      <c r="L20" s="15">
        <f t="shared" si="0"/>
        <v>67.313633379733488</v>
      </c>
      <c r="M20" s="15">
        <f t="shared" si="0"/>
        <v>104.02230530977704</v>
      </c>
    </row>
    <row r="22" spans="2:13" x14ac:dyDescent="0.3">
      <c r="B22" s="49" t="s">
        <v>43</v>
      </c>
      <c r="C22" s="51"/>
      <c r="D22" s="51"/>
      <c r="E22" s="84">
        <f>K24</f>
        <v>58057.627444359015</v>
      </c>
      <c r="G22" s="61" t="s">
        <v>47</v>
      </c>
      <c r="H22" s="61"/>
      <c r="I22" s="61"/>
      <c r="J22" s="61"/>
      <c r="K22" s="61"/>
      <c r="L22" s="61"/>
      <c r="M22" s="61"/>
    </row>
    <row r="23" spans="2:13" x14ac:dyDescent="0.3">
      <c r="B23" s="52" t="s">
        <v>53</v>
      </c>
      <c r="C23" s="43"/>
      <c r="D23" s="43"/>
      <c r="E23" s="80">
        <f>'Public-Comps'!G21-'Public-Comps'!F21</f>
        <v>-9517</v>
      </c>
      <c r="G23" s="50"/>
      <c r="H23" s="50"/>
      <c r="I23" s="50"/>
      <c r="J23" s="50"/>
      <c r="K23" s="50"/>
      <c r="L23" s="50"/>
      <c r="M23" s="50"/>
    </row>
    <row r="24" spans="2:13" x14ac:dyDescent="0.3">
      <c r="B24" s="53" t="s">
        <v>44</v>
      </c>
      <c r="C24" s="54"/>
      <c r="D24" s="54"/>
      <c r="E24" s="82">
        <f>E22-E23</f>
        <v>67574.627444359008</v>
      </c>
      <c r="G24" s="50" t="s">
        <v>48</v>
      </c>
      <c r="H24" s="50"/>
      <c r="I24" s="81">
        <f>$H12*G12</f>
        <v>43369.878640881019</v>
      </c>
      <c r="J24" s="81">
        <f>+$H12*F12</f>
        <v>50784.979185776836</v>
      </c>
      <c r="K24" s="81">
        <f>$H12*E12</f>
        <v>58057.627444359015</v>
      </c>
      <c r="L24" s="81">
        <f>+$H12*D12</f>
        <v>62333.530012087445</v>
      </c>
      <c r="M24" s="81">
        <f>$H12*C12</f>
        <v>81555.684539999987</v>
      </c>
    </row>
    <row r="25" spans="2:13" x14ac:dyDescent="0.3">
      <c r="B25" s="50"/>
      <c r="C25" s="50"/>
      <c r="D25" s="50"/>
      <c r="E25" s="50"/>
      <c r="G25" s="50" t="s">
        <v>48</v>
      </c>
      <c r="H25" s="50"/>
      <c r="I25" s="81">
        <f>$H13*G13</f>
        <v>46650.599440812482</v>
      </c>
      <c r="J25" s="81">
        <f>+$H13*F13</f>
        <v>58979.749189556525</v>
      </c>
      <c r="K25" s="81">
        <f>$H13*E13</f>
        <v>60705.513453460022</v>
      </c>
      <c r="L25" s="81">
        <f>+$H13*D13</f>
        <v>69762.046272606109</v>
      </c>
      <c r="M25" s="81">
        <f>$H13*C13</f>
        <v>81555.684539999987</v>
      </c>
    </row>
    <row r="26" spans="2:13" x14ac:dyDescent="0.3">
      <c r="B26" s="43" t="s">
        <v>45</v>
      </c>
      <c r="C26" s="43"/>
      <c r="D26" s="43"/>
      <c r="E26" s="83">
        <v>1503</v>
      </c>
      <c r="G26" s="50" t="s">
        <v>48</v>
      </c>
      <c r="H26" s="50"/>
      <c r="I26" s="81">
        <f>$H14*G14</f>
        <v>46650.599440812482</v>
      </c>
      <c r="J26" s="81">
        <f>+$H14*F14</f>
        <v>58979.749189556533</v>
      </c>
      <c r="K26" s="81">
        <f>$H14*E14</f>
        <v>60705.513453460015</v>
      </c>
      <c r="L26" s="81">
        <f>+$H14*D14</f>
        <v>69762.046272606109</v>
      </c>
      <c r="M26" s="81">
        <f>$H14*C14</f>
        <v>81555.684539999987</v>
      </c>
    </row>
    <row r="27" spans="2:13" x14ac:dyDescent="0.3">
      <c r="B27" s="43"/>
      <c r="C27" s="43"/>
      <c r="D27" s="43"/>
      <c r="E27" s="43"/>
      <c r="G27" s="50" t="s">
        <v>48</v>
      </c>
      <c r="H27" s="50"/>
      <c r="I27" s="81">
        <f>$H15*G15</f>
        <v>58381.141166253445</v>
      </c>
      <c r="J27" s="81">
        <f>+$H15*F15</f>
        <v>59038.268334193555</v>
      </c>
      <c r="K27" s="81">
        <f>$H15*E15</f>
        <v>67987.462510464684</v>
      </c>
      <c r="L27" s="81">
        <f>+$H15*D15</f>
        <v>68591.330485527724</v>
      </c>
      <c r="M27" s="81">
        <f>$H15*C15</f>
        <v>81555.684539999987</v>
      </c>
    </row>
    <row r="28" spans="2:13" x14ac:dyDescent="0.3">
      <c r="B28" s="55" t="s">
        <v>57</v>
      </c>
      <c r="C28" s="56"/>
      <c r="D28" s="56"/>
      <c r="E28" s="57">
        <f>E24/E26</f>
        <v>44.959831965641392</v>
      </c>
      <c r="G28" s="50" t="s">
        <v>48</v>
      </c>
      <c r="H28" s="50"/>
      <c r="I28" s="81">
        <f>$H16*G16</f>
        <v>51714.7245342034</v>
      </c>
      <c r="J28" s="81">
        <f>+$H16*F16</f>
        <v>67590.385884967007</v>
      </c>
      <c r="K28" s="81">
        <f>$H16*E16</f>
        <v>77218.978770944101</v>
      </c>
      <c r="L28" s="81">
        <f>+$H16*D16</f>
        <v>81802.771587259005</v>
      </c>
      <c r="M28" s="81">
        <f>$H16*C16</f>
        <v>82544.032729036073</v>
      </c>
    </row>
    <row r="29" spans="2:13" x14ac:dyDescent="0.3">
      <c r="B29" s="58" t="s">
        <v>46</v>
      </c>
      <c r="C29" s="59"/>
      <c r="D29" s="59"/>
      <c r="E29" s="60">
        <f>E28/'Public-Comps'!C21-1</f>
        <v>-0.20014531283327897</v>
      </c>
      <c r="G29" s="50" t="s">
        <v>48</v>
      </c>
      <c r="H29" s="50"/>
      <c r="I29" s="81">
        <f t="shared" ref="I29:I32" si="2">$H17*G17</f>
        <v>50579.177060442293</v>
      </c>
      <c r="J29" s="81">
        <f t="shared" ref="J29:J32" si="3">+$H17*F17</f>
        <v>52680.340887963903</v>
      </c>
      <c r="K29" s="81">
        <f t="shared" ref="K29:K32" si="4">$H17*E17</f>
        <v>60302.747553419875</v>
      </c>
      <c r="L29" s="81">
        <f t="shared" ref="L29:L32" si="5">+$H17*D17</f>
        <v>62463.772886834937</v>
      </c>
      <c r="M29" s="81">
        <f t="shared" ref="M29:M32" si="6">$H17*C17</f>
        <v>81555.684539999987</v>
      </c>
    </row>
    <row r="30" spans="2:13" x14ac:dyDescent="0.3">
      <c r="G30" s="50" t="s">
        <v>49</v>
      </c>
      <c r="H30" s="50"/>
      <c r="I30" s="81">
        <f t="shared" si="2"/>
        <v>55200.646703176484</v>
      </c>
      <c r="J30" s="81">
        <f t="shared" si="3"/>
        <v>60322.858904649358</v>
      </c>
      <c r="K30" s="81">
        <f t="shared" si="4"/>
        <v>84459.684540000002</v>
      </c>
      <c r="L30" s="81">
        <f t="shared" si="5"/>
        <v>84497.316231299337</v>
      </c>
      <c r="M30" s="81">
        <f t="shared" si="6"/>
        <v>89932.967076087414</v>
      </c>
    </row>
    <row r="31" spans="2:13" x14ac:dyDescent="0.3">
      <c r="G31" s="50" t="s">
        <v>49</v>
      </c>
      <c r="H31" s="50"/>
      <c r="I31" s="81">
        <f t="shared" si="2"/>
        <v>71217.070116429226</v>
      </c>
      <c r="J31" s="81">
        <f t="shared" si="3"/>
        <v>79785.681169658506</v>
      </c>
      <c r="K31" s="81">
        <f t="shared" si="4"/>
        <v>84459.684540000002</v>
      </c>
      <c r="L31" s="81">
        <f t="shared" si="5"/>
        <v>93610.005272314709</v>
      </c>
      <c r="M31" s="81">
        <f t="shared" si="6"/>
        <v>444193.23370128666</v>
      </c>
    </row>
    <row r="32" spans="2:13" x14ac:dyDescent="0.3">
      <c r="G32" s="50" t="s">
        <v>49</v>
      </c>
      <c r="H32" s="50"/>
      <c r="I32" s="81">
        <f t="shared" si="2"/>
        <v>65262.620490993526</v>
      </c>
      <c r="J32" s="81">
        <f t="shared" si="3"/>
        <v>84459.684540000002</v>
      </c>
      <c r="K32" s="81">
        <f t="shared" si="4"/>
        <v>94454.051463204785</v>
      </c>
      <c r="L32" s="81">
        <f t="shared" si="5"/>
        <v>110689.39096973944</v>
      </c>
      <c r="M32" s="81">
        <f t="shared" si="6"/>
        <v>165862.52488059489</v>
      </c>
    </row>
  </sheetData>
  <mergeCells count="2">
    <mergeCell ref="C5:H5"/>
    <mergeCell ref="I5:M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Public-Comps</vt:lpstr>
      <vt:lpstr>ValSum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Lain</dc:creator>
  <cp:lastModifiedBy>Dana Lain</cp:lastModifiedBy>
  <dcterms:created xsi:type="dcterms:W3CDTF">2021-02-23T00:27:38Z</dcterms:created>
  <dcterms:modified xsi:type="dcterms:W3CDTF">2021-03-28T22:31:42Z</dcterms:modified>
</cp:coreProperties>
</file>