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 Lain\Desktop\Banking_analysis\Spreadsheets\"/>
    </mc:Choice>
  </mc:AlternateContent>
  <xr:revisionPtr revIDLastSave="0" documentId="13_ncr:1_{80F87E0C-1A67-4042-8C0F-ABEF96FCD519}" xr6:coauthVersionLast="46" xr6:coauthVersionMax="46" xr10:uidLastSave="{00000000-0000-0000-0000-000000000000}"/>
  <bookViews>
    <workbookView xWindow="-108" yWindow="-108" windowWidth="23256" windowHeight="12576" activeTab="7" xr2:uid="{A6BEE161-93B5-41A4-ABD4-65B8A657DE91}"/>
  </bookViews>
  <sheets>
    <sheet name="Table of Content" sheetId="8" r:id="rId1"/>
    <sheet name="JPM" sheetId="2" r:id="rId2"/>
    <sheet name="BAC" sheetId="1" r:id="rId3"/>
    <sheet name="WFC" sheetId="3" r:id="rId4"/>
    <sheet name="C" sheetId="4" r:id="rId5"/>
    <sheet name="USB" sheetId="5" r:id="rId6"/>
    <sheet name="COF" sheetId="6" r:id="rId7"/>
    <sheet name="G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6" l="1"/>
  <c r="J17" i="6"/>
  <c r="J17" i="5"/>
  <c r="J17" i="3"/>
  <c r="J17" i="1"/>
  <c r="C17" i="2"/>
  <c r="D15" i="4"/>
  <c r="T6" i="2"/>
  <c r="T6" i="7" l="1"/>
  <c r="W16" i="7"/>
  <c r="W17" i="7" s="1"/>
  <c r="W18" i="7" s="1"/>
  <c r="W15" i="7"/>
  <c r="W10" i="7"/>
  <c r="W9" i="7" s="1"/>
  <c r="W8" i="7" s="1"/>
  <c r="W7" i="7" s="1"/>
  <c r="W11" i="7"/>
  <c r="W12" i="7"/>
  <c r="W13" i="7"/>
  <c r="C6" i="7"/>
  <c r="C7" i="7"/>
  <c r="C8" i="7"/>
  <c r="C9" i="7"/>
  <c r="C10" i="7"/>
  <c r="C11" i="7"/>
  <c r="C12" i="7"/>
  <c r="D32" i="7"/>
  <c r="D33" i="7"/>
  <c r="C13" i="7"/>
  <c r="C14" i="7"/>
  <c r="C15" i="7"/>
  <c r="C15" i="1"/>
  <c r="C15" i="2"/>
  <c r="T6" i="6"/>
  <c r="O25" i="6"/>
  <c r="N7" i="6"/>
  <c r="O24" i="6"/>
  <c r="W16" i="6"/>
  <c r="W17" i="6"/>
  <c r="W18" i="6" s="1"/>
  <c r="W15" i="6"/>
  <c r="W12" i="6"/>
  <c r="W11" i="6" s="1"/>
  <c r="W10" i="6" s="1"/>
  <c r="W9" i="6" s="1"/>
  <c r="W8" i="6" s="1"/>
  <c r="W7" i="6" s="1"/>
  <c r="W13" i="6"/>
  <c r="C15" i="6"/>
  <c r="C14" i="6"/>
  <c r="C13" i="6"/>
  <c r="C12" i="6"/>
  <c r="C11" i="6"/>
  <c r="C10" i="6"/>
  <c r="C9" i="6"/>
  <c r="C8" i="6"/>
  <c r="C7" i="6"/>
  <c r="D24" i="6"/>
  <c r="C6" i="6"/>
  <c r="T6" i="5"/>
  <c r="W12" i="5"/>
  <c r="W11" i="5" s="1"/>
  <c r="W10" i="5" s="1"/>
  <c r="W9" i="5" s="1"/>
  <c r="W8" i="5" s="1"/>
  <c r="W7" i="5" s="1"/>
  <c r="W13" i="5"/>
  <c r="W16" i="5"/>
  <c r="W17" i="5" s="1"/>
  <c r="W18" i="5" s="1"/>
  <c r="W15" i="5"/>
  <c r="C15" i="5"/>
  <c r="D33" i="5"/>
  <c r="C14" i="5"/>
  <c r="D32" i="5"/>
  <c r="C13" i="5"/>
  <c r="D31" i="5"/>
  <c r="C12" i="5"/>
  <c r="D30" i="5"/>
  <c r="C11" i="5"/>
  <c r="D29" i="5"/>
  <c r="C10" i="5"/>
  <c r="D28" i="5"/>
  <c r="C9" i="5"/>
  <c r="D27" i="5"/>
  <c r="C8" i="5"/>
  <c r="D26" i="5"/>
  <c r="D25" i="5"/>
  <c r="C7" i="5"/>
  <c r="D24" i="5"/>
  <c r="C6" i="5"/>
  <c r="T6" i="4"/>
  <c r="W16" i="4"/>
  <c r="W17" i="4"/>
  <c r="W18" i="4" s="1"/>
  <c r="W15" i="4"/>
  <c r="W12" i="4"/>
  <c r="W11" i="4" s="1"/>
  <c r="W10" i="4" s="1"/>
  <c r="W9" i="4" s="1"/>
  <c r="W8" i="4" s="1"/>
  <c r="W7" i="4" s="1"/>
  <c r="W13" i="4"/>
  <c r="D33" i="4"/>
  <c r="C14" i="4"/>
  <c r="C15" i="4"/>
  <c r="T6" i="3"/>
  <c r="O25" i="3"/>
  <c r="N7" i="3"/>
  <c r="D33" i="3"/>
  <c r="D17" i="3"/>
  <c r="C17" i="3"/>
  <c r="C15" i="3"/>
  <c r="D32" i="3"/>
  <c r="C14" i="3"/>
  <c r="D31" i="3"/>
  <c r="C13" i="3"/>
  <c r="C12" i="3"/>
  <c r="E30" i="3"/>
  <c r="D30" i="3"/>
  <c r="D29" i="3"/>
  <c r="C11" i="3"/>
  <c r="D28" i="3"/>
  <c r="C10" i="3"/>
  <c r="D27" i="3"/>
  <c r="C9" i="3"/>
  <c r="D26" i="3"/>
  <c r="C8" i="3"/>
  <c r="D25" i="3"/>
  <c r="C7" i="3"/>
  <c r="D24" i="3"/>
  <c r="C6" i="3"/>
  <c r="T6" i="1" l="1"/>
  <c r="W13" i="2"/>
  <c r="W14" i="2" s="1"/>
  <c r="W15" i="2" s="1"/>
  <c r="W16" i="2" s="1"/>
  <c r="W17" i="2" s="1"/>
  <c r="W11" i="2"/>
  <c r="W10" i="2" s="1"/>
  <c r="W9" i="2" s="1"/>
  <c r="W8" i="2" s="1"/>
  <c r="W7" i="2" s="1"/>
  <c r="H15" i="2"/>
  <c r="H14" i="2"/>
  <c r="I32" i="2" s="1"/>
  <c r="H13" i="2"/>
  <c r="I31" i="2" s="1"/>
  <c r="D29" i="2"/>
  <c r="D28" i="2"/>
  <c r="F28" i="2" s="1"/>
  <c r="G28" i="2" s="1"/>
  <c r="D27" i="2"/>
  <c r="F27" i="2" s="1"/>
  <c r="D26" i="2"/>
  <c r="F26" i="2" s="1"/>
  <c r="G26" i="2" s="1"/>
  <c r="D25" i="2"/>
  <c r="D24" i="2"/>
  <c r="F24" i="2" s="1"/>
  <c r="G24" i="2" s="1"/>
  <c r="O36" i="7"/>
  <c r="C35" i="7"/>
  <c r="I33" i="7"/>
  <c r="F33" i="7"/>
  <c r="G33" i="7" s="1"/>
  <c r="I32" i="7"/>
  <c r="F32" i="7"/>
  <c r="I31" i="7"/>
  <c r="F31" i="7"/>
  <c r="G31" i="7" s="1"/>
  <c r="I30" i="7"/>
  <c r="F30" i="7"/>
  <c r="G30" i="7" s="1"/>
  <c r="I29" i="7"/>
  <c r="F29" i="7"/>
  <c r="G29" i="7" s="1"/>
  <c r="I28" i="7"/>
  <c r="F28" i="7"/>
  <c r="G28" i="7" s="1"/>
  <c r="I27" i="7"/>
  <c r="F27" i="7"/>
  <c r="I26" i="7"/>
  <c r="F26" i="7"/>
  <c r="G26" i="7" s="1"/>
  <c r="I25" i="7"/>
  <c r="F25" i="7"/>
  <c r="G25" i="7" s="1"/>
  <c r="I24" i="7"/>
  <c r="F24" i="7"/>
  <c r="F17" i="7"/>
  <c r="D17" i="7"/>
  <c r="C17" i="7"/>
  <c r="G15" i="7"/>
  <c r="E15" i="7"/>
  <c r="G14" i="7"/>
  <c r="E14" i="7"/>
  <c r="G13" i="7"/>
  <c r="E13" i="7"/>
  <c r="G12" i="7"/>
  <c r="E12" i="7"/>
  <c r="G11" i="7"/>
  <c r="E11" i="7"/>
  <c r="G10" i="7"/>
  <c r="E10" i="7"/>
  <c r="G9" i="7"/>
  <c r="E9" i="7"/>
  <c r="G8" i="7"/>
  <c r="E8" i="7"/>
  <c r="G7" i="7"/>
  <c r="E7" i="7"/>
  <c r="G6" i="7"/>
  <c r="I6" i="7" s="1"/>
  <c r="E6" i="7"/>
  <c r="O36" i="6"/>
  <c r="C35" i="6"/>
  <c r="I33" i="6"/>
  <c r="F33" i="6"/>
  <c r="G33" i="6" s="1"/>
  <c r="I32" i="6"/>
  <c r="F32" i="6"/>
  <c r="G32" i="6" s="1"/>
  <c r="I31" i="6"/>
  <c r="F31" i="6"/>
  <c r="G31" i="6" s="1"/>
  <c r="I30" i="6"/>
  <c r="F30" i="6"/>
  <c r="G30" i="6" s="1"/>
  <c r="I29" i="6"/>
  <c r="F29" i="6"/>
  <c r="G29" i="6" s="1"/>
  <c r="I28" i="6"/>
  <c r="F28" i="6"/>
  <c r="G28" i="6" s="1"/>
  <c r="I27" i="6"/>
  <c r="F27" i="6"/>
  <c r="G27" i="6" s="1"/>
  <c r="I26" i="6"/>
  <c r="F26" i="6"/>
  <c r="I25" i="6"/>
  <c r="F25" i="6"/>
  <c r="G25" i="6" s="1"/>
  <c r="I24" i="6"/>
  <c r="F24" i="6"/>
  <c r="G24" i="6" s="1"/>
  <c r="F17" i="6"/>
  <c r="C17" i="6"/>
  <c r="G15" i="6"/>
  <c r="E15" i="6"/>
  <c r="G14" i="6"/>
  <c r="E14" i="6"/>
  <c r="G13" i="6"/>
  <c r="E13" i="6"/>
  <c r="G12" i="6"/>
  <c r="E12" i="6"/>
  <c r="G11" i="6"/>
  <c r="E11" i="6"/>
  <c r="G10" i="6"/>
  <c r="E10" i="6"/>
  <c r="G9" i="6"/>
  <c r="E9" i="6"/>
  <c r="G8" i="6"/>
  <c r="E8" i="6"/>
  <c r="G7" i="6"/>
  <c r="E7" i="6"/>
  <c r="G6" i="6"/>
  <c r="I6" i="6" s="1"/>
  <c r="E6" i="6"/>
  <c r="O36" i="5"/>
  <c r="C35" i="5"/>
  <c r="I33" i="5"/>
  <c r="F33" i="5"/>
  <c r="G33" i="5" s="1"/>
  <c r="I32" i="5"/>
  <c r="F32" i="5"/>
  <c r="G32" i="5" s="1"/>
  <c r="I31" i="5"/>
  <c r="F31" i="5"/>
  <c r="G31" i="5" s="1"/>
  <c r="I30" i="5"/>
  <c r="F30" i="5"/>
  <c r="G30" i="5" s="1"/>
  <c r="I29" i="5"/>
  <c r="F29" i="5"/>
  <c r="G29" i="5" s="1"/>
  <c r="I28" i="5"/>
  <c r="F28" i="5"/>
  <c r="G28" i="5" s="1"/>
  <c r="I27" i="5"/>
  <c r="F27" i="5"/>
  <c r="G27" i="5" s="1"/>
  <c r="I26" i="5"/>
  <c r="F26" i="5"/>
  <c r="I25" i="5"/>
  <c r="F25" i="5"/>
  <c r="G25" i="5" s="1"/>
  <c r="I24" i="5"/>
  <c r="F24" i="5"/>
  <c r="F17" i="5"/>
  <c r="D17" i="5"/>
  <c r="C17" i="5"/>
  <c r="G15" i="5"/>
  <c r="I15" i="5" s="1"/>
  <c r="E15" i="5"/>
  <c r="G14" i="5"/>
  <c r="E14" i="5"/>
  <c r="G13" i="5"/>
  <c r="E13" i="5"/>
  <c r="G12" i="5"/>
  <c r="E12" i="5"/>
  <c r="G11" i="5"/>
  <c r="E11" i="5"/>
  <c r="G10" i="5"/>
  <c r="E10" i="5"/>
  <c r="G9" i="5"/>
  <c r="E9" i="5"/>
  <c r="G8" i="5"/>
  <c r="E8" i="5"/>
  <c r="G7" i="5"/>
  <c r="E7" i="5"/>
  <c r="G6" i="5"/>
  <c r="I6" i="5" s="1"/>
  <c r="E6" i="5"/>
  <c r="O36" i="4"/>
  <c r="C35" i="4"/>
  <c r="I33" i="4"/>
  <c r="F33" i="4"/>
  <c r="G33" i="4" s="1"/>
  <c r="I32" i="4"/>
  <c r="F32" i="4"/>
  <c r="G32" i="4" s="1"/>
  <c r="I31" i="4"/>
  <c r="F31" i="4"/>
  <c r="G31" i="4" s="1"/>
  <c r="I30" i="4"/>
  <c r="F30" i="4"/>
  <c r="G30" i="4" s="1"/>
  <c r="I29" i="4"/>
  <c r="F29" i="4"/>
  <c r="G29" i="4" s="1"/>
  <c r="I28" i="4"/>
  <c r="F28" i="4"/>
  <c r="G28" i="4" s="1"/>
  <c r="I27" i="4"/>
  <c r="F27" i="4"/>
  <c r="G27" i="4" s="1"/>
  <c r="I26" i="4"/>
  <c r="F26" i="4"/>
  <c r="G26" i="4" s="1"/>
  <c r="I25" i="4"/>
  <c r="F25" i="4"/>
  <c r="G25" i="4" s="1"/>
  <c r="I24" i="4"/>
  <c r="F24" i="4"/>
  <c r="G24" i="4" s="1"/>
  <c r="F17" i="4"/>
  <c r="D17" i="4"/>
  <c r="C17" i="4"/>
  <c r="G15" i="4"/>
  <c r="E15" i="4"/>
  <c r="G14" i="4"/>
  <c r="J14" i="4" s="1"/>
  <c r="E14" i="4"/>
  <c r="G13" i="4"/>
  <c r="E13" i="4"/>
  <c r="G12" i="4"/>
  <c r="E12" i="4"/>
  <c r="G11" i="4"/>
  <c r="E11" i="4"/>
  <c r="G10" i="4"/>
  <c r="E10" i="4"/>
  <c r="G9" i="4"/>
  <c r="E9" i="4"/>
  <c r="G8" i="4"/>
  <c r="E8" i="4"/>
  <c r="G7" i="4"/>
  <c r="E7" i="4"/>
  <c r="G6" i="4"/>
  <c r="I6" i="4" s="1"/>
  <c r="E6" i="4"/>
  <c r="O36" i="3"/>
  <c r="C35" i="3"/>
  <c r="I33" i="3"/>
  <c r="F33" i="3"/>
  <c r="G33" i="3" s="1"/>
  <c r="I32" i="3"/>
  <c r="F32" i="3"/>
  <c r="I31" i="3"/>
  <c r="F31" i="3"/>
  <c r="G31" i="3" s="1"/>
  <c r="I30" i="3"/>
  <c r="F30" i="3"/>
  <c r="G30" i="3" s="1"/>
  <c r="I29" i="3"/>
  <c r="F29" i="3"/>
  <c r="G29" i="3" s="1"/>
  <c r="I28" i="3"/>
  <c r="F28" i="3"/>
  <c r="G28" i="3" s="1"/>
  <c r="I27" i="3"/>
  <c r="F27" i="3"/>
  <c r="G27" i="3" s="1"/>
  <c r="I26" i="3"/>
  <c r="F26" i="3"/>
  <c r="G26" i="3" s="1"/>
  <c r="I25" i="3"/>
  <c r="F25" i="3"/>
  <c r="G25" i="3" s="1"/>
  <c r="I24" i="3"/>
  <c r="F24" i="3"/>
  <c r="G24" i="3" s="1"/>
  <c r="F17" i="3"/>
  <c r="G15" i="3"/>
  <c r="E15" i="3"/>
  <c r="G14" i="3"/>
  <c r="E14" i="3"/>
  <c r="G13" i="3"/>
  <c r="E13" i="3"/>
  <c r="G12" i="3"/>
  <c r="E12" i="3"/>
  <c r="G11" i="3"/>
  <c r="S6" i="3" s="1"/>
  <c r="E11" i="3"/>
  <c r="G10" i="3"/>
  <c r="E10" i="3"/>
  <c r="G9" i="3"/>
  <c r="E9" i="3"/>
  <c r="G8" i="3"/>
  <c r="E8" i="3"/>
  <c r="G7" i="3"/>
  <c r="E7" i="3"/>
  <c r="G6" i="3"/>
  <c r="I6" i="3" s="1"/>
  <c r="E6" i="3"/>
  <c r="O36" i="2"/>
  <c r="C35" i="2"/>
  <c r="I33" i="2"/>
  <c r="F33" i="2"/>
  <c r="G33" i="2" s="1"/>
  <c r="F32" i="2"/>
  <c r="F31" i="2"/>
  <c r="G31" i="2" s="1"/>
  <c r="I30" i="2"/>
  <c r="F30" i="2"/>
  <c r="G30" i="2" s="1"/>
  <c r="I29" i="2"/>
  <c r="F29" i="2"/>
  <c r="G29" i="2" s="1"/>
  <c r="I28" i="2"/>
  <c r="I27" i="2"/>
  <c r="I26" i="2"/>
  <c r="I25" i="2"/>
  <c r="F25" i="2"/>
  <c r="G25" i="2" s="1"/>
  <c r="I24" i="2"/>
  <c r="F17" i="2"/>
  <c r="D17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G7" i="2"/>
  <c r="E7" i="2"/>
  <c r="G6" i="2"/>
  <c r="I6" i="2" s="1"/>
  <c r="E6" i="2"/>
  <c r="E17" i="7" l="1"/>
  <c r="J27" i="7"/>
  <c r="J24" i="7"/>
  <c r="J8" i="7"/>
  <c r="J10" i="7"/>
  <c r="J12" i="7"/>
  <c r="J31" i="7"/>
  <c r="G27" i="7"/>
  <c r="H27" i="7" s="1"/>
  <c r="J14" i="7"/>
  <c r="H26" i="7"/>
  <c r="I35" i="7"/>
  <c r="H28" i="7"/>
  <c r="H30" i="7"/>
  <c r="J32" i="7"/>
  <c r="J33" i="7"/>
  <c r="G32" i="7"/>
  <c r="H32" i="7" s="1"/>
  <c r="G24" i="7"/>
  <c r="H25" i="7" s="1"/>
  <c r="J25" i="7"/>
  <c r="F35" i="7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J7" i="7"/>
  <c r="J17" i="7" s="1"/>
  <c r="J9" i="7"/>
  <c r="J11" i="7"/>
  <c r="J13" i="7"/>
  <c r="J15" i="7"/>
  <c r="N6" i="6"/>
  <c r="S6" i="6" s="1"/>
  <c r="U6" i="6" s="1"/>
  <c r="J26" i="6"/>
  <c r="J8" i="6"/>
  <c r="E17" i="6"/>
  <c r="J33" i="6"/>
  <c r="F35" i="6"/>
  <c r="O26" i="6" s="1"/>
  <c r="O27" i="6" s="1"/>
  <c r="O28" i="6" s="1"/>
  <c r="O29" i="6" s="1"/>
  <c r="O30" i="6" s="1"/>
  <c r="O31" i="6" s="1"/>
  <c r="O32" i="6" s="1"/>
  <c r="O33" i="6" s="1"/>
  <c r="J31" i="6"/>
  <c r="J25" i="6"/>
  <c r="J27" i="6"/>
  <c r="J32" i="6"/>
  <c r="I35" i="6"/>
  <c r="H33" i="6"/>
  <c r="H30" i="6"/>
  <c r="J11" i="6"/>
  <c r="J10" i="6"/>
  <c r="H28" i="6"/>
  <c r="H25" i="6"/>
  <c r="J7" i="6"/>
  <c r="J9" i="6"/>
  <c r="J12" i="6"/>
  <c r="J13" i="6"/>
  <c r="J14" i="6"/>
  <c r="J15" i="6"/>
  <c r="E17" i="5"/>
  <c r="J32" i="5"/>
  <c r="J33" i="5"/>
  <c r="J31" i="5"/>
  <c r="H31" i="5"/>
  <c r="H33" i="5"/>
  <c r="H32" i="5"/>
  <c r="J12" i="5"/>
  <c r="H30" i="5"/>
  <c r="J11" i="5"/>
  <c r="H29" i="5"/>
  <c r="I35" i="5"/>
  <c r="J26" i="5"/>
  <c r="J7" i="5"/>
  <c r="J8" i="5"/>
  <c r="I7" i="5"/>
  <c r="I8" i="5"/>
  <c r="J9" i="5"/>
  <c r="J10" i="5"/>
  <c r="I9" i="5"/>
  <c r="I10" i="5"/>
  <c r="I11" i="5"/>
  <c r="I12" i="5"/>
  <c r="J13" i="5"/>
  <c r="J14" i="5"/>
  <c r="I13" i="5"/>
  <c r="I14" i="5"/>
  <c r="J15" i="5"/>
  <c r="J9" i="4"/>
  <c r="J13" i="4"/>
  <c r="J15" i="4"/>
  <c r="G35" i="4"/>
  <c r="E17" i="4"/>
  <c r="J32" i="3"/>
  <c r="J33" i="4"/>
  <c r="F35" i="4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J31" i="4"/>
  <c r="J25" i="4"/>
  <c r="H33" i="4"/>
  <c r="J32" i="4"/>
  <c r="H32" i="4"/>
  <c r="H30" i="4"/>
  <c r="H28" i="4"/>
  <c r="J27" i="4"/>
  <c r="I35" i="4"/>
  <c r="H26" i="4"/>
  <c r="J7" i="4"/>
  <c r="H25" i="4"/>
  <c r="J8" i="4"/>
  <c r="J10" i="4"/>
  <c r="J11" i="4"/>
  <c r="J12" i="4"/>
  <c r="E17" i="3"/>
  <c r="J8" i="3"/>
  <c r="J33" i="3"/>
  <c r="F35" i="3"/>
  <c r="O26" i="3" s="1"/>
  <c r="O27" i="3" s="1"/>
  <c r="O28" i="3" s="1"/>
  <c r="O29" i="3" s="1"/>
  <c r="O30" i="3" s="1"/>
  <c r="O31" i="3" s="1"/>
  <c r="O32" i="3" s="1"/>
  <c r="O33" i="3" s="1"/>
  <c r="G32" i="3"/>
  <c r="H33" i="3" s="1"/>
  <c r="J31" i="3"/>
  <c r="H30" i="3"/>
  <c r="J25" i="3"/>
  <c r="H25" i="3"/>
  <c r="J10" i="3"/>
  <c r="H28" i="3"/>
  <c r="J27" i="3"/>
  <c r="I35" i="3"/>
  <c r="H26" i="3"/>
  <c r="J7" i="3"/>
  <c r="J9" i="3"/>
  <c r="J11" i="3"/>
  <c r="J12" i="3"/>
  <c r="J13" i="3"/>
  <c r="J14" i="3"/>
  <c r="J15" i="3"/>
  <c r="J32" i="2"/>
  <c r="J15" i="2"/>
  <c r="J13" i="2"/>
  <c r="J11" i="2"/>
  <c r="I35" i="2"/>
  <c r="J27" i="2"/>
  <c r="J9" i="2"/>
  <c r="G32" i="2"/>
  <c r="H33" i="2" s="1"/>
  <c r="J31" i="2"/>
  <c r="H30" i="2"/>
  <c r="J7" i="2"/>
  <c r="H26" i="2"/>
  <c r="G27" i="2"/>
  <c r="F35" i="2"/>
  <c r="O24" i="2" s="1"/>
  <c r="E17" i="2"/>
  <c r="H25" i="2"/>
  <c r="J8" i="2"/>
  <c r="J10" i="2"/>
  <c r="J12" i="2"/>
  <c r="J14" i="2"/>
  <c r="J25" i="2"/>
  <c r="J33" i="2"/>
  <c r="J28" i="7"/>
  <c r="J30" i="7"/>
  <c r="H29" i="7"/>
  <c r="H31" i="7"/>
  <c r="J29" i="7"/>
  <c r="J26" i="7"/>
  <c r="G17" i="7"/>
  <c r="I7" i="7"/>
  <c r="I8" i="7"/>
  <c r="I9" i="7"/>
  <c r="I10" i="7"/>
  <c r="I11" i="7"/>
  <c r="I12" i="7"/>
  <c r="I13" i="7"/>
  <c r="I14" i="7"/>
  <c r="I15" i="7"/>
  <c r="N6" i="7"/>
  <c r="J28" i="6"/>
  <c r="J30" i="6"/>
  <c r="H32" i="6"/>
  <c r="H29" i="6"/>
  <c r="H31" i="6"/>
  <c r="J29" i="6"/>
  <c r="G17" i="6"/>
  <c r="G26" i="6"/>
  <c r="H26" i="6" s="1"/>
  <c r="I7" i="6"/>
  <c r="I8" i="6"/>
  <c r="I9" i="6"/>
  <c r="I10" i="6"/>
  <c r="I11" i="6"/>
  <c r="I12" i="6"/>
  <c r="I13" i="6"/>
  <c r="I14" i="6"/>
  <c r="I15" i="6"/>
  <c r="J24" i="6"/>
  <c r="J27" i="5"/>
  <c r="J24" i="5"/>
  <c r="G24" i="5"/>
  <c r="F35" i="5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J25" i="5"/>
  <c r="H28" i="5"/>
  <c r="G17" i="5"/>
  <c r="G26" i="5"/>
  <c r="H26" i="5" s="1"/>
  <c r="J28" i="5"/>
  <c r="J29" i="5"/>
  <c r="J30" i="5"/>
  <c r="N6" i="5"/>
  <c r="J28" i="4"/>
  <c r="J30" i="4"/>
  <c r="H27" i="4"/>
  <c r="H29" i="4"/>
  <c r="H31" i="4"/>
  <c r="J29" i="4"/>
  <c r="J26" i="4"/>
  <c r="G17" i="4"/>
  <c r="I7" i="4"/>
  <c r="I8" i="4"/>
  <c r="I9" i="4"/>
  <c r="I10" i="4"/>
  <c r="I11" i="4"/>
  <c r="I12" i="4"/>
  <c r="I13" i="4"/>
  <c r="I14" i="4"/>
  <c r="I15" i="4"/>
  <c r="J24" i="4"/>
  <c r="N6" i="4"/>
  <c r="J28" i="3"/>
  <c r="J30" i="3"/>
  <c r="H27" i="3"/>
  <c r="H29" i="3"/>
  <c r="H31" i="3"/>
  <c r="J29" i="3"/>
  <c r="J26" i="3"/>
  <c r="G17" i="3"/>
  <c r="U6" i="3"/>
  <c r="I7" i="3"/>
  <c r="I8" i="3"/>
  <c r="I9" i="3"/>
  <c r="I10" i="3"/>
  <c r="I11" i="3"/>
  <c r="I12" i="3"/>
  <c r="I13" i="3"/>
  <c r="I14" i="3"/>
  <c r="I15" i="3"/>
  <c r="J24" i="3"/>
  <c r="J28" i="2"/>
  <c r="J30" i="2"/>
  <c r="H29" i="2"/>
  <c r="H31" i="2"/>
  <c r="J29" i="2"/>
  <c r="J26" i="2"/>
  <c r="G17" i="2"/>
  <c r="I7" i="2"/>
  <c r="I8" i="2"/>
  <c r="I9" i="2"/>
  <c r="I10" i="2"/>
  <c r="I11" i="2"/>
  <c r="I12" i="2"/>
  <c r="I13" i="2"/>
  <c r="I14" i="2"/>
  <c r="I15" i="2"/>
  <c r="J24" i="2"/>
  <c r="N6" i="2"/>
  <c r="O36" i="1"/>
  <c r="D29" i="1"/>
  <c r="F29" i="1" s="1"/>
  <c r="G29" i="1" s="1"/>
  <c r="C35" i="1"/>
  <c r="D30" i="1"/>
  <c r="F30" i="1" s="1"/>
  <c r="G30" i="1" s="1"/>
  <c r="D28" i="1"/>
  <c r="F28" i="1" s="1"/>
  <c r="G28" i="1" s="1"/>
  <c r="D27" i="1"/>
  <c r="F27" i="1" s="1"/>
  <c r="G27" i="1" s="1"/>
  <c r="D26" i="1"/>
  <c r="F26" i="1" s="1"/>
  <c r="G26" i="1" s="1"/>
  <c r="D25" i="1"/>
  <c r="F25" i="1" s="1"/>
  <c r="F31" i="1"/>
  <c r="G31" i="1" s="1"/>
  <c r="F32" i="1"/>
  <c r="G32" i="1" s="1"/>
  <c r="F33" i="1"/>
  <c r="G33" i="1" s="1"/>
  <c r="I25" i="1"/>
  <c r="I26" i="1"/>
  <c r="I27" i="1"/>
  <c r="I28" i="1"/>
  <c r="I29" i="1"/>
  <c r="I30" i="1"/>
  <c r="I31" i="1"/>
  <c r="I32" i="1"/>
  <c r="I33" i="1"/>
  <c r="I24" i="1"/>
  <c r="D24" i="1"/>
  <c r="F24" i="1" s="1"/>
  <c r="F17" i="1"/>
  <c r="D17" i="1"/>
  <c r="C17" i="1"/>
  <c r="G15" i="1"/>
  <c r="I15" i="1" s="1"/>
  <c r="E15" i="1"/>
  <c r="E6" i="1"/>
  <c r="G6" i="1"/>
  <c r="I6" i="1" s="1"/>
  <c r="E7" i="1"/>
  <c r="G7" i="1"/>
  <c r="I7" i="1" s="1"/>
  <c r="E8" i="1"/>
  <c r="G8" i="1"/>
  <c r="I8" i="1" s="1"/>
  <c r="E9" i="1"/>
  <c r="G9" i="1"/>
  <c r="I9" i="1" s="1"/>
  <c r="E10" i="1"/>
  <c r="G10" i="1"/>
  <c r="I10" i="1" s="1"/>
  <c r="J35" i="7" l="1"/>
  <c r="N24" i="7"/>
  <c r="N25" i="7" s="1"/>
  <c r="N26" i="7" s="1"/>
  <c r="N27" i="7" s="1"/>
  <c r="N28" i="7" s="1"/>
  <c r="N29" i="7" s="1"/>
  <c r="N30" i="7" s="1"/>
  <c r="N31" i="7" s="1"/>
  <c r="N32" i="7" s="1"/>
  <c r="N33" i="7" s="1"/>
  <c r="G35" i="7"/>
  <c r="H35" i="7"/>
  <c r="O7" i="7" s="1"/>
  <c r="O8" i="7" s="1"/>
  <c r="O9" i="7" s="1"/>
  <c r="O10" i="7" s="1"/>
  <c r="O11" i="7" s="1"/>
  <c r="O12" i="7" s="1"/>
  <c r="O13" i="7" s="1"/>
  <c r="O14" i="7" s="1"/>
  <c r="O15" i="7" s="1"/>
  <c r="H33" i="7"/>
  <c r="I17" i="7"/>
  <c r="N24" i="6"/>
  <c r="N25" i="6" s="1"/>
  <c r="N26" i="6" s="1"/>
  <c r="N27" i="6" s="1"/>
  <c r="N28" i="6" s="1"/>
  <c r="N29" i="6" s="1"/>
  <c r="N30" i="6" s="1"/>
  <c r="N31" i="6" s="1"/>
  <c r="N32" i="6" s="1"/>
  <c r="N33" i="6" s="1"/>
  <c r="I17" i="6"/>
  <c r="I17" i="5"/>
  <c r="G35" i="5"/>
  <c r="N24" i="5"/>
  <c r="N25" i="5" s="1"/>
  <c r="N26" i="5" s="1"/>
  <c r="N27" i="5" s="1"/>
  <c r="N28" i="5" s="1"/>
  <c r="N29" i="5" s="1"/>
  <c r="N30" i="5" s="1"/>
  <c r="N31" i="5" s="1"/>
  <c r="N32" i="5" s="1"/>
  <c r="N33" i="5" s="1"/>
  <c r="H27" i="5"/>
  <c r="H25" i="5"/>
  <c r="N24" i="4"/>
  <c r="N25" i="4" s="1"/>
  <c r="N26" i="4" s="1"/>
  <c r="N27" i="4" s="1"/>
  <c r="N28" i="4" s="1"/>
  <c r="N29" i="4" s="1"/>
  <c r="N30" i="4" s="1"/>
  <c r="N31" i="4" s="1"/>
  <c r="N32" i="4" s="1"/>
  <c r="N33" i="4" s="1"/>
  <c r="J17" i="4"/>
  <c r="G35" i="3"/>
  <c r="H35" i="4"/>
  <c r="O7" i="4" s="1"/>
  <c r="O8" i="4" s="1"/>
  <c r="O9" i="4" s="1"/>
  <c r="O10" i="4" s="1"/>
  <c r="O11" i="4" s="1"/>
  <c r="O12" i="4" s="1"/>
  <c r="O13" i="4" s="1"/>
  <c r="O14" i="4" s="1"/>
  <c r="O15" i="4" s="1"/>
  <c r="I17" i="4"/>
  <c r="N24" i="3"/>
  <c r="N25" i="3" s="1"/>
  <c r="N26" i="3" s="1"/>
  <c r="N27" i="3" s="1"/>
  <c r="N28" i="3" s="1"/>
  <c r="N29" i="3" s="1"/>
  <c r="N30" i="3" s="1"/>
  <c r="N31" i="3" s="1"/>
  <c r="N32" i="3" s="1"/>
  <c r="N33" i="3" s="1"/>
  <c r="H32" i="3"/>
  <c r="H35" i="3" s="1"/>
  <c r="O7" i="3" s="1"/>
  <c r="O8" i="3" s="1"/>
  <c r="O9" i="3" s="1"/>
  <c r="O10" i="3" s="1"/>
  <c r="O11" i="3" s="1"/>
  <c r="O12" i="3" s="1"/>
  <c r="O13" i="3" s="1"/>
  <c r="O14" i="3" s="1"/>
  <c r="O15" i="3" s="1"/>
  <c r="J35" i="3"/>
  <c r="I17" i="3"/>
  <c r="H32" i="2"/>
  <c r="G35" i="2"/>
  <c r="J17" i="2"/>
  <c r="I17" i="2"/>
  <c r="H27" i="2"/>
  <c r="H28" i="2"/>
  <c r="S6" i="7"/>
  <c r="H27" i="6"/>
  <c r="H35" i="6" s="1"/>
  <c r="O7" i="6" s="1"/>
  <c r="J35" i="6"/>
  <c r="G35" i="6"/>
  <c r="S6" i="5"/>
  <c r="J35" i="5"/>
  <c r="J35" i="4"/>
  <c r="O35" i="4" s="1"/>
  <c r="O37" i="4" s="1"/>
  <c r="U29" i="4" s="1"/>
  <c r="S6" i="4"/>
  <c r="J35" i="2"/>
  <c r="S6" i="2"/>
  <c r="J33" i="1"/>
  <c r="J26" i="1"/>
  <c r="J27" i="1"/>
  <c r="J30" i="1"/>
  <c r="J32" i="1"/>
  <c r="J28" i="1"/>
  <c r="J31" i="1"/>
  <c r="G24" i="1"/>
  <c r="J24" i="1"/>
  <c r="G25" i="1"/>
  <c r="H26" i="1" s="1"/>
  <c r="J25" i="1"/>
  <c r="I35" i="1"/>
  <c r="F35" i="1"/>
  <c r="N24" i="1"/>
  <c r="N25" i="1" s="1"/>
  <c r="N26" i="1" s="1"/>
  <c r="N27" i="1" s="1"/>
  <c r="N28" i="1" s="1"/>
  <c r="N29" i="1" s="1"/>
  <c r="N30" i="1" s="1"/>
  <c r="N31" i="1" s="1"/>
  <c r="N32" i="1" s="1"/>
  <c r="N33" i="1" s="1"/>
  <c r="G17" i="1"/>
  <c r="J29" i="1"/>
  <c r="H33" i="1"/>
  <c r="H31" i="1"/>
  <c r="H27" i="1"/>
  <c r="H29" i="1"/>
  <c r="H32" i="1"/>
  <c r="H28" i="1"/>
  <c r="H30" i="1"/>
  <c r="J10" i="1"/>
  <c r="J9" i="1"/>
  <c r="J8" i="1"/>
  <c r="J7" i="1"/>
  <c r="G11" i="1"/>
  <c r="G12" i="1"/>
  <c r="G13" i="1"/>
  <c r="I13" i="1" s="1"/>
  <c r="G14" i="1"/>
  <c r="J15" i="1" s="1"/>
  <c r="E11" i="1"/>
  <c r="E12" i="1"/>
  <c r="E13" i="1"/>
  <c r="E14" i="1"/>
  <c r="O35" i="7" l="1"/>
  <c r="O37" i="7" s="1"/>
  <c r="U29" i="7" s="1"/>
  <c r="N7" i="7"/>
  <c r="N8" i="7" s="1"/>
  <c r="O35" i="6"/>
  <c r="O37" i="6" s="1"/>
  <c r="U29" i="6" s="1"/>
  <c r="H35" i="5"/>
  <c r="O7" i="5" s="1"/>
  <c r="O8" i="5" s="1"/>
  <c r="O9" i="5" s="1"/>
  <c r="O10" i="5" s="1"/>
  <c r="O11" i="5" s="1"/>
  <c r="O12" i="5" s="1"/>
  <c r="O13" i="5" s="1"/>
  <c r="O14" i="5" s="1"/>
  <c r="O15" i="5" s="1"/>
  <c r="O35" i="5"/>
  <c r="O37" i="5" s="1"/>
  <c r="U29" i="5" s="1"/>
  <c r="O35" i="3"/>
  <c r="O37" i="3" s="1"/>
  <c r="U29" i="3" s="1"/>
  <c r="N7" i="4"/>
  <c r="N8" i="4" s="1"/>
  <c r="N8" i="3"/>
  <c r="H35" i="2"/>
  <c r="U6" i="7"/>
  <c r="O8" i="6"/>
  <c r="O9" i="6" s="1"/>
  <c r="O10" i="6" s="1"/>
  <c r="O11" i="6" s="1"/>
  <c r="O12" i="6" s="1"/>
  <c r="O13" i="6" s="1"/>
  <c r="O14" i="6" s="1"/>
  <c r="O15" i="6" s="1"/>
  <c r="U6" i="5"/>
  <c r="U6" i="4"/>
  <c r="U6" i="2"/>
  <c r="G35" i="1"/>
  <c r="H25" i="1"/>
  <c r="H35" i="1" s="1"/>
  <c r="O7" i="1" s="1"/>
  <c r="O8" i="1" s="1"/>
  <c r="O9" i="1" s="1"/>
  <c r="O10" i="1" s="1"/>
  <c r="O11" i="1" s="1"/>
  <c r="O12" i="1" s="1"/>
  <c r="O13" i="1" s="1"/>
  <c r="O14" i="1" s="1"/>
  <c r="O15" i="1" s="1"/>
  <c r="J35" i="1"/>
  <c r="O35" i="1" s="1"/>
  <c r="O37" i="1" s="1"/>
  <c r="U29" i="1" s="1"/>
  <c r="E17" i="1"/>
  <c r="J11" i="1"/>
  <c r="N6" i="1"/>
  <c r="S6" i="1" s="1"/>
  <c r="J12" i="1"/>
  <c r="J13" i="1"/>
  <c r="I11" i="1"/>
  <c r="I14" i="1"/>
  <c r="J14" i="1"/>
  <c r="I12" i="1"/>
  <c r="S7" i="7" l="1"/>
  <c r="U7" i="7" s="1"/>
  <c r="N7" i="5"/>
  <c r="N8" i="5" s="1"/>
  <c r="N9" i="5" s="1"/>
  <c r="S7" i="4"/>
  <c r="U7" i="4" s="1"/>
  <c r="S7" i="3"/>
  <c r="U7" i="3" s="1"/>
  <c r="O7" i="2"/>
  <c r="O8" i="2" s="1"/>
  <c r="O9" i="2" s="1"/>
  <c r="O10" i="2" s="1"/>
  <c r="O11" i="2" s="1"/>
  <c r="O12" i="2" s="1"/>
  <c r="O13" i="2" s="1"/>
  <c r="O14" i="2" s="1"/>
  <c r="O15" i="2" s="1"/>
  <c r="S8" i="7"/>
  <c r="U8" i="7" s="1"/>
  <c r="N9" i="7"/>
  <c r="N8" i="6"/>
  <c r="S7" i="6"/>
  <c r="S8" i="4"/>
  <c r="U8" i="4" s="1"/>
  <c r="N9" i="4"/>
  <c r="S8" i="3"/>
  <c r="U8" i="3" s="1"/>
  <c r="N9" i="3"/>
  <c r="N7" i="1"/>
  <c r="N8" i="1" s="1"/>
  <c r="U6" i="1"/>
  <c r="I17" i="1"/>
  <c r="S8" i="5" l="1"/>
  <c r="U8" i="5" s="1"/>
  <c r="S7" i="5"/>
  <c r="U7" i="5" s="1"/>
  <c r="N7" i="2"/>
  <c r="S7" i="2" s="1"/>
  <c r="U7" i="2" s="1"/>
  <c r="O25" i="2"/>
  <c r="O26" i="2" s="1"/>
  <c r="O27" i="2" s="1"/>
  <c r="O28" i="2" s="1"/>
  <c r="O29" i="2" s="1"/>
  <c r="O30" i="2" s="1"/>
  <c r="O31" i="2" s="1"/>
  <c r="O32" i="2" s="1"/>
  <c r="O33" i="2" s="1"/>
  <c r="N24" i="2"/>
  <c r="S9" i="7"/>
  <c r="U9" i="7" s="1"/>
  <c r="N10" i="7"/>
  <c r="U7" i="6"/>
  <c r="S8" i="6"/>
  <c r="U8" i="6" s="1"/>
  <c r="N9" i="6"/>
  <c r="S9" i="5"/>
  <c r="U9" i="5" s="1"/>
  <c r="N10" i="5"/>
  <c r="S9" i="4"/>
  <c r="U9" i="4" s="1"/>
  <c r="N10" i="4"/>
  <c r="S9" i="3"/>
  <c r="N10" i="3"/>
  <c r="S7" i="1"/>
  <c r="U7" i="1" s="1"/>
  <c r="N9" i="1"/>
  <c r="S8" i="1"/>
  <c r="U8" i="1" s="1"/>
  <c r="N8" i="2" l="1"/>
  <c r="N9" i="2" s="1"/>
  <c r="N25" i="2"/>
  <c r="N26" i="2" s="1"/>
  <c r="N27" i="2" s="1"/>
  <c r="N28" i="2" s="1"/>
  <c r="N29" i="2" s="1"/>
  <c r="N30" i="2" s="1"/>
  <c r="N31" i="2" s="1"/>
  <c r="N32" i="2" s="1"/>
  <c r="N33" i="2" s="1"/>
  <c r="O35" i="2" s="1"/>
  <c r="O37" i="2" s="1"/>
  <c r="U29" i="2" s="1"/>
  <c r="S10" i="7"/>
  <c r="U10" i="7" s="1"/>
  <c r="N11" i="7"/>
  <c r="N10" i="6"/>
  <c r="S9" i="6"/>
  <c r="U9" i="6" s="1"/>
  <c r="N11" i="5"/>
  <c r="S10" i="5"/>
  <c r="U10" i="5" s="1"/>
  <c r="S10" i="4"/>
  <c r="U10" i="4" s="1"/>
  <c r="N11" i="4"/>
  <c r="N11" i="3"/>
  <c r="S10" i="3"/>
  <c r="U10" i="3" s="1"/>
  <c r="U9" i="3"/>
  <c r="N10" i="1"/>
  <c r="S9" i="1"/>
  <c r="S8" i="2" l="1"/>
  <c r="U8" i="2" s="1"/>
  <c r="S9" i="2"/>
  <c r="U9" i="2" s="1"/>
  <c r="N10" i="2"/>
  <c r="S11" i="7"/>
  <c r="N12" i="7"/>
  <c r="N11" i="6"/>
  <c r="S10" i="6"/>
  <c r="N12" i="5"/>
  <c r="S11" i="5"/>
  <c r="S11" i="4"/>
  <c r="N12" i="4"/>
  <c r="S11" i="3"/>
  <c r="N12" i="3"/>
  <c r="U9" i="1"/>
  <c r="N11" i="1"/>
  <c r="S10" i="1"/>
  <c r="U10" i="1" s="1"/>
  <c r="N11" i="2" l="1"/>
  <c r="S10" i="2"/>
  <c r="U10" i="2" s="1"/>
  <c r="S12" i="7"/>
  <c r="U12" i="7" s="1"/>
  <c r="N13" i="7"/>
  <c r="U11" i="7"/>
  <c r="U10" i="6"/>
  <c r="S11" i="6"/>
  <c r="U11" i="6" s="1"/>
  <c r="N12" i="6"/>
  <c r="U11" i="5"/>
  <c r="S12" i="5"/>
  <c r="U12" i="5" s="1"/>
  <c r="N13" i="5"/>
  <c r="S12" i="4"/>
  <c r="U12" i="4" s="1"/>
  <c r="N13" i="4"/>
  <c r="U11" i="4"/>
  <c r="S12" i="3"/>
  <c r="U12" i="3" s="1"/>
  <c r="N13" i="3"/>
  <c r="U11" i="3"/>
  <c r="N12" i="1"/>
  <c r="S11" i="1"/>
  <c r="U11" i="1" s="1"/>
  <c r="S11" i="2" l="1"/>
  <c r="U11" i="2" s="1"/>
  <c r="N12" i="2"/>
  <c r="S13" i="7"/>
  <c r="U13" i="7" s="1"/>
  <c r="N14" i="7"/>
  <c r="N13" i="6"/>
  <c r="S12" i="6"/>
  <c r="U12" i="6" s="1"/>
  <c r="S13" i="5"/>
  <c r="U13" i="5" s="1"/>
  <c r="N14" i="5"/>
  <c r="S13" i="4"/>
  <c r="U13" i="4" s="1"/>
  <c r="N14" i="4"/>
  <c r="S13" i="3"/>
  <c r="U13" i="3" s="1"/>
  <c r="N14" i="3"/>
  <c r="N13" i="1"/>
  <c r="S12" i="1"/>
  <c r="U12" i="1" s="1"/>
  <c r="N13" i="2" l="1"/>
  <c r="S12" i="2"/>
  <c r="U12" i="2" s="1"/>
  <c r="N15" i="7"/>
  <c r="S14" i="7"/>
  <c r="U14" i="7" s="1"/>
  <c r="S13" i="6"/>
  <c r="U13" i="6" s="1"/>
  <c r="N14" i="6"/>
  <c r="N15" i="5"/>
  <c r="S14" i="5"/>
  <c r="U14" i="5" s="1"/>
  <c r="N15" i="4"/>
  <c r="S14" i="4"/>
  <c r="U14" i="4" s="1"/>
  <c r="N15" i="3"/>
  <c r="S14" i="3"/>
  <c r="U14" i="3" s="1"/>
  <c r="N14" i="1"/>
  <c r="S13" i="1"/>
  <c r="U13" i="1" s="1"/>
  <c r="S13" i="2" l="1"/>
  <c r="U13" i="2" s="1"/>
  <c r="N14" i="2"/>
  <c r="S15" i="7"/>
  <c r="O17" i="7"/>
  <c r="U28" i="7" s="1"/>
  <c r="U30" i="7" s="1"/>
  <c r="T15" i="7" s="1"/>
  <c r="U19" i="7" s="1"/>
  <c r="N15" i="6"/>
  <c r="S14" i="6"/>
  <c r="U14" i="6" s="1"/>
  <c r="S15" i="5"/>
  <c r="O17" i="5"/>
  <c r="U28" i="5" s="1"/>
  <c r="U30" i="5" s="1"/>
  <c r="T15" i="5" s="1"/>
  <c r="U19" i="5" s="1"/>
  <c r="O17" i="4"/>
  <c r="U28" i="4" s="1"/>
  <c r="U30" i="4" s="1"/>
  <c r="T15" i="4" s="1"/>
  <c r="U19" i="4" s="1"/>
  <c r="S15" i="4"/>
  <c r="S15" i="3"/>
  <c r="O17" i="3"/>
  <c r="U28" i="3" s="1"/>
  <c r="U30" i="3" s="1"/>
  <c r="T15" i="3" s="1"/>
  <c r="U19" i="3" s="1"/>
  <c r="N15" i="1"/>
  <c r="S14" i="1"/>
  <c r="U14" i="1" s="1"/>
  <c r="N15" i="2" l="1"/>
  <c r="S14" i="2"/>
  <c r="U14" i="2" s="1"/>
  <c r="U15" i="7"/>
  <c r="U17" i="7" s="1"/>
  <c r="X6" i="7" s="1"/>
  <c r="U21" i="7"/>
  <c r="U18" i="7"/>
  <c r="U20" i="7" s="1"/>
  <c r="O17" i="6"/>
  <c r="U28" i="6" s="1"/>
  <c r="U30" i="6" s="1"/>
  <c r="T15" i="6" s="1"/>
  <c r="U19" i="6" s="1"/>
  <c r="S15" i="6"/>
  <c r="U15" i="5"/>
  <c r="U17" i="5" s="1"/>
  <c r="X6" i="5" s="1"/>
  <c r="U21" i="5"/>
  <c r="U18" i="5"/>
  <c r="U20" i="5" s="1"/>
  <c r="U15" i="4"/>
  <c r="U17" i="4" s="1"/>
  <c r="X6" i="4" s="1"/>
  <c r="U21" i="4"/>
  <c r="U18" i="4"/>
  <c r="U20" i="4" s="1"/>
  <c r="U15" i="3"/>
  <c r="U17" i="3" s="1"/>
  <c r="X6" i="3" s="1"/>
  <c r="U18" i="3"/>
  <c r="U20" i="3" s="1"/>
  <c r="U21" i="3"/>
  <c r="S15" i="1"/>
  <c r="U18" i="1" s="1"/>
  <c r="O17" i="1"/>
  <c r="U28" i="1" s="1"/>
  <c r="U30" i="1" s="1"/>
  <c r="T15" i="1" s="1"/>
  <c r="U21" i="1" s="1"/>
  <c r="O17" i="2" l="1"/>
  <c r="U28" i="2" s="1"/>
  <c r="U30" i="2" s="1"/>
  <c r="T15" i="2" s="1"/>
  <c r="U19" i="2" s="1"/>
  <c r="S15" i="2"/>
  <c r="U15" i="6"/>
  <c r="U17" i="6" s="1"/>
  <c r="X6" i="6" s="1"/>
  <c r="U21" i="6"/>
  <c r="U18" i="6"/>
  <c r="U20" i="6" s="1"/>
  <c r="U15" i="1"/>
  <c r="U17" i="1" s="1"/>
  <c r="X6" i="1" s="1"/>
  <c r="U19" i="1"/>
  <c r="U20" i="1" s="1"/>
  <c r="U15" i="2" l="1"/>
  <c r="U17" i="2" s="1"/>
  <c r="X6" i="2" s="1"/>
  <c r="U18" i="2"/>
  <c r="U20" i="2" s="1"/>
  <c r="U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Dana Lain</author>
  </authors>
  <commentList>
    <comment ref="C4" authorId="0" shapeId="0" xr:uid="{30E086FA-EA3E-46A2-988B-05C3609C8243}">
      <text>
        <r>
          <rPr>
            <b/>
            <sz val="9"/>
            <color indexed="81"/>
            <rFont val="Tahoma"/>
            <family val="2"/>
          </rPr>
          <t>Dana Lain:</t>
        </r>
        <r>
          <rPr>
            <sz val="9"/>
            <color indexed="81"/>
            <rFont val="Tahoma"/>
            <family val="2"/>
          </rPr>
          <t xml:space="preserve">
Go to SEC.GOV &gt; 10K Filing &gt; EX.13 for the old 10K. It's tricky to find. Just need to dig a little deeper.</t>
        </r>
      </text>
    </comment>
    <comment ref="N6" authorId="0" shapeId="0" xr:uid="{CEF5521F-AEC5-46A0-9666-67C4201986BD}">
      <text>
        <r>
          <rPr>
            <b/>
            <sz val="9"/>
            <color indexed="81"/>
            <rFont val="Tahoma"/>
            <family val="2"/>
          </rPr>
          <t>Dana Lain:</t>
        </r>
        <r>
          <rPr>
            <sz val="9"/>
            <color indexed="81"/>
            <rFont val="Tahoma"/>
            <family val="2"/>
          </rPr>
          <t xml:space="preserve">
Wells Fargo suffered a lot through 2020. So, I am not growing it for 2021 to hedge my risk.</t>
        </r>
      </text>
    </comment>
    <comment ref="O24" authorId="0" shapeId="0" xr:uid="{FBD22715-133E-48DF-BFD0-66C7DB6E1066}">
      <text>
        <r>
          <rPr>
            <b/>
            <sz val="9"/>
            <color indexed="81"/>
            <rFont val="Tahoma"/>
            <family val="2"/>
          </rPr>
          <t>Dana Lain:</t>
        </r>
        <r>
          <rPr>
            <sz val="9"/>
            <color indexed="81"/>
            <rFont val="Tahoma"/>
            <family val="2"/>
          </rPr>
          <t xml:space="preserve">
Wells Fargo suffered a lot through 2020. So, I am not growing it for 2021 to hedge my risk.</t>
        </r>
      </text>
    </comment>
  </commentList>
</comments>
</file>

<file path=xl/sharedStrings.xml><?xml version="1.0" encoding="utf-8"?>
<sst xmlns="http://schemas.openxmlformats.org/spreadsheetml/2006/main" count="384" uniqueCount="56">
  <si>
    <t>Bank of America</t>
  </si>
  <si>
    <t>Year</t>
  </si>
  <si>
    <t>Shares</t>
  </si>
  <si>
    <t>Net
Income</t>
  </si>
  <si>
    <t>NI
Margin</t>
  </si>
  <si>
    <t>Earning /
Share</t>
  </si>
  <si>
    <t>Price
$/Share</t>
  </si>
  <si>
    <t>Earnings
Yield</t>
  </si>
  <si>
    <t>Earnings
Growth</t>
  </si>
  <si>
    <t>Total
Revenue</t>
  </si>
  <si>
    <t>(in Millions except per share)</t>
  </si>
  <si>
    <t>Total Assets</t>
  </si>
  <si>
    <t>Less: GW &amp; Ints.</t>
  </si>
  <si>
    <t>Less: TL</t>
  </si>
  <si>
    <t>Book
Value</t>
  </si>
  <si>
    <t>BV /
Share</t>
  </si>
  <si>
    <t>BV / Share
Growth</t>
  </si>
  <si>
    <t>Market
Cap</t>
  </si>
  <si>
    <t>Price /
Book</t>
  </si>
  <si>
    <t>Income Statement Analysis</t>
  </si>
  <si>
    <t>Balance Sheet Analysis</t>
  </si>
  <si>
    <t>BV 2030</t>
  </si>
  <si>
    <t>Principle Investment and Exit Share Price Assumptions</t>
  </si>
  <si>
    <t>Purchase $ / Share Price</t>
  </si>
  <si>
    <t xml:space="preserve">  Fully Diluted Shares</t>
  </si>
  <si>
    <t>Stock Price 2030</t>
  </si>
  <si>
    <t>Forecast</t>
  </si>
  <si>
    <t>Earnings /
Share</t>
  </si>
  <si>
    <t>Weighting</t>
  </si>
  <si>
    <t>$ / Share</t>
  </si>
  <si>
    <t>NI Price 2030</t>
  </si>
  <si>
    <t>BV Multiple 2030</t>
  </si>
  <si>
    <t>Date</t>
  </si>
  <si>
    <t>Principal
Investment</t>
  </si>
  <si>
    <t>Total
Cash Flow</t>
  </si>
  <si>
    <t>Earnings / Share</t>
  </si>
  <si>
    <t>IRR Calculation</t>
  </si>
  <si>
    <t>IRR</t>
  </si>
  <si>
    <t xml:space="preserve">   Stock Gain</t>
  </si>
  <si>
    <t xml:space="preserve">   Cash Distributed</t>
  </si>
  <si>
    <t>Total Gains</t>
  </si>
  <si>
    <t>Cash on Cash Return</t>
  </si>
  <si>
    <t>What If</t>
  </si>
  <si>
    <t>Wells Fargo</t>
  </si>
  <si>
    <t>Citigroup</t>
  </si>
  <si>
    <t>US Bancorp</t>
  </si>
  <si>
    <t>Capital One</t>
  </si>
  <si>
    <t>Goldman Sachs</t>
  </si>
  <si>
    <t>J.P. Morgan</t>
  </si>
  <si>
    <t>JP Morgan Intrinsic Value Forecast</t>
  </si>
  <si>
    <t>Bank of America Intrinsic Value Forecast</t>
  </si>
  <si>
    <t>Wells Fargo Intrinsic Value Forecast</t>
  </si>
  <si>
    <t>Citigroup Intrinsic Value Forecast</t>
  </si>
  <si>
    <t>US Bancorp Intrinsic Value Forecast</t>
  </si>
  <si>
    <t>Capital One Intrinsic Value Forecast</t>
  </si>
  <si>
    <t>Goldman Sachs Intrinsic Value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</si>
</sst>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\x"/>
    <numFmt numFmtId="167" formatCode="0.0\x"/>
    <numFmt numFmtId="168" formatCode="_(&quot;$&quot;* #,##0.0_);_(&quot;$&quot;* \(#,##0.0\);_(&quot;$&quot;* &quot;-&quot;??_);_(@_)"/>
    <numFmt numFmtId="169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249977111117893"/>
      <name val="Calibri"/>
      <family val="2"/>
      <scheme val="minor"/>
    </font>
    <font>
      <b/>
      <sz val="25"/>
      <color theme="1"/>
      <name val="Calibri"/>
      <family val="2"/>
      <scheme val="minor"/>
    </font>
    <font>
      <u/>
      <sz val="25"/>
      <color theme="10"/>
      <name val="Calibri"/>
      <family val="2"/>
      <scheme val="minor"/>
    </font>
    <font>
      <sz val="2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3" fontId="3" fillId="2" borderId="2" xfId="0" applyNumberFormat="1" applyFont="1" applyFill="1" applyBorder="1"/>
    <xf numFmtId="9" fontId="0" fillId="2" borderId="2" xfId="1" applyFont="1" applyFill="1" applyBorder="1"/>
    <xf numFmtId="10" fontId="0" fillId="2" borderId="2" xfId="1" applyNumberFormat="1" applyFont="1" applyFill="1" applyBorder="1"/>
    <xf numFmtId="0" fontId="0" fillId="2" borderId="3" xfId="0" applyFill="1" applyBorder="1"/>
    <xf numFmtId="0" fontId="0" fillId="2" borderId="4" xfId="0" applyFill="1" applyBorder="1"/>
    <xf numFmtId="3" fontId="3" fillId="2" borderId="0" xfId="0" applyNumberFormat="1" applyFont="1" applyFill="1" applyBorder="1"/>
    <xf numFmtId="9" fontId="0" fillId="2" borderId="0" xfId="1" applyFont="1" applyFill="1" applyBorder="1"/>
    <xf numFmtId="10" fontId="0" fillId="2" borderId="0" xfId="1" applyNumberFormat="1" applyFont="1" applyFill="1" applyBorder="1"/>
    <xf numFmtId="164" fontId="0" fillId="2" borderId="5" xfId="1" applyNumberFormat="1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164" fontId="0" fillId="2" borderId="7" xfId="1" applyNumberFormat="1" applyFont="1" applyFill="1" applyBorder="1"/>
    <xf numFmtId="9" fontId="0" fillId="2" borderId="7" xfId="0" applyNumberFormat="1" applyFill="1" applyBorder="1"/>
    <xf numFmtId="0" fontId="0" fillId="2" borderId="7" xfId="0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4" xfId="0" applyFont="1" applyFill="1" applyBorder="1"/>
    <xf numFmtId="165" fontId="0" fillId="2" borderId="2" xfId="2" applyNumberFormat="1" applyFont="1" applyFill="1" applyBorder="1"/>
    <xf numFmtId="165" fontId="0" fillId="2" borderId="0" xfId="2" applyNumberFormat="1" applyFont="1" applyFill="1" applyBorder="1"/>
    <xf numFmtId="164" fontId="0" fillId="2" borderId="2" xfId="1" applyNumberFormat="1" applyFont="1" applyFill="1" applyBorder="1"/>
    <xf numFmtId="164" fontId="0" fillId="2" borderId="0" xfId="1" applyNumberFormat="1" applyFont="1" applyFill="1" applyBorder="1"/>
    <xf numFmtId="167" fontId="0" fillId="2" borderId="3" xfId="0" applyNumberFormat="1" applyFill="1" applyBorder="1"/>
    <xf numFmtId="167" fontId="0" fillId="2" borderId="5" xfId="0" applyNumberFormat="1" applyFill="1" applyBorder="1"/>
    <xf numFmtId="167" fontId="0" fillId="2" borderId="8" xfId="0" applyNumberFormat="1" applyFill="1" applyBorder="1"/>
    <xf numFmtId="0" fontId="2" fillId="2" borderId="6" xfId="0" applyFont="1" applyFill="1" applyBorder="1"/>
    <xf numFmtId="164" fontId="3" fillId="2" borderId="3" xfId="1" applyNumberFormat="1" applyFont="1" applyFill="1" applyBorder="1"/>
    <xf numFmtId="164" fontId="3" fillId="2" borderId="5" xfId="1" applyNumberFormat="1" applyFont="1" applyFill="1" applyBorder="1"/>
    <xf numFmtId="0" fontId="2" fillId="0" borderId="9" xfId="0" applyFont="1" applyFill="1" applyBorder="1" applyAlignment="1">
      <alignment horizontal="center" wrapText="1"/>
    </xf>
    <xf numFmtId="44" fontId="2" fillId="2" borderId="8" xfId="3" applyFont="1" applyFill="1" applyBorder="1"/>
    <xf numFmtId="169" fontId="0" fillId="2" borderId="8" xfId="3" applyNumberFormat="1" applyFont="1" applyFill="1" applyBorder="1"/>
    <xf numFmtId="3" fontId="3" fillId="2" borderId="3" xfId="0" applyNumberFormat="1" applyFont="1" applyFill="1" applyBorder="1"/>
    <xf numFmtId="9" fontId="3" fillId="4" borderId="2" xfId="0" applyNumberFormat="1" applyFont="1" applyFill="1" applyBorder="1"/>
    <xf numFmtId="9" fontId="3" fillId="4" borderId="7" xfId="0" applyNumberFormat="1" applyFont="1" applyFill="1" applyBorder="1"/>
    <xf numFmtId="0" fontId="0" fillId="4" borderId="4" xfId="0" applyFont="1" applyFill="1" applyBorder="1"/>
    <xf numFmtId="0" fontId="0" fillId="4" borderId="0" xfId="0" applyFill="1" applyBorder="1"/>
    <xf numFmtId="44" fontId="3" fillId="4" borderId="5" xfId="3" applyFont="1" applyFill="1" applyBorder="1"/>
    <xf numFmtId="0" fontId="0" fillId="4" borderId="4" xfId="0" applyFill="1" applyBorder="1"/>
    <xf numFmtId="0" fontId="0" fillId="4" borderId="5" xfId="0" applyFill="1" applyBorder="1"/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/>
    <xf numFmtId="44" fontId="0" fillId="4" borderId="3" xfId="0" applyNumberFormat="1" applyFill="1" applyBorder="1"/>
    <xf numFmtId="44" fontId="0" fillId="4" borderId="8" xfId="0" applyNumberFormat="1" applyFill="1" applyBorder="1"/>
    <xf numFmtId="0" fontId="0" fillId="4" borderId="6" xfId="0" applyFill="1" applyBorder="1"/>
    <xf numFmtId="0" fontId="0" fillId="4" borderId="7" xfId="0" applyFill="1" applyBorder="1"/>
    <xf numFmtId="9" fontId="0" fillId="4" borderId="7" xfId="0" applyNumberFormat="1" applyFill="1" applyBorder="1"/>
    <xf numFmtId="44" fontId="2" fillId="4" borderId="8" xfId="0" applyNumberFormat="1" applyFont="1" applyFill="1" applyBorder="1"/>
    <xf numFmtId="0" fontId="5" fillId="0" borderId="0" xfId="0" applyFont="1" applyFill="1" applyBorder="1"/>
    <xf numFmtId="164" fontId="5" fillId="0" borderId="0" xfId="1" applyNumberFormat="1" applyFont="1" applyFill="1" applyBorder="1"/>
    <xf numFmtId="9" fontId="5" fillId="0" borderId="0" xfId="0" applyNumberFormat="1" applyFont="1" applyFill="1" applyBorder="1"/>
    <xf numFmtId="164" fontId="5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44" fontId="2" fillId="0" borderId="0" xfId="3" applyFont="1" applyFill="1" applyBorder="1"/>
    <xf numFmtId="0" fontId="2" fillId="5" borderId="1" xfId="0" applyFont="1" applyFill="1" applyBorder="1"/>
    <xf numFmtId="44" fontId="0" fillId="5" borderId="2" xfId="0" applyNumberFormat="1" applyFill="1" applyBorder="1"/>
    <xf numFmtId="44" fontId="0" fillId="5" borderId="3" xfId="0" applyNumberFormat="1" applyFill="1" applyBorder="1"/>
    <xf numFmtId="0" fontId="2" fillId="5" borderId="4" xfId="0" applyFont="1" applyFill="1" applyBorder="1"/>
    <xf numFmtId="0" fontId="0" fillId="5" borderId="0" xfId="0" applyFill="1" applyBorder="1"/>
    <xf numFmtId="44" fontId="0" fillId="5" borderId="5" xfId="0" applyNumberFormat="1" applyFill="1" applyBorder="1"/>
    <xf numFmtId="0" fontId="2" fillId="5" borderId="6" xfId="0" applyFont="1" applyFill="1" applyBorder="1"/>
    <xf numFmtId="44" fontId="0" fillId="5" borderId="7" xfId="0" applyNumberFormat="1" applyFill="1" applyBorder="1"/>
    <xf numFmtId="44" fontId="0" fillId="5" borderId="8" xfId="0" applyNumberFormat="1" applyFill="1" applyBorder="1"/>
    <xf numFmtId="0" fontId="0" fillId="5" borderId="4" xfId="0" applyFill="1" applyBorder="1"/>
    <xf numFmtId="0" fontId="0" fillId="5" borderId="5" xfId="0" applyFill="1" applyBorder="1"/>
    <xf numFmtId="9" fontId="2" fillId="5" borderId="5" xfId="0" applyNumberFormat="1" applyFont="1" applyFill="1" applyBorder="1"/>
    <xf numFmtId="44" fontId="2" fillId="5" borderId="5" xfId="3" applyFont="1" applyFill="1" applyBorder="1"/>
    <xf numFmtId="44" fontId="2" fillId="5" borderId="8" xfId="0" applyNumberFormat="1" applyFont="1" applyFill="1" applyBorder="1"/>
    <xf numFmtId="44" fontId="2" fillId="5" borderId="5" xfId="0" applyNumberFormat="1" applyFont="1" applyFill="1" applyBorder="1"/>
    <xf numFmtId="0" fontId="0" fillId="5" borderId="7" xfId="0" applyFill="1" applyBorder="1"/>
    <xf numFmtId="166" fontId="2" fillId="5" borderId="8" xfId="2" applyNumberFormat="1" applyFont="1" applyFill="1" applyBorder="1"/>
    <xf numFmtId="44" fontId="0" fillId="2" borderId="2" xfId="3" applyFont="1" applyFill="1" applyBorder="1"/>
    <xf numFmtId="44" fontId="0" fillId="2" borderId="0" xfId="3" applyFont="1" applyFill="1" applyBorder="1"/>
    <xf numFmtId="168" fontId="0" fillId="2" borderId="2" xfId="3" applyNumberFormat="1" applyFont="1" applyFill="1" applyBorder="1"/>
    <xf numFmtId="168" fontId="0" fillId="2" borderId="0" xfId="3" applyNumberFormat="1" applyFont="1" applyFill="1" applyBorder="1"/>
    <xf numFmtId="168" fontId="0" fillId="5" borderId="2" xfId="3" applyNumberFormat="1" applyFont="1" applyFill="1" applyBorder="1"/>
    <xf numFmtId="168" fontId="0" fillId="5" borderId="0" xfId="3" applyNumberFormat="1" applyFont="1" applyFill="1" applyBorder="1"/>
    <xf numFmtId="168" fontId="0" fillId="5" borderId="7" xfId="3" applyNumberFormat="1" applyFont="1" applyFill="1" applyBorder="1"/>
    <xf numFmtId="44" fontId="3" fillId="2" borderId="2" xfId="3" applyFont="1" applyFill="1" applyBorder="1"/>
    <xf numFmtId="44" fontId="3" fillId="2" borderId="0" xfId="3" applyFont="1" applyFill="1" applyBorder="1"/>
    <xf numFmtId="169" fontId="3" fillId="2" borderId="2" xfId="3" applyNumberFormat="1" applyFont="1" applyFill="1" applyBorder="1"/>
    <xf numFmtId="169" fontId="3" fillId="2" borderId="0" xfId="3" applyNumberFormat="1" applyFont="1" applyFill="1" applyBorder="1"/>
    <xf numFmtId="169" fontId="0" fillId="2" borderId="2" xfId="3" applyNumberFormat="1" applyFont="1" applyFill="1" applyBorder="1"/>
    <xf numFmtId="169" fontId="0" fillId="2" borderId="0" xfId="3" applyNumberFormat="1" applyFont="1" applyFill="1" applyBorder="1"/>
    <xf numFmtId="169" fontId="0" fillId="2" borderId="7" xfId="3" applyNumberFormat="1" applyFont="1" applyFill="1" applyBorder="1"/>
    <xf numFmtId="44" fontId="0" fillId="2" borderId="7" xfId="3" applyNumberFormat="1" applyFont="1" applyFill="1" applyBorder="1"/>
    <xf numFmtId="0" fontId="0" fillId="0" borderId="1" xfId="0" applyBorder="1"/>
    <xf numFmtId="9" fontId="6" fillId="0" borderId="3" xfId="0" applyNumberFormat="1" applyFont="1" applyBorder="1"/>
    <xf numFmtId="169" fontId="4" fillId="6" borderId="4" xfId="0" applyNumberFormat="1" applyFont="1" applyFill="1" applyBorder="1"/>
    <xf numFmtId="169" fontId="4" fillId="6" borderId="6" xfId="0" applyNumberFormat="1" applyFont="1" applyFill="1" applyBorder="1"/>
    <xf numFmtId="10" fontId="2" fillId="4" borderId="5" xfId="1" applyNumberFormat="1" applyFont="1" applyFill="1" applyBorder="1"/>
    <xf numFmtId="10" fontId="2" fillId="4" borderId="8" xfId="1" applyNumberFormat="1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Border="1"/>
    <xf numFmtId="0" fontId="2" fillId="0" borderId="0" xfId="0" applyFont="1" applyBorder="1"/>
    <xf numFmtId="165" fontId="0" fillId="0" borderId="0" xfId="0" applyNumberFormat="1"/>
    <xf numFmtId="0" fontId="13" fillId="0" borderId="0" xfId="0" applyFont="1"/>
    <xf numFmtId="0" fontId="15" fillId="0" borderId="0" xfId="0" applyFont="1"/>
    <xf numFmtId="164" fontId="0" fillId="2" borderId="5" xfId="0" applyNumberFormat="1" applyFill="1" applyBorder="1"/>
    <xf numFmtId="0" fontId="14" fillId="0" borderId="0" xfId="4" applyFont="1" applyAlignment="1">
      <alignment horizontal="left"/>
    </xf>
    <xf numFmtId="0" fontId="2" fillId="0" borderId="7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12" fillId="8" borderId="13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/>
    </xf>
    <xf numFmtId="0" fontId="12" fillId="8" borderId="15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5">
    <cellStyle name="Comma" xfId="2" builtinId="3"/>
    <cellStyle name="Currency" xfId="3" builtinId="4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86377</xdr:colOff>
      <xdr:row>0</xdr:row>
      <xdr:rowOff>93133</xdr:rowOff>
    </xdr:from>
    <xdr:ext cx="14051282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E0A22A-83C2-443C-BA44-FB8F97B928AA}"/>
            </a:ext>
          </a:extLst>
        </xdr:cNvPr>
        <xdr:cNvSpPr/>
      </xdr:nvSpPr>
      <xdr:spPr>
        <a:xfrm>
          <a:off x="86377" y="93133"/>
          <a:ext cx="1405128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sz="5400" b="1" cap="none" spc="0">
              <a:ln/>
              <a:solidFill>
                <a:schemeClr val="accent3"/>
              </a:solidFill>
              <a:effectLst/>
            </a:rPr>
            <a:t>Banking</a:t>
          </a:r>
          <a:r>
            <a:rPr lang="en-US" sz="5400" b="1" cap="none" spc="0" baseline="0">
              <a:ln/>
              <a:solidFill>
                <a:schemeClr val="accent3"/>
              </a:solidFill>
              <a:effectLst/>
            </a:rPr>
            <a:t> Industry: Individual Company Valuation</a:t>
          </a:r>
        </a:p>
      </xdr:txBody>
    </xdr:sp>
    <xdr:clientData/>
  </xdr:oneCellAnchor>
  <xdr:oneCellAnchor>
    <xdr:from>
      <xdr:col>3</xdr:col>
      <xdr:colOff>229512</xdr:colOff>
      <xdr:row>5</xdr:row>
      <xdr:rowOff>41302</xdr:rowOff>
    </xdr:from>
    <xdr:ext cx="8077084" cy="875048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A31B80E-C93B-46F5-89EC-E4FABD15D520}"/>
            </a:ext>
          </a:extLst>
        </xdr:cNvPr>
        <xdr:cNvSpPr/>
      </xdr:nvSpPr>
      <xdr:spPr>
        <a:xfrm>
          <a:off x="2058312" y="972635"/>
          <a:ext cx="8077084" cy="875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Hyperlinked Table of Contents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1985-5161-4A7E-BCD5-2EF9E5F1BEDA}">
  <dimension ref="B7:H19"/>
  <sheetViews>
    <sheetView showGridLines="0" zoomScale="90" workbookViewId="0">
      <selection activeCell="E18" sqref="E18:H18"/>
    </sheetView>
  </sheetViews>
  <sheetFormatPr defaultRowHeight="14.4" x14ac:dyDescent="0.3"/>
  <cols>
    <col min="8" max="8" width="71.44140625" customWidth="1"/>
  </cols>
  <sheetData>
    <row r="7" spans="2:8" x14ac:dyDescent="0.3">
      <c r="B7" s="1"/>
    </row>
    <row r="12" spans="2:8" ht="32.4" x14ac:dyDescent="0.6">
      <c r="D12" s="105">
        <v>1</v>
      </c>
      <c r="E12" s="108" t="s">
        <v>49</v>
      </c>
      <c r="F12" s="108"/>
      <c r="G12" s="108"/>
      <c r="H12" s="108"/>
    </row>
    <row r="13" spans="2:8" ht="32.4" x14ac:dyDescent="0.6">
      <c r="D13" s="105">
        <v>2</v>
      </c>
      <c r="E13" s="108" t="s">
        <v>50</v>
      </c>
      <c r="F13" s="108"/>
      <c r="G13" s="108"/>
      <c r="H13" s="108"/>
    </row>
    <row r="14" spans="2:8" ht="32.4" x14ac:dyDescent="0.6">
      <c r="D14" s="105">
        <v>3</v>
      </c>
      <c r="E14" s="108" t="s">
        <v>51</v>
      </c>
      <c r="F14" s="108"/>
      <c r="G14" s="108"/>
      <c r="H14" s="108"/>
    </row>
    <row r="15" spans="2:8" ht="32.4" x14ac:dyDescent="0.6">
      <c r="D15" s="105">
        <v>4</v>
      </c>
      <c r="E15" s="108" t="s">
        <v>52</v>
      </c>
      <c r="F15" s="108"/>
      <c r="G15" s="108"/>
      <c r="H15" s="108"/>
    </row>
    <row r="16" spans="2:8" ht="32.4" x14ac:dyDescent="0.6">
      <c r="D16" s="105">
        <v>5</v>
      </c>
      <c r="E16" s="108" t="s">
        <v>53</v>
      </c>
      <c r="F16" s="108"/>
      <c r="G16" s="108"/>
      <c r="H16" s="108"/>
    </row>
    <row r="17" spans="4:8" ht="32.4" x14ac:dyDescent="0.6">
      <c r="D17" s="105">
        <v>6</v>
      </c>
      <c r="E17" s="108" t="s">
        <v>54</v>
      </c>
      <c r="F17" s="108"/>
      <c r="G17" s="108"/>
      <c r="H17" s="108"/>
    </row>
    <row r="18" spans="4:8" ht="32.4" x14ac:dyDescent="0.6">
      <c r="D18" s="105">
        <v>7</v>
      </c>
      <c r="E18" s="108" t="s">
        <v>55</v>
      </c>
      <c r="F18" s="108"/>
      <c r="G18" s="108"/>
      <c r="H18" s="108"/>
    </row>
    <row r="19" spans="4:8" ht="32.4" x14ac:dyDescent="0.6">
      <c r="D19" s="106"/>
      <c r="E19" s="106"/>
      <c r="F19" s="106"/>
      <c r="G19" s="106"/>
      <c r="H19" s="106"/>
    </row>
  </sheetData>
  <mergeCells count="7">
    <mergeCell ref="E18:H18"/>
    <mergeCell ref="E12:H12"/>
    <mergeCell ref="E13:H13"/>
    <mergeCell ref="E14:H14"/>
    <mergeCell ref="E15:H15"/>
    <mergeCell ref="E16:H16"/>
    <mergeCell ref="E17:H17"/>
  </mergeCells>
  <hyperlinks>
    <hyperlink ref="E12" location="JPM!D1" display="JPM!D1" xr:uid="{927E2BDE-0A87-46D1-A17D-201AB33538D1}"/>
    <hyperlink ref="E13" location="BAC!D1" display="BAC!D1" xr:uid="{06402471-41A7-430D-8F18-6A7B11796ADB}"/>
    <hyperlink ref="E14" location="WFC!D1" display="WFC!D1" xr:uid="{07BE5169-C904-4B7D-B617-EE7509571D39}"/>
    <hyperlink ref="E15" location="'C'!D1" display="'C'!D1" xr:uid="{57326835-D404-4E6E-85D0-B0A251A740B1}"/>
    <hyperlink ref="E16" location="USB!D1" display="USB!D1" xr:uid="{F6B809BF-6365-4054-B48A-C2050932F1E4}"/>
    <hyperlink ref="E17" location="COF!D1" display="COF!D1" xr:uid="{1E36094B-0472-41AE-8B25-1C44A271F9C0}"/>
    <hyperlink ref="E18" location="GS!D1" display="GS!D1" xr:uid="{A2CA1326-6632-42E0-8486-F33F27F69DC9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9E34-21A1-462B-9489-DBD85195B4B3}">
  <sheetPr>
    <tabColor theme="0"/>
  </sheetPr>
  <dimension ref="A1:X37"/>
  <sheetViews>
    <sheetView showGridLines="0" workbookViewId="0">
      <selection activeCell="J17" sqref="J17"/>
    </sheetView>
  </sheetViews>
  <sheetFormatPr defaultRowHeight="14.4" x14ac:dyDescent="0.3"/>
  <cols>
    <col min="3" max="3" width="11.44140625" bestFit="1" customWidth="1"/>
    <col min="5" max="5" width="11.44140625" bestFit="1" customWidth="1"/>
    <col min="6" max="6" width="9.5546875" bestFit="1" customWidth="1"/>
    <col min="7" max="7" width="8.6640625" bestFit="1" customWidth="1"/>
    <col min="8" max="8" width="9.88671875" bestFit="1" customWidth="1"/>
    <col min="9" max="9" width="9.5546875" bestFit="1" customWidth="1"/>
    <col min="10" max="10" width="8.109375" bestFit="1" customWidth="1"/>
    <col min="14" max="14" width="11.77734375" customWidth="1"/>
    <col min="15" max="15" width="11.44140625" customWidth="1"/>
    <col min="18" max="18" width="12.33203125" customWidth="1"/>
    <col min="19" max="20" width="13" customWidth="1"/>
    <col min="21" max="21" width="12.21875" customWidth="1"/>
    <col min="22" max="22" width="9.5546875" bestFit="1" customWidth="1"/>
    <col min="23" max="23" width="10.88671875" customWidth="1"/>
  </cols>
  <sheetData>
    <row r="1" spans="1:24" x14ac:dyDescent="0.3">
      <c r="A1" s="113" t="s">
        <v>48</v>
      </c>
      <c r="B1" s="113"/>
      <c r="C1" s="113"/>
    </row>
    <row r="2" spans="1:24" x14ac:dyDescent="0.3">
      <c r="A2" s="113" t="s">
        <v>10</v>
      </c>
      <c r="B2" s="113"/>
      <c r="C2" s="113"/>
      <c r="D2" s="1"/>
      <c r="E2" s="1"/>
      <c r="G2" s="1"/>
      <c r="H2" s="1"/>
      <c r="I2" s="1"/>
    </row>
    <row r="3" spans="1:24" x14ac:dyDescent="0.3">
      <c r="B3" s="109" t="s">
        <v>19</v>
      </c>
      <c r="C3" s="109"/>
      <c r="D3" s="109"/>
      <c r="E3" s="109"/>
      <c r="F3" s="109"/>
      <c r="G3" s="109"/>
      <c r="H3" s="109"/>
      <c r="I3" s="109"/>
      <c r="J3" s="109"/>
      <c r="M3" s="109" t="s">
        <v>26</v>
      </c>
      <c r="N3" s="109"/>
      <c r="O3" s="109"/>
      <c r="R3" s="109" t="s">
        <v>36</v>
      </c>
      <c r="S3" s="109"/>
      <c r="T3" s="109"/>
      <c r="U3" s="109"/>
      <c r="W3" s="109" t="s">
        <v>42</v>
      </c>
      <c r="X3" s="109"/>
    </row>
    <row r="4" spans="1:24" ht="28.8" x14ac:dyDescent="0.3">
      <c r="B4" s="2" t="s">
        <v>1</v>
      </c>
      <c r="C4" s="3" t="s">
        <v>9</v>
      </c>
      <c r="D4" s="3" t="s">
        <v>3</v>
      </c>
      <c r="E4" s="3" t="s">
        <v>4</v>
      </c>
      <c r="F4" s="2" t="s">
        <v>2</v>
      </c>
      <c r="G4" s="3" t="s">
        <v>5</v>
      </c>
      <c r="H4" s="3" t="s">
        <v>6</v>
      </c>
      <c r="I4" s="3" t="s">
        <v>7</v>
      </c>
      <c r="J4" s="3" t="s">
        <v>8</v>
      </c>
      <c r="M4" s="35" t="s">
        <v>1</v>
      </c>
      <c r="N4" s="3" t="s">
        <v>27</v>
      </c>
      <c r="O4" s="3" t="s">
        <v>8</v>
      </c>
      <c r="R4" s="35" t="s">
        <v>1</v>
      </c>
      <c r="S4" s="3" t="s">
        <v>35</v>
      </c>
      <c r="T4" s="3" t="s">
        <v>33</v>
      </c>
      <c r="U4" s="3" t="s">
        <v>34</v>
      </c>
      <c r="W4" s="3" t="s">
        <v>33</v>
      </c>
      <c r="X4" s="2" t="s">
        <v>37</v>
      </c>
    </row>
    <row r="5" spans="1:24" ht="4.2" customHeight="1" x14ac:dyDescent="0.3"/>
    <row r="6" spans="1:24" x14ac:dyDescent="0.3">
      <c r="B6" s="21">
        <v>2011</v>
      </c>
      <c r="C6" s="88">
        <v>110838</v>
      </c>
      <c r="D6" s="88">
        <v>17568</v>
      </c>
      <c r="E6" s="5">
        <f t="shared" ref="E6:E15" si="0">D6/C6</f>
        <v>0.15850159692524224</v>
      </c>
      <c r="F6" s="4">
        <v>3900.4</v>
      </c>
      <c r="G6" s="79">
        <f t="shared" ref="G6:G15" si="1">D6/F6</f>
        <v>4.5041534201620346</v>
      </c>
      <c r="H6" s="86">
        <v>33.25</v>
      </c>
      <c r="I6" s="6">
        <f>G6/H6</f>
        <v>0.13546326075675291</v>
      </c>
      <c r="J6" s="7"/>
      <c r="M6" s="23">
        <v>2021</v>
      </c>
      <c r="N6" s="81">
        <f>AVERAGE(G11:G15)</f>
        <v>8.2564902025765186</v>
      </c>
      <c r="O6" s="33"/>
      <c r="R6" s="62">
        <v>2021</v>
      </c>
      <c r="S6" s="83">
        <f>N6</f>
        <v>8.2564902025765186</v>
      </c>
      <c r="T6" s="63">
        <f>-U25</f>
        <v>-152.55000000000001</v>
      </c>
      <c r="U6" s="64">
        <f>+S6+T6</f>
        <v>-144.2935097974235</v>
      </c>
      <c r="W6" s="94"/>
      <c r="X6" s="95">
        <f>U17</f>
        <v>0.12508600409831683</v>
      </c>
    </row>
    <row r="7" spans="1:24" x14ac:dyDescent="0.3">
      <c r="B7" s="22">
        <v>2012</v>
      </c>
      <c r="C7" s="89">
        <v>108074</v>
      </c>
      <c r="D7" s="89">
        <v>19877</v>
      </c>
      <c r="E7" s="10">
        <f t="shared" si="0"/>
        <v>0.18392027684734533</v>
      </c>
      <c r="F7" s="9">
        <v>3809.4</v>
      </c>
      <c r="G7" s="80">
        <f t="shared" si="1"/>
        <v>5.2178820811676374</v>
      </c>
      <c r="H7" s="87">
        <v>43.97</v>
      </c>
      <c r="I7" s="11">
        <f t="shared" ref="I7:I15" si="2">G7/H7</f>
        <v>0.11866913989464721</v>
      </c>
      <c r="J7" s="12">
        <f>G7/G6-1</f>
        <v>0.1584601132391994</v>
      </c>
      <c r="M7" s="24">
        <v>2022</v>
      </c>
      <c r="N7" s="82">
        <f>N6*(1+O7)</f>
        <v>9.0656345654730064</v>
      </c>
      <c r="O7" s="34">
        <f>H35</f>
        <v>9.8001008060784212E-2</v>
      </c>
      <c r="R7" s="65">
        <v>2022</v>
      </c>
      <c r="S7" s="84">
        <f t="shared" ref="S7:S15" si="3">N7</f>
        <v>9.0656345654730064</v>
      </c>
      <c r="T7" s="66"/>
      <c r="U7" s="67">
        <f t="shared" ref="U7:U15" si="4">+S7+T7</f>
        <v>9.0656345654730064</v>
      </c>
      <c r="W7" s="96">
        <f t="shared" ref="W7:W10" si="5">W8-3</f>
        <v>-165</v>
      </c>
      <c r="X7" s="98">
        <f t="dataTable" ref="X7:X17" dt2D="0" dtr="0" r1="T6"/>
        <v>0.11212134120882578</v>
      </c>
    </row>
    <row r="8" spans="1:24" x14ac:dyDescent="0.3">
      <c r="B8" s="22">
        <v>2013</v>
      </c>
      <c r="C8" s="89">
        <v>106717</v>
      </c>
      <c r="D8" s="89">
        <v>16557</v>
      </c>
      <c r="E8" s="10">
        <f t="shared" si="0"/>
        <v>0.15514866422406925</v>
      </c>
      <c r="F8" s="9">
        <v>3782.4</v>
      </c>
      <c r="G8" s="80">
        <f t="shared" si="1"/>
        <v>4.377379441624365</v>
      </c>
      <c r="H8" s="87">
        <v>58.48</v>
      </c>
      <c r="I8" s="11">
        <f t="shared" si="2"/>
        <v>7.4852589631059591E-2</v>
      </c>
      <c r="J8" s="12">
        <f t="shared" ref="J8:J15" si="6">G8/G7-1</f>
        <v>-0.16108118705419039</v>
      </c>
      <c r="M8" s="24">
        <v>2023</v>
      </c>
      <c r="N8" s="82">
        <f t="shared" ref="N8:N15" si="7">N7*(1+O8)</f>
        <v>9.9540758916000502</v>
      </c>
      <c r="O8" s="34">
        <f>O7</f>
        <v>9.8001008060784212E-2</v>
      </c>
      <c r="R8" s="65">
        <v>2023</v>
      </c>
      <c r="S8" s="84">
        <f t="shared" si="3"/>
        <v>9.9540758916000502</v>
      </c>
      <c r="T8" s="66"/>
      <c r="U8" s="67">
        <f t="shared" si="4"/>
        <v>9.9540758916000502</v>
      </c>
      <c r="W8" s="96">
        <f t="shared" si="5"/>
        <v>-162</v>
      </c>
      <c r="X8" s="98">
        <v>0.11512175217339493</v>
      </c>
    </row>
    <row r="9" spans="1:24" x14ac:dyDescent="0.3">
      <c r="B9" s="22">
        <v>2014</v>
      </c>
      <c r="C9" s="89">
        <v>103009</v>
      </c>
      <c r="D9" s="89">
        <v>20077</v>
      </c>
      <c r="E9" s="10">
        <f t="shared" si="0"/>
        <v>0.19490529953693367</v>
      </c>
      <c r="F9" s="9">
        <v>3763.5</v>
      </c>
      <c r="G9" s="80">
        <f t="shared" si="1"/>
        <v>5.3346618838846815</v>
      </c>
      <c r="H9" s="87">
        <v>62.58</v>
      </c>
      <c r="I9" s="11">
        <f t="shared" si="2"/>
        <v>8.5245475932960724E-2</v>
      </c>
      <c r="J9" s="12">
        <f t="shared" si="6"/>
        <v>0.21868847675336234</v>
      </c>
      <c r="M9" s="24">
        <v>2024</v>
      </c>
      <c r="N9" s="82">
        <f t="shared" si="7"/>
        <v>10.929585363290405</v>
      </c>
      <c r="O9" s="34">
        <f t="shared" ref="O9:O15" si="8">O8</f>
        <v>9.8001008060784212E-2</v>
      </c>
      <c r="R9" s="65">
        <v>2024</v>
      </c>
      <c r="S9" s="84">
        <f t="shared" si="3"/>
        <v>10.929585363290405</v>
      </c>
      <c r="T9" s="66"/>
      <c r="U9" s="67">
        <f t="shared" si="4"/>
        <v>10.929585363290405</v>
      </c>
      <c r="W9" s="96">
        <f t="shared" si="5"/>
        <v>-159</v>
      </c>
      <c r="X9" s="98">
        <v>0.11819798738680398</v>
      </c>
    </row>
    <row r="10" spans="1:24" x14ac:dyDescent="0.3">
      <c r="B10" s="22">
        <v>2015</v>
      </c>
      <c r="C10" s="89">
        <v>101006</v>
      </c>
      <c r="D10" s="89">
        <v>22406</v>
      </c>
      <c r="E10" s="10">
        <f t="shared" si="0"/>
        <v>0.22182840623329309</v>
      </c>
      <c r="F10" s="9">
        <v>3700.4</v>
      </c>
      <c r="G10" s="80">
        <f t="shared" si="1"/>
        <v>6.0550210788022918</v>
      </c>
      <c r="H10" s="87">
        <v>66.03</v>
      </c>
      <c r="I10" s="11">
        <f t="shared" si="2"/>
        <v>9.1701061317617627E-2</v>
      </c>
      <c r="J10" s="12">
        <f t="shared" si="6"/>
        <v>0.1350337117135243</v>
      </c>
      <c r="M10" s="24">
        <v>2025</v>
      </c>
      <c r="N10" s="82">
        <f t="shared" si="7"/>
        <v>12.000695746579257</v>
      </c>
      <c r="O10" s="34">
        <f t="shared" si="8"/>
        <v>9.8001008060784212E-2</v>
      </c>
      <c r="R10" s="65">
        <v>2025</v>
      </c>
      <c r="S10" s="84">
        <f t="shared" si="3"/>
        <v>12.000695746579257</v>
      </c>
      <c r="T10" s="66"/>
      <c r="U10" s="67">
        <f t="shared" si="4"/>
        <v>12.000695746579257</v>
      </c>
      <c r="W10" s="96">
        <f t="shared" si="5"/>
        <v>-156</v>
      </c>
      <c r="X10" s="98">
        <v>0.12135367649365403</v>
      </c>
    </row>
    <row r="11" spans="1:24" x14ac:dyDescent="0.3">
      <c r="B11" s="22">
        <v>2016</v>
      </c>
      <c r="C11" s="89">
        <v>106387</v>
      </c>
      <c r="D11" s="89">
        <v>22583</v>
      </c>
      <c r="E11" s="10">
        <f t="shared" si="0"/>
        <v>0.21227217611174298</v>
      </c>
      <c r="F11" s="9">
        <v>3618.5</v>
      </c>
      <c r="G11" s="80">
        <f t="shared" si="1"/>
        <v>6.2409838330800058</v>
      </c>
      <c r="H11" s="87">
        <v>86.29</v>
      </c>
      <c r="I11" s="11">
        <f t="shared" si="2"/>
        <v>7.2325690498087902E-2</v>
      </c>
      <c r="J11" s="12">
        <f>G11/G10-1</f>
        <v>3.0712156383524647E-2</v>
      </c>
      <c r="M11" s="24">
        <v>2026</v>
      </c>
      <c r="N11" s="82">
        <f t="shared" si="7"/>
        <v>13.176776027174791</v>
      </c>
      <c r="O11" s="34">
        <f t="shared" si="8"/>
        <v>9.8001008060784212E-2</v>
      </c>
      <c r="R11" s="65">
        <v>2026</v>
      </c>
      <c r="S11" s="84">
        <f t="shared" si="3"/>
        <v>13.176776027174791</v>
      </c>
      <c r="T11" s="66"/>
      <c r="U11" s="67">
        <f t="shared" si="4"/>
        <v>13.176776027174791</v>
      </c>
      <c r="W11" s="96">
        <f>W12-3</f>
        <v>-153</v>
      </c>
      <c r="X11" s="98">
        <v>0.12459270737457628</v>
      </c>
    </row>
    <row r="12" spans="1:24" x14ac:dyDescent="0.3">
      <c r="B12" s="22">
        <v>2017</v>
      </c>
      <c r="C12" s="89">
        <v>114579</v>
      </c>
      <c r="D12" s="89">
        <v>22567</v>
      </c>
      <c r="E12" s="10">
        <f t="shared" si="0"/>
        <v>0.19695581214707755</v>
      </c>
      <c r="F12" s="9">
        <v>3551.6</v>
      </c>
      <c r="G12" s="80">
        <f t="shared" si="1"/>
        <v>6.3540376168487445</v>
      </c>
      <c r="H12" s="87">
        <v>106.94</v>
      </c>
      <c r="I12" s="11">
        <f t="shared" si="2"/>
        <v>5.9416846987551383E-2</v>
      </c>
      <c r="J12" s="12">
        <f t="shared" si="6"/>
        <v>1.8114737482494814E-2</v>
      </c>
      <c r="M12" s="24">
        <v>2027</v>
      </c>
      <c r="N12" s="82">
        <f t="shared" si="7"/>
        <v>14.468113360829097</v>
      </c>
      <c r="O12" s="34">
        <f t="shared" si="8"/>
        <v>9.8001008060784212E-2</v>
      </c>
      <c r="R12" s="65">
        <v>2027</v>
      </c>
      <c r="S12" s="84">
        <f t="shared" si="3"/>
        <v>14.468113360829097</v>
      </c>
      <c r="T12" s="66"/>
      <c r="U12" s="67">
        <f t="shared" si="4"/>
        <v>14.468113360829097</v>
      </c>
      <c r="W12" s="96">
        <v>-150</v>
      </c>
      <c r="X12" s="98">
        <v>0.12791925066826937</v>
      </c>
    </row>
    <row r="13" spans="1:24" x14ac:dyDescent="0.3">
      <c r="B13" s="22">
        <v>2018</v>
      </c>
      <c r="C13" s="89">
        <v>130070</v>
      </c>
      <c r="D13" s="89">
        <v>30709</v>
      </c>
      <c r="E13" s="10">
        <f t="shared" si="0"/>
        <v>0.23609594833551165</v>
      </c>
      <c r="F13" s="9">
        <v>3396.4</v>
      </c>
      <c r="G13" s="80">
        <f t="shared" si="1"/>
        <v>9.0416323165704853</v>
      </c>
      <c r="H13" s="87">
        <f>319780/F13</f>
        <v>94.152632198798727</v>
      </c>
      <c r="I13" s="11">
        <f t="shared" si="2"/>
        <v>9.6031646757145525E-2</v>
      </c>
      <c r="J13" s="12">
        <f t="shared" si="6"/>
        <v>0.42297431362306614</v>
      </c>
      <c r="M13" s="24">
        <v>2028</v>
      </c>
      <c r="N13" s="82">
        <f t="shared" si="7"/>
        <v>15.88600305492805</v>
      </c>
      <c r="O13" s="34">
        <f t="shared" si="8"/>
        <v>9.8001008060784212E-2</v>
      </c>
      <c r="R13" s="65">
        <v>2028</v>
      </c>
      <c r="S13" s="84">
        <f t="shared" si="3"/>
        <v>15.88600305492805</v>
      </c>
      <c r="T13" s="66"/>
      <c r="U13" s="67">
        <f t="shared" si="4"/>
        <v>15.88600305492805</v>
      </c>
      <c r="W13" s="96">
        <f>W12+3</f>
        <v>-147</v>
      </c>
      <c r="X13" s="98">
        <v>0.13133778732889545</v>
      </c>
    </row>
    <row r="14" spans="1:24" x14ac:dyDescent="0.3">
      <c r="B14" s="22">
        <v>2019</v>
      </c>
      <c r="C14" s="89">
        <v>142422</v>
      </c>
      <c r="D14" s="89">
        <v>34642</v>
      </c>
      <c r="E14" s="10">
        <f t="shared" si="0"/>
        <v>0.24323489348555702</v>
      </c>
      <c r="F14" s="9">
        <v>3221.5</v>
      </c>
      <c r="G14" s="80">
        <f t="shared" si="1"/>
        <v>10.753375756635108</v>
      </c>
      <c r="H14" s="87">
        <f>429913/F14</f>
        <v>133.45118733509236</v>
      </c>
      <c r="I14" s="11">
        <f t="shared" si="2"/>
        <v>8.0579093909698002E-2</v>
      </c>
      <c r="J14" s="12">
        <f t="shared" si="6"/>
        <v>0.18931796606322204</v>
      </c>
      <c r="M14" s="24">
        <v>2029</v>
      </c>
      <c r="N14" s="82">
        <f t="shared" si="7"/>
        <v>17.442847368367698</v>
      </c>
      <c r="O14" s="34">
        <f t="shared" si="8"/>
        <v>9.8001008060784212E-2</v>
      </c>
      <c r="R14" s="65">
        <v>2029</v>
      </c>
      <c r="S14" s="84">
        <f t="shared" si="3"/>
        <v>17.442847368367698</v>
      </c>
      <c r="T14" s="66"/>
      <c r="U14" s="67">
        <f t="shared" si="4"/>
        <v>17.442847368367698</v>
      </c>
      <c r="W14" s="96">
        <f t="shared" ref="W14:W16" si="9">W13+3</f>
        <v>-144</v>
      </c>
      <c r="X14" s="98">
        <v>0.1348531395599013</v>
      </c>
    </row>
    <row r="15" spans="1:24" x14ac:dyDescent="0.3">
      <c r="B15" s="22">
        <v>2020</v>
      </c>
      <c r="C15" s="89">
        <f>64980+64523</f>
        <v>129503</v>
      </c>
      <c r="D15" s="89">
        <v>27410</v>
      </c>
      <c r="E15" s="10">
        <f t="shared" si="0"/>
        <v>0.21165532844798962</v>
      </c>
      <c r="F15" s="9">
        <v>3082.4</v>
      </c>
      <c r="G15" s="80">
        <f t="shared" si="1"/>
        <v>8.8924214897482479</v>
      </c>
      <c r="H15" s="87">
        <f>387492/F15</f>
        <v>125.71113418115753</v>
      </c>
      <c r="I15" s="11">
        <f t="shared" si="2"/>
        <v>7.0736944246590897E-2</v>
      </c>
      <c r="J15" s="12">
        <f t="shared" si="6"/>
        <v>-0.17305768058356974</v>
      </c>
      <c r="M15" s="24">
        <v>2030</v>
      </c>
      <c r="N15" s="82">
        <f t="shared" si="7"/>
        <v>19.15226399391813</v>
      </c>
      <c r="O15" s="34">
        <f t="shared" si="8"/>
        <v>9.8001008060784212E-2</v>
      </c>
      <c r="R15" s="68">
        <v>2030</v>
      </c>
      <c r="S15" s="85">
        <f t="shared" si="3"/>
        <v>19.15226399391813</v>
      </c>
      <c r="T15" s="69">
        <f>U30</f>
        <v>226.39670987791598</v>
      </c>
      <c r="U15" s="70">
        <f t="shared" si="4"/>
        <v>245.54897387183411</v>
      </c>
      <c r="W15" s="96">
        <f t="shared" si="9"/>
        <v>-141</v>
      </c>
      <c r="X15" s="98">
        <v>0.13847050564562791</v>
      </c>
    </row>
    <row r="16" spans="1:24" x14ac:dyDescent="0.3">
      <c r="B16" s="8"/>
      <c r="C16" s="13"/>
      <c r="D16" s="13"/>
      <c r="E16" s="13"/>
      <c r="F16" s="13"/>
      <c r="G16" s="13"/>
      <c r="H16" s="13"/>
      <c r="I16" s="13"/>
      <c r="J16" s="14"/>
      <c r="M16" s="8"/>
      <c r="N16" s="13"/>
      <c r="O16" s="14"/>
      <c r="R16" s="71"/>
      <c r="S16" s="66"/>
      <c r="T16" s="66"/>
      <c r="U16" s="72"/>
      <c r="W16" s="96">
        <f t="shared" si="9"/>
        <v>-138</v>
      </c>
      <c r="X16" s="98">
        <v>0.14219549927884989</v>
      </c>
    </row>
    <row r="17" spans="2:24" x14ac:dyDescent="0.3">
      <c r="B17" s="15"/>
      <c r="C17" s="16">
        <f>(C15/C6)^(1/9)-1</f>
        <v>1.74430923730855E-2</v>
      </c>
      <c r="D17" s="16">
        <f>(D15/D6)^(1/9)-1</f>
        <v>5.0667238117402036E-2</v>
      </c>
      <c r="E17" s="17">
        <f>AVERAGE(E6:E15)</f>
        <v>0.20145184022947626</v>
      </c>
      <c r="F17" s="16">
        <f>(F15/F6)^(1/9)-1</f>
        <v>-2.581327924720489E-2</v>
      </c>
      <c r="G17" s="16">
        <f>(G15/G6)^(1/9)-1</f>
        <v>7.8507041551035828E-2</v>
      </c>
      <c r="H17" s="18"/>
      <c r="I17" s="19">
        <f>AVERAGE(I6:I15)</f>
        <v>8.8502174993211169E-2</v>
      </c>
      <c r="J17" s="20">
        <f>AVERAGE(J7:J15)</f>
        <v>9.3240289735625953E-2</v>
      </c>
      <c r="M17" s="32" t="s">
        <v>25</v>
      </c>
      <c r="N17" s="18"/>
      <c r="O17" s="36">
        <f>N15/I17</f>
        <v>216.40444424543534</v>
      </c>
      <c r="R17" s="65" t="s">
        <v>37</v>
      </c>
      <c r="S17" s="66"/>
      <c r="T17" s="66"/>
      <c r="U17" s="73">
        <f>IRR(U6:U15)</f>
        <v>0.12508600409831683</v>
      </c>
      <c r="W17" s="96">
        <f>W16+3</f>
        <v>-135</v>
      </c>
      <c r="X17" s="99">
        <v>0.14603419409133767</v>
      </c>
    </row>
    <row r="18" spans="2:24" x14ac:dyDescent="0.3">
      <c r="B18" s="55"/>
      <c r="C18" s="56"/>
      <c r="D18" s="56"/>
      <c r="E18" s="57"/>
      <c r="F18" s="56"/>
      <c r="G18" s="56"/>
      <c r="H18" s="55"/>
      <c r="I18" s="58"/>
      <c r="J18" s="58"/>
      <c r="M18" s="59"/>
      <c r="N18" s="60"/>
      <c r="O18" s="61"/>
      <c r="R18" s="65" t="s">
        <v>39</v>
      </c>
      <c r="S18" s="66"/>
      <c r="T18" s="66"/>
      <c r="U18" s="74">
        <f>SUM(S6:S15)</f>
        <v>130.33248557473701</v>
      </c>
    </row>
    <row r="19" spans="2:24" x14ac:dyDescent="0.3">
      <c r="B19" s="55"/>
      <c r="C19" s="56"/>
      <c r="D19" s="56"/>
      <c r="E19" s="57"/>
      <c r="F19" s="56"/>
      <c r="G19" s="56"/>
      <c r="H19" s="55"/>
      <c r="I19" s="58"/>
      <c r="J19" s="58"/>
      <c r="M19" s="59"/>
      <c r="N19" s="60"/>
      <c r="O19" s="61"/>
      <c r="R19" s="65" t="s">
        <v>38</v>
      </c>
      <c r="S19" s="66"/>
      <c r="T19" s="66"/>
      <c r="U19" s="75">
        <f>+T15+T6</f>
        <v>73.84670987791597</v>
      </c>
    </row>
    <row r="20" spans="2:24" x14ac:dyDescent="0.3">
      <c r="R20" s="65" t="s">
        <v>40</v>
      </c>
      <c r="S20" s="66"/>
      <c r="T20" s="66"/>
      <c r="U20" s="76">
        <f>+U18+U19</f>
        <v>204.17919545265298</v>
      </c>
    </row>
    <row r="21" spans="2:24" x14ac:dyDescent="0.3">
      <c r="B21" s="109" t="s">
        <v>20</v>
      </c>
      <c r="C21" s="109"/>
      <c r="D21" s="109"/>
      <c r="E21" s="109"/>
      <c r="F21" s="109"/>
      <c r="G21" s="109"/>
      <c r="H21" s="109"/>
      <c r="I21" s="109"/>
      <c r="J21" s="109"/>
      <c r="M21" s="109" t="s">
        <v>26</v>
      </c>
      <c r="N21" s="109"/>
      <c r="O21" s="109"/>
      <c r="R21" s="68" t="s">
        <v>41</v>
      </c>
      <c r="S21" s="77"/>
      <c r="T21" s="77"/>
      <c r="U21" s="78">
        <f>-SUM(S6:S15,T15)/T6</f>
        <v>2.3384411370216518</v>
      </c>
    </row>
    <row r="22" spans="2:24" ht="28.8" x14ac:dyDescent="0.3">
      <c r="B22" s="2" t="s">
        <v>1</v>
      </c>
      <c r="C22" s="2" t="s">
        <v>11</v>
      </c>
      <c r="D22" s="3" t="s">
        <v>12</v>
      </c>
      <c r="E22" s="2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M22" s="35" t="s">
        <v>1</v>
      </c>
      <c r="N22" s="3" t="s">
        <v>14</v>
      </c>
      <c r="O22" s="3" t="s">
        <v>16</v>
      </c>
    </row>
    <row r="23" spans="2:24" ht="2.4" customHeight="1" x14ac:dyDescent="0.3"/>
    <row r="24" spans="2:24" x14ac:dyDescent="0.3">
      <c r="B24" s="23">
        <v>2011</v>
      </c>
      <c r="C24" s="88">
        <v>2265792</v>
      </c>
      <c r="D24" s="88">
        <f>48488+7223+3207</f>
        <v>58918</v>
      </c>
      <c r="E24" s="88">
        <v>2082219</v>
      </c>
      <c r="F24" s="90">
        <f>C24-SUM(D24:E24)</f>
        <v>124655</v>
      </c>
      <c r="G24" s="79">
        <f t="shared" ref="G24:G33" si="10">F24/F6</f>
        <v>31.959542611014253</v>
      </c>
      <c r="H24" s="27"/>
      <c r="I24" s="90">
        <f t="shared" ref="I24:I33" si="11">F6*H6</f>
        <v>129688.3</v>
      </c>
      <c r="J24" s="29">
        <f>I24/F24</f>
        <v>1.0403778428462558</v>
      </c>
      <c r="M24" s="23">
        <v>2021</v>
      </c>
      <c r="N24" s="25">
        <f>F33*(1+O24)</f>
        <v>241357.82361632603</v>
      </c>
      <c r="O24" s="33">
        <f>F35</f>
        <v>6.8304770660862602E-2</v>
      </c>
      <c r="R24" s="110" t="s">
        <v>22</v>
      </c>
      <c r="S24" s="111"/>
      <c r="T24" s="111"/>
      <c r="U24" s="112"/>
    </row>
    <row r="25" spans="2:24" x14ac:dyDescent="0.3">
      <c r="B25" s="24">
        <v>2012</v>
      </c>
      <c r="C25" s="89">
        <v>2359141</v>
      </c>
      <c r="D25" s="89">
        <f>48175+7614+2235</f>
        <v>58024</v>
      </c>
      <c r="E25" s="89">
        <v>2155072</v>
      </c>
      <c r="F25" s="91">
        <f t="shared" ref="F25:F33" si="12">C25-SUM(D25:E25)</f>
        <v>146045</v>
      </c>
      <c r="G25" s="80">
        <f t="shared" si="10"/>
        <v>38.33805848690082</v>
      </c>
      <c r="H25" s="28">
        <f>G25/G24-1</f>
        <v>0.19958095000046505</v>
      </c>
      <c r="I25" s="91">
        <f t="shared" si="11"/>
        <v>167499.318</v>
      </c>
      <c r="J25" s="30">
        <f t="shared" ref="J25:J33" si="13">I25/F25</f>
        <v>1.1469021055154234</v>
      </c>
      <c r="M25" s="24">
        <v>2022</v>
      </c>
      <c r="N25" s="26">
        <f>N24*(1+O25)</f>
        <v>257843.7144056441</v>
      </c>
      <c r="O25" s="34">
        <f>O24</f>
        <v>6.8304770660862602E-2</v>
      </c>
      <c r="R25" s="41" t="s">
        <v>23</v>
      </c>
      <c r="S25" s="42"/>
      <c r="T25" s="42"/>
      <c r="U25" s="43">
        <v>152.55000000000001</v>
      </c>
      <c r="V25" s="100">
        <v>44280</v>
      </c>
    </row>
    <row r="26" spans="2:24" x14ac:dyDescent="0.3">
      <c r="B26" s="24">
        <v>2013</v>
      </c>
      <c r="C26" s="89">
        <v>2415689</v>
      </c>
      <c r="D26" s="89">
        <f>48081+9614+1618</f>
        <v>59313</v>
      </c>
      <c r="E26" s="89">
        <v>2204511</v>
      </c>
      <c r="F26" s="91">
        <f t="shared" si="12"/>
        <v>151865</v>
      </c>
      <c r="G26" s="80">
        <f t="shared" si="10"/>
        <v>40.150433587140441</v>
      </c>
      <c r="H26" s="28">
        <f t="shared" ref="H26:H33" si="14">G26/G25-1</f>
        <v>4.7273523276064378E-2</v>
      </c>
      <c r="I26" s="91">
        <f t="shared" si="11"/>
        <v>221194.75200000001</v>
      </c>
      <c r="J26" s="30">
        <f t="shared" si="13"/>
        <v>1.456522253317091</v>
      </c>
      <c r="M26" s="24">
        <v>2023</v>
      </c>
      <c r="N26" s="26">
        <f t="shared" ref="N26:N33" si="15">N25*(1+O26)</f>
        <v>275455.67018446658</v>
      </c>
      <c r="O26" s="34">
        <f t="shared" ref="O26:O33" si="16">O25</f>
        <v>6.8304770660862602E-2</v>
      </c>
      <c r="R26" s="44"/>
      <c r="S26" s="42"/>
      <c r="T26" s="42"/>
      <c r="U26" s="45"/>
    </row>
    <row r="27" spans="2:24" x14ac:dyDescent="0.3">
      <c r="B27" s="24">
        <v>2014</v>
      </c>
      <c r="C27" s="89">
        <v>2573126</v>
      </c>
      <c r="D27" s="89">
        <f>47647+7436+1192</f>
        <v>56275</v>
      </c>
      <c r="E27" s="89">
        <v>2341061</v>
      </c>
      <c r="F27" s="91">
        <f t="shared" si="12"/>
        <v>175790</v>
      </c>
      <c r="G27" s="80">
        <f t="shared" si="10"/>
        <v>46.709180284309816</v>
      </c>
      <c r="H27" s="28">
        <f t="shared" si="14"/>
        <v>0.16335431802833722</v>
      </c>
      <c r="I27" s="91">
        <f t="shared" si="11"/>
        <v>235519.83</v>
      </c>
      <c r="J27" s="30">
        <f t="shared" si="13"/>
        <v>1.3397794527561293</v>
      </c>
      <c r="M27" s="24">
        <v>2024</v>
      </c>
      <c r="N27" s="26">
        <f t="shared" si="15"/>
        <v>294270.60656365077</v>
      </c>
      <c r="O27" s="34">
        <f t="shared" si="16"/>
        <v>6.8304770660862602E-2</v>
      </c>
      <c r="R27" s="44"/>
      <c r="S27" s="42"/>
      <c r="T27" s="46" t="s">
        <v>28</v>
      </c>
      <c r="U27" s="47" t="s">
        <v>29</v>
      </c>
    </row>
    <row r="28" spans="2:24" x14ac:dyDescent="0.3">
      <c r="B28" s="24">
        <v>2015</v>
      </c>
      <c r="C28" s="89">
        <v>2351698</v>
      </c>
      <c r="D28" s="89">
        <f>47325+6608+1015</f>
        <v>54948</v>
      </c>
      <c r="E28" s="89">
        <v>2104125</v>
      </c>
      <c r="F28" s="91">
        <f t="shared" si="12"/>
        <v>192625</v>
      </c>
      <c r="G28" s="80">
        <f t="shared" si="10"/>
        <v>52.0551832234353</v>
      </c>
      <c r="H28" s="28">
        <f t="shared" si="14"/>
        <v>0.11445293851412908</v>
      </c>
      <c r="I28" s="91">
        <f t="shared" si="11"/>
        <v>244337.41200000001</v>
      </c>
      <c r="J28" s="30">
        <f t="shared" si="13"/>
        <v>1.2684615807916937</v>
      </c>
      <c r="M28" s="24">
        <v>2025</v>
      </c>
      <c r="N28" s="26">
        <f t="shared" si="15"/>
        <v>314370.69285721384</v>
      </c>
      <c r="O28" s="34">
        <f t="shared" si="16"/>
        <v>6.8304770660862602E-2</v>
      </c>
      <c r="R28" s="48" t="s">
        <v>30</v>
      </c>
      <c r="S28" s="42"/>
      <c r="T28" s="39">
        <v>0.5</v>
      </c>
      <c r="U28" s="49">
        <f>O17</f>
        <v>216.40444424543534</v>
      </c>
    </row>
    <row r="29" spans="2:24" x14ac:dyDescent="0.3">
      <c r="B29" s="24">
        <v>2016</v>
      </c>
      <c r="C29" s="89">
        <v>2490972</v>
      </c>
      <c r="D29" s="89">
        <f>47288+6096+862</f>
        <v>54246</v>
      </c>
      <c r="E29" s="89">
        <v>2236782</v>
      </c>
      <c r="F29" s="91">
        <f t="shared" si="12"/>
        <v>199944</v>
      </c>
      <c r="G29" s="80">
        <f t="shared" si="10"/>
        <v>55.256045322647509</v>
      </c>
      <c r="H29" s="28">
        <f t="shared" si="14"/>
        <v>6.1489786434392624E-2</v>
      </c>
      <c r="I29" s="91">
        <f t="shared" si="11"/>
        <v>312240.36500000005</v>
      </c>
      <c r="J29" s="30">
        <f t="shared" si="13"/>
        <v>1.5616390839435044</v>
      </c>
      <c r="M29" s="24">
        <v>2026</v>
      </c>
      <c r="N29" s="26">
        <f t="shared" si="15"/>
        <v>335843.71093532233</v>
      </c>
      <c r="O29" s="34">
        <f t="shared" si="16"/>
        <v>6.8304770660862602E-2</v>
      </c>
      <c r="R29" s="48" t="s">
        <v>31</v>
      </c>
      <c r="S29" s="42"/>
      <c r="T29" s="40">
        <v>0.5</v>
      </c>
      <c r="U29" s="50">
        <f>O37</f>
        <v>236.38897551039662</v>
      </c>
    </row>
    <row r="30" spans="2:24" x14ac:dyDescent="0.3">
      <c r="B30" s="24">
        <v>2017</v>
      </c>
      <c r="C30" s="89">
        <v>2533600</v>
      </c>
      <c r="D30" s="89">
        <v>54392</v>
      </c>
      <c r="E30" s="89">
        <v>2277907</v>
      </c>
      <c r="F30" s="91">
        <f t="shared" si="12"/>
        <v>201301</v>
      </c>
      <c r="G30" s="80">
        <f t="shared" si="10"/>
        <v>56.678961594774186</v>
      </c>
      <c r="H30" s="28">
        <f t="shared" si="14"/>
        <v>2.5751323023898598E-2</v>
      </c>
      <c r="I30" s="91">
        <f t="shared" si="11"/>
        <v>379808.10399999999</v>
      </c>
      <c r="J30" s="30">
        <f t="shared" si="13"/>
        <v>1.8867671000144062</v>
      </c>
      <c r="M30" s="24">
        <v>2027</v>
      </c>
      <c r="N30" s="26">
        <f t="shared" si="15"/>
        <v>358783.43858865259</v>
      </c>
      <c r="O30" s="34">
        <f t="shared" si="16"/>
        <v>6.8304770660862602E-2</v>
      </c>
      <c r="R30" s="51"/>
      <c r="S30" s="52"/>
      <c r="T30" s="53">
        <v>1</v>
      </c>
      <c r="U30" s="54">
        <f>+SUMPRODUCT(T28:T29,U28:U29)</f>
        <v>226.39670987791598</v>
      </c>
    </row>
    <row r="31" spans="2:24" x14ac:dyDescent="0.3">
      <c r="B31" s="24">
        <v>2018</v>
      </c>
      <c r="C31" s="89">
        <v>2622532</v>
      </c>
      <c r="D31" s="89">
        <v>54349</v>
      </c>
      <c r="E31" s="89">
        <v>2366017</v>
      </c>
      <c r="F31" s="91">
        <f t="shared" si="12"/>
        <v>202166</v>
      </c>
      <c r="G31" s="80">
        <f t="shared" si="10"/>
        <v>59.523613237545632</v>
      </c>
      <c r="H31" s="28">
        <f t="shared" si="14"/>
        <v>5.0188845432795004E-2</v>
      </c>
      <c r="I31" s="91">
        <f t="shared" si="11"/>
        <v>319780</v>
      </c>
      <c r="J31" s="30">
        <f t="shared" si="13"/>
        <v>1.581769436997319</v>
      </c>
      <c r="M31" s="24">
        <v>2028</v>
      </c>
      <c r="N31" s="26">
        <f t="shared" si="15"/>
        <v>383290.0590783662</v>
      </c>
      <c r="O31" s="34">
        <f t="shared" si="16"/>
        <v>6.8304770660862602E-2</v>
      </c>
    </row>
    <row r="32" spans="2:24" x14ac:dyDescent="0.3">
      <c r="B32" s="24">
        <v>2019</v>
      </c>
      <c r="C32" s="89">
        <v>2687379</v>
      </c>
      <c r="D32" s="89">
        <v>53341</v>
      </c>
      <c r="E32" s="89">
        <v>2426049</v>
      </c>
      <c r="F32" s="91">
        <f t="shared" si="12"/>
        <v>207989</v>
      </c>
      <c r="G32" s="80">
        <f t="shared" si="10"/>
        <v>64.562781313052923</v>
      </c>
      <c r="H32" s="28">
        <f t="shared" si="14"/>
        <v>8.4658302838523714E-2</v>
      </c>
      <c r="I32" s="91">
        <f t="shared" si="11"/>
        <v>429913</v>
      </c>
      <c r="J32" s="30">
        <f t="shared" si="13"/>
        <v>2.066998735510051</v>
      </c>
      <c r="M32" s="24">
        <v>2029</v>
      </c>
      <c r="N32" s="26">
        <f t="shared" si="15"/>
        <v>409470.59866030246</v>
      </c>
      <c r="O32" s="34">
        <f t="shared" si="16"/>
        <v>6.8304770660862602E-2</v>
      </c>
    </row>
    <row r="33" spans="2:15" x14ac:dyDescent="0.3">
      <c r="B33" s="24">
        <v>2020</v>
      </c>
      <c r="C33" s="89">
        <v>3386071</v>
      </c>
      <c r="D33" s="89">
        <v>53428</v>
      </c>
      <c r="E33" s="89">
        <v>3106717</v>
      </c>
      <c r="F33" s="91">
        <f t="shared" si="12"/>
        <v>225926</v>
      </c>
      <c r="G33" s="80">
        <f t="shared" si="10"/>
        <v>73.29548403841163</v>
      </c>
      <c r="H33" s="28">
        <f t="shared" si="14"/>
        <v>0.13525908499845229</v>
      </c>
      <c r="I33" s="91">
        <f t="shared" si="11"/>
        <v>387492</v>
      </c>
      <c r="J33" s="30">
        <f t="shared" si="13"/>
        <v>1.715127962253127</v>
      </c>
      <c r="M33" s="24">
        <v>2030</v>
      </c>
      <c r="N33" s="26">
        <f t="shared" si="15"/>
        <v>437439.39399416052</v>
      </c>
      <c r="O33" s="34">
        <f t="shared" si="16"/>
        <v>6.8304770660862602E-2</v>
      </c>
    </row>
    <row r="34" spans="2:15" x14ac:dyDescent="0.3">
      <c r="B34" s="8"/>
      <c r="C34" s="13"/>
      <c r="D34" s="13"/>
      <c r="E34" s="13"/>
      <c r="F34" s="13"/>
      <c r="G34" s="13"/>
      <c r="H34" s="13"/>
      <c r="I34" s="13"/>
      <c r="J34" s="14"/>
      <c r="M34" s="8"/>
      <c r="N34" s="13"/>
      <c r="O34" s="14"/>
    </row>
    <row r="35" spans="2:15" x14ac:dyDescent="0.3">
      <c r="B35" s="15"/>
      <c r="C35" s="16">
        <f>(C33/C24)^(1/9)-1</f>
        <v>4.5649717782710431E-2</v>
      </c>
      <c r="D35" s="18"/>
      <c r="E35" s="18"/>
      <c r="F35" s="16">
        <f>(F33/F24)^(1/9)-1</f>
        <v>6.8304770660862602E-2</v>
      </c>
      <c r="G35" s="93">
        <f>AVERAGE(G24:G33)</f>
        <v>51.852928369923255</v>
      </c>
      <c r="H35" s="19">
        <f>AVERAGE(H24:H33)</f>
        <v>9.8001008060784212E-2</v>
      </c>
      <c r="I35" s="92">
        <f>AVERAGE(I24:I33)</f>
        <v>282747.30810000002</v>
      </c>
      <c r="J35" s="31">
        <f>AVERAGE(J24:J33)</f>
        <v>1.5064345553945002</v>
      </c>
      <c r="M35" s="8" t="s">
        <v>21</v>
      </c>
      <c r="N35" s="13"/>
      <c r="O35" s="37">
        <f>+N33*J35</f>
        <v>658973.81900363276</v>
      </c>
    </row>
    <row r="36" spans="2:15" x14ac:dyDescent="0.3">
      <c r="M36" s="8" t="s">
        <v>24</v>
      </c>
      <c r="N36" s="13"/>
      <c r="O36" s="38">
        <f>+F15*(0.99)^10</f>
        <v>2787.6673080071387</v>
      </c>
    </row>
    <row r="37" spans="2:15" x14ac:dyDescent="0.3">
      <c r="M37" s="32" t="s">
        <v>25</v>
      </c>
      <c r="N37" s="18"/>
      <c r="O37" s="36">
        <f>O35/O36</f>
        <v>236.38897551039662</v>
      </c>
    </row>
  </sheetData>
  <mergeCells count="9">
    <mergeCell ref="W3:X3"/>
    <mergeCell ref="B21:J21"/>
    <mergeCell ref="M21:O21"/>
    <mergeCell ref="R24:U24"/>
    <mergeCell ref="A1:C1"/>
    <mergeCell ref="A2:C2"/>
    <mergeCell ref="B3:J3"/>
    <mergeCell ref="M3:O3"/>
    <mergeCell ref="R3:U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283A-1368-4085-85B8-7517DF9EB2BA}">
  <sheetPr>
    <tabColor rgb="FFC00000"/>
  </sheetPr>
  <dimension ref="A1:X37"/>
  <sheetViews>
    <sheetView showGridLines="0" topLeftCell="J14" zoomScale="130" zoomScaleNormal="130" workbookViewId="0">
      <selection activeCell="X29" sqref="X29"/>
    </sheetView>
  </sheetViews>
  <sheetFormatPr defaultRowHeight="14.4" x14ac:dyDescent="0.3"/>
  <cols>
    <col min="3" max="3" width="11.44140625" bestFit="1" customWidth="1"/>
    <col min="4" max="4" width="10.33203125" bestFit="1" customWidth="1"/>
    <col min="5" max="5" width="11.44140625" bestFit="1" customWidth="1"/>
    <col min="6" max="6" width="9.5546875" bestFit="1" customWidth="1"/>
    <col min="7" max="7" width="8.6640625" bestFit="1" customWidth="1"/>
    <col min="8" max="8" width="9.88671875" bestFit="1" customWidth="1"/>
    <col min="9" max="9" width="9.5546875" bestFit="1" customWidth="1"/>
    <col min="10" max="10" width="8.109375" bestFit="1" customWidth="1"/>
    <col min="14" max="14" width="10.109375" customWidth="1"/>
    <col min="15" max="15" width="10.21875" customWidth="1"/>
    <col min="18" max="19" width="14" customWidth="1"/>
    <col min="20" max="20" width="12.6640625" customWidth="1"/>
    <col min="21" max="21" width="13.21875" customWidth="1"/>
    <col min="22" max="22" width="13.44140625" customWidth="1"/>
    <col min="23" max="23" width="11.21875" customWidth="1"/>
    <col min="24" max="24" width="10.5546875" customWidth="1"/>
  </cols>
  <sheetData>
    <row r="1" spans="1:24" x14ac:dyDescent="0.3">
      <c r="A1" s="114" t="s">
        <v>0</v>
      </c>
      <c r="B1" s="114"/>
      <c r="C1" s="114"/>
    </row>
    <row r="2" spans="1:24" x14ac:dyDescent="0.3">
      <c r="A2" s="114" t="s">
        <v>10</v>
      </c>
      <c r="B2" s="114"/>
      <c r="C2" s="114"/>
      <c r="D2" s="1"/>
      <c r="E2" s="1"/>
      <c r="G2" s="1"/>
      <c r="H2" s="1"/>
      <c r="I2" s="1"/>
    </row>
    <row r="3" spans="1:24" x14ac:dyDescent="0.3">
      <c r="B3" s="109" t="s">
        <v>19</v>
      </c>
      <c r="C3" s="109"/>
      <c r="D3" s="109"/>
      <c r="E3" s="109"/>
      <c r="F3" s="109"/>
      <c r="G3" s="109"/>
      <c r="H3" s="109"/>
      <c r="I3" s="109"/>
      <c r="J3" s="109"/>
      <c r="M3" s="109" t="s">
        <v>26</v>
      </c>
      <c r="N3" s="109"/>
      <c r="O3" s="109"/>
      <c r="R3" s="109" t="s">
        <v>36</v>
      </c>
      <c r="S3" s="109"/>
      <c r="T3" s="109"/>
      <c r="U3" s="109"/>
      <c r="W3" s="109" t="s">
        <v>42</v>
      </c>
      <c r="X3" s="109"/>
    </row>
    <row r="4" spans="1:24" ht="29.4" customHeight="1" x14ac:dyDescent="0.3">
      <c r="B4" s="2" t="s">
        <v>1</v>
      </c>
      <c r="C4" s="3" t="s">
        <v>9</v>
      </c>
      <c r="D4" s="3" t="s">
        <v>3</v>
      </c>
      <c r="E4" s="3" t="s">
        <v>4</v>
      </c>
      <c r="F4" s="2" t="s">
        <v>2</v>
      </c>
      <c r="G4" s="3" t="s">
        <v>5</v>
      </c>
      <c r="H4" s="3" t="s">
        <v>6</v>
      </c>
      <c r="I4" s="3" t="s">
        <v>7</v>
      </c>
      <c r="J4" s="3" t="s">
        <v>8</v>
      </c>
      <c r="M4" s="35" t="s">
        <v>1</v>
      </c>
      <c r="N4" s="3" t="s">
        <v>27</v>
      </c>
      <c r="O4" s="3" t="s">
        <v>8</v>
      </c>
      <c r="R4" s="35" t="s">
        <v>1</v>
      </c>
      <c r="S4" s="3" t="s">
        <v>35</v>
      </c>
      <c r="T4" s="3" t="s">
        <v>33</v>
      </c>
      <c r="U4" s="3" t="s">
        <v>34</v>
      </c>
      <c r="W4" s="3" t="s">
        <v>33</v>
      </c>
      <c r="X4" s="2" t="s">
        <v>37</v>
      </c>
    </row>
    <row r="5" spans="1:24" ht="4.2" customHeight="1" x14ac:dyDescent="0.3"/>
    <row r="6" spans="1:24" x14ac:dyDescent="0.3">
      <c r="B6" s="21">
        <v>2011</v>
      </c>
      <c r="C6" s="88">
        <v>115074</v>
      </c>
      <c r="D6" s="88">
        <v>85</v>
      </c>
      <c r="E6" s="5">
        <f>D6/C6</f>
        <v>7.3865512626657625E-4</v>
      </c>
      <c r="F6" s="4">
        <v>10143</v>
      </c>
      <c r="G6" s="79">
        <f>D6/F6</f>
        <v>8.3801636596667652E-3</v>
      </c>
      <c r="H6" s="86">
        <v>5.46</v>
      </c>
      <c r="I6" s="6">
        <f>G6/H6</f>
        <v>1.5348285090964772E-3</v>
      </c>
      <c r="J6" s="7"/>
      <c r="M6" s="23">
        <v>2021</v>
      </c>
      <c r="N6" s="81">
        <f>AVERAGE(G11:G15)</f>
        <v>2.0987230649498811</v>
      </c>
      <c r="O6" s="33"/>
      <c r="R6" s="62">
        <v>2021</v>
      </c>
      <c r="S6" s="83">
        <f>N6</f>
        <v>2.0987230649498811</v>
      </c>
      <c r="T6" s="63">
        <f>-U25</f>
        <v>-37.659999999999997</v>
      </c>
      <c r="U6" s="64">
        <f>+S6+T6</f>
        <v>-35.561276935050117</v>
      </c>
      <c r="W6" s="94"/>
      <c r="X6" s="95">
        <f>U17</f>
        <v>0.10783079903157078</v>
      </c>
    </row>
    <row r="7" spans="1:24" x14ac:dyDescent="0.3">
      <c r="B7" s="22">
        <v>2012</v>
      </c>
      <c r="C7" s="89">
        <v>100078</v>
      </c>
      <c r="D7" s="89">
        <v>2760</v>
      </c>
      <c r="E7" s="10">
        <f t="shared" ref="E7:E15" si="0">D7/C7</f>
        <v>2.7578488778752575E-2</v>
      </c>
      <c r="F7" s="9">
        <v>10746</v>
      </c>
      <c r="G7" s="80">
        <f t="shared" ref="G7:G15" si="1">D7/F7</f>
        <v>0.25683975432719153</v>
      </c>
      <c r="H7" s="87">
        <v>10.88</v>
      </c>
      <c r="I7" s="11">
        <f t="shared" ref="I7:I15" si="2">G7/H7</f>
        <v>2.3606595066837453E-2</v>
      </c>
      <c r="J7" s="12">
        <f>G7/G6-1</f>
        <v>29.648536801655336</v>
      </c>
      <c r="M7" s="24">
        <v>2022</v>
      </c>
      <c r="N7" s="82">
        <f>N6*(1+O7)</f>
        <v>2.2186299388413113</v>
      </c>
      <c r="O7" s="34">
        <f>H35</f>
        <v>5.7133252068344617E-2</v>
      </c>
      <c r="R7" s="65">
        <v>2022</v>
      </c>
      <c r="S7" s="84">
        <f t="shared" ref="S7:S15" si="3">N7</f>
        <v>2.2186299388413113</v>
      </c>
      <c r="T7" s="66"/>
      <c r="U7" s="67">
        <f t="shared" ref="U7:U15" si="4">+S7+T7</f>
        <v>2.2186299388413113</v>
      </c>
      <c r="W7" s="96">
        <v>-44</v>
      </c>
      <c r="X7" s="98">
        <f t="dataTable" ref="X7:X13" dt2D="0" dtr="0" r1="T6"/>
        <v>8.3063231582285457E-2</v>
      </c>
    </row>
    <row r="8" spans="1:24" x14ac:dyDescent="0.3">
      <c r="B8" s="22">
        <v>2013</v>
      </c>
      <c r="C8" s="89">
        <v>101697</v>
      </c>
      <c r="D8" s="89">
        <v>10082</v>
      </c>
      <c r="E8" s="10">
        <f t="shared" si="0"/>
        <v>9.9137634345162595E-2</v>
      </c>
      <c r="F8" s="9">
        <v>10731</v>
      </c>
      <c r="G8" s="80">
        <f t="shared" si="1"/>
        <v>0.93952101388500608</v>
      </c>
      <c r="H8" s="87">
        <v>15.52</v>
      </c>
      <c r="I8" s="11">
        <f t="shared" si="2"/>
        <v>6.0536147801868952E-2</v>
      </c>
      <c r="J8" s="12">
        <f t="shared" ref="J8:J15" si="5">G8/G7-1</f>
        <v>2.6580046431914037</v>
      </c>
      <c r="M8" s="24">
        <v>2023</v>
      </c>
      <c r="N8" s="82">
        <f t="shared" ref="N8:N15" si="6">N7*(1+O8)</f>
        <v>2.3453874823835079</v>
      </c>
      <c r="O8" s="34">
        <f>O7</f>
        <v>5.7133252068344617E-2</v>
      </c>
      <c r="R8" s="65">
        <v>2023</v>
      </c>
      <c r="S8" s="84">
        <f t="shared" si="3"/>
        <v>2.3453874823835079</v>
      </c>
      <c r="T8" s="66"/>
      <c r="U8" s="67">
        <f t="shared" si="4"/>
        <v>2.3453874823835079</v>
      </c>
      <c r="W8" s="96">
        <v>-42</v>
      </c>
      <c r="X8" s="98">
        <v>9.0331903817733261E-2</v>
      </c>
    </row>
    <row r="9" spans="1:24" x14ac:dyDescent="0.3">
      <c r="B9" s="22">
        <v>2014</v>
      </c>
      <c r="C9" s="89">
        <v>96829</v>
      </c>
      <c r="D9" s="89">
        <v>3789</v>
      </c>
      <c r="E9" s="10">
        <f t="shared" si="0"/>
        <v>3.9130838901568744E-2</v>
      </c>
      <c r="F9" s="9">
        <v>10528</v>
      </c>
      <c r="G9" s="80">
        <f t="shared" si="1"/>
        <v>0.35989741641337386</v>
      </c>
      <c r="H9" s="87">
        <v>17.5</v>
      </c>
      <c r="I9" s="11">
        <f t="shared" si="2"/>
        <v>2.0565566652192793E-2</v>
      </c>
      <c r="J9" s="12">
        <f t="shared" si="5"/>
        <v>-0.61693521369451343</v>
      </c>
      <c r="M9" s="24">
        <v>2024</v>
      </c>
      <c r="N9" s="82">
        <f t="shared" si="6"/>
        <v>2.4793870966124647</v>
      </c>
      <c r="O9" s="34">
        <f t="shared" ref="O9:O15" si="7">O8</f>
        <v>5.7133252068344617E-2</v>
      </c>
      <c r="R9" s="65">
        <v>2024</v>
      </c>
      <c r="S9" s="84">
        <f t="shared" si="3"/>
        <v>2.4793870966124647</v>
      </c>
      <c r="T9" s="66"/>
      <c r="U9" s="67">
        <f t="shared" si="4"/>
        <v>2.4793870966124647</v>
      </c>
      <c r="W9" s="96">
        <v>-40</v>
      </c>
      <c r="X9" s="98">
        <v>9.8078088534368169E-2</v>
      </c>
    </row>
    <row r="10" spans="1:24" x14ac:dyDescent="0.3">
      <c r="B10" s="22">
        <v>2015</v>
      </c>
      <c r="C10" s="89">
        <v>96514</v>
      </c>
      <c r="D10" s="89">
        <v>14427</v>
      </c>
      <c r="E10" s="10">
        <f t="shared" si="0"/>
        <v>0.14948090432476119</v>
      </c>
      <c r="F10" s="9">
        <v>10462</v>
      </c>
      <c r="G10" s="80">
        <f t="shared" si="1"/>
        <v>1.3789906327662016</v>
      </c>
      <c r="H10" s="87">
        <v>17.239999999999998</v>
      </c>
      <c r="I10" s="11">
        <f t="shared" si="2"/>
        <v>7.9987855728898008E-2</v>
      </c>
      <c r="J10" s="12">
        <f t="shared" si="5"/>
        <v>2.8316213728589523</v>
      </c>
      <c r="M10" s="24">
        <v>2025</v>
      </c>
      <c r="N10" s="82">
        <f t="shared" si="6"/>
        <v>2.6210425445782257</v>
      </c>
      <c r="O10" s="34">
        <f t="shared" si="7"/>
        <v>5.7133252068344617E-2</v>
      </c>
      <c r="R10" s="65">
        <v>2025</v>
      </c>
      <c r="S10" s="84">
        <f t="shared" si="3"/>
        <v>2.6210425445782257</v>
      </c>
      <c r="T10" s="66"/>
      <c r="U10" s="67">
        <f t="shared" si="4"/>
        <v>2.6210425445782257</v>
      </c>
      <c r="W10" s="96">
        <v>-38</v>
      </c>
      <c r="X10" s="98">
        <v>0.10636352930351989</v>
      </c>
    </row>
    <row r="11" spans="1:24" x14ac:dyDescent="0.3">
      <c r="B11" s="22">
        <v>2016</v>
      </c>
      <c r="C11" s="89">
        <v>93662</v>
      </c>
      <c r="D11" s="89">
        <v>16140</v>
      </c>
      <c r="E11" s="10">
        <f t="shared" si="0"/>
        <v>0.17232175268518715</v>
      </c>
      <c r="F11" s="9">
        <v>10284</v>
      </c>
      <c r="G11" s="80">
        <f t="shared" si="1"/>
        <v>1.5694282380396734</v>
      </c>
      <c r="H11" s="87">
        <v>22.43</v>
      </c>
      <c r="I11" s="11">
        <f t="shared" si="2"/>
        <v>6.9970050737390696E-2</v>
      </c>
      <c r="J11" s="12">
        <f>G11/G10-1</f>
        <v>0.13809927402585864</v>
      </c>
      <c r="M11" s="24">
        <v>2026</v>
      </c>
      <c r="N11" s="82">
        <f t="shared" si="6"/>
        <v>2.7707912289594687</v>
      </c>
      <c r="O11" s="34">
        <f t="shared" si="7"/>
        <v>5.7133252068344617E-2</v>
      </c>
      <c r="R11" s="65">
        <v>2026</v>
      </c>
      <c r="S11" s="84">
        <f t="shared" si="3"/>
        <v>2.7707912289594687</v>
      </c>
      <c r="T11" s="66"/>
      <c r="U11" s="67">
        <f t="shared" si="4"/>
        <v>2.7707912289594687</v>
      </c>
      <c r="W11" s="96">
        <v>-36</v>
      </c>
      <c r="X11" s="98">
        <v>0.1152623139310931</v>
      </c>
    </row>
    <row r="12" spans="1:24" x14ac:dyDescent="0.3">
      <c r="B12" s="22">
        <v>2017</v>
      </c>
      <c r="C12" s="89">
        <v>99466</v>
      </c>
      <c r="D12" s="89">
        <v>16618</v>
      </c>
      <c r="E12" s="10">
        <f t="shared" si="0"/>
        <v>0.16707216536303862</v>
      </c>
      <c r="F12" s="9">
        <v>10196</v>
      </c>
      <c r="G12" s="80">
        <f t="shared" si="1"/>
        <v>1.6298548450372696</v>
      </c>
      <c r="H12" s="87">
        <v>29.22</v>
      </c>
      <c r="I12" s="11">
        <f t="shared" si="2"/>
        <v>5.577874212995447E-2</v>
      </c>
      <c r="J12" s="12">
        <f t="shared" si="5"/>
        <v>3.850230646612629E-2</v>
      </c>
      <c r="M12" s="24">
        <v>2027</v>
      </c>
      <c r="N12" s="82">
        <f t="shared" si="6"/>
        <v>2.9290955426723682</v>
      </c>
      <c r="O12" s="34">
        <f t="shared" si="7"/>
        <v>5.7133252068344617E-2</v>
      </c>
      <c r="R12" s="65">
        <v>2027</v>
      </c>
      <c r="S12" s="84">
        <f t="shared" si="3"/>
        <v>2.9290955426723682</v>
      </c>
      <c r="T12" s="66"/>
      <c r="U12" s="67">
        <f t="shared" si="4"/>
        <v>2.9290955426723682</v>
      </c>
      <c r="W12" s="96">
        <v>-34</v>
      </c>
      <c r="X12" s="98">
        <v>0.1248643216262022</v>
      </c>
    </row>
    <row r="13" spans="1:24" x14ac:dyDescent="0.3">
      <c r="B13" s="22">
        <v>2018</v>
      </c>
      <c r="C13" s="89">
        <v>109627</v>
      </c>
      <c r="D13" s="89">
        <v>26696</v>
      </c>
      <c r="E13" s="10">
        <f t="shared" si="0"/>
        <v>0.24351665191969132</v>
      </c>
      <c r="F13" s="9">
        <v>10097</v>
      </c>
      <c r="G13" s="80">
        <f t="shared" si="1"/>
        <v>2.6439536495988909</v>
      </c>
      <c r="H13" s="87">
        <v>24.78</v>
      </c>
      <c r="I13" s="11">
        <f t="shared" si="2"/>
        <v>0.10669708029051214</v>
      </c>
      <c r="J13" s="12">
        <f t="shared" si="5"/>
        <v>0.62220191426828086</v>
      </c>
      <c r="M13" s="24">
        <v>2028</v>
      </c>
      <c r="N13" s="82">
        <f t="shared" si="6"/>
        <v>3.0964442966441328</v>
      </c>
      <c r="O13" s="34">
        <f t="shared" si="7"/>
        <v>5.7133252068344617E-2</v>
      </c>
      <c r="R13" s="65">
        <v>2028</v>
      </c>
      <c r="S13" s="84">
        <f t="shared" si="3"/>
        <v>3.0964442966441328</v>
      </c>
      <c r="T13" s="66"/>
      <c r="U13" s="67">
        <f t="shared" si="4"/>
        <v>3.0964442966441328</v>
      </c>
      <c r="W13" s="97">
        <v>-32</v>
      </c>
      <c r="X13" s="99">
        <v>0.13527994257787546</v>
      </c>
    </row>
    <row r="14" spans="1:24" x14ac:dyDescent="0.3">
      <c r="B14" s="22">
        <v>2019</v>
      </c>
      <c r="C14" s="89">
        <v>113589</v>
      </c>
      <c r="D14" s="89">
        <v>25998</v>
      </c>
      <c r="E14" s="10">
        <f t="shared" si="0"/>
        <v>0.22887779626548346</v>
      </c>
      <c r="F14" s="9">
        <v>9391</v>
      </c>
      <c r="G14" s="80">
        <f t="shared" si="1"/>
        <v>2.7683952720690024</v>
      </c>
      <c r="H14" s="87">
        <v>34.4</v>
      </c>
      <c r="I14" s="11">
        <f t="shared" si="2"/>
        <v>8.0476606746191934E-2</v>
      </c>
      <c r="J14" s="12">
        <f t="shared" si="5"/>
        <v>4.706649168717103E-2</v>
      </c>
      <c r="M14" s="24">
        <v>2029</v>
      </c>
      <c r="N14" s="82">
        <f t="shared" si="6"/>
        <v>3.2733542291598896</v>
      </c>
      <c r="O14" s="34">
        <f t="shared" si="7"/>
        <v>5.7133252068344617E-2</v>
      </c>
      <c r="R14" s="65">
        <v>2029</v>
      </c>
      <c r="S14" s="84">
        <f t="shared" si="3"/>
        <v>3.2733542291598896</v>
      </c>
      <c r="T14" s="66"/>
      <c r="U14" s="67">
        <f t="shared" si="4"/>
        <v>3.2733542291598896</v>
      </c>
    </row>
    <row r="15" spans="1:24" x14ac:dyDescent="0.3">
      <c r="B15" s="22">
        <v>2020</v>
      </c>
      <c r="C15" s="89">
        <f>51585+42168</f>
        <v>93753</v>
      </c>
      <c r="D15" s="89">
        <v>16473</v>
      </c>
      <c r="E15" s="10">
        <f t="shared" si="0"/>
        <v>0.17570637739592332</v>
      </c>
      <c r="F15" s="9">
        <v>8753</v>
      </c>
      <c r="G15" s="80">
        <f t="shared" si="1"/>
        <v>1.8819833200045699</v>
      </c>
      <c r="H15" s="87">
        <v>27.39</v>
      </c>
      <c r="I15" s="11">
        <f t="shared" si="2"/>
        <v>6.8710599489031396E-2</v>
      </c>
      <c r="J15" s="12">
        <f t="shared" si="5"/>
        <v>-0.32018980851746615</v>
      </c>
      <c r="M15" s="24">
        <v>2030</v>
      </c>
      <c r="N15" s="82">
        <f t="shared" si="6"/>
        <v>3.4603716014434633</v>
      </c>
      <c r="O15" s="34">
        <f t="shared" si="7"/>
        <v>5.7133252068344617E-2</v>
      </c>
      <c r="R15" s="68">
        <v>2030</v>
      </c>
      <c r="S15" s="85">
        <f t="shared" si="3"/>
        <v>3.4603716014434633</v>
      </c>
      <c r="T15" s="69">
        <f>U30</f>
        <v>51.542992693525463</v>
      </c>
      <c r="U15" s="70">
        <f t="shared" si="4"/>
        <v>55.003364294968925</v>
      </c>
    </row>
    <row r="16" spans="1:24" x14ac:dyDescent="0.3">
      <c r="B16" s="8"/>
      <c r="C16" s="13"/>
      <c r="D16" s="13"/>
      <c r="E16" s="13"/>
      <c r="F16" s="13"/>
      <c r="G16" s="13"/>
      <c r="H16" s="13"/>
      <c r="I16" s="13"/>
      <c r="J16" s="14"/>
      <c r="M16" s="8"/>
      <c r="N16" s="13"/>
      <c r="O16" s="14"/>
      <c r="R16" s="71"/>
      <c r="S16" s="66"/>
      <c r="T16" s="66"/>
      <c r="U16" s="72"/>
    </row>
    <row r="17" spans="2:22" x14ac:dyDescent="0.3">
      <c r="B17" s="15"/>
      <c r="C17" s="16">
        <f>(C15/C6)^(1/9)-1</f>
        <v>-2.2510736283906541E-2</v>
      </c>
      <c r="D17" s="16">
        <f>(D15/D6)^(1/9)-1</f>
        <v>0.79535534584381384</v>
      </c>
      <c r="E17" s="17">
        <f>AVERAGE(E6:E15)</f>
        <v>0.13035612651058354</v>
      </c>
      <c r="F17" s="16">
        <f>(F15/F6)^(1/9)-1</f>
        <v>-1.6243004462074051E-2</v>
      </c>
      <c r="G17" s="16">
        <f>(G15/G6)^(1/9)-1</f>
        <v>0.82499880965227557</v>
      </c>
      <c r="H17" s="18"/>
      <c r="I17" s="19">
        <f>AVERAGE(I6:I15)</f>
        <v>5.6786407315197428E-2</v>
      </c>
      <c r="J17" s="20">
        <f>AVERAGE(J7:J15)</f>
        <v>3.8941008646601269</v>
      </c>
      <c r="M17" s="32" t="s">
        <v>25</v>
      </c>
      <c r="N17" s="18"/>
      <c r="O17" s="36">
        <f>N15/I17</f>
        <v>60.936617846527923</v>
      </c>
      <c r="R17" s="65" t="s">
        <v>37</v>
      </c>
      <c r="S17" s="66"/>
      <c r="T17" s="66"/>
      <c r="U17" s="73">
        <f>IRR(U6:U15)</f>
        <v>0.10783079903157078</v>
      </c>
    </row>
    <row r="18" spans="2:22" x14ac:dyDescent="0.3">
      <c r="B18" s="55"/>
      <c r="C18" s="56"/>
      <c r="D18" s="56"/>
      <c r="E18" s="57"/>
      <c r="F18" s="56"/>
      <c r="G18" s="56"/>
      <c r="H18" s="55"/>
      <c r="I18" s="58"/>
      <c r="J18" s="58"/>
      <c r="M18" s="59"/>
      <c r="N18" s="60"/>
      <c r="O18" s="61"/>
      <c r="R18" s="65" t="s">
        <v>39</v>
      </c>
      <c r="S18" s="66"/>
      <c r="T18" s="66"/>
      <c r="U18" s="74">
        <f>SUM(S6:S15)</f>
        <v>27.293227026244711</v>
      </c>
    </row>
    <row r="19" spans="2:22" x14ac:dyDescent="0.3">
      <c r="B19" s="55"/>
      <c r="C19" s="56"/>
      <c r="D19" s="56"/>
      <c r="E19" s="57"/>
      <c r="F19" s="56"/>
      <c r="G19" s="56"/>
      <c r="H19" s="55"/>
      <c r="I19" s="58"/>
      <c r="J19" s="58"/>
      <c r="M19" s="59"/>
      <c r="N19" s="60"/>
      <c r="O19" s="61"/>
      <c r="R19" s="65" t="s">
        <v>38</v>
      </c>
      <c r="S19" s="66"/>
      <c r="T19" s="66"/>
      <c r="U19" s="75">
        <f>+T15+T6</f>
        <v>13.882992693525466</v>
      </c>
    </row>
    <row r="20" spans="2:22" x14ac:dyDescent="0.3">
      <c r="R20" s="65" t="s">
        <v>40</v>
      </c>
      <c r="S20" s="66"/>
      <c r="T20" s="66"/>
      <c r="U20" s="76">
        <f>+U18+U19</f>
        <v>41.176219719770174</v>
      </c>
    </row>
    <row r="21" spans="2:22" x14ac:dyDescent="0.3">
      <c r="B21" s="109" t="s">
        <v>20</v>
      </c>
      <c r="C21" s="109"/>
      <c r="D21" s="109"/>
      <c r="E21" s="109"/>
      <c r="F21" s="109"/>
      <c r="G21" s="109"/>
      <c r="H21" s="109"/>
      <c r="I21" s="109"/>
      <c r="J21" s="109"/>
      <c r="M21" s="109" t="s">
        <v>26</v>
      </c>
      <c r="N21" s="109"/>
      <c r="O21" s="109"/>
      <c r="R21" s="68" t="s">
        <v>41</v>
      </c>
      <c r="S21" s="77"/>
      <c r="T21" s="77"/>
      <c r="U21" s="78">
        <f>-SUM(S6:S15,T15)/T6</f>
        <v>2.0933674912312847</v>
      </c>
    </row>
    <row r="22" spans="2:22" ht="28.8" x14ac:dyDescent="0.3">
      <c r="B22" s="2" t="s">
        <v>1</v>
      </c>
      <c r="C22" s="2" t="s">
        <v>11</v>
      </c>
      <c r="D22" s="3" t="s">
        <v>12</v>
      </c>
      <c r="E22" s="2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M22" s="35" t="s">
        <v>1</v>
      </c>
      <c r="N22" s="3" t="s">
        <v>14</v>
      </c>
      <c r="O22" s="3" t="s">
        <v>16</v>
      </c>
    </row>
    <row r="23" spans="2:22" ht="3.6" customHeight="1" x14ac:dyDescent="0.3"/>
    <row r="24" spans="2:22" x14ac:dyDescent="0.3">
      <c r="B24" s="23">
        <v>2011</v>
      </c>
      <c r="C24" s="88">
        <v>2129046</v>
      </c>
      <c r="D24" s="88">
        <f>7510+69967+8021</f>
        <v>85498</v>
      </c>
      <c r="E24" s="88">
        <v>1898945</v>
      </c>
      <c r="F24" s="90">
        <f>C24-SUM(D24:E24)</f>
        <v>144603</v>
      </c>
      <c r="G24" s="79">
        <f t="shared" ref="G24:G33" si="8">F24/F6</f>
        <v>14.256433007985803</v>
      </c>
      <c r="H24" s="27"/>
      <c r="I24" s="90">
        <f t="shared" ref="I24:I33" si="9">F6*H6</f>
        <v>55380.78</v>
      </c>
      <c r="J24" s="29">
        <f>I24/F24</f>
        <v>0.38298500031119687</v>
      </c>
      <c r="M24" s="23">
        <v>2021</v>
      </c>
      <c r="N24" s="25">
        <f>F33*(1+O24)</f>
        <v>211927.94699999999</v>
      </c>
      <c r="O24" s="33">
        <v>3.9E-2</v>
      </c>
      <c r="R24" s="110" t="s">
        <v>22</v>
      </c>
      <c r="S24" s="111"/>
      <c r="T24" s="111"/>
      <c r="U24" s="112"/>
    </row>
    <row r="25" spans="2:22" x14ac:dyDescent="0.3">
      <c r="B25" s="24">
        <v>2012</v>
      </c>
      <c r="C25" s="89">
        <v>2209974</v>
      </c>
      <c r="D25" s="89">
        <f>5851+69976+6684</f>
        <v>82511</v>
      </c>
      <c r="E25" s="89">
        <v>1973018</v>
      </c>
      <c r="F25" s="91">
        <f t="shared" ref="F25:F33" si="10">C25-SUM(D25:E25)</f>
        <v>154445</v>
      </c>
      <c r="G25" s="80">
        <f t="shared" si="8"/>
        <v>14.372324585892425</v>
      </c>
      <c r="H25" s="28">
        <f>G25/G24-1</f>
        <v>8.1290725275884324E-3</v>
      </c>
      <c r="I25" s="91">
        <f t="shared" si="9"/>
        <v>116916.48000000001</v>
      </c>
      <c r="J25" s="30">
        <f t="shared" ref="J25:J33" si="11">I25/F25</f>
        <v>0.75701045679691803</v>
      </c>
      <c r="M25" s="24">
        <v>2022</v>
      </c>
      <c r="N25" s="26">
        <f>N24*(1+O25)</f>
        <v>220193.13693299997</v>
      </c>
      <c r="O25" s="34">
        <v>3.9E-2</v>
      </c>
      <c r="R25" s="41" t="s">
        <v>23</v>
      </c>
      <c r="S25" s="42"/>
      <c r="T25" s="42"/>
      <c r="U25" s="43">
        <v>37.659999999999997</v>
      </c>
      <c r="V25" s="101" t="s">
        <v>32</v>
      </c>
    </row>
    <row r="26" spans="2:22" x14ac:dyDescent="0.3">
      <c r="B26" s="24">
        <v>2013</v>
      </c>
      <c r="C26" s="89">
        <v>2102273</v>
      </c>
      <c r="D26" s="89">
        <f>5052+69844+5574</f>
        <v>80470</v>
      </c>
      <c r="E26" s="89">
        <v>1869588</v>
      </c>
      <c r="F26" s="91">
        <f t="shared" si="10"/>
        <v>152215</v>
      </c>
      <c r="G26" s="80">
        <f t="shared" si="8"/>
        <v>14.18460534898891</v>
      </c>
      <c r="H26" s="28">
        <f t="shared" ref="H26:H33" si="12">G26/G25-1</f>
        <v>-1.3061160411571571E-2</v>
      </c>
      <c r="I26" s="91">
        <f t="shared" si="9"/>
        <v>166545.12</v>
      </c>
      <c r="J26" s="30">
        <f t="shared" si="11"/>
        <v>1.0941439411358933</v>
      </c>
      <c r="M26" s="24">
        <v>2023</v>
      </c>
      <c r="N26" s="26">
        <f t="shared" ref="N26:N33" si="13">N25*(1+O26)</f>
        <v>228780.66927338694</v>
      </c>
      <c r="O26" s="34">
        <v>3.9E-2</v>
      </c>
      <c r="R26" s="44"/>
      <c r="S26" s="42"/>
      <c r="T26" s="42"/>
      <c r="U26" s="45"/>
    </row>
    <row r="27" spans="2:22" x14ac:dyDescent="0.3">
      <c r="B27" s="24">
        <v>2014</v>
      </c>
      <c r="C27" s="89">
        <v>2104534</v>
      </c>
      <c r="D27" s="89">
        <f>3530+69777+4612</f>
        <v>77919</v>
      </c>
      <c r="E27" s="89">
        <v>1861063</v>
      </c>
      <c r="F27" s="91">
        <f t="shared" si="10"/>
        <v>165552</v>
      </c>
      <c r="G27" s="80">
        <f t="shared" si="8"/>
        <v>15.724924012158056</v>
      </c>
      <c r="H27" s="28">
        <f t="shared" si="12"/>
        <v>0.10859087195393413</v>
      </c>
      <c r="I27" s="91">
        <f t="shared" si="9"/>
        <v>184240</v>
      </c>
      <c r="J27" s="30">
        <f t="shared" si="11"/>
        <v>1.1128829612448052</v>
      </c>
      <c r="M27" s="24">
        <v>2024</v>
      </c>
      <c r="N27" s="26">
        <f t="shared" si="13"/>
        <v>237703.115375049</v>
      </c>
      <c r="O27" s="34">
        <v>3.9E-2</v>
      </c>
      <c r="R27" s="44"/>
      <c r="S27" s="42"/>
      <c r="T27" s="46" t="s">
        <v>28</v>
      </c>
      <c r="U27" s="47" t="s">
        <v>29</v>
      </c>
    </row>
    <row r="28" spans="2:22" x14ac:dyDescent="0.3">
      <c r="B28" s="24">
        <v>2015</v>
      </c>
      <c r="C28" s="89">
        <v>2144316</v>
      </c>
      <c r="D28" s="89">
        <f>3087+69761+3768</f>
        <v>76616</v>
      </c>
      <c r="E28" s="89">
        <v>1888111</v>
      </c>
      <c r="F28" s="91">
        <f t="shared" si="10"/>
        <v>179589</v>
      </c>
      <c r="G28" s="80">
        <f t="shared" si="8"/>
        <v>17.165838271840947</v>
      </c>
      <c r="H28" s="28">
        <f t="shared" si="12"/>
        <v>9.1632510183757843E-2</v>
      </c>
      <c r="I28" s="91">
        <f t="shared" si="9"/>
        <v>180364.87999999998</v>
      </c>
      <c r="J28" s="30">
        <f t="shared" si="11"/>
        <v>1.0043203091503377</v>
      </c>
      <c r="M28" s="24">
        <v>2025</v>
      </c>
      <c r="N28" s="26">
        <f t="shared" si="13"/>
        <v>246973.53687467589</v>
      </c>
      <c r="O28" s="34">
        <v>3.9E-2</v>
      </c>
      <c r="R28" s="48" t="s">
        <v>30</v>
      </c>
      <c r="S28" s="42"/>
      <c r="T28" s="39">
        <v>0.5</v>
      </c>
      <c r="U28" s="49">
        <f>O17</f>
        <v>60.936617846527923</v>
      </c>
    </row>
    <row r="29" spans="2:22" x14ac:dyDescent="0.3">
      <c r="B29" s="24">
        <v>2016</v>
      </c>
      <c r="C29" s="89">
        <v>2188067</v>
      </c>
      <c r="D29" s="89">
        <f>2747+68969+2922</f>
        <v>74638</v>
      </c>
      <c r="E29" s="89">
        <v>1921872</v>
      </c>
      <c r="F29" s="91">
        <f t="shared" si="10"/>
        <v>191557</v>
      </c>
      <c r="G29" s="80">
        <f t="shared" si="8"/>
        <v>18.626701672500971</v>
      </c>
      <c r="H29" s="28">
        <f t="shared" si="12"/>
        <v>8.510294560193099E-2</v>
      </c>
      <c r="I29" s="91">
        <f t="shared" si="9"/>
        <v>230670.12</v>
      </c>
      <c r="J29" s="30">
        <f t="shared" si="11"/>
        <v>1.2041852816655094</v>
      </c>
      <c r="M29" s="24">
        <v>2026</v>
      </c>
      <c r="N29" s="26">
        <f t="shared" si="13"/>
        <v>256605.50481278822</v>
      </c>
      <c r="O29" s="34">
        <v>3.9E-2</v>
      </c>
      <c r="R29" s="48" t="s">
        <v>31</v>
      </c>
      <c r="S29" s="42"/>
      <c r="T29" s="40">
        <v>0.5</v>
      </c>
      <c r="U29" s="50">
        <f>O37</f>
        <v>42.149367540523002</v>
      </c>
    </row>
    <row r="30" spans="2:22" x14ac:dyDescent="0.3">
      <c r="B30" s="24">
        <v>2017</v>
      </c>
      <c r="C30" s="89">
        <v>2281234</v>
      </c>
      <c r="D30" s="89">
        <f>68951</f>
        <v>68951</v>
      </c>
      <c r="E30" s="89">
        <v>2014088</v>
      </c>
      <c r="F30" s="91">
        <f t="shared" si="10"/>
        <v>198195</v>
      </c>
      <c r="G30" s="80">
        <f t="shared" si="8"/>
        <v>19.438505296194585</v>
      </c>
      <c r="H30" s="28">
        <f t="shared" si="12"/>
        <v>4.3582789801809074E-2</v>
      </c>
      <c r="I30" s="91">
        <f t="shared" si="9"/>
        <v>297927.12</v>
      </c>
      <c r="J30" s="30">
        <f t="shared" si="11"/>
        <v>1.5032019980322409</v>
      </c>
      <c r="M30" s="24">
        <v>2027</v>
      </c>
      <c r="N30" s="26">
        <f t="shared" si="13"/>
        <v>266613.11950048694</v>
      </c>
      <c r="O30" s="34">
        <v>3.9E-2</v>
      </c>
      <c r="R30" s="51"/>
      <c r="S30" s="52"/>
      <c r="T30" s="53">
        <v>1</v>
      </c>
      <c r="U30" s="54">
        <f>+SUMPRODUCT(T28:T29,U28:U29)</f>
        <v>51.542992693525463</v>
      </c>
    </row>
    <row r="31" spans="2:22" x14ac:dyDescent="0.3">
      <c r="B31" s="24">
        <v>2018</v>
      </c>
      <c r="C31" s="89">
        <v>2354507</v>
      </c>
      <c r="D31" s="89">
        <v>68951</v>
      </c>
      <c r="E31" s="89">
        <v>2089182</v>
      </c>
      <c r="F31" s="91">
        <f t="shared" si="10"/>
        <v>196374</v>
      </c>
      <c r="G31" s="80">
        <f t="shared" si="8"/>
        <v>19.448747152619589</v>
      </c>
      <c r="H31" s="28">
        <f t="shared" si="12"/>
        <v>5.2688497746844476E-4</v>
      </c>
      <c r="I31" s="91">
        <f t="shared" si="9"/>
        <v>250203.66</v>
      </c>
      <c r="J31" s="30">
        <f t="shared" si="11"/>
        <v>1.2741180604356992</v>
      </c>
      <c r="M31" s="24">
        <v>2028</v>
      </c>
      <c r="N31" s="26">
        <f t="shared" si="13"/>
        <v>277011.0311610059</v>
      </c>
      <c r="O31" s="34">
        <v>3.9E-2</v>
      </c>
    </row>
    <row r="32" spans="2:22" x14ac:dyDescent="0.3">
      <c r="B32" s="24">
        <v>2019</v>
      </c>
      <c r="C32" s="89">
        <v>2434079</v>
      </c>
      <c r="D32" s="89">
        <v>68951</v>
      </c>
      <c r="E32" s="89">
        <v>2169269</v>
      </c>
      <c r="F32" s="91">
        <f t="shared" si="10"/>
        <v>195859</v>
      </c>
      <c r="G32" s="80">
        <f t="shared" si="8"/>
        <v>20.856032371419445</v>
      </c>
      <c r="H32" s="28">
        <f t="shared" si="12"/>
        <v>7.2358656717397052E-2</v>
      </c>
      <c r="I32" s="91">
        <f t="shared" si="9"/>
        <v>323050.39999999997</v>
      </c>
      <c r="J32" s="30">
        <f t="shared" si="11"/>
        <v>1.6494028867705848</v>
      </c>
      <c r="M32" s="24">
        <v>2029</v>
      </c>
      <c r="N32" s="26">
        <f t="shared" si="13"/>
        <v>287814.46137628512</v>
      </c>
      <c r="O32" s="34">
        <v>3.9E-2</v>
      </c>
    </row>
    <row r="33" spans="2:15" x14ac:dyDescent="0.3">
      <c r="B33" s="24">
        <v>2020</v>
      </c>
      <c r="C33" s="89">
        <v>2819627</v>
      </c>
      <c r="D33" s="89">
        <v>68951</v>
      </c>
      <c r="E33" s="89">
        <v>2546703</v>
      </c>
      <c r="F33" s="91">
        <f t="shared" si="10"/>
        <v>203973</v>
      </c>
      <c r="G33" s="80">
        <f t="shared" si="8"/>
        <v>23.30321032788758</v>
      </c>
      <c r="H33" s="28">
        <f t="shared" si="12"/>
        <v>0.11733669726278717</v>
      </c>
      <c r="I33" s="91">
        <f t="shared" si="9"/>
        <v>239744.67</v>
      </c>
      <c r="J33" s="30">
        <f t="shared" si="11"/>
        <v>1.1753745348649087</v>
      </c>
      <c r="M33" s="24">
        <v>2030</v>
      </c>
      <c r="N33" s="26">
        <f t="shared" si="13"/>
        <v>299039.22536996024</v>
      </c>
      <c r="O33" s="34">
        <v>3.9E-2</v>
      </c>
    </row>
    <row r="34" spans="2:15" x14ac:dyDescent="0.3">
      <c r="B34" s="8"/>
      <c r="C34" s="13"/>
      <c r="D34" s="13"/>
      <c r="E34" s="13"/>
      <c r="F34" s="13"/>
      <c r="G34" s="13"/>
      <c r="H34" s="13"/>
      <c r="I34" s="13"/>
      <c r="J34" s="14"/>
      <c r="M34" s="8"/>
      <c r="N34" s="13"/>
      <c r="O34" s="14"/>
    </row>
    <row r="35" spans="2:15" x14ac:dyDescent="0.3">
      <c r="B35" s="15"/>
      <c r="C35" s="16">
        <f>(C33/C24)^(1/9)-1</f>
        <v>3.1706794399012583E-2</v>
      </c>
      <c r="D35" s="18"/>
      <c r="E35" s="18"/>
      <c r="F35" s="16">
        <f>(F33/F24)^(1/9)-1</f>
        <v>3.8961576954184896E-2</v>
      </c>
      <c r="G35" s="93">
        <f>AVERAGE(G24:G33)</f>
        <v>17.737732204748831</v>
      </c>
      <c r="H35" s="19">
        <f>AVERAGE(H24:H33)</f>
        <v>5.7133252068344617E-2</v>
      </c>
      <c r="I35" s="92">
        <f>AVERAGE(I24:I33)</f>
        <v>204504.32299999997</v>
      </c>
      <c r="J35" s="31">
        <f>AVERAGE(J24:J33)</f>
        <v>1.1157625430408094</v>
      </c>
      <c r="M35" s="8" t="s">
        <v>21</v>
      </c>
      <c r="N35" s="13"/>
      <c r="O35" s="37">
        <f>+N33*J35</f>
        <v>333656.76656774053</v>
      </c>
    </row>
    <row r="36" spans="2:15" x14ac:dyDescent="0.3">
      <c r="M36" s="8" t="s">
        <v>24</v>
      </c>
      <c r="N36" s="13"/>
      <c r="O36" s="38">
        <f>+F15*(0.99)^10</f>
        <v>7916.0563025520642</v>
      </c>
    </row>
    <row r="37" spans="2:15" x14ac:dyDescent="0.3">
      <c r="M37" s="32" t="s">
        <v>25</v>
      </c>
      <c r="N37" s="18"/>
      <c r="O37" s="36">
        <f>O35/O36</f>
        <v>42.149367540523002</v>
      </c>
    </row>
  </sheetData>
  <mergeCells count="9">
    <mergeCell ref="W3:X3"/>
    <mergeCell ref="A1:C1"/>
    <mergeCell ref="A2:C2"/>
    <mergeCell ref="R3:U3"/>
    <mergeCell ref="R24:U24"/>
    <mergeCell ref="B3:J3"/>
    <mergeCell ref="B21:J21"/>
    <mergeCell ref="M21:O21"/>
    <mergeCell ref="M3:O3"/>
  </mergeCells>
  <pageMargins left="0.7" right="0.7" top="0.75" bottom="0.75" header="0.3" footer="0.3"/>
  <pageSetup orientation="portrait" r:id="rId1"/>
  <ignoredErrors>
    <ignoredError sqref="E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4315-8A13-4DF6-8E4D-47C802C621B1}">
  <sheetPr>
    <tabColor theme="5"/>
  </sheetPr>
  <dimension ref="A1:X37"/>
  <sheetViews>
    <sheetView showGridLines="0" topLeftCell="I8" zoomScale="130" zoomScaleNormal="130" workbookViewId="0">
      <selection activeCell="W30" sqref="W30"/>
    </sheetView>
  </sheetViews>
  <sheetFormatPr defaultRowHeight="14.4" x14ac:dyDescent="0.3"/>
  <cols>
    <col min="3" max="3" width="11.44140625" bestFit="1" customWidth="1"/>
    <col min="4" max="4" width="9.88671875" bestFit="1" customWidth="1"/>
    <col min="5" max="5" width="11.44140625" bestFit="1" customWidth="1"/>
    <col min="6" max="6" width="9.5546875" bestFit="1" customWidth="1"/>
    <col min="8" max="8" width="11.21875" customWidth="1"/>
    <col min="9" max="9" width="9.5546875" bestFit="1" customWidth="1"/>
    <col min="14" max="14" width="12.33203125" customWidth="1"/>
    <col min="15" max="15" width="12.5546875" customWidth="1"/>
    <col min="18" max="18" width="11.109375" customWidth="1"/>
    <col min="19" max="19" width="11.88671875" customWidth="1"/>
    <col min="20" max="20" width="12.88671875" customWidth="1"/>
    <col min="21" max="21" width="12.21875" customWidth="1"/>
    <col min="22" max="22" width="9.5546875" bestFit="1" customWidth="1"/>
    <col min="23" max="23" width="13.44140625" customWidth="1"/>
  </cols>
  <sheetData>
    <row r="1" spans="1:24" x14ac:dyDescent="0.3">
      <c r="A1" s="115" t="s">
        <v>43</v>
      </c>
      <c r="B1" s="115"/>
      <c r="C1" s="115"/>
      <c r="E1" s="1"/>
    </row>
    <row r="2" spans="1:24" x14ac:dyDescent="0.3">
      <c r="A2" s="115" t="s">
        <v>10</v>
      </c>
      <c r="B2" s="115"/>
      <c r="C2" s="115"/>
      <c r="D2" s="1"/>
      <c r="E2" s="1"/>
      <c r="G2" s="1"/>
      <c r="H2" s="1"/>
      <c r="I2" s="1"/>
    </row>
    <row r="3" spans="1:24" x14ac:dyDescent="0.3">
      <c r="B3" s="109" t="s">
        <v>19</v>
      </c>
      <c r="C3" s="109"/>
      <c r="D3" s="109"/>
      <c r="E3" s="109"/>
      <c r="F3" s="109"/>
      <c r="G3" s="109"/>
      <c r="H3" s="109"/>
      <c r="I3" s="109"/>
      <c r="J3" s="109"/>
      <c r="M3" s="109" t="s">
        <v>26</v>
      </c>
      <c r="N3" s="109"/>
      <c r="O3" s="109"/>
      <c r="R3" s="109" t="s">
        <v>36</v>
      </c>
      <c r="S3" s="109"/>
      <c r="T3" s="109"/>
      <c r="U3" s="109"/>
      <c r="W3" s="109" t="s">
        <v>42</v>
      </c>
      <c r="X3" s="109"/>
    </row>
    <row r="4" spans="1:24" ht="28.8" x14ac:dyDescent="0.3">
      <c r="B4" s="2" t="s">
        <v>1</v>
      </c>
      <c r="C4" s="3" t="s">
        <v>9</v>
      </c>
      <c r="D4" s="3" t="s">
        <v>3</v>
      </c>
      <c r="E4" s="3" t="s">
        <v>4</v>
      </c>
      <c r="F4" s="2" t="s">
        <v>2</v>
      </c>
      <c r="G4" s="3" t="s">
        <v>5</v>
      </c>
      <c r="H4" s="3" t="s">
        <v>6</v>
      </c>
      <c r="I4" s="3" t="s">
        <v>7</v>
      </c>
      <c r="J4" s="3" t="s">
        <v>8</v>
      </c>
      <c r="M4" s="35" t="s">
        <v>1</v>
      </c>
      <c r="N4" s="3" t="s">
        <v>27</v>
      </c>
      <c r="O4" s="3" t="s">
        <v>8</v>
      </c>
      <c r="R4" s="35" t="s">
        <v>1</v>
      </c>
      <c r="S4" s="3" t="s">
        <v>35</v>
      </c>
      <c r="T4" s="3" t="s">
        <v>33</v>
      </c>
      <c r="U4" s="3" t="s">
        <v>34</v>
      </c>
      <c r="W4" s="3" t="s">
        <v>33</v>
      </c>
      <c r="X4" s="2" t="s">
        <v>37</v>
      </c>
    </row>
    <row r="5" spans="1:24" ht="4.2" customHeight="1" x14ac:dyDescent="0.3"/>
    <row r="6" spans="1:24" x14ac:dyDescent="0.3">
      <c r="B6" s="21">
        <v>2011</v>
      </c>
      <c r="C6" s="88">
        <f>49412+38185</f>
        <v>87597</v>
      </c>
      <c r="D6" s="88">
        <v>15025</v>
      </c>
      <c r="E6" s="5">
        <f>D6/C6</f>
        <v>0.17152413895453042</v>
      </c>
      <c r="F6" s="4">
        <v>5278.1</v>
      </c>
      <c r="G6" s="79">
        <f>D6/F6</f>
        <v>2.8466683086716809</v>
      </c>
      <c r="H6" s="86">
        <v>27.56</v>
      </c>
      <c r="I6" s="6">
        <f>G6/H6</f>
        <v>0.10328985154831934</v>
      </c>
      <c r="J6" s="7"/>
      <c r="M6" s="23">
        <v>2021</v>
      </c>
      <c r="N6" s="81">
        <v>0</v>
      </c>
      <c r="O6" s="33"/>
      <c r="R6" s="62">
        <v>2021</v>
      </c>
      <c r="S6" s="83">
        <f>N6</f>
        <v>0</v>
      </c>
      <c r="T6" s="63">
        <f>-U25</f>
        <v>-39.299999999999997</v>
      </c>
      <c r="U6" s="64">
        <f>+S6+T6</f>
        <v>-39.299999999999997</v>
      </c>
      <c r="W6" s="94"/>
      <c r="X6" s="95">
        <f>U17</f>
        <v>0.17511442703703239</v>
      </c>
    </row>
    <row r="7" spans="1:24" x14ac:dyDescent="0.3">
      <c r="B7" s="22">
        <v>2012</v>
      </c>
      <c r="C7" s="89">
        <f>48391+42856</f>
        <v>91247</v>
      </c>
      <c r="D7" s="89">
        <v>17999</v>
      </c>
      <c r="E7" s="10">
        <f t="shared" ref="E7:E15" si="0">D7/C7</f>
        <v>0.19725580019069119</v>
      </c>
      <c r="F7" s="9">
        <v>5287.6</v>
      </c>
      <c r="G7" s="80">
        <f t="shared" ref="G7:G15" si="1">D7/F7</f>
        <v>3.4040018155684995</v>
      </c>
      <c r="H7" s="87">
        <v>34.18</v>
      </c>
      <c r="I7" s="11">
        <f t="shared" ref="I7:I15" si="2">G7/H7</f>
        <v>9.9590456862741358E-2</v>
      </c>
      <c r="J7" s="12">
        <f>G7/G6-1</f>
        <v>0.19578449136453235</v>
      </c>
      <c r="M7" s="24">
        <v>2022</v>
      </c>
      <c r="N7" s="82">
        <f>AVERAGE(G11:G15)</f>
        <v>3.3962166234386104</v>
      </c>
      <c r="O7" s="34">
        <f>H35</f>
        <v>7.5496749498929996E-2</v>
      </c>
      <c r="R7" s="65">
        <v>2022</v>
      </c>
      <c r="S7" s="84">
        <f t="shared" ref="S7:S15" si="3">N7</f>
        <v>3.3962166234386104</v>
      </c>
      <c r="T7" s="66"/>
      <c r="U7" s="67">
        <f t="shared" ref="U7:U15" si="4">+S7+T7</f>
        <v>3.3962166234386104</v>
      </c>
      <c r="W7" s="96">
        <v>-44</v>
      </c>
      <c r="X7" s="98">
        <f t="dataTable" ref="X7:X13" dt2D="0" dtr="0" r1="T6"/>
        <v>0.15598372902150648</v>
      </c>
    </row>
    <row r="8" spans="1:24" x14ac:dyDescent="0.3">
      <c r="B8" s="22">
        <v>2013</v>
      </c>
      <c r="C8" s="89">
        <f>47089+40980</f>
        <v>88069</v>
      </c>
      <c r="D8" s="89">
        <v>20889</v>
      </c>
      <c r="E8" s="10">
        <f t="shared" si="0"/>
        <v>0.23718902224392238</v>
      </c>
      <c r="F8" s="9">
        <v>5287.3</v>
      </c>
      <c r="G8" s="80">
        <f t="shared" si="1"/>
        <v>3.9507877366519772</v>
      </c>
      <c r="H8" s="87">
        <v>45.4</v>
      </c>
      <c r="I8" s="11">
        <f t="shared" si="2"/>
        <v>8.7021756313920201E-2</v>
      </c>
      <c r="J8" s="12">
        <f t="shared" ref="J8:J15" si="5">G8/G7-1</f>
        <v>0.16063032592482895</v>
      </c>
      <c r="M8" s="24">
        <v>2023</v>
      </c>
      <c r="N8" s="82">
        <f t="shared" ref="N8:N15" si="6">N7*(1+O8)</f>
        <v>3.6526199391024572</v>
      </c>
      <c r="O8" s="34">
        <f>O7</f>
        <v>7.5496749498929996E-2</v>
      </c>
      <c r="R8" s="65">
        <v>2023</v>
      </c>
      <c r="S8" s="84">
        <f t="shared" si="3"/>
        <v>3.6526199391024572</v>
      </c>
      <c r="T8" s="66"/>
      <c r="U8" s="67">
        <f t="shared" si="4"/>
        <v>3.6526199391024572</v>
      </c>
      <c r="W8" s="96">
        <v>-42</v>
      </c>
      <c r="X8" s="98">
        <v>0.16377910007340812</v>
      </c>
    </row>
    <row r="9" spans="1:24" x14ac:dyDescent="0.3">
      <c r="B9" s="22">
        <v>2014</v>
      </c>
      <c r="C9" s="89">
        <f>43527+40820</f>
        <v>84347</v>
      </c>
      <c r="D9" s="89">
        <v>21821</v>
      </c>
      <c r="E9" s="10">
        <f t="shared" si="0"/>
        <v>0.25870511102943794</v>
      </c>
      <c r="F9" s="9">
        <v>5237.2</v>
      </c>
      <c r="G9" s="80">
        <f t="shared" si="1"/>
        <v>4.1665393721836095</v>
      </c>
      <c r="H9" s="87">
        <v>54.82</v>
      </c>
      <c r="I9" s="11">
        <f t="shared" si="2"/>
        <v>7.6004001681568942E-2</v>
      </c>
      <c r="J9" s="12">
        <f t="shared" si="5"/>
        <v>5.4609776559260803E-2</v>
      </c>
      <c r="M9" s="24">
        <v>2024</v>
      </c>
      <c r="N9" s="82">
        <f t="shared" si="6"/>
        <v>3.9283808716596726</v>
      </c>
      <c r="O9" s="34">
        <f t="shared" ref="O9:O15" si="7">O8</f>
        <v>7.5496749498929996E-2</v>
      </c>
      <c r="R9" s="65">
        <v>2024</v>
      </c>
      <c r="S9" s="84">
        <f t="shared" si="3"/>
        <v>3.9283808716596726</v>
      </c>
      <c r="T9" s="66"/>
      <c r="U9" s="67">
        <f t="shared" si="4"/>
        <v>3.9283808716596726</v>
      </c>
      <c r="W9" s="96">
        <v>-40</v>
      </c>
      <c r="X9" s="98">
        <v>0.17207888526331749</v>
      </c>
    </row>
    <row r="10" spans="1:24" x14ac:dyDescent="0.3">
      <c r="B10" s="22">
        <v>2015</v>
      </c>
      <c r="C10" s="89">
        <f>49277+40756</f>
        <v>90033</v>
      </c>
      <c r="D10" s="89">
        <v>21470</v>
      </c>
      <c r="E10" s="10">
        <f t="shared" si="0"/>
        <v>0.23846811724589873</v>
      </c>
      <c r="F10" s="9">
        <v>5136.5</v>
      </c>
      <c r="G10" s="80">
        <f t="shared" si="1"/>
        <v>4.1798890294947926</v>
      </c>
      <c r="H10" s="87">
        <v>54.36</v>
      </c>
      <c r="I10" s="11">
        <f t="shared" si="2"/>
        <v>7.6892734170250054E-2</v>
      </c>
      <c r="J10" s="12">
        <f t="shared" si="5"/>
        <v>3.2040156395274355E-3</v>
      </c>
      <c r="M10" s="24">
        <v>2025</v>
      </c>
      <c r="N10" s="82">
        <f t="shared" si="6"/>
        <v>4.224960858263751</v>
      </c>
      <c r="O10" s="34">
        <f t="shared" si="7"/>
        <v>7.5496749498929996E-2</v>
      </c>
      <c r="R10" s="65">
        <v>2025</v>
      </c>
      <c r="S10" s="84">
        <f t="shared" si="3"/>
        <v>4.224960858263751</v>
      </c>
      <c r="T10" s="66"/>
      <c r="U10" s="67">
        <f t="shared" si="4"/>
        <v>4.224960858263751</v>
      </c>
      <c r="W10" s="96">
        <v>-38</v>
      </c>
      <c r="X10" s="98">
        <v>0.18094680518385742</v>
      </c>
    </row>
    <row r="11" spans="1:24" x14ac:dyDescent="0.3">
      <c r="B11" s="22">
        <v>2016</v>
      </c>
      <c r="C11" s="89">
        <f>53663+40513</f>
        <v>94176</v>
      </c>
      <c r="D11" s="89">
        <v>20373</v>
      </c>
      <c r="E11" s="10">
        <f t="shared" si="0"/>
        <v>0.216329001019368</v>
      </c>
      <c r="F11" s="9">
        <v>5052.8</v>
      </c>
      <c r="G11" s="80">
        <f t="shared" si="1"/>
        <v>4.0320218492716906</v>
      </c>
      <c r="H11" s="87">
        <v>55.11</v>
      </c>
      <c r="I11" s="11">
        <f t="shared" si="2"/>
        <v>7.3163161844886415E-2</v>
      </c>
      <c r="J11" s="12">
        <f>G11/G10-1</f>
        <v>-3.5375862655610768E-2</v>
      </c>
      <c r="M11" s="24">
        <v>2026</v>
      </c>
      <c r="N11" s="82">
        <f t="shared" si="6"/>
        <v>4.5439316698228742</v>
      </c>
      <c r="O11" s="34">
        <f t="shared" si="7"/>
        <v>7.5496749498929996E-2</v>
      </c>
      <c r="R11" s="65">
        <v>2026</v>
      </c>
      <c r="S11" s="84">
        <f t="shared" si="3"/>
        <v>4.5439316698228742</v>
      </c>
      <c r="T11" s="66"/>
      <c r="U11" s="67">
        <f t="shared" si="4"/>
        <v>4.5439316698228742</v>
      </c>
      <c r="W11" s="96">
        <v>-36</v>
      </c>
      <c r="X11" s="98">
        <v>0.19045895166081062</v>
      </c>
    </row>
    <row r="12" spans="1:24" x14ac:dyDescent="0.3">
      <c r="B12" s="22">
        <v>2017</v>
      </c>
      <c r="C12" s="89">
        <f>58909+38832</f>
        <v>97741</v>
      </c>
      <c r="D12" s="89">
        <v>20554</v>
      </c>
      <c r="E12" s="10">
        <f t="shared" si="0"/>
        <v>0.21029046152586939</v>
      </c>
      <c r="F12" s="9">
        <v>4964.6000000000004</v>
      </c>
      <c r="G12" s="80">
        <f t="shared" si="1"/>
        <v>4.1401119929098007</v>
      </c>
      <c r="H12" s="87">
        <v>60.67</v>
      </c>
      <c r="I12" s="11">
        <f t="shared" si="2"/>
        <v>6.8239854836159561E-2</v>
      </c>
      <c r="J12" s="12">
        <f t="shared" si="5"/>
        <v>2.6807926067571985E-2</v>
      </c>
      <c r="M12" s="24">
        <v>2027</v>
      </c>
      <c r="N12" s="82">
        <f t="shared" si="6"/>
        <v>4.8869837408397467</v>
      </c>
      <c r="O12" s="34">
        <f t="shared" si="7"/>
        <v>7.5496749498929996E-2</v>
      </c>
      <c r="R12" s="65">
        <v>2027</v>
      </c>
      <c r="S12" s="84">
        <f t="shared" si="3"/>
        <v>4.8869837408397467</v>
      </c>
      <c r="T12" s="66"/>
      <c r="U12" s="67">
        <f t="shared" si="4"/>
        <v>4.8869837408397467</v>
      </c>
      <c r="W12" s="96">
        <v>-34</v>
      </c>
      <c r="X12" s="98">
        <v>0.20070712429488458</v>
      </c>
    </row>
    <row r="13" spans="1:24" x14ac:dyDescent="0.3">
      <c r="B13" s="22">
        <v>2018</v>
      </c>
      <c r="C13" s="89">
        <f>64647+36413</f>
        <v>101060</v>
      </c>
      <c r="D13" s="89">
        <v>20689</v>
      </c>
      <c r="E13" s="10">
        <f t="shared" si="0"/>
        <v>0.20471996833564218</v>
      </c>
      <c r="F13" s="9">
        <v>4799.7</v>
      </c>
      <c r="G13" s="80">
        <f t="shared" si="1"/>
        <v>4.3104777381919703</v>
      </c>
      <c r="H13" s="87">
        <v>45.78</v>
      </c>
      <c r="I13" s="11">
        <f t="shared" si="2"/>
        <v>9.415635076871931E-2</v>
      </c>
      <c r="J13" s="12">
        <f t="shared" si="5"/>
        <v>4.1150033036287725E-2</v>
      </c>
      <c r="M13" s="24">
        <v>2028</v>
      </c>
      <c r="N13" s="82">
        <f t="shared" si="6"/>
        <v>5.2559351281272688</v>
      </c>
      <c r="O13" s="34">
        <f t="shared" si="7"/>
        <v>7.5496749498929996E-2</v>
      </c>
      <c r="R13" s="65">
        <v>2028</v>
      </c>
      <c r="S13" s="84">
        <f t="shared" si="3"/>
        <v>5.2559351281272688</v>
      </c>
      <c r="T13" s="66"/>
      <c r="U13" s="67">
        <f t="shared" si="4"/>
        <v>5.2559351281272688</v>
      </c>
      <c r="W13" s="97">
        <v>-32</v>
      </c>
      <c r="X13" s="99">
        <v>0.21180335028536823</v>
      </c>
    </row>
    <row r="14" spans="1:24" x14ac:dyDescent="0.3">
      <c r="B14" s="22">
        <v>2019</v>
      </c>
      <c r="C14" s="89">
        <f>66083+37832</f>
        <v>103915</v>
      </c>
      <c r="D14" s="89">
        <v>17938</v>
      </c>
      <c r="E14" s="10">
        <f t="shared" si="0"/>
        <v>0.17262185440023095</v>
      </c>
      <c r="F14" s="9">
        <v>4393.1000000000004</v>
      </c>
      <c r="G14" s="80">
        <f t="shared" si="1"/>
        <v>4.0832214154014244</v>
      </c>
      <c r="H14" s="87">
        <v>53.92</v>
      </c>
      <c r="I14" s="11">
        <f t="shared" si="2"/>
        <v>7.5727400137266768E-2</v>
      </c>
      <c r="J14" s="12">
        <f t="shared" si="5"/>
        <v>-5.272184119569745E-2</v>
      </c>
      <c r="M14" s="24">
        <v>2029</v>
      </c>
      <c r="N14" s="82">
        <f t="shared" si="6"/>
        <v>5.65274114587812</v>
      </c>
      <c r="O14" s="34">
        <f t="shared" si="7"/>
        <v>7.5496749498929996E-2</v>
      </c>
      <c r="R14" s="65">
        <v>2029</v>
      </c>
      <c r="S14" s="84">
        <f t="shared" si="3"/>
        <v>5.65274114587812</v>
      </c>
      <c r="T14" s="66"/>
      <c r="U14" s="67">
        <f t="shared" si="4"/>
        <v>5.65274114587812</v>
      </c>
    </row>
    <row r="15" spans="1:24" x14ac:dyDescent="0.3">
      <c r="B15" s="22">
        <v>2020</v>
      </c>
      <c r="C15" s="89">
        <f>47798+32505</f>
        <v>80303</v>
      </c>
      <c r="D15" s="89">
        <v>1710</v>
      </c>
      <c r="E15" s="10">
        <f t="shared" si="0"/>
        <v>2.1294347658244398E-2</v>
      </c>
      <c r="F15" s="9">
        <v>4118</v>
      </c>
      <c r="G15" s="80">
        <f t="shared" si="1"/>
        <v>0.41525012141816414</v>
      </c>
      <c r="H15" s="87">
        <v>30.18</v>
      </c>
      <c r="I15" s="11">
        <f t="shared" si="2"/>
        <v>1.3759116017831814E-2</v>
      </c>
      <c r="J15" s="12">
        <f t="shared" si="5"/>
        <v>-0.89830330536279757</v>
      </c>
      <c r="M15" s="24">
        <v>2030</v>
      </c>
      <c r="N15" s="82">
        <f t="shared" si="6"/>
        <v>6.0795047281507753</v>
      </c>
      <c r="O15" s="34">
        <f t="shared" si="7"/>
        <v>7.5496749498929996E-2</v>
      </c>
      <c r="R15" s="68">
        <v>2030</v>
      </c>
      <c r="S15" s="85">
        <f t="shared" si="3"/>
        <v>6.0795047281507753</v>
      </c>
      <c r="T15" s="69">
        <f>U30</f>
        <v>87.88683524634736</v>
      </c>
      <c r="U15" s="70">
        <f t="shared" si="4"/>
        <v>93.96633997449814</v>
      </c>
    </row>
    <row r="16" spans="1:24" x14ac:dyDescent="0.3">
      <c r="B16" s="8"/>
      <c r="C16" s="28"/>
      <c r="D16" s="13"/>
      <c r="E16" s="13"/>
      <c r="F16" s="13"/>
      <c r="G16" s="13"/>
      <c r="H16" s="13"/>
      <c r="I16" s="13"/>
      <c r="J16" s="14"/>
      <c r="M16" s="8"/>
      <c r="N16" s="13"/>
      <c r="O16" s="14"/>
      <c r="R16" s="71"/>
      <c r="S16" s="66"/>
      <c r="T16" s="66"/>
      <c r="U16" s="72"/>
    </row>
    <row r="17" spans="2:22" x14ac:dyDescent="0.3">
      <c r="B17" s="15"/>
      <c r="C17" s="16">
        <f>(C15/C6)^(1/9)-1</f>
        <v>-9.6134668349283636E-3</v>
      </c>
      <c r="D17" s="16">
        <f>(D15/D6)^(1/9)-1</f>
        <v>-0.21452694378755921</v>
      </c>
      <c r="E17" s="17">
        <f>AVERAGE(E6:E15)</f>
        <v>0.19283978226038354</v>
      </c>
      <c r="F17" s="16">
        <f>(F15/F6)^(1/9)-1</f>
        <v>-2.7200828602001459E-2</v>
      </c>
      <c r="G17" s="16">
        <f>(G15/G6)^(1/9)-1</f>
        <v>-0.19256401597911887</v>
      </c>
      <c r="H17" s="18"/>
      <c r="I17" s="19">
        <f>AVERAGE(I6:I15)</f>
        <v>7.6784468418166385E-2</v>
      </c>
      <c r="J17" s="20">
        <f>AVERAGE(J7:J15)</f>
        <v>-5.6023826735788505E-2</v>
      </c>
      <c r="M17" s="32" t="s">
        <v>25</v>
      </c>
      <c r="N17" s="18"/>
      <c r="O17" s="36">
        <f>N15/I17</f>
        <v>79.176229951113783</v>
      </c>
      <c r="R17" s="65" t="s">
        <v>37</v>
      </c>
      <c r="S17" s="66"/>
      <c r="T17" s="66"/>
      <c r="U17" s="73">
        <f>IRR(U6:U15)</f>
        <v>0.17511442703703239</v>
      </c>
    </row>
    <row r="18" spans="2:22" x14ac:dyDescent="0.3">
      <c r="B18" s="55"/>
      <c r="C18" s="56"/>
      <c r="D18" s="56"/>
      <c r="E18" s="57"/>
      <c r="F18" s="56"/>
      <c r="G18" s="56"/>
      <c r="H18" s="55"/>
      <c r="I18" s="58"/>
      <c r="J18" s="58"/>
      <c r="M18" s="59"/>
      <c r="N18" s="60"/>
      <c r="O18" s="61"/>
      <c r="R18" s="65" t="s">
        <v>39</v>
      </c>
      <c r="S18" s="66"/>
      <c r="T18" s="66"/>
      <c r="U18" s="74">
        <f>SUM(S6:S15)</f>
        <v>41.621274705283277</v>
      </c>
    </row>
    <row r="19" spans="2:22" x14ac:dyDescent="0.3">
      <c r="B19" s="55"/>
      <c r="C19" s="56"/>
      <c r="D19" s="56"/>
      <c r="E19" s="57"/>
      <c r="F19" s="56"/>
      <c r="G19" s="56"/>
      <c r="H19" s="55"/>
      <c r="I19" s="58"/>
      <c r="J19" s="58"/>
      <c r="M19" s="59"/>
      <c r="N19" s="60"/>
      <c r="O19" s="61"/>
      <c r="R19" s="65" t="s">
        <v>38</v>
      </c>
      <c r="S19" s="66"/>
      <c r="T19" s="66"/>
      <c r="U19" s="75">
        <f>+T15+T6</f>
        <v>48.586835246347363</v>
      </c>
    </row>
    <row r="20" spans="2:22" x14ac:dyDescent="0.3">
      <c r="R20" s="65" t="s">
        <v>40</v>
      </c>
      <c r="S20" s="66"/>
      <c r="T20" s="66"/>
      <c r="U20" s="76">
        <f>+U18+U19</f>
        <v>90.208109951630632</v>
      </c>
    </row>
    <row r="21" spans="2:22" x14ac:dyDescent="0.3">
      <c r="B21" s="109" t="s">
        <v>20</v>
      </c>
      <c r="C21" s="109"/>
      <c r="D21" s="109"/>
      <c r="E21" s="109"/>
      <c r="F21" s="109"/>
      <c r="G21" s="109"/>
      <c r="H21" s="109"/>
      <c r="I21" s="109"/>
      <c r="J21" s="109"/>
      <c r="M21" s="109" t="s">
        <v>26</v>
      </c>
      <c r="N21" s="109"/>
      <c r="O21" s="109"/>
      <c r="R21" s="68" t="s">
        <v>41</v>
      </c>
      <c r="S21" s="77"/>
      <c r="T21" s="77"/>
      <c r="U21" s="78">
        <f>-SUM(S6:S15,T15)/T6</f>
        <v>3.2953717544944188</v>
      </c>
    </row>
    <row r="22" spans="2:22" ht="28.8" x14ac:dyDescent="0.3">
      <c r="B22" s="2" t="s">
        <v>1</v>
      </c>
      <c r="C22" s="2" t="s">
        <v>11</v>
      </c>
      <c r="D22" s="3" t="s">
        <v>12</v>
      </c>
      <c r="E22" s="2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M22" s="35" t="s">
        <v>1</v>
      </c>
      <c r="N22" s="3" t="s">
        <v>14</v>
      </c>
      <c r="O22" s="3" t="s">
        <v>16</v>
      </c>
    </row>
    <row r="23" spans="2:22" ht="3.6" customHeight="1" x14ac:dyDescent="0.3"/>
    <row r="24" spans="2:22" x14ac:dyDescent="0.3">
      <c r="B24" s="23">
        <v>2011</v>
      </c>
      <c r="C24" s="88">
        <v>1313867</v>
      </c>
      <c r="D24" s="88">
        <f>12603+1408+25115</f>
        <v>39126</v>
      </c>
      <c r="E24" s="88">
        <v>1172180</v>
      </c>
      <c r="F24" s="90">
        <f>C24-SUM(D24:E24)</f>
        <v>102561</v>
      </c>
      <c r="G24" s="79">
        <f t="shared" ref="G24:G33" si="8">F24/F6</f>
        <v>19.43142418673386</v>
      </c>
      <c r="H24" s="27"/>
      <c r="I24" s="90">
        <f t="shared" ref="I24:I33" si="9">F6*H6</f>
        <v>145464.43600000002</v>
      </c>
      <c r="J24" s="29">
        <f>I24/F24</f>
        <v>1.4183211552149455</v>
      </c>
      <c r="M24" s="23">
        <v>2021</v>
      </c>
      <c r="N24" s="25">
        <f>F33*(1+O24)</f>
        <v>152091</v>
      </c>
      <c r="O24" s="33">
        <v>0</v>
      </c>
      <c r="R24" s="110" t="s">
        <v>22</v>
      </c>
      <c r="S24" s="111"/>
      <c r="T24" s="111"/>
      <c r="U24" s="112"/>
    </row>
    <row r="25" spans="2:22" x14ac:dyDescent="0.3">
      <c r="B25" s="24">
        <v>2012</v>
      </c>
      <c r="C25" s="89">
        <v>1422968</v>
      </c>
      <c r="D25" s="89">
        <f>11538+1160+25637</f>
        <v>38335</v>
      </c>
      <c r="E25" s="89">
        <v>1264057</v>
      </c>
      <c r="F25" s="91">
        <f t="shared" ref="F25:F33" si="10">C25-SUM(D25:E25)</f>
        <v>120576</v>
      </c>
      <c r="G25" s="80">
        <f t="shared" si="8"/>
        <v>22.803540358574779</v>
      </c>
      <c r="H25" s="28">
        <f>G25/G24-1</f>
        <v>0.17353932163876662</v>
      </c>
      <c r="I25" s="91">
        <f t="shared" si="9"/>
        <v>180730.16800000001</v>
      </c>
      <c r="J25" s="30">
        <f t="shared" ref="J25:J33" si="11">I25/F25</f>
        <v>1.4988900610403397</v>
      </c>
      <c r="M25" s="24">
        <v>2022</v>
      </c>
      <c r="N25" s="26">
        <f>N24*(1+O25)</f>
        <v>158897.47269388559</v>
      </c>
      <c r="O25" s="34">
        <f>F35</f>
        <v>4.4752632922957947E-2</v>
      </c>
      <c r="R25" s="41" t="s">
        <v>23</v>
      </c>
      <c r="S25" s="42"/>
      <c r="T25" s="42"/>
      <c r="U25" s="43">
        <v>39.299999999999997</v>
      </c>
      <c r="V25" s="100" t="s">
        <v>32</v>
      </c>
    </row>
    <row r="26" spans="2:22" x14ac:dyDescent="0.3">
      <c r="B26" s="24">
        <v>2013</v>
      </c>
      <c r="C26" s="89">
        <v>1527015</v>
      </c>
      <c r="D26" s="89">
        <f>15580+1229+25637</f>
        <v>42446</v>
      </c>
      <c r="E26" s="89">
        <v>1356007</v>
      </c>
      <c r="F26" s="91">
        <f t="shared" si="10"/>
        <v>128562</v>
      </c>
      <c r="G26" s="80">
        <f t="shared" si="8"/>
        <v>24.315245966750513</v>
      </c>
      <c r="H26" s="28">
        <f t="shared" ref="H26:H33" si="12">G26/G25-1</f>
        <v>6.6292583713093878E-2</v>
      </c>
      <c r="I26" s="91">
        <f t="shared" si="9"/>
        <v>240043.42</v>
      </c>
      <c r="J26" s="30">
        <f t="shared" si="11"/>
        <v>1.8671413014732192</v>
      </c>
      <c r="M26" s="24">
        <v>2023</v>
      </c>
      <c r="N26" s="26">
        <f t="shared" ref="N26:N33" si="13">N25*(1+O26)</f>
        <v>166008.55296174079</v>
      </c>
      <c r="O26" s="34">
        <f t="shared" ref="O26:O33" si="14">O25</f>
        <v>4.4752632922957947E-2</v>
      </c>
      <c r="R26" s="44"/>
      <c r="S26" s="42"/>
      <c r="T26" s="42"/>
      <c r="U26" s="45"/>
    </row>
    <row r="27" spans="2:22" x14ac:dyDescent="0.3">
      <c r="B27" s="24">
        <v>2014</v>
      </c>
      <c r="C27" s="89">
        <v>1687155</v>
      </c>
      <c r="D27" s="89">
        <f>25705+12738+1242</f>
        <v>39685</v>
      </c>
      <c r="E27" s="89">
        <v>1501893</v>
      </c>
      <c r="F27" s="91">
        <f t="shared" si="10"/>
        <v>145577</v>
      </c>
      <c r="G27" s="80">
        <f t="shared" si="8"/>
        <v>27.796723440006112</v>
      </c>
      <c r="H27" s="28">
        <f t="shared" si="12"/>
        <v>0.14318084538467302</v>
      </c>
      <c r="I27" s="91">
        <f t="shared" si="9"/>
        <v>287103.304</v>
      </c>
      <c r="J27" s="30">
        <f t="shared" si="11"/>
        <v>1.9721748902642589</v>
      </c>
      <c r="M27" s="24">
        <v>2024</v>
      </c>
      <c r="N27" s="26">
        <f t="shared" si="13"/>
        <v>173437.87279450899</v>
      </c>
      <c r="O27" s="34">
        <f t="shared" si="14"/>
        <v>4.4752632922957947E-2</v>
      </c>
      <c r="R27" s="44"/>
      <c r="S27" s="42"/>
      <c r="T27" s="46" t="s">
        <v>28</v>
      </c>
      <c r="U27" s="47" t="s">
        <v>29</v>
      </c>
    </row>
    <row r="28" spans="2:22" x14ac:dyDescent="0.3">
      <c r="B28" s="24">
        <v>2015</v>
      </c>
      <c r="C28" s="89">
        <v>1787632</v>
      </c>
      <c r="D28" s="89">
        <f>12415+1308+25529</f>
        <v>39252</v>
      </c>
      <c r="E28" s="89">
        <v>1593741</v>
      </c>
      <c r="F28" s="91">
        <f t="shared" si="10"/>
        <v>154639</v>
      </c>
      <c r="G28" s="80">
        <f t="shared" si="8"/>
        <v>30.105908692689574</v>
      </c>
      <c r="H28" s="28">
        <f t="shared" si="12"/>
        <v>8.3074008980497105E-2</v>
      </c>
      <c r="I28" s="91">
        <f t="shared" si="9"/>
        <v>279220.14</v>
      </c>
      <c r="J28" s="30">
        <f t="shared" si="11"/>
        <v>1.8056256183757009</v>
      </c>
      <c r="M28" s="24">
        <v>2025</v>
      </c>
      <c r="N28" s="26">
        <f t="shared" si="13"/>
        <v>181199.67425062033</v>
      </c>
      <c r="O28" s="34">
        <f t="shared" si="14"/>
        <v>4.4752632922957947E-2</v>
      </c>
      <c r="R28" s="48" t="s">
        <v>30</v>
      </c>
      <c r="S28" s="42"/>
      <c r="T28" s="39">
        <v>0.5</v>
      </c>
      <c r="U28" s="49">
        <f>O17</f>
        <v>79.176229951113783</v>
      </c>
    </row>
    <row r="29" spans="2:22" x14ac:dyDescent="0.3">
      <c r="B29" s="24">
        <v>2016</v>
      </c>
      <c r="C29" s="89">
        <v>1930115</v>
      </c>
      <c r="D29" s="89">
        <f>12959+1406+26693</f>
        <v>41058</v>
      </c>
      <c r="E29" s="89">
        <v>1729618</v>
      </c>
      <c r="F29" s="91">
        <f t="shared" si="10"/>
        <v>159439</v>
      </c>
      <c r="G29" s="80">
        <f t="shared" si="8"/>
        <v>31.554583597213426</v>
      </c>
      <c r="H29" s="28">
        <f t="shared" si="12"/>
        <v>4.8119288453021269E-2</v>
      </c>
      <c r="I29" s="91">
        <f t="shared" si="9"/>
        <v>278459.80800000002</v>
      </c>
      <c r="J29" s="30">
        <f t="shared" si="11"/>
        <v>1.7464974567075811</v>
      </c>
      <c r="M29" s="24">
        <v>2026</v>
      </c>
      <c r="N29" s="26">
        <f t="shared" si="13"/>
        <v>189308.83675811789</v>
      </c>
      <c r="O29" s="34">
        <f t="shared" si="14"/>
        <v>4.4752632922957947E-2</v>
      </c>
      <c r="R29" s="48" t="s">
        <v>31</v>
      </c>
      <c r="S29" s="42"/>
      <c r="T29" s="40">
        <v>0.5</v>
      </c>
      <c r="U29" s="50">
        <f>O37</f>
        <v>96.597440541580937</v>
      </c>
    </row>
    <row r="30" spans="2:22" x14ac:dyDescent="0.3">
      <c r="B30" s="24">
        <v>2017</v>
      </c>
      <c r="C30" s="89">
        <v>1951757</v>
      </c>
      <c r="D30" s="89">
        <f>13625+1424+26587</f>
        <v>41636</v>
      </c>
      <c r="E30" s="89">
        <f>1743678</f>
        <v>1743678</v>
      </c>
      <c r="F30" s="91">
        <f t="shared" si="10"/>
        <v>166443</v>
      </c>
      <c r="G30" s="80">
        <f t="shared" si="8"/>
        <v>33.52596382387302</v>
      </c>
      <c r="H30" s="28">
        <f t="shared" si="12"/>
        <v>6.2475241372973889E-2</v>
      </c>
      <c r="I30" s="91">
        <f t="shared" si="9"/>
        <v>301202.28200000001</v>
      </c>
      <c r="J30" s="30">
        <f t="shared" si="11"/>
        <v>1.8096422318751766</v>
      </c>
      <c r="M30" s="24">
        <v>2027</v>
      </c>
      <c r="N30" s="26">
        <f t="shared" si="13"/>
        <v>197780.90563862611</v>
      </c>
      <c r="O30" s="34">
        <f t="shared" si="14"/>
        <v>4.4752632922957947E-2</v>
      </c>
      <c r="R30" s="51"/>
      <c r="S30" s="52"/>
      <c r="T30" s="53">
        <v>1</v>
      </c>
      <c r="U30" s="54">
        <f>+SUMPRODUCT(T28:T29,U28:U29)</f>
        <v>87.88683524634736</v>
      </c>
    </row>
    <row r="31" spans="2:22" x14ac:dyDescent="0.3">
      <c r="B31" s="24">
        <v>2018</v>
      </c>
      <c r="C31" s="89">
        <v>1895883</v>
      </c>
      <c r="D31" s="89">
        <f>14649+1443+26418</f>
        <v>42510</v>
      </c>
      <c r="E31" s="89">
        <v>1698817</v>
      </c>
      <c r="F31" s="91">
        <f t="shared" si="10"/>
        <v>154556</v>
      </c>
      <c r="G31" s="80">
        <f t="shared" si="8"/>
        <v>32.201179240369193</v>
      </c>
      <c r="H31" s="28">
        <f t="shared" si="12"/>
        <v>-3.9515182634674351E-2</v>
      </c>
      <c r="I31" s="91">
        <f t="shared" si="9"/>
        <v>219730.266</v>
      </c>
      <c r="J31" s="30">
        <f t="shared" si="11"/>
        <v>1.4216870648826316</v>
      </c>
      <c r="M31" s="24">
        <v>2028</v>
      </c>
      <c r="N31" s="26">
        <f t="shared" si="13"/>
        <v>206632.12190784173</v>
      </c>
      <c r="O31" s="34">
        <f t="shared" si="14"/>
        <v>4.4752632922957947E-2</v>
      </c>
    </row>
    <row r="32" spans="2:22" x14ac:dyDescent="0.3">
      <c r="B32" s="24">
        <v>2019</v>
      </c>
      <c r="C32" s="89">
        <v>1927555</v>
      </c>
      <c r="D32" s="89">
        <f>11517+1430+26390</f>
        <v>39337</v>
      </c>
      <c r="E32" s="89">
        <v>1739571</v>
      </c>
      <c r="F32" s="91">
        <f t="shared" si="10"/>
        <v>148647</v>
      </c>
      <c r="G32" s="80">
        <f t="shared" si="8"/>
        <v>33.836470829254964</v>
      </c>
      <c r="H32" s="28">
        <f t="shared" si="12"/>
        <v>5.0783593255357529E-2</v>
      </c>
      <c r="I32" s="91">
        <f t="shared" si="9"/>
        <v>236875.95200000002</v>
      </c>
      <c r="J32" s="30">
        <f t="shared" si="11"/>
        <v>1.593546805519116</v>
      </c>
      <c r="M32" s="24">
        <v>2029</v>
      </c>
      <c r="N32" s="26">
        <f t="shared" si="13"/>
        <v>215879.45340967528</v>
      </c>
      <c r="O32" s="34">
        <f t="shared" si="14"/>
        <v>4.4752632922957947E-2</v>
      </c>
    </row>
    <row r="33" spans="2:15" x14ac:dyDescent="0.3">
      <c r="B33" s="24">
        <v>2020</v>
      </c>
      <c r="C33" s="89">
        <v>1955163</v>
      </c>
      <c r="D33" s="89">
        <f>26392+7437</f>
        <v>33829</v>
      </c>
      <c r="E33" s="89">
        <v>1769243</v>
      </c>
      <c r="F33" s="91">
        <f t="shared" si="10"/>
        <v>152091</v>
      </c>
      <c r="G33" s="80">
        <f t="shared" si="8"/>
        <v>36.933220009713452</v>
      </c>
      <c r="H33" s="28">
        <f t="shared" si="12"/>
        <v>9.1521045326661055E-2</v>
      </c>
      <c r="I33" s="91">
        <f t="shared" si="9"/>
        <v>124281.24</v>
      </c>
      <c r="J33" s="30">
        <f t="shared" si="11"/>
        <v>0.81715052172712388</v>
      </c>
      <c r="M33" s="24">
        <v>2030</v>
      </c>
      <c r="N33" s="26">
        <f t="shared" si="13"/>
        <v>225540.62734372728</v>
      </c>
      <c r="O33" s="34">
        <f t="shared" si="14"/>
        <v>4.4752632922957947E-2</v>
      </c>
    </row>
    <row r="34" spans="2:15" x14ac:dyDescent="0.3">
      <c r="B34" s="8"/>
      <c r="C34" s="13"/>
      <c r="D34" s="13"/>
      <c r="E34" s="13"/>
      <c r="F34" s="13"/>
      <c r="G34" s="13"/>
      <c r="H34" s="13"/>
      <c r="I34" s="13"/>
      <c r="J34" s="14"/>
      <c r="M34" s="8"/>
      <c r="N34" s="13"/>
      <c r="O34" s="14"/>
    </row>
    <row r="35" spans="2:15" x14ac:dyDescent="0.3">
      <c r="B35" s="15"/>
      <c r="C35" s="16">
        <f>(C33/C24)^(1/9)-1</f>
        <v>4.5156401745256147E-2</v>
      </c>
      <c r="D35" s="18"/>
      <c r="E35" s="18"/>
      <c r="F35" s="16">
        <f>(F33/F24)^(1/9)-1</f>
        <v>4.4752632922957947E-2</v>
      </c>
      <c r="G35" s="93">
        <f>AVERAGE(G24:G33)</f>
        <v>29.250426014517888</v>
      </c>
      <c r="H35" s="19">
        <f>AVERAGE(H24:H33)</f>
        <v>7.5496749498929996E-2</v>
      </c>
      <c r="I35" s="92">
        <f>AVERAGE(I24:I33)</f>
        <v>229311.10160000002</v>
      </c>
      <c r="J35" s="31">
        <f>AVERAGE(J24:J33)</f>
        <v>1.5950677107080093</v>
      </c>
      <c r="M35" s="8" t="s">
        <v>21</v>
      </c>
      <c r="N35" s="13"/>
      <c r="O35" s="37">
        <f>+N33*J35</f>
        <v>359752.57212880731</v>
      </c>
    </row>
    <row r="36" spans="2:15" x14ac:dyDescent="0.3">
      <c r="M36" s="8" t="s">
        <v>24</v>
      </c>
      <c r="N36" s="13"/>
      <c r="O36" s="38">
        <f>+F15*(0.99)^10</f>
        <v>3724.245384886256</v>
      </c>
    </row>
    <row r="37" spans="2:15" x14ac:dyDescent="0.3">
      <c r="M37" s="32" t="s">
        <v>25</v>
      </c>
      <c r="N37" s="18"/>
      <c r="O37" s="36">
        <f>O35/O36</f>
        <v>96.597440541580937</v>
      </c>
    </row>
  </sheetData>
  <mergeCells count="9">
    <mergeCell ref="W3:X3"/>
    <mergeCell ref="B21:J21"/>
    <mergeCell ref="M21:O21"/>
    <mergeCell ref="R24:U24"/>
    <mergeCell ref="A1:C1"/>
    <mergeCell ref="A2:C2"/>
    <mergeCell ref="B3:J3"/>
    <mergeCell ref="M3:O3"/>
    <mergeCell ref="R3:U3"/>
  </mergeCells>
  <pageMargins left="0.7" right="0.7" top="0.75" bottom="0.75" header="0.3" footer="0.3"/>
  <pageSetup orientation="portrait" r:id="rId1"/>
  <ignoredErrors>
    <ignoredError sqref="E17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224D-459B-442F-AA6C-34E0F39A06EF}">
  <sheetPr>
    <tabColor rgb="FFFF0000"/>
  </sheetPr>
  <dimension ref="A1:X37"/>
  <sheetViews>
    <sheetView showGridLines="0" topLeftCell="I2" zoomScale="130" zoomScaleNormal="130" workbookViewId="0">
      <selection activeCell="X32" sqref="X32"/>
    </sheetView>
  </sheetViews>
  <sheetFormatPr defaultRowHeight="14.4" x14ac:dyDescent="0.3"/>
  <cols>
    <col min="3" max="3" width="11.44140625" bestFit="1" customWidth="1"/>
    <col min="5" max="5" width="11.44140625" bestFit="1" customWidth="1"/>
    <col min="6" max="6" width="9.5546875" bestFit="1" customWidth="1"/>
    <col min="8" max="8" width="10.44140625" customWidth="1"/>
    <col min="9" max="9" width="9.5546875" bestFit="1" customWidth="1"/>
    <col min="14" max="14" width="10" customWidth="1"/>
    <col min="15" max="15" width="10.33203125" customWidth="1"/>
    <col min="18" max="18" width="11.88671875" customWidth="1"/>
    <col min="19" max="20" width="13.33203125" customWidth="1"/>
    <col min="21" max="21" width="11.21875" customWidth="1"/>
    <col min="23" max="23" width="11.21875" customWidth="1"/>
  </cols>
  <sheetData>
    <row r="1" spans="1:24" x14ac:dyDescent="0.3">
      <c r="A1" s="116" t="s">
        <v>44</v>
      </c>
      <c r="B1" s="117"/>
      <c r="C1" s="118"/>
      <c r="D1" s="102"/>
    </row>
    <row r="2" spans="1:24" ht="15" thickBot="1" x14ac:dyDescent="0.35">
      <c r="A2" s="119" t="s">
        <v>10</v>
      </c>
      <c r="B2" s="120"/>
      <c r="C2" s="121"/>
      <c r="D2" s="103"/>
      <c r="E2" s="1"/>
      <c r="G2" s="1"/>
      <c r="H2" s="1"/>
      <c r="I2" s="1"/>
    </row>
    <row r="3" spans="1:24" x14ac:dyDescent="0.3">
      <c r="A3" s="102"/>
      <c r="B3" s="109" t="s">
        <v>19</v>
      </c>
      <c r="C3" s="109"/>
      <c r="D3" s="109"/>
      <c r="E3" s="109"/>
      <c r="F3" s="109"/>
      <c r="G3" s="109"/>
      <c r="H3" s="109"/>
      <c r="I3" s="109"/>
      <c r="J3" s="109"/>
      <c r="M3" s="109" t="s">
        <v>26</v>
      </c>
      <c r="N3" s="109"/>
      <c r="O3" s="109"/>
      <c r="R3" s="109" t="s">
        <v>36</v>
      </c>
      <c r="S3" s="109"/>
      <c r="T3" s="109"/>
      <c r="U3" s="109"/>
      <c r="W3" s="109" t="s">
        <v>42</v>
      </c>
      <c r="X3" s="109"/>
    </row>
    <row r="4" spans="1:24" ht="31.8" customHeight="1" x14ac:dyDescent="0.3">
      <c r="B4" s="2" t="s">
        <v>1</v>
      </c>
      <c r="C4" s="3" t="s">
        <v>9</v>
      </c>
      <c r="D4" s="3" t="s">
        <v>3</v>
      </c>
      <c r="E4" s="3" t="s">
        <v>4</v>
      </c>
      <c r="F4" s="2" t="s">
        <v>2</v>
      </c>
      <c r="G4" s="3" t="s">
        <v>5</v>
      </c>
      <c r="H4" s="3" t="s">
        <v>6</v>
      </c>
      <c r="I4" s="3" t="s">
        <v>7</v>
      </c>
      <c r="J4" s="3" t="s">
        <v>8</v>
      </c>
      <c r="M4" s="35" t="s">
        <v>1</v>
      </c>
      <c r="N4" s="3" t="s">
        <v>27</v>
      </c>
      <c r="O4" s="3" t="s">
        <v>8</v>
      </c>
      <c r="R4" s="35" t="s">
        <v>1</v>
      </c>
      <c r="S4" s="3" t="s">
        <v>35</v>
      </c>
      <c r="T4" s="3" t="s">
        <v>33</v>
      </c>
      <c r="U4" s="3" t="s">
        <v>34</v>
      </c>
      <c r="W4" s="3" t="s">
        <v>33</v>
      </c>
      <c r="X4" s="2" t="s">
        <v>37</v>
      </c>
    </row>
    <row r="5" spans="1:24" ht="3.6" customHeight="1" x14ac:dyDescent="0.3"/>
    <row r="6" spans="1:24" x14ac:dyDescent="0.3">
      <c r="B6" s="21">
        <v>2011</v>
      </c>
      <c r="C6" s="88">
        <v>101540</v>
      </c>
      <c r="D6" s="88">
        <v>11041</v>
      </c>
      <c r="E6" s="5">
        <f>D6/C6</f>
        <v>0.10873547370494387</v>
      </c>
      <c r="F6" s="4">
        <v>2910</v>
      </c>
      <c r="G6" s="79">
        <f>D6/F6</f>
        <v>3.7941580756013744</v>
      </c>
      <c r="H6" s="86">
        <v>27.2</v>
      </c>
      <c r="I6" s="6">
        <f>G6/H6</f>
        <v>0.13949110572063878</v>
      </c>
      <c r="J6" s="7"/>
      <c r="M6" s="23">
        <v>2021</v>
      </c>
      <c r="N6" s="81">
        <f>AVERAGE(G11:G15)</f>
        <v>4.2495722876558464</v>
      </c>
      <c r="O6" s="33"/>
      <c r="R6" s="62">
        <v>2021</v>
      </c>
      <c r="S6" s="83">
        <f>N6</f>
        <v>4.2495722876558464</v>
      </c>
      <c r="T6" s="63">
        <f>-U25</f>
        <v>-73.02</v>
      </c>
      <c r="U6" s="64">
        <f>+S6+T6</f>
        <v>-68.770427712344144</v>
      </c>
      <c r="W6" s="94"/>
      <c r="X6" s="95">
        <f>U17</f>
        <v>0.1060621012792442</v>
      </c>
    </row>
    <row r="7" spans="1:24" x14ac:dyDescent="0.3">
      <c r="B7" s="22">
        <v>2012</v>
      </c>
      <c r="C7" s="89">
        <v>89802</v>
      </c>
      <c r="D7" s="89">
        <v>7515</v>
      </c>
      <c r="E7" s="10">
        <f t="shared" ref="E7:E15" si="0">D7/C7</f>
        <v>8.3684105031068351E-2</v>
      </c>
      <c r="F7" s="9">
        <v>2913</v>
      </c>
      <c r="G7" s="80">
        <f t="shared" ref="G7:G15" si="1">D7/F7</f>
        <v>2.5798146240988671</v>
      </c>
      <c r="H7" s="87">
        <v>38.04</v>
      </c>
      <c r="I7" s="11">
        <f t="shared" ref="I7:I15" si="2">G7/H7</f>
        <v>6.7818470665059596E-2</v>
      </c>
      <c r="J7" s="12">
        <f>G7/G6-1</f>
        <v>-0.32005610396452278</v>
      </c>
      <c r="M7" s="24">
        <v>2022</v>
      </c>
      <c r="N7" s="82">
        <f>N6*(1+O7)</f>
        <v>4.5025650351492166</v>
      </c>
      <c r="O7" s="34">
        <f>H35</f>
        <v>5.9533696656546634E-2</v>
      </c>
      <c r="R7" s="65">
        <v>2022</v>
      </c>
      <c r="S7" s="84">
        <f t="shared" ref="S7:S15" si="3">N7</f>
        <v>4.5025650351492166</v>
      </c>
      <c r="T7" s="66"/>
      <c r="U7" s="67">
        <f t="shared" ref="U7:U15" si="4">+S7+T7</f>
        <v>4.5025650351492166</v>
      </c>
      <c r="W7" s="96">
        <f t="shared" ref="W7:W12" si="5">W8-2</f>
        <v>-87</v>
      </c>
      <c r="X7" s="98">
        <f t="dataTable" ref="X7:X18" dt2D="0" dtr="0" r1="T6"/>
        <v>7.7843087509102737E-2</v>
      </c>
    </row>
    <row r="8" spans="1:24" x14ac:dyDescent="0.3">
      <c r="B8" s="22">
        <v>2013</v>
      </c>
      <c r="C8" s="89">
        <v>92901</v>
      </c>
      <c r="D8" s="89">
        <v>13465</v>
      </c>
      <c r="E8" s="10">
        <f t="shared" si="0"/>
        <v>0.14493923639142745</v>
      </c>
      <c r="F8" s="9">
        <v>3036</v>
      </c>
      <c r="G8" s="80">
        <f t="shared" si="1"/>
        <v>4.4351119894598154</v>
      </c>
      <c r="H8" s="87">
        <v>51.76</v>
      </c>
      <c r="I8" s="11">
        <f t="shared" si="2"/>
        <v>8.5686089440877425E-2</v>
      </c>
      <c r="J8" s="12">
        <f t="shared" ref="J8:J12" si="6">G8/G7-1</f>
        <v>0.71915917834949328</v>
      </c>
      <c r="M8" s="24">
        <v>2023</v>
      </c>
      <c r="N8" s="82">
        <f t="shared" ref="N8:N15" si="7">N7*(1+O8)</f>
        <v>4.7706193761281641</v>
      </c>
      <c r="O8" s="34">
        <f>O7</f>
        <v>5.9533696656546634E-2</v>
      </c>
      <c r="R8" s="65">
        <v>2023</v>
      </c>
      <c r="S8" s="84">
        <f t="shared" si="3"/>
        <v>4.7706193761281641</v>
      </c>
      <c r="T8" s="66"/>
      <c r="U8" s="67">
        <f t="shared" si="4"/>
        <v>4.7706193761281641</v>
      </c>
      <c r="W8" s="96">
        <f t="shared" si="5"/>
        <v>-85</v>
      </c>
      <c r="X8" s="98">
        <v>8.1491027522113901E-2</v>
      </c>
    </row>
    <row r="9" spans="1:24" x14ac:dyDescent="0.3">
      <c r="B9" s="22">
        <v>2014</v>
      </c>
      <c r="C9" s="89">
        <v>90909</v>
      </c>
      <c r="D9" s="89">
        <v>6688</v>
      </c>
      <c r="E9" s="10">
        <f t="shared" si="0"/>
        <v>7.3568073568073572E-2</v>
      </c>
      <c r="F9" s="9">
        <v>3032</v>
      </c>
      <c r="G9" s="80">
        <f t="shared" si="1"/>
        <v>2.2058047493403694</v>
      </c>
      <c r="H9" s="87">
        <v>54.29</v>
      </c>
      <c r="I9" s="11">
        <f t="shared" si="2"/>
        <v>4.0630037748026697E-2</v>
      </c>
      <c r="J9" s="12">
        <f t="shared" si="6"/>
        <v>-0.50264959383606667</v>
      </c>
      <c r="M9" s="24">
        <v>2024</v>
      </c>
      <c r="N9" s="82">
        <f t="shared" si="7"/>
        <v>5.054631982930422</v>
      </c>
      <c r="O9" s="34">
        <f t="shared" ref="O9:O15" si="8">O8</f>
        <v>5.9533696656546634E-2</v>
      </c>
      <c r="R9" s="65">
        <v>2024</v>
      </c>
      <c r="S9" s="84">
        <f t="shared" si="3"/>
        <v>5.054631982930422</v>
      </c>
      <c r="T9" s="66"/>
      <c r="U9" s="67">
        <f t="shared" si="4"/>
        <v>5.054631982930422</v>
      </c>
      <c r="W9" s="96">
        <f t="shared" si="5"/>
        <v>-83</v>
      </c>
      <c r="X9" s="98">
        <v>8.5255839465399497E-2</v>
      </c>
    </row>
    <row r="10" spans="1:24" x14ac:dyDescent="0.3">
      <c r="B10" s="22">
        <v>2015</v>
      </c>
      <c r="C10" s="89">
        <v>88275</v>
      </c>
      <c r="D10" s="89">
        <v>16249</v>
      </c>
      <c r="E10" s="10">
        <f t="shared" si="0"/>
        <v>0.18407250070801473</v>
      </c>
      <c r="F10" s="9">
        <v>3004</v>
      </c>
      <c r="G10" s="80">
        <f t="shared" si="1"/>
        <v>5.4091211717709724</v>
      </c>
      <c r="H10" s="87">
        <v>52.82</v>
      </c>
      <c r="I10" s="11">
        <f t="shared" si="2"/>
        <v>0.10240668632659924</v>
      </c>
      <c r="J10" s="12">
        <f t="shared" si="6"/>
        <v>1.4522212010779887</v>
      </c>
      <c r="M10" s="24">
        <v>2025</v>
      </c>
      <c r="N10" s="82">
        <f t="shared" si="7"/>
        <v>5.3555529101126806</v>
      </c>
      <c r="O10" s="34">
        <f t="shared" si="8"/>
        <v>5.9533696656546634E-2</v>
      </c>
      <c r="R10" s="65">
        <v>2025</v>
      </c>
      <c r="S10" s="84">
        <f t="shared" si="3"/>
        <v>5.3555529101126806</v>
      </c>
      <c r="T10" s="66"/>
      <c r="U10" s="67">
        <f t="shared" si="4"/>
        <v>5.3555529101126806</v>
      </c>
      <c r="W10" s="96">
        <f t="shared" si="5"/>
        <v>-81</v>
      </c>
      <c r="X10" s="98">
        <v>8.9144666657663185E-2</v>
      </c>
    </row>
    <row r="11" spans="1:24" x14ac:dyDescent="0.3">
      <c r="B11" s="22">
        <v>2016</v>
      </c>
      <c r="C11" s="89">
        <v>83309</v>
      </c>
      <c r="D11" s="89">
        <v>13640</v>
      </c>
      <c r="E11" s="10">
        <f t="shared" si="0"/>
        <v>0.16372780852008786</v>
      </c>
      <c r="F11" s="9">
        <v>2888</v>
      </c>
      <c r="G11" s="80">
        <f t="shared" si="1"/>
        <v>4.7229916897506925</v>
      </c>
      <c r="H11" s="87">
        <v>59.48</v>
      </c>
      <c r="I11" s="11">
        <f t="shared" si="2"/>
        <v>7.940470224866665E-2</v>
      </c>
      <c r="J11" s="12">
        <f>G11/G10-1</f>
        <v>-0.12684675758440034</v>
      </c>
      <c r="M11" s="24">
        <v>2026</v>
      </c>
      <c r="N11" s="82">
        <f t="shared" si="7"/>
        <v>5.6743887724914153</v>
      </c>
      <c r="O11" s="34">
        <f t="shared" si="8"/>
        <v>5.9533696656546634E-2</v>
      </c>
      <c r="R11" s="65">
        <v>2026</v>
      </c>
      <c r="S11" s="84">
        <f t="shared" si="3"/>
        <v>5.6743887724914153</v>
      </c>
      <c r="T11" s="66"/>
      <c r="U11" s="67">
        <f t="shared" si="4"/>
        <v>5.6743887724914153</v>
      </c>
      <c r="W11" s="96">
        <f t="shared" si="5"/>
        <v>-79</v>
      </c>
      <c r="X11" s="98">
        <v>9.3165305521608399E-2</v>
      </c>
    </row>
    <row r="12" spans="1:24" x14ac:dyDescent="0.3">
      <c r="B12" s="22">
        <v>2017</v>
      </c>
      <c r="C12" s="89">
        <v>88962</v>
      </c>
      <c r="D12" s="89">
        <v>-8048</v>
      </c>
      <c r="E12" s="10">
        <f t="shared" si="0"/>
        <v>-9.0465592050538432E-2</v>
      </c>
      <c r="F12" s="9">
        <v>2699</v>
      </c>
      <c r="G12" s="80">
        <f t="shared" si="1"/>
        <v>-2.9818451278251206</v>
      </c>
      <c r="H12" s="87">
        <v>75.33</v>
      </c>
      <c r="I12" s="11">
        <f t="shared" si="2"/>
        <v>-3.9583766465221298E-2</v>
      </c>
      <c r="J12" s="12">
        <f t="shared" si="6"/>
        <v>-1.6313466810233832</v>
      </c>
      <c r="M12" s="24">
        <v>2027</v>
      </c>
      <c r="N12" s="82">
        <f t="shared" si="7"/>
        <v>6.0122061123842334</v>
      </c>
      <c r="O12" s="34">
        <f t="shared" si="8"/>
        <v>5.9533696656546634E-2</v>
      </c>
      <c r="R12" s="65">
        <v>2027</v>
      </c>
      <c r="S12" s="84">
        <f t="shared" si="3"/>
        <v>6.0122061123842334</v>
      </c>
      <c r="T12" s="66"/>
      <c r="U12" s="67">
        <f t="shared" si="4"/>
        <v>6.0122061123842334</v>
      </c>
      <c r="W12" s="96">
        <f t="shared" si="5"/>
        <v>-77</v>
      </c>
      <c r="X12" s="98">
        <v>9.7326286235175363E-2</v>
      </c>
    </row>
    <row r="13" spans="1:24" x14ac:dyDescent="0.3">
      <c r="B13" s="22">
        <v>2018</v>
      </c>
      <c r="C13" s="89">
        <v>97120</v>
      </c>
      <c r="D13" s="89">
        <v>16671</v>
      </c>
      <c r="E13" s="10">
        <f t="shared" si="0"/>
        <v>0.17165362438220758</v>
      </c>
      <c r="F13" s="9">
        <v>2493</v>
      </c>
      <c r="G13" s="80">
        <f t="shared" si="1"/>
        <v>6.6871239470517452</v>
      </c>
      <c r="H13" s="87">
        <v>55.04</v>
      </c>
      <c r="I13" s="11">
        <f t="shared" si="2"/>
        <v>0.12149571124730642</v>
      </c>
      <c r="J13" s="12">
        <f>(G13-G12)/ABS(G12)</f>
        <v>3.2426127650463048</v>
      </c>
      <c r="M13" s="24">
        <v>2028</v>
      </c>
      <c r="N13" s="82">
        <f t="shared" si="7"/>
        <v>6.3701349673155523</v>
      </c>
      <c r="O13" s="34">
        <f t="shared" si="8"/>
        <v>5.9533696656546634E-2</v>
      </c>
      <c r="R13" s="65">
        <v>2028</v>
      </c>
      <c r="S13" s="84">
        <f t="shared" si="3"/>
        <v>6.3701349673155523</v>
      </c>
      <c r="T13" s="66"/>
      <c r="U13" s="67">
        <f t="shared" si="4"/>
        <v>6.3701349673155523</v>
      </c>
      <c r="W13" s="96">
        <f>W14-2</f>
        <v>-75</v>
      </c>
      <c r="X13" s="98">
        <v>0.10163696580648329</v>
      </c>
    </row>
    <row r="14" spans="1:24" x14ac:dyDescent="0.3">
      <c r="B14" s="22">
        <v>2019</v>
      </c>
      <c r="C14" s="89">
        <f>76510+26939</f>
        <v>103449</v>
      </c>
      <c r="D14" s="89">
        <v>18171</v>
      </c>
      <c r="E14" s="10">
        <f t="shared" si="0"/>
        <v>0.17565177043760694</v>
      </c>
      <c r="F14" s="9">
        <v>2249</v>
      </c>
      <c r="G14" s="80">
        <f t="shared" si="1"/>
        <v>8.0795909293019115</v>
      </c>
      <c r="H14" s="87">
        <v>77.06</v>
      </c>
      <c r="I14" s="11">
        <f t="shared" si="2"/>
        <v>0.10484805254739049</v>
      </c>
      <c r="J14" s="12">
        <f t="shared" ref="J14:J15" si="9">(G14-G13)/ABS(G13)</f>
        <v>0.20823107112648698</v>
      </c>
      <c r="M14" s="24">
        <v>2029</v>
      </c>
      <c r="N14" s="82">
        <f t="shared" si="7"/>
        <v>6.7493726501209776</v>
      </c>
      <c r="O14" s="34">
        <f t="shared" si="8"/>
        <v>5.9533696656546634E-2</v>
      </c>
      <c r="R14" s="65">
        <v>2029</v>
      </c>
      <c r="S14" s="84">
        <f t="shared" si="3"/>
        <v>6.7493726501209776</v>
      </c>
      <c r="T14" s="66"/>
      <c r="U14" s="67">
        <f t="shared" si="4"/>
        <v>6.7493726501209776</v>
      </c>
      <c r="W14" s="96">
        <v>-73</v>
      </c>
      <c r="X14" s="98">
        <v>0.1061076362680462</v>
      </c>
    </row>
    <row r="15" spans="1:24" x14ac:dyDescent="0.3">
      <c r="B15" s="22">
        <v>2020</v>
      </c>
      <c r="C15" s="89">
        <f>58089+30750</f>
        <v>88839</v>
      </c>
      <c r="D15" s="89">
        <f>4.74*F15</f>
        <v>9886.6920000000009</v>
      </c>
      <c r="E15" s="10">
        <f t="shared" si="0"/>
        <v>0.1112877452470199</v>
      </c>
      <c r="F15" s="9">
        <v>2085.8000000000002</v>
      </c>
      <c r="G15" s="80">
        <f t="shared" si="1"/>
        <v>4.74</v>
      </c>
      <c r="H15" s="87">
        <v>61.66</v>
      </c>
      <c r="I15" s="11">
        <f t="shared" si="2"/>
        <v>7.6873175478430103E-2</v>
      </c>
      <c r="J15" s="12">
        <f t="shared" si="9"/>
        <v>-0.41333663529800224</v>
      </c>
      <c r="M15" s="24">
        <v>2030</v>
      </c>
      <c r="N15" s="82">
        <f t="shared" si="7"/>
        <v>7.1511877540952726</v>
      </c>
      <c r="O15" s="34">
        <f t="shared" si="8"/>
        <v>5.9533696656546634E-2</v>
      </c>
      <c r="R15" s="68">
        <v>2030</v>
      </c>
      <c r="S15" s="85">
        <f t="shared" si="3"/>
        <v>7.1511877540952726</v>
      </c>
      <c r="T15" s="69">
        <f>U30</f>
        <v>93.475283113846118</v>
      </c>
      <c r="U15" s="70">
        <f t="shared" si="4"/>
        <v>100.62647086794139</v>
      </c>
      <c r="W15" s="96">
        <f>W14+2</f>
        <v>-71</v>
      </c>
      <c r="X15" s="98">
        <v>0.1107496508948036</v>
      </c>
    </row>
    <row r="16" spans="1:24" x14ac:dyDescent="0.3">
      <c r="B16" s="8"/>
      <c r="C16" s="13"/>
      <c r="D16" s="13"/>
      <c r="E16" s="13"/>
      <c r="F16" s="13"/>
      <c r="G16" s="13"/>
      <c r="H16" s="13"/>
      <c r="I16" s="13"/>
      <c r="J16" s="14"/>
      <c r="M16" s="8"/>
      <c r="N16" s="13"/>
      <c r="O16" s="14"/>
      <c r="R16" s="71"/>
      <c r="S16" s="66"/>
      <c r="T16" s="66"/>
      <c r="U16" s="72"/>
      <c r="W16" s="96">
        <f t="shared" ref="W16:W18" si="10">W15+2</f>
        <v>-69</v>
      </c>
      <c r="X16" s="98">
        <v>0.11557557213316882</v>
      </c>
    </row>
    <row r="17" spans="2:24" x14ac:dyDescent="0.3">
      <c r="B17" s="15"/>
      <c r="C17" s="16">
        <f>(C15/C6)^(1/9)-1</f>
        <v>-1.4737771940835032E-2</v>
      </c>
      <c r="D17" s="16">
        <f>(D15/D6)^(1/9)-1</f>
        <v>-1.2194592127521164E-2</v>
      </c>
      <c r="E17" s="17">
        <f>AVERAGE(E6:E15)</f>
        <v>0.11268547459399118</v>
      </c>
      <c r="F17" s="16">
        <f>(F15/F6)^(1/9)-1</f>
        <v>-3.6323929589698323E-2</v>
      </c>
      <c r="G17" s="16">
        <f>(G15/G6)^(1/9)-1</f>
        <v>2.5038846769229739E-2</v>
      </c>
      <c r="H17" s="18"/>
      <c r="I17" s="19">
        <f>AVERAGE(I6:I15)</f>
        <v>7.7907026495777409E-2</v>
      </c>
      <c r="J17" s="20">
        <f>AVERAGE(J7:J15)</f>
        <v>0.29199871598821098</v>
      </c>
      <c r="M17" s="32" t="s">
        <v>25</v>
      </c>
      <c r="N17" s="18"/>
      <c r="O17" s="36">
        <f>N15/I17</f>
        <v>91.791306583660585</v>
      </c>
      <c r="R17" s="65" t="s">
        <v>37</v>
      </c>
      <c r="S17" s="66"/>
      <c r="T17" s="66"/>
      <c r="U17" s="73">
        <f>IRR(U6:U15)</f>
        <v>0.1060621012792442</v>
      </c>
      <c r="W17" s="96">
        <f t="shared" si="10"/>
        <v>-67</v>
      </c>
      <c r="X17" s="98">
        <v>0.12059934592738819</v>
      </c>
    </row>
    <row r="18" spans="2:24" x14ac:dyDescent="0.3">
      <c r="B18" s="55"/>
      <c r="C18" s="56"/>
      <c r="D18" s="56"/>
      <c r="E18" s="57"/>
      <c r="F18" s="56"/>
      <c r="G18" s="56"/>
      <c r="H18" s="55"/>
      <c r="I18" s="58"/>
      <c r="J18" s="58"/>
      <c r="M18" s="59"/>
      <c r="N18" s="60"/>
      <c r="O18" s="61"/>
      <c r="R18" s="65" t="s">
        <v>39</v>
      </c>
      <c r="S18" s="66"/>
      <c r="T18" s="66"/>
      <c r="U18" s="74">
        <f>SUM(S6:S15)</f>
        <v>55.890231848383777</v>
      </c>
      <c r="W18" s="96">
        <f t="shared" si="10"/>
        <v>-65</v>
      </c>
      <c r="X18" s="99">
        <v>0.1258365079024546</v>
      </c>
    </row>
    <row r="19" spans="2:24" x14ac:dyDescent="0.3">
      <c r="B19" s="55"/>
      <c r="C19" s="56"/>
      <c r="D19" s="56"/>
      <c r="E19" s="57"/>
      <c r="F19" s="56"/>
      <c r="G19" s="56"/>
      <c r="H19" s="55"/>
      <c r="I19" s="58"/>
      <c r="J19" s="58"/>
      <c r="M19" s="59"/>
      <c r="N19" s="60"/>
      <c r="O19" s="61"/>
      <c r="R19" s="65" t="s">
        <v>38</v>
      </c>
      <c r="S19" s="66"/>
      <c r="T19" s="66"/>
      <c r="U19" s="75">
        <f>+T15+T6</f>
        <v>20.455283113846122</v>
      </c>
    </row>
    <row r="20" spans="2:24" x14ac:dyDescent="0.3">
      <c r="R20" s="65" t="s">
        <v>40</v>
      </c>
      <c r="S20" s="66"/>
      <c r="T20" s="66"/>
      <c r="U20" s="76">
        <f>+U18+U19</f>
        <v>76.345514962229899</v>
      </c>
    </row>
    <row r="21" spans="2:24" x14ac:dyDescent="0.3">
      <c r="B21" s="109" t="s">
        <v>20</v>
      </c>
      <c r="C21" s="109"/>
      <c r="D21" s="109"/>
      <c r="E21" s="109"/>
      <c r="F21" s="109"/>
      <c r="G21" s="109"/>
      <c r="H21" s="109"/>
      <c r="I21" s="109"/>
      <c r="J21" s="109"/>
      <c r="M21" s="109" t="s">
        <v>26</v>
      </c>
      <c r="N21" s="109"/>
      <c r="O21" s="109"/>
      <c r="R21" s="68" t="s">
        <v>41</v>
      </c>
      <c r="S21" s="77"/>
      <c r="T21" s="77"/>
      <c r="U21" s="78">
        <f>-SUM(S6:S15,T15)/T6</f>
        <v>2.045542522079292</v>
      </c>
    </row>
    <row r="22" spans="2:24" ht="28.8" x14ac:dyDescent="0.3">
      <c r="B22" s="2" t="s">
        <v>1</v>
      </c>
      <c r="C22" s="2" t="s">
        <v>11</v>
      </c>
      <c r="D22" s="3" t="s">
        <v>12</v>
      </c>
      <c r="E22" s="2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M22" s="35" t="s">
        <v>1</v>
      </c>
      <c r="N22" s="3" t="s">
        <v>14</v>
      </c>
      <c r="O22" s="3" t="s">
        <v>16</v>
      </c>
    </row>
    <row r="23" spans="2:24" ht="4.2" customHeight="1" x14ac:dyDescent="0.3"/>
    <row r="24" spans="2:24" x14ac:dyDescent="0.3">
      <c r="B24" s="23">
        <v>2011</v>
      </c>
      <c r="C24" s="88">
        <v>1873878</v>
      </c>
      <c r="D24" s="88">
        <v>34582</v>
      </c>
      <c r="E24" s="88">
        <v>1694305</v>
      </c>
      <c r="F24" s="90">
        <f>C24-SUM(D24:E24)</f>
        <v>144991</v>
      </c>
      <c r="G24" s="79">
        <f t="shared" ref="G24:G33" si="11">F24/F6</f>
        <v>49.825085910652923</v>
      </c>
      <c r="H24" s="27"/>
      <c r="I24" s="90">
        <f t="shared" ref="I24:I33" si="12">F6*H6</f>
        <v>79152</v>
      </c>
      <c r="J24" s="29">
        <f>I24/F24</f>
        <v>0.54590974612217313</v>
      </c>
      <c r="M24" s="23">
        <v>2021</v>
      </c>
      <c r="N24" s="25">
        <f>F33*(1+O24)</f>
        <v>176758.33118132383</v>
      </c>
      <c r="O24" s="33">
        <f>F35</f>
        <v>2.0008720483601694E-2</v>
      </c>
      <c r="R24" s="110" t="s">
        <v>22</v>
      </c>
      <c r="S24" s="111"/>
      <c r="T24" s="111"/>
      <c r="U24" s="112"/>
    </row>
    <row r="25" spans="2:24" x14ac:dyDescent="0.3">
      <c r="B25" s="24">
        <v>2012</v>
      </c>
      <c r="C25" s="89">
        <v>1864660</v>
      </c>
      <c r="D25" s="89">
        <v>33312</v>
      </c>
      <c r="E25" s="89">
        <v>1673663</v>
      </c>
      <c r="F25" s="91">
        <f t="shared" ref="F25:F33" si="13">C25-SUM(D25:E25)</f>
        <v>157685</v>
      </c>
      <c r="G25" s="80">
        <f t="shared" si="11"/>
        <v>54.131479574322007</v>
      </c>
      <c r="H25" s="28">
        <f>G25/G24-1</f>
        <v>8.6430230574842781E-2</v>
      </c>
      <c r="I25" s="91">
        <f t="shared" si="12"/>
        <v>110810.52</v>
      </c>
      <c r="J25" s="30">
        <f t="shared" ref="J25:J33" si="14">I25/F25</f>
        <v>0.7027334242318547</v>
      </c>
      <c r="M25" s="24">
        <v>2022</v>
      </c>
      <c r="N25" s="26">
        <f>N24*(1+O25)</f>
        <v>180295.03922307884</v>
      </c>
      <c r="O25" s="34">
        <f>O24</f>
        <v>2.0008720483601694E-2</v>
      </c>
      <c r="R25" s="41" t="s">
        <v>23</v>
      </c>
      <c r="S25" s="42"/>
      <c r="T25" s="42"/>
      <c r="U25" s="43">
        <v>73.02</v>
      </c>
      <c r="V25" t="s">
        <v>32</v>
      </c>
    </row>
    <row r="26" spans="2:24" x14ac:dyDescent="0.3">
      <c r="B26" s="24">
        <v>2013</v>
      </c>
      <c r="C26" s="89">
        <v>1880382</v>
      </c>
      <c r="D26" s="89">
        <v>32783</v>
      </c>
      <c r="E26" s="89">
        <v>1674249</v>
      </c>
      <c r="F26" s="91">
        <f t="shared" si="13"/>
        <v>173350</v>
      </c>
      <c r="G26" s="80">
        <f t="shared" si="11"/>
        <v>57.098155467720687</v>
      </c>
      <c r="H26" s="28">
        <f t="shared" ref="H26:H33" si="15">G26/G25-1</f>
        <v>5.4805002869457109E-2</v>
      </c>
      <c r="I26" s="91">
        <f t="shared" si="12"/>
        <v>157143.35999999999</v>
      </c>
      <c r="J26" s="30">
        <f t="shared" si="14"/>
        <v>0.90650914335160071</v>
      </c>
      <c r="M26" s="24">
        <v>2023</v>
      </c>
      <c r="N26" s="26">
        <f t="shared" ref="N26:N33" si="16">N25*(1+O26)</f>
        <v>183902.51226747344</v>
      </c>
      <c r="O26" s="34">
        <f t="shared" ref="O26:O33" si="17">O25</f>
        <v>2.0008720483601694E-2</v>
      </c>
      <c r="R26" s="44"/>
      <c r="S26" s="42"/>
      <c r="T26" s="42"/>
      <c r="U26" s="45"/>
    </row>
    <row r="27" spans="2:24" x14ac:dyDescent="0.3">
      <c r="B27" s="24">
        <v>2014</v>
      </c>
      <c r="C27" s="89">
        <v>1842181</v>
      </c>
      <c r="D27" s="89">
        <v>30003</v>
      </c>
      <c r="E27" s="89">
        <v>1630485</v>
      </c>
      <c r="F27" s="91">
        <f t="shared" si="13"/>
        <v>181693</v>
      </c>
      <c r="G27" s="80">
        <f t="shared" si="11"/>
        <v>59.925131926121374</v>
      </c>
      <c r="H27" s="28">
        <f t="shared" si="15"/>
        <v>4.9510819311822774E-2</v>
      </c>
      <c r="I27" s="91">
        <f t="shared" si="12"/>
        <v>164607.28</v>
      </c>
      <c r="J27" s="30">
        <f t="shared" si="14"/>
        <v>0.90596379607359667</v>
      </c>
      <c r="M27" s="24">
        <v>2024</v>
      </c>
      <c r="N27" s="26">
        <f t="shared" si="16"/>
        <v>187582.16623166544</v>
      </c>
      <c r="O27" s="34">
        <f t="shared" si="17"/>
        <v>2.0008720483601694E-2</v>
      </c>
      <c r="R27" s="44"/>
      <c r="S27" s="42"/>
      <c r="T27" s="46" t="s">
        <v>28</v>
      </c>
      <c r="U27" s="47" t="s">
        <v>29</v>
      </c>
    </row>
    <row r="28" spans="2:24" x14ac:dyDescent="0.3">
      <c r="B28" s="24">
        <v>2015</v>
      </c>
      <c r="C28" s="89">
        <v>1731210</v>
      </c>
      <c r="D28" s="89">
        <v>27851</v>
      </c>
      <c r="E28" s="89">
        <v>1508118</v>
      </c>
      <c r="F28" s="91">
        <f t="shared" si="13"/>
        <v>195241</v>
      </c>
      <c r="G28" s="80">
        <f t="shared" si="11"/>
        <v>64.993675099866849</v>
      </c>
      <c r="H28" s="28">
        <f t="shared" si="15"/>
        <v>8.4581260163001826E-2</v>
      </c>
      <c r="I28" s="91">
        <f t="shared" si="12"/>
        <v>158671.28</v>
      </c>
      <c r="J28" s="30">
        <f t="shared" si="14"/>
        <v>0.81269446478967022</v>
      </c>
      <c r="M28" s="24">
        <v>2025</v>
      </c>
      <c r="N28" s="26">
        <f t="shared" si="16"/>
        <v>191335.44536350336</v>
      </c>
      <c r="O28" s="34">
        <f t="shared" si="17"/>
        <v>2.0008720483601694E-2</v>
      </c>
      <c r="R28" s="48" t="s">
        <v>30</v>
      </c>
      <c r="S28" s="42"/>
      <c r="T28" s="39">
        <v>0.5</v>
      </c>
      <c r="U28" s="49">
        <f>O17</f>
        <v>91.791306583660585</v>
      </c>
    </row>
    <row r="29" spans="2:24" x14ac:dyDescent="0.3">
      <c r="B29" s="24">
        <v>2016</v>
      </c>
      <c r="C29" s="89">
        <v>1792077</v>
      </c>
      <c r="D29" s="89">
        <v>28337</v>
      </c>
      <c r="E29" s="89">
        <v>1565934</v>
      </c>
      <c r="F29" s="91">
        <f t="shared" si="13"/>
        <v>197806</v>
      </c>
      <c r="G29" s="80">
        <f t="shared" si="11"/>
        <v>68.492382271468145</v>
      </c>
      <c r="H29" s="28">
        <f t="shared" si="15"/>
        <v>5.3831502315037749E-2</v>
      </c>
      <c r="I29" s="91">
        <f t="shared" si="12"/>
        <v>171778.24</v>
      </c>
      <c r="J29" s="30">
        <f t="shared" si="14"/>
        <v>0.86841774263672478</v>
      </c>
      <c r="M29" s="24">
        <v>2026</v>
      </c>
      <c r="N29" s="26">
        <f t="shared" si="16"/>
        <v>195163.82280838714</v>
      </c>
      <c r="O29" s="34">
        <f t="shared" si="17"/>
        <v>2.0008720483601694E-2</v>
      </c>
      <c r="R29" s="48" t="s">
        <v>31</v>
      </c>
      <c r="S29" s="42"/>
      <c r="T29" s="40">
        <v>0.5</v>
      </c>
      <c r="U29" s="50">
        <f>O37</f>
        <v>95.15925964403165</v>
      </c>
    </row>
    <row r="30" spans="2:24" x14ac:dyDescent="0.3">
      <c r="B30" s="24">
        <v>2017</v>
      </c>
      <c r="C30" s="89">
        <v>1842465</v>
      </c>
      <c r="D30" s="89">
        <v>27402</v>
      </c>
      <c r="E30" s="89">
        <v>1640793</v>
      </c>
      <c r="F30" s="91">
        <f t="shared" si="13"/>
        <v>174270</v>
      </c>
      <c r="G30" s="80">
        <f t="shared" si="11"/>
        <v>64.568358651352355</v>
      </c>
      <c r="H30" s="28">
        <f t="shared" si="15"/>
        <v>-5.7291387596404508E-2</v>
      </c>
      <c r="I30" s="91">
        <f t="shared" si="12"/>
        <v>203315.66999999998</v>
      </c>
      <c r="J30" s="30">
        <f t="shared" si="14"/>
        <v>1.1666705112756066</v>
      </c>
      <c r="M30" s="24">
        <v>2027</v>
      </c>
      <c r="N30" s="26">
        <f t="shared" si="16"/>
        <v>199068.80118747131</v>
      </c>
      <c r="O30" s="34">
        <f t="shared" si="17"/>
        <v>2.0008720483601694E-2</v>
      </c>
      <c r="R30" s="51"/>
      <c r="S30" s="52"/>
      <c r="T30" s="53">
        <v>1</v>
      </c>
      <c r="U30" s="54">
        <f>+SUMPRODUCT(T28:T29,U28:U29)</f>
        <v>93.475283113846118</v>
      </c>
    </row>
    <row r="31" spans="2:24" x14ac:dyDescent="0.3">
      <c r="B31" s="24">
        <v>2018</v>
      </c>
      <c r="C31" s="89">
        <v>1917383</v>
      </c>
      <c r="D31" s="89">
        <v>27266</v>
      </c>
      <c r="E31" s="89">
        <v>1720309</v>
      </c>
      <c r="F31" s="91">
        <f t="shared" si="13"/>
        <v>169808</v>
      </c>
      <c r="G31" s="80">
        <f t="shared" si="11"/>
        <v>68.113918973124754</v>
      </c>
      <c r="H31" s="28">
        <f t="shared" si="15"/>
        <v>5.4911730696411976E-2</v>
      </c>
      <c r="I31" s="91">
        <f t="shared" si="12"/>
        <v>137214.72</v>
      </c>
      <c r="J31" s="30">
        <f t="shared" si="14"/>
        <v>0.80805804202393294</v>
      </c>
      <c r="M31" s="24">
        <v>2028</v>
      </c>
      <c r="N31" s="26">
        <f t="shared" si="16"/>
        <v>203051.91318743711</v>
      </c>
      <c r="O31" s="34">
        <f t="shared" si="17"/>
        <v>2.0008720483601694E-2</v>
      </c>
    </row>
    <row r="32" spans="2:24" x14ac:dyDescent="0.3">
      <c r="B32" s="24">
        <v>2019</v>
      </c>
      <c r="C32" s="89">
        <v>1951158</v>
      </c>
      <c r="D32" s="89">
        <v>26948</v>
      </c>
      <c r="E32" s="89">
        <v>1757212</v>
      </c>
      <c r="F32" s="91">
        <f t="shared" si="13"/>
        <v>166998</v>
      </c>
      <c r="G32" s="80">
        <f t="shared" si="11"/>
        <v>74.25433526011561</v>
      </c>
      <c r="H32" s="28">
        <f t="shared" si="15"/>
        <v>9.0149214427283741E-2</v>
      </c>
      <c r="I32" s="91">
        <f t="shared" si="12"/>
        <v>173307.94</v>
      </c>
      <c r="J32" s="30">
        <f t="shared" si="14"/>
        <v>1.0377845243655612</v>
      </c>
      <c r="M32" s="24">
        <v>2029</v>
      </c>
      <c r="N32" s="26">
        <f t="shared" si="16"/>
        <v>207114.7221620651</v>
      </c>
      <c r="O32" s="34">
        <f t="shared" si="17"/>
        <v>2.0008720483601694E-2</v>
      </c>
    </row>
    <row r="33" spans="2:15" x14ac:dyDescent="0.3">
      <c r="B33" s="24">
        <v>2020</v>
      </c>
      <c r="C33" s="89">
        <v>2260090</v>
      </c>
      <c r="D33" s="89">
        <f>22162+4747</f>
        <v>26909</v>
      </c>
      <c r="E33" s="89">
        <v>2059890</v>
      </c>
      <c r="F33" s="91">
        <f t="shared" si="13"/>
        <v>173291</v>
      </c>
      <c r="G33" s="80">
        <f t="shared" si="11"/>
        <v>83.081311726915331</v>
      </c>
      <c r="H33" s="28">
        <f t="shared" si="15"/>
        <v>0.11887489714746624</v>
      </c>
      <c r="I33" s="91">
        <f t="shared" si="12"/>
        <v>128610.428</v>
      </c>
      <c r="J33" s="30">
        <f t="shared" si="14"/>
        <v>0.74216449786774852</v>
      </c>
      <c r="M33" s="24">
        <v>2030</v>
      </c>
      <c r="N33" s="26">
        <f t="shared" si="16"/>
        <v>211258.82274584469</v>
      </c>
      <c r="O33" s="34">
        <f t="shared" si="17"/>
        <v>2.0008720483601694E-2</v>
      </c>
    </row>
    <row r="34" spans="2:15" x14ac:dyDescent="0.3">
      <c r="B34" s="8"/>
      <c r="C34" s="13"/>
      <c r="D34" s="13"/>
      <c r="E34" s="13"/>
      <c r="F34" s="13"/>
      <c r="G34" s="13"/>
      <c r="H34" s="13"/>
      <c r="I34" s="13"/>
      <c r="J34" s="14"/>
      <c r="M34" s="8"/>
      <c r="N34" s="13"/>
      <c r="O34" s="14"/>
    </row>
    <row r="35" spans="2:15" x14ac:dyDescent="0.3">
      <c r="B35" s="15"/>
      <c r="C35" s="16">
        <f>(C33/C24)^(1/9)-1</f>
        <v>2.1039899479729618E-2</v>
      </c>
      <c r="D35" s="18"/>
      <c r="E35" s="18"/>
      <c r="F35" s="16">
        <f>(F33/F24)^(1/9)-1</f>
        <v>2.0008720483601694E-2</v>
      </c>
      <c r="G35" s="93">
        <f>AVERAGE(G24:G33)</f>
        <v>64.448383486166009</v>
      </c>
      <c r="H35" s="19">
        <f>AVERAGE(H24:H33)</f>
        <v>5.9533696656546634E-2</v>
      </c>
      <c r="I35" s="92">
        <f>AVERAGE(I24:I33)</f>
        <v>148461.14380000002</v>
      </c>
      <c r="J35" s="31">
        <f>AVERAGE(J24:J33)</f>
        <v>0.84969058927384677</v>
      </c>
      <c r="M35" s="8" t="s">
        <v>21</v>
      </c>
      <c r="N35" s="13"/>
      <c r="O35" s="37">
        <f>+N33*J35</f>
        <v>179504.63358821592</v>
      </c>
    </row>
    <row r="36" spans="2:15" x14ac:dyDescent="0.3">
      <c r="M36" s="8" t="s">
        <v>24</v>
      </c>
      <c r="N36" s="13"/>
      <c r="O36" s="38">
        <f>+F15*(0.99)^10</f>
        <v>1886.3601320533642</v>
      </c>
    </row>
    <row r="37" spans="2:15" x14ac:dyDescent="0.3">
      <c r="M37" s="32" t="s">
        <v>25</v>
      </c>
      <c r="N37" s="18"/>
      <c r="O37" s="36">
        <f>O35/O36</f>
        <v>95.15925964403165</v>
      </c>
    </row>
  </sheetData>
  <mergeCells count="9">
    <mergeCell ref="W3:X3"/>
    <mergeCell ref="B21:J21"/>
    <mergeCell ref="M21:O21"/>
    <mergeCell ref="R24:U24"/>
    <mergeCell ref="A1:C1"/>
    <mergeCell ref="A2:C2"/>
    <mergeCell ref="B3:J3"/>
    <mergeCell ref="M3:O3"/>
    <mergeCell ref="R3:U3"/>
  </mergeCells>
  <pageMargins left="0.7" right="0.7" top="0.75" bottom="0.75" header="0.3" footer="0.3"/>
  <pageSetup orientation="portrait" r:id="rId1"/>
  <ignoredErrors>
    <ignoredError sqref="J13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E31-431C-4DAD-A79F-6F25907E50B0}">
  <sheetPr>
    <tabColor rgb="FF002060"/>
  </sheetPr>
  <dimension ref="A1:X38"/>
  <sheetViews>
    <sheetView showGridLines="0" topLeftCell="J18" zoomScale="130" zoomScaleNormal="130" workbookViewId="0">
      <selection activeCell="Y22" sqref="Y22"/>
    </sheetView>
  </sheetViews>
  <sheetFormatPr defaultRowHeight="14.4" x14ac:dyDescent="0.3"/>
  <cols>
    <col min="3" max="3" width="11.44140625" bestFit="1" customWidth="1"/>
    <col min="5" max="5" width="11.44140625" bestFit="1" customWidth="1"/>
    <col min="6" max="6" width="11.5546875" bestFit="1" customWidth="1"/>
    <col min="14" max="14" width="11.77734375" customWidth="1"/>
    <col min="15" max="15" width="9.5546875" bestFit="1" customWidth="1"/>
    <col min="18" max="18" width="11.21875" customWidth="1"/>
    <col min="20" max="20" width="14" customWidth="1"/>
    <col min="21" max="21" width="13.6640625" customWidth="1"/>
    <col min="23" max="23" width="11.33203125" customWidth="1"/>
  </cols>
  <sheetData>
    <row r="1" spans="1:24" x14ac:dyDescent="0.3">
      <c r="A1" s="122" t="s">
        <v>45</v>
      </c>
      <c r="B1" s="122"/>
      <c r="C1" s="122"/>
    </row>
    <row r="2" spans="1:24" x14ac:dyDescent="0.3">
      <c r="A2" s="113" t="s">
        <v>10</v>
      </c>
      <c r="B2" s="113"/>
      <c r="C2" s="113"/>
      <c r="D2" s="1"/>
      <c r="E2" s="1"/>
      <c r="G2" s="1"/>
      <c r="H2" s="1"/>
      <c r="I2" s="1"/>
    </row>
    <row r="3" spans="1:24" x14ac:dyDescent="0.3">
      <c r="B3" s="109" t="s">
        <v>19</v>
      </c>
      <c r="C3" s="109"/>
      <c r="D3" s="109"/>
      <c r="E3" s="109"/>
      <c r="F3" s="109"/>
      <c r="G3" s="109"/>
      <c r="H3" s="109"/>
      <c r="I3" s="109"/>
      <c r="J3" s="109"/>
      <c r="M3" s="109" t="s">
        <v>26</v>
      </c>
      <c r="N3" s="109"/>
      <c r="O3" s="109"/>
      <c r="R3" s="109" t="s">
        <v>36</v>
      </c>
      <c r="S3" s="109"/>
      <c r="T3" s="109"/>
      <c r="U3" s="109"/>
      <c r="W3" s="109" t="s">
        <v>42</v>
      </c>
      <c r="X3" s="109"/>
    </row>
    <row r="4" spans="1:24" ht="28.8" x14ac:dyDescent="0.3">
      <c r="B4" s="2" t="s">
        <v>1</v>
      </c>
      <c r="C4" s="3" t="s">
        <v>9</v>
      </c>
      <c r="D4" s="3" t="s">
        <v>3</v>
      </c>
      <c r="E4" s="3" t="s">
        <v>4</v>
      </c>
      <c r="F4" s="2" t="s">
        <v>2</v>
      </c>
      <c r="G4" s="3" t="s">
        <v>5</v>
      </c>
      <c r="H4" s="3" t="s">
        <v>6</v>
      </c>
      <c r="I4" s="3" t="s">
        <v>7</v>
      </c>
      <c r="J4" s="3" t="s">
        <v>8</v>
      </c>
      <c r="M4" s="35" t="s">
        <v>1</v>
      </c>
      <c r="N4" s="3" t="s">
        <v>27</v>
      </c>
      <c r="O4" s="3" t="s">
        <v>8</v>
      </c>
      <c r="R4" s="35" t="s">
        <v>1</v>
      </c>
      <c r="S4" s="3" t="s">
        <v>35</v>
      </c>
      <c r="T4" s="3" t="s">
        <v>33</v>
      </c>
      <c r="U4" s="3" t="s">
        <v>34</v>
      </c>
      <c r="W4" s="3" t="s">
        <v>33</v>
      </c>
      <c r="X4" s="2" t="s">
        <v>37</v>
      </c>
    </row>
    <row r="5" spans="1:24" ht="4.2" customHeight="1" x14ac:dyDescent="0.3"/>
    <row r="6" spans="1:24" x14ac:dyDescent="0.3">
      <c r="B6" s="21">
        <v>2011</v>
      </c>
      <c r="C6" s="88">
        <f>12639+8760</f>
        <v>21399</v>
      </c>
      <c r="D6" s="88">
        <v>4721</v>
      </c>
      <c r="E6" s="5">
        <f>D6/C6</f>
        <v>0.22061778587784475</v>
      </c>
      <c r="F6" s="4">
        <v>1914</v>
      </c>
      <c r="G6" s="79">
        <f>D6/F6</f>
        <v>2.4665621734587253</v>
      </c>
      <c r="H6" s="86">
        <v>27.05</v>
      </c>
      <c r="I6" s="6">
        <f>G6/H6</f>
        <v>9.1185292918991689E-2</v>
      </c>
      <c r="J6" s="7"/>
      <c r="M6" s="23">
        <v>2021</v>
      </c>
      <c r="N6" s="81">
        <f>AVERAGE(G11:G15)</f>
        <v>3.6314057271889446</v>
      </c>
      <c r="O6" s="33"/>
      <c r="R6" s="62">
        <v>2021</v>
      </c>
      <c r="S6" s="83">
        <f>N6</f>
        <v>3.6314057271889446</v>
      </c>
      <c r="T6" s="63">
        <f>-U25</f>
        <v>-56.21</v>
      </c>
      <c r="U6" s="64">
        <f>+S6+T6</f>
        <v>-52.57859427281106</v>
      </c>
      <c r="W6" s="94"/>
      <c r="X6" s="95">
        <f>U17</f>
        <v>0.16931484668490282</v>
      </c>
    </row>
    <row r="7" spans="1:24" x14ac:dyDescent="0.3">
      <c r="B7" s="22">
        <v>2012</v>
      </c>
      <c r="C7" s="89">
        <f>12883+9319</f>
        <v>22202</v>
      </c>
      <c r="D7" s="89">
        <v>5383</v>
      </c>
      <c r="E7" s="10">
        <f t="shared" ref="E7:E15" si="0">D7/C7</f>
        <v>0.24245563462751105</v>
      </c>
      <c r="F7" s="9">
        <v>1887</v>
      </c>
      <c r="G7" s="80">
        <f t="shared" ref="G7:G15" si="1">D7/F7</f>
        <v>2.852676205617382</v>
      </c>
      <c r="H7" s="87">
        <v>31.94</v>
      </c>
      <c r="I7" s="11">
        <f t="shared" ref="I7:I15" si="2">G7/H7</f>
        <v>8.9313594415071446E-2</v>
      </c>
      <c r="J7" s="12">
        <f>G7/G6-1</f>
        <v>0.15653934707724404</v>
      </c>
      <c r="M7" s="24">
        <v>2022</v>
      </c>
      <c r="N7" s="82">
        <f>N6*(1+O7)</f>
        <v>3.9740144304938378</v>
      </c>
      <c r="O7" s="34">
        <f>H35</f>
        <v>9.4346027143076994E-2</v>
      </c>
      <c r="R7" s="65">
        <v>2022</v>
      </c>
      <c r="S7" s="84">
        <f t="shared" ref="S7:S15" si="3">N7</f>
        <v>3.9740144304938378</v>
      </c>
      <c r="T7" s="66"/>
      <c r="U7" s="67">
        <f t="shared" ref="U7:U15" si="4">+S7+T7</f>
        <v>3.9740144304938378</v>
      </c>
      <c r="W7" s="96">
        <f t="shared" ref="W7:W12" si="5">W8-1</f>
        <v>-63</v>
      </c>
      <c r="X7" s="98">
        <f t="dataTable" ref="X7:X18" dt2D="0" dtr="0" r1="T6"/>
        <v>0.14935990593506543</v>
      </c>
    </row>
    <row r="8" spans="1:24" x14ac:dyDescent="0.3">
      <c r="B8" s="22">
        <v>2013</v>
      </c>
      <c r="C8" s="89">
        <f>12285+8774</f>
        <v>21059</v>
      </c>
      <c r="D8" s="89">
        <v>5552</v>
      </c>
      <c r="E8" s="10">
        <f t="shared" si="0"/>
        <v>0.26364024882473053</v>
      </c>
      <c r="F8" s="9">
        <v>1839</v>
      </c>
      <c r="G8" s="80">
        <f t="shared" si="1"/>
        <v>3.0190320826536161</v>
      </c>
      <c r="H8" s="87">
        <v>40.4</v>
      </c>
      <c r="I8" s="11">
        <f t="shared" si="2"/>
        <v>7.4728516897366731E-2</v>
      </c>
      <c r="J8" s="12">
        <f t="shared" ref="J8:J15" si="6">G8/G7-1</f>
        <v>5.8315723568154176E-2</v>
      </c>
      <c r="M8" s="24">
        <v>2023</v>
      </c>
      <c r="N8" s="82">
        <f t="shared" ref="N8:N15" si="7">N7*(1+O8)</f>
        <v>4.3489469038201891</v>
      </c>
      <c r="O8" s="34">
        <f>O7</f>
        <v>9.4346027143076994E-2</v>
      </c>
      <c r="R8" s="65">
        <v>2023</v>
      </c>
      <c r="S8" s="84">
        <f t="shared" si="3"/>
        <v>4.3489469038201891</v>
      </c>
      <c r="T8" s="66"/>
      <c r="U8" s="67">
        <f t="shared" si="4"/>
        <v>4.3489469038201891</v>
      </c>
      <c r="W8" s="96">
        <f t="shared" si="5"/>
        <v>-62</v>
      </c>
      <c r="X8" s="98">
        <v>0.15210827263486615</v>
      </c>
    </row>
    <row r="9" spans="1:24" x14ac:dyDescent="0.3">
      <c r="B9" s="22">
        <v>2014</v>
      </c>
      <c r="C9" s="89">
        <f>12228+9164</f>
        <v>21392</v>
      </c>
      <c r="D9" s="89">
        <v>5583</v>
      </c>
      <c r="E9" s="10">
        <f t="shared" si="0"/>
        <v>0.26098541510845175</v>
      </c>
      <c r="F9" s="9">
        <v>1803</v>
      </c>
      <c r="G9" s="80">
        <f t="shared" si="1"/>
        <v>3.0965058236272878</v>
      </c>
      <c r="H9" s="87">
        <v>44.95</v>
      </c>
      <c r="I9" s="11">
        <f t="shared" si="2"/>
        <v>6.888778250561263E-2</v>
      </c>
      <c r="J9" s="12">
        <f t="shared" si="6"/>
        <v>2.5661781277122042E-2</v>
      </c>
      <c r="M9" s="24">
        <v>2024</v>
      </c>
      <c r="N9" s="82">
        <f t="shared" si="7"/>
        <v>4.7592527664518087</v>
      </c>
      <c r="O9" s="34">
        <f t="shared" ref="O9:O15" si="8">O8</f>
        <v>9.4346027143076994E-2</v>
      </c>
      <c r="R9" s="65">
        <v>2024</v>
      </c>
      <c r="S9" s="84">
        <f t="shared" si="3"/>
        <v>4.7592527664518087</v>
      </c>
      <c r="T9" s="66"/>
      <c r="U9" s="67">
        <f t="shared" si="4"/>
        <v>4.7592527664518087</v>
      </c>
      <c r="W9" s="96">
        <f t="shared" si="5"/>
        <v>-61</v>
      </c>
      <c r="X9" s="98">
        <v>0.15491805091129973</v>
      </c>
    </row>
    <row r="10" spans="1:24" x14ac:dyDescent="0.3">
      <c r="B10" s="22">
        <v>2015</v>
      </c>
      <c r="C10" s="89">
        <f>12402+9092</f>
        <v>21494</v>
      </c>
      <c r="D10" s="89">
        <v>5608</v>
      </c>
      <c r="E10" s="10">
        <f t="shared" si="0"/>
        <v>0.2609100214013213</v>
      </c>
      <c r="F10" s="9">
        <v>1764</v>
      </c>
      <c r="G10" s="80">
        <f t="shared" si="1"/>
        <v>3.179138321995465</v>
      </c>
      <c r="H10" s="87">
        <v>42.67</v>
      </c>
      <c r="I10" s="11">
        <f t="shared" si="2"/>
        <v>7.4505233700385864E-2</v>
      </c>
      <c r="J10" s="12">
        <f t="shared" si="6"/>
        <v>2.6685723546090445E-2</v>
      </c>
      <c r="M10" s="24">
        <v>2025</v>
      </c>
      <c r="N10" s="82">
        <f t="shared" si="7"/>
        <v>5.2082693571362348</v>
      </c>
      <c r="O10" s="34">
        <f t="shared" si="8"/>
        <v>9.4346027143076994E-2</v>
      </c>
      <c r="R10" s="65">
        <v>2025</v>
      </c>
      <c r="S10" s="84">
        <f t="shared" si="3"/>
        <v>5.2082693571362348</v>
      </c>
      <c r="T10" s="66"/>
      <c r="U10" s="67">
        <f t="shared" si="4"/>
        <v>5.2082693571362348</v>
      </c>
      <c r="W10" s="96">
        <f t="shared" si="5"/>
        <v>-60</v>
      </c>
      <c r="X10" s="98">
        <v>0.15779183158737187</v>
      </c>
    </row>
    <row r="11" spans="1:24" x14ac:dyDescent="0.3">
      <c r="B11" s="22">
        <v>2016</v>
      </c>
      <c r="C11" s="89">
        <f>13167+9577</f>
        <v>22744</v>
      </c>
      <c r="D11" s="89">
        <v>5589</v>
      </c>
      <c r="E11" s="10">
        <f t="shared" si="0"/>
        <v>0.24573513893774182</v>
      </c>
      <c r="F11" s="9">
        <v>1718</v>
      </c>
      <c r="G11" s="80">
        <f t="shared" si="1"/>
        <v>3.2532013969732247</v>
      </c>
      <c r="H11" s="87">
        <v>51.37</v>
      </c>
      <c r="I11" s="11">
        <f t="shared" si="2"/>
        <v>6.3328818317563262E-2</v>
      </c>
      <c r="J11" s="12">
        <f>G11/G10-1</f>
        <v>2.3296587778311117E-2</v>
      </c>
      <c r="M11" s="24">
        <v>2026</v>
      </c>
      <c r="N11" s="82">
        <f t="shared" si="7"/>
        <v>5.6996488792730657</v>
      </c>
      <c r="O11" s="34">
        <f t="shared" si="8"/>
        <v>9.4346027143076994E-2</v>
      </c>
      <c r="R11" s="65">
        <v>2026</v>
      </c>
      <c r="S11" s="84">
        <f t="shared" si="3"/>
        <v>5.6996488792730657</v>
      </c>
      <c r="T11" s="66"/>
      <c r="U11" s="67">
        <f t="shared" si="4"/>
        <v>5.6996488792730657</v>
      </c>
      <c r="W11" s="96">
        <f t="shared" si="5"/>
        <v>-59</v>
      </c>
      <c r="X11" s="98">
        <v>0.16073236737444963</v>
      </c>
    </row>
    <row r="12" spans="1:24" x14ac:dyDescent="0.3">
      <c r="B12" s="22">
        <v>2017</v>
      </c>
      <c r="C12" s="89">
        <f>14385+9611</f>
        <v>23996</v>
      </c>
      <c r="D12" s="89">
        <v>5913</v>
      </c>
      <c r="E12" s="10">
        <f t="shared" si="0"/>
        <v>0.24641606934489083</v>
      </c>
      <c r="F12" s="9">
        <v>1677</v>
      </c>
      <c r="G12" s="80">
        <f t="shared" si="1"/>
        <v>3.5259391771019679</v>
      </c>
      <c r="H12" s="87">
        <v>53.58</v>
      </c>
      <c r="I12" s="11">
        <f t="shared" si="2"/>
        <v>6.5807002185553715E-2</v>
      </c>
      <c r="J12" s="12">
        <f t="shared" si="6"/>
        <v>8.3836733988402301E-2</v>
      </c>
      <c r="M12" s="24">
        <v>2027</v>
      </c>
      <c r="N12" s="82">
        <f t="shared" si="7"/>
        <v>6.2373881071429702</v>
      </c>
      <c r="O12" s="34">
        <f t="shared" si="8"/>
        <v>9.4346027143076994E-2</v>
      </c>
      <c r="R12" s="65">
        <v>2027</v>
      </c>
      <c r="S12" s="84">
        <f t="shared" si="3"/>
        <v>6.2373881071429702</v>
      </c>
      <c r="T12" s="66"/>
      <c r="U12" s="67">
        <f t="shared" si="4"/>
        <v>6.2373881071429702</v>
      </c>
      <c r="W12" s="96">
        <f t="shared" si="5"/>
        <v>-58</v>
      </c>
      <c r="X12" s="98">
        <v>0.16374258638135153</v>
      </c>
    </row>
    <row r="13" spans="1:24" x14ac:dyDescent="0.3">
      <c r="B13" s="22">
        <v>2018</v>
      </c>
      <c r="C13" s="89">
        <f>16173+9602</f>
        <v>25775</v>
      </c>
      <c r="D13" s="89">
        <v>6784</v>
      </c>
      <c r="E13" s="10">
        <f t="shared" si="0"/>
        <v>0.26320077594568381</v>
      </c>
      <c r="F13" s="9">
        <v>1634</v>
      </c>
      <c r="G13" s="80">
        <f t="shared" si="1"/>
        <v>4.151774785801714</v>
      </c>
      <c r="H13" s="87">
        <v>45.7</v>
      </c>
      <c r="I13" s="11">
        <f t="shared" si="2"/>
        <v>9.0848463584282571E-2</v>
      </c>
      <c r="J13" s="12">
        <f t="shared" si="6"/>
        <v>0.17749472616091233</v>
      </c>
      <c r="M13" s="24">
        <v>2028</v>
      </c>
      <c r="N13" s="82">
        <f t="shared" si="7"/>
        <v>6.8258608948013864</v>
      </c>
      <c r="O13" s="34">
        <f t="shared" si="8"/>
        <v>9.4346027143076994E-2</v>
      </c>
      <c r="R13" s="65">
        <v>2028</v>
      </c>
      <c r="S13" s="84">
        <f t="shared" si="3"/>
        <v>6.8258608948013864</v>
      </c>
      <c r="T13" s="66"/>
      <c r="U13" s="67">
        <f t="shared" si="4"/>
        <v>6.8258608948013864</v>
      </c>
      <c r="W13" s="96">
        <f>W14-1</f>
        <v>-57</v>
      </c>
      <c r="X13" s="98">
        <v>0.16682560703271876</v>
      </c>
    </row>
    <row r="14" spans="1:24" x14ac:dyDescent="0.3">
      <c r="B14" s="22">
        <v>2019</v>
      </c>
      <c r="C14" s="89">
        <f>17494+9831</f>
        <v>27325</v>
      </c>
      <c r="D14" s="89">
        <v>6583</v>
      </c>
      <c r="E14" s="10">
        <f t="shared" si="0"/>
        <v>0.2409149130832571</v>
      </c>
      <c r="F14" s="9">
        <v>1581</v>
      </c>
      <c r="G14" s="80">
        <f t="shared" si="1"/>
        <v>4.1638203668564202</v>
      </c>
      <c r="H14" s="87">
        <v>59.29</v>
      </c>
      <c r="I14" s="11">
        <f t="shared" si="2"/>
        <v>7.0228037896043524E-2</v>
      </c>
      <c r="J14" s="12">
        <f t="shared" si="6"/>
        <v>2.9013088802167797E-3</v>
      </c>
      <c r="M14" s="24">
        <v>2029</v>
      </c>
      <c r="N14" s="82">
        <f t="shared" si="7"/>
        <v>7.469853752057185</v>
      </c>
      <c r="O14" s="34">
        <f t="shared" si="8"/>
        <v>9.4346027143076994E-2</v>
      </c>
      <c r="R14" s="65">
        <v>2029</v>
      </c>
      <c r="S14" s="84">
        <f t="shared" si="3"/>
        <v>7.469853752057185</v>
      </c>
      <c r="T14" s="66"/>
      <c r="U14" s="67">
        <f t="shared" si="4"/>
        <v>7.469853752057185</v>
      </c>
      <c r="W14" s="96">
        <v>-56</v>
      </c>
      <c r="X14" s="98">
        <v>0.16998475458525308</v>
      </c>
    </row>
    <row r="15" spans="1:24" x14ac:dyDescent="0.3">
      <c r="B15" s="22">
        <v>2020</v>
      </c>
      <c r="C15" s="89">
        <f>14840+10401</f>
        <v>25241</v>
      </c>
      <c r="D15" s="89">
        <v>4621</v>
      </c>
      <c r="E15" s="10">
        <f t="shared" si="0"/>
        <v>0.18307515550097064</v>
      </c>
      <c r="F15" s="9">
        <v>1509</v>
      </c>
      <c r="G15" s="80">
        <f t="shared" si="1"/>
        <v>3.0622929092113984</v>
      </c>
      <c r="H15" s="87">
        <v>46.59</v>
      </c>
      <c r="I15" s="11">
        <f t="shared" si="2"/>
        <v>6.5728544949804638E-2</v>
      </c>
      <c r="J15" s="12">
        <f t="shared" si="6"/>
        <v>-0.26454730526154935</v>
      </c>
      <c r="M15" s="24">
        <v>2030</v>
      </c>
      <c r="N15" s="82">
        <f t="shared" si="7"/>
        <v>8.1746047769035872</v>
      </c>
      <c r="O15" s="34">
        <f t="shared" si="8"/>
        <v>9.4346027143076994E-2</v>
      </c>
      <c r="R15" s="68">
        <v>2030</v>
      </c>
      <c r="S15" s="85">
        <f t="shared" si="3"/>
        <v>8.1746047769035872</v>
      </c>
      <c r="T15" s="69">
        <f>U30</f>
        <v>117.56899913652055</v>
      </c>
      <c r="U15" s="70">
        <f t="shared" si="4"/>
        <v>125.74360391342414</v>
      </c>
      <c r="W15" s="96">
        <f>W14+1</f>
        <v>-55</v>
      </c>
      <c r="X15" s="98">
        <v>0.17322357944945854</v>
      </c>
    </row>
    <row r="16" spans="1:24" x14ac:dyDescent="0.3">
      <c r="B16" s="8"/>
      <c r="C16" s="13"/>
      <c r="D16" s="13"/>
      <c r="E16" s="13"/>
      <c r="F16" s="13"/>
      <c r="G16" s="13"/>
      <c r="H16" s="13"/>
      <c r="I16" s="13"/>
      <c r="J16" s="107"/>
      <c r="M16" s="8"/>
      <c r="N16" s="13"/>
      <c r="O16" s="14"/>
      <c r="R16" s="71"/>
      <c r="S16" s="66"/>
      <c r="T16" s="66"/>
      <c r="U16" s="72"/>
      <c r="W16" s="96">
        <f t="shared" ref="W16:W18" si="9">W15+1</f>
        <v>-54</v>
      </c>
      <c r="X16" s="98">
        <v>0.17654587755642059</v>
      </c>
    </row>
    <row r="17" spans="2:24" x14ac:dyDescent="0.3">
      <c r="B17" s="15"/>
      <c r="C17" s="16">
        <f>(C15/C6)^(1/9)-1</f>
        <v>1.8516619159992809E-2</v>
      </c>
      <c r="D17" s="16">
        <f>(D15/D6)^(1/9)-1</f>
        <v>-2.3760072241207908E-3</v>
      </c>
      <c r="E17" s="17">
        <f>AVERAGE(E6:E15)</f>
        <v>0.24279511586524033</v>
      </c>
      <c r="F17" s="16">
        <f>(F15/F6)^(1/9)-1</f>
        <v>-2.6070594605308695E-2</v>
      </c>
      <c r="G17" s="16">
        <f>(G15/G6)^(1/9)-1</f>
        <v>2.4328855099703617E-2</v>
      </c>
      <c r="H17" s="18"/>
      <c r="I17" s="19">
        <f>AVERAGE(I6:I15)</f>
        <v>7.5456128737067599E-2</v>
      </c>
      <c r="J17" s="20">
        <f>AVERAGE(J7:J15)</f>
        <v>3.2242736334989322E-2</v>
      </c>
      <c r="M17" s="32" t="s">
        <v>25</v>
      </c>
      <c r="N17" s="18"/>
      <c r="O17" s="36">
        <f>N15/I17</f>
        <v>108.33586235769656</v>
      </c>
      <c r="R17" s="65" t="s">
        <v>37</v>
      </c>
      <c r="S17" s="66"/>
      <c r="T17" s="66"/>
      <c r="U17" s="73">
        <f>IRR(U6:U15)</f>
        <v>0.16931484668490282</v>
      </c>
      <c r="W17" s="96">
        <f t="shared" si="9"/>
        <v>-53</v>
      </c>
      <c r="X17" s="98">
        <v>0.17995571304674596</v>
      </c>
    </row>
    <row r="18" spans="2:24" x14ac:dyDescent="0.3">
      <c r="B18" s="55"/>
      <c r="C18" s="56"/>
      <c r="D18" s="56"/>
      <c r="E18" s="57"/>
      <c r="F18" s="56"/>
      <c r="G18" s="56"/>
      <c r="H18" s="55"/>
      <c r="I18" s="58"/>
      <c r="J18" s="58"/>
      <c r="M18" s="59"/>
      <c r="N18" s="60"/>
      <c r="O18" s="61"/>
      <c r="R18" s="65" t="s">
        <v>39</v>
      </c>
      <c r="S18" s="66"/>
      <c r="T18" s="66"/>
      <c r="U18" s="74">
        <f>SUM(S6:S15)</f>
        <v>56.329245595269207</v>
      </c>
      <c r="W18" s="96">
        <f t="shared" si="9"/>
        <v>-52</v>
      </c>
      <c r="X18" s="99">
        <v>0.18345744360321614</v>
      </c>
    </row>
    <row r="19" spans="2:24" x14ac:dyDescent="0.3">
      <c r="B19" s="55"/>
      <c r="C19" s="56"/>
      <c r="D19" s="56"/>
      <c r="E19" s="57"/>
      <c r="F19" s="56"/>
      <c r="G19" s="56"/>
      <c r="H19" s="55"/>
      <c r="I19" s="58"/>
      <c r="J19" s="58"/>
      <c r="M19" s="59"/>
      <c r="N19" s="60"/>
      <c r="O19" s="61"/>
      <c r="R19" s="65" t="s">
        <v>38</v>
      </c>
      <c r="S19" s="66"/>
      <c r="T19" s="66"/>
      <c r="U19" s="75">
        <f>+T15+T6</f>
        <v>61.358999136520545</v>
      </c>
    </row>
    <row r="20" spans="2:24" x14ac:dyDescent="0.3">
      <c r="R20" s="65" t="s">
        <v>40</v>
      </c>
      <c r="S20" s="66"/>
      <c r="T20" s="66"/>
      <c r="U20" s="76">
        <f>+U18+U19</f>
        <v>117.68824473178975</v>
      </c>
    </row>
    <row r="21" spans="2:24" x14ac:dyDescent="0.3">
      <c r="B21" s="109" t="s">
        <v>20</v>
      </c>
      <c r="C21" s="109"/>
      <c r="D21" s="109"/>
      <c r="E21" s="109"/>
      <c r="F21" s="109"/>
      <c r="G21" s="109"/>
      <c r="H21" s="109"/>
      <c r="I21" s="109"/>
      <c r="J21" s="109"/>
      <c r="M21" s="109" t="s">
        <v>26</v>
      </c>
      <c r="N21" s="109"/>
      <c r="O21" s="109"/>
      <c r="R21" s="68" t="s">
        <v>41</v>
      </c>
      <c r="S21" s="77"/>
      <c r="T21" s="77"/>
      <c r="U21" s="78">
        <f>-SUM(S6:S15,T15)/T6</f>
        <v>3.0937243325349537</v>
      </c>
    </row>
    <row r="22" spans="2:24" ht="43.2" x14ac:dyDescent="0.3">
      <c r="B22" s="2" t="s">
        <v>1</v>
      </c>
      <c r="C22" s="2" t="s">
        <v>11</v>
      </c>
      <c r="D22" s="3" t="s">
        <v>12</v>
      </c>
      <c r="E22" s="2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M22" s="35" t="s">
        <v>1</v>
      </c>
      <c r="N22" s="3" t="s">
        <v>14</v>
      </c>
      <c r="O22" s="3" t="s">
        <v>16</v>
      </c>
    </row>
    <row r="23" spans="2:24" ht="3.6" customHeight="1" x14ac:dyDescent="0.3"/>
    <row r="24" spans="2:24" x14ac:dyDescent="0.3">
      <c r="B24" s="23">
        <v>2011</v>
      </c>
      <c r="C24" s="88">
        <v>340122</v>
      </c>
      <c r="D24" s="88">
        <f>8927+2736</f>
        <v>11663</v>
      </c>
      <c r="E24" s="88">
        <v>305151</v>
      </c>
      <c r="F24" s="90">
        <f>C24-SUM(D24:E24)</f>
        <v>23308</v>
      </c>
      <c r="G24" s="79">
        <f t="shared" ref="G24:G33" si="10">F24/F6</f>
        <v>12.177638453500522</v>
      </c>
      <c r="H24" s="27"/>
      <c r="I24" s="90">
        <f t="shared" ref="I24:I33" si="11">F6*H6</f>
        <v>51773.700000000004</v>
      </c>
      <c r="J24" s="29">
        <f>I24/F24</f>
        <v>2.2212845374978549</v>
      </c>
      <c r="M24" s="23">
        <v>2021</v>
      </c>
      <c r="N24" s="25">
        <f>F33*(1+O24)</f>
        <v>43587.878718251079</v>
      </c>
      <c r="O24" s="33">
        <f>F35</f>
        <v>6.4599045459567739E-2</v>
      </c>
      <c r="R24" s="110" t="s">
        <v>22</v>
      </c>
      <c r="S24" s="111"/>
      <c r="T24" s="111"/>
      <c r="U24" s="112"/>
    </row>
    <row r="25" spans="2:24" x14ac:dyDescent="0.3">
      <c r="B25" s="24">
        <v>2012</v>
      </c>
      <c r="C25" s="89">
        <v>353855</v>
      </c>
      <c r="D25" s="89">
        <f>9143+2706</f>
        <v>11849</v>
      </c>
      <c r="E25" s="89">
        <v>313588</v>
      </c>
      <c r="F25" s="91">
        <f t="shared" ref="F25:F33" si="12">C25-SUM(D25:E25)</f>
        <v>28418</v>
      </c>
      <c r="G25" s="80">
        <f t="shared" si="10"/>
        <v>15.05988341282459</v>
      </c>
      <c r="H25" s="28">
        <f>G25/G24-1</f>
        <v>0.23668340707680913</v>
      </c>
      <c r="I25" s="91">
        <f t="shared" si="11"/>
        <v>60270.78</v>
      </c>
      <c r="J25" s="30">
        <f t="shared" ref="J25:J33" si="13">I25/F25</f>
        <v>2.1208663523119151</v>
      </c>
      <c r="M25" s="24">
        <v>2022</v>
      </c>
      <c r="N25" s="26">
        <f>N24*(1+O25)</f>
        <v>46403.614077057508</v>
      </c>
      <c r="O25" s="34">
        <f>O24</f>
        <v>6.4599045459567739E-2</v>
      </c>
      <c r="R25" s="41" t="s">
        <v>23</v>
      </c>
      <c r="S25" s="42"/>
      <c r="T25" s="42"/>
      <c r="U25" s="43">
        <v>56.21</v>
      </c>
      <c r="V25" t="s">
        <v>32</v>
      </c>
    </row>
    <row r="26" spans="2:24" x14ac:dyDescent="0.3">
      <c r="B26" s="24">
        <v>2013</v>
      </c>
      <c r="C26" s="89">
        <v>364021</v>
      </c>
      <c r="D26" s="89">
        <f>9205+3529</f>
        <v>12734</v>
      </c>
      <c r="E26" s="89">
        <v>322214</v>
      </c>
      <c r="F26" s="91">
        <f t="shared" si="12"/>
        <v>29073</v>
      </c>
      <c r="G26" s="80">
        <f t="shared" si="10"/>
        <v>15.809135399673735</v>
      </c>
      <c r="H26" s="28">
        <f t="shared" ref="H26:H33" si="14">G26/G25-1</f>
        <v>4.9751513096781608E-2</v>
      </c>
      <c r="I26" s="91">
        <f t="shared" si="11"/>
        <v>74295.599999999991</v>
      </c>
      <c r="J26" s="30">
        <f t="shared" si="13"/>
        <v>2.5554844701269217</v>
      </c>
      <c r="M26" s="24">
        <v>2023</v>
      </c>
      <c r="N26" s="26">
        <f t="shared" ref="N26:N33" si="15">N25*(1+O26)</f>
        <v>49401.243252309585</v>
      </c>
      <c r="O26" s="34">
        <f t="shared" ref="O26:O33" si="16">O25</f>
        <v>6.4599045459567739E-2</v>
      </c>
      <c r="R26" s="44"/>
      <c r="S26" s="42"/>
      <c r="T26" s="42"/>
      <c r="U26" s="45"/>
    </row>
    <row r="27" spans="2:24" x14ac:dyDescent="0.3">
      <c r="B27" s="24">
        <v>2014</v>
      </c>
      <c r="C27" s="89">
        <v>402529</v>
      </c>
      <c r="D27" s="89">
        <f>9389+3162</f>
        <v>12551</v>
      </c>
      <c r="E27" s="89">
        <v>358361</v>
      </c>
      <c r="F27" s="91">
        <f t="shared" si="12"/>
        <v>31617</v>
      </c>
      <c r="G27" s="80">
        <f t="shared" si="10"/>
        <v>17.53577371048253</v>
      </c>
      <c r="H27" s="28">
        <f t="shared" si="14"/>
        <v>0.10921775714846671</v>
      </c>
      <c r="I27" s="91">
        <f t="shared" si="11"/>
        <v>81044.850000000006</v>
      </c>
      <c r="J27" s="30">
        <f t="shared" si="13"/>
        <v>2.563331435620078</v>
      </c>
      <c r="M27" s="24">
        <v>2024</v>
      </c>
      <c r="N27" s="26">
        <f t="shared" si="15"/>
        <v>52592.516410924698</v>
      </c>
      <c r="O27" s="34">
        <f t="shared" si="16"/>
        <v>6.4599045459567739E-2</v>
      </c>
      <c r="R27" s="44"/>
      <c r="S27" s="42"/>
      <c r="T27" s="46" t="s">
        <v>28</v>
      </c>
      <c r="U27" s="47" t="s">
        <v>29</v>
      </c>
    </row>
    <row r="28" spans="2:24" x14ac:dyDescent="0.3">
      <c r="B28" s="24">
        <v>2015</v>
      </c>
      <c r="C28" s="89">
        <v>421853</v>
      </c>
      <c r="D28" s="89">
        <f>9361+3350</f>
        <v>12711</v>
      </c>
      <c r="E28" s="89">
        <v>375036</v>
      </c>
      <c r="F28" s="91">
        <f t="shared" si="12"/>
        <v>34106</v>
      </c>
      <c r="G28" s="80">
        <f t="shared" si="10"/>
        <v>19.334467120181404</v>
      </c>
      <c r="H28" s="28">
        <f t="shared" si="14"/>
        <v>0.10257280000275393</v>
      </c>
      <c r="I28" s="91">
        <f t="shared" si="11"/>
        <v>75269.88</v>
      </c>
      <c r="J28" s="30">
        <f t="shared" si="13"/>
        <v>2.2069395414296604</v>
      </c>
      <c r="M28" s="24">
        <v>2025</v>
      </c>
      <c r="N28" s="26">
        <f t="shared" si="15"/>
        <v>55989.942769387082</v>
      </c>
      <c r="O28" s="34">
        <f t="shared" si="16"/>
        <v>6.4599045459567739E-2</v>
      </c>
      <c r="R28" s="48" t="s">
        <v>30</v>
      </c>
      <c r="S28" s="42"/>
      <c r="T28" s="39">
        <v>0.5</v>
      </c>
      <c r="U28" s="49">
        <f>O17</f>
        <v>108.33586235769656</v>
      </c>
    </row>
    <row r="29" spans="2:24" x14ac:dyDescent="0.3">
      <c r="B29" s="24">
        <v>2016</v>
      </c>
      <c r="C29" s="89">
        <v>445964</v>
      </c>
      <c r="D29" s="89">
        <f>9344+3303</f>
        <v>12647</v>
      </c>
      <c r="E29" s="89">
        <v>398031</v>
      </c>
      <c r="F29" s="91">
        <f t="shared" si="12"/>
        <v>35286</v>
      </c>
      <c r="G29" s="80">
        <f t="shared" si="10"/>
        <v>20.538998835855647</v>
      </c>
      <c r="H29" s="28">
        <f t="shared" si="14"/>
        <v>6.229971109040533E-2</v>
      </c>
      <c r="I29" s="91">
        <f t="shared" si="11"/>
        <v>88253.659999999989</v>
      </c>
      <c r="J29" s="30">
        <f t="shared" si="13"/>
        <v>2.5010956186589581</v>
      </c>
      <c r="M29" s="24">
        <v>2026</v>
      </c>
      <c r="N29" s="26">
        <f t="shared" si="15"/>
        <v>59606.839627625312</v>
      </c>
      <c r="O29" s="34">
        <f t="shared" si="16"/>
        <v>6.4599045459567739E-2</v>
      </c>
      <c r="R29" s="48" t="s">
        <v>31</v>
      </c>
      <c r="S29" s="42"/>
      <c r="T29" s="40">
        <v>0.5</v>
      </c>
      <c r="U29" s="50">
        <f>O37</f>
        <v>126.80213591534452</v>
      </c>
    </row>
    <row r="30" spans="2:24" x14ac:dyDescent="0.3">
      <c r="B30" s="24">
        <v>2017</v>
      </c>
      <c r="C30" s="89">
        <v>462040</v>
      </c>
      <c r="D30" s="89">
        <f>9434+3228</f>
        <v>12662</v>
      </c>
      <c r="E30" s="89">
        <v>412374</v>
      </c>
      <c r="F30" s="91">
        <f t="shared" si="12"/>
        <v>37004</v>
      </c>
      <c r="G30" s="80">
        <f t="shared" si="10"/>
        <v>22.065593321407274</v>
      </c>
      <c r="H30" s="28">
        <f t="shared" si="14"/>
        <v>7.4326626032355403E-2</v>
      </c>
      <c r="I30" s="91">
        <f t="shared" si="11"/>
        <v>89853.66</v>
      </c>
      <c r="J30" s="30">
        <f t="shared" si="13"/>
        <v>2.4282147875905307</v>
      </c>
      <c r="M30" s="24">
        <v>2027</v>
      </c>
      <c r="N30" s="26">
        <f t="shared" si="15"/>
        <v>63457.384570431444</v>
      </c>
      <c r="O30" s="34">
        <f t="shared" si="16"/>
        <v>6.4599045459567739E-2</v>
      </c>
      <c r="R30" s="51"/>
      <c r="S30" s="52"/>
      <c r="T30" s="53">
        <v>1</v>
      </c>
      <c r="U30" s="54">
        <f>+SUMPRODUCT(T28:T29,U28:U29)</f>
        <v>117.56899913652055</v>
      </c>
    </row>
    <row r="31" spans="2:24" x14ac:dyDescent="0.3">
      <c r="B31" s="24">
        <v>2018</v>
      </c>
      <c r="C31" s="89">
        <v>467374</v>
      </c>
      <c r="D31" s="89">
        <f>9369+3392</f>
        <v>12761</v>
      </c>
      <c r="E31" s="89">
        <v>415717</v>
      </c>
      <c r="F31" s="91">
        <f t="shared" si="12"/>
        <v>38896</v>
      </c>
      <c r="G31" s="80">
        <f t="shared" si="10"/>
        <v>23.804161566707467</v>
      </c>
      <c r="H31" s="28">
        <f t="shared" si="14"/>
        <v>7.8790913073409019E-2</v>
      </c>
      <c r="I31" s="91">
        <f t="shared" si="11"/>
        <v>74673.8</v>
      </c>
      <c r="J31" s="30">
        <f t="shared" si="13"/>
        <v>1.9198323735088443</v>
      </c>
      <c r="M31" s="24">
        <v>2028</v>
      </c>
      <c r="N31" s="26">
        <f t="shared" si="15"/>
        <v>67556.67104104202</v>
      </c>
      <c r="O31" s="34">
        <f t="shared" si="16"/>
        <v>6.4599045459567739E-2</v>
      </c>
    </row>
    <row r="32" spans="2:24" x14ac:dyDescent="0.3">
      <c r="B32" s="24">
        <v>2019</v>
      </c>
      <c r="C32" s="89">
        <v>495426</v>
      </c>
      <c r="D32" s="89">
        <f>9655+3223</f>
        <v>12878</v>
      </c>
      <c r="E32" s="89">
        <v>442943</v>
      </c>
      <c r="F32" s="91">
        <f t="shared" si="12"/>
        <v>39605</v>
      </c>
      <c r="G32" s="80">
        <f t="shared" si="10"/>
        <v>25.050600885515497</v>
      </c>
      <c r="H32" s="28">
        <f t="shared" si="14"/>
        <v>5.2362244110765177E-2</v>
      </c>
      <c r="I32" s="91">
        <f t="shared" si="11"/>
        <v>93737.49</v>
      </c>
      <c r="J32" s="30">
        <f t="shared" si="13"/>
        <v>2.3668094937507891</v>
      </c>
      <c r="M32" s="24">
        <v>2029</v>
      </c>
      <c r="N32" s="26">
        <f t="shared" si="15"/>
        <v>71920.767504719362</v>
      </c>
      <c r="O32" s="34">
        <f t="shared" si="16"/>
        <v>6.4599045459567739E-2</v>
      </c>
    </row>
    <row r="33" spans="2:15" x14ac:dyDescent="0.3">
      <c r="B33" s="24">
        <v>2020</v>
      </c>
      <c r="C33" s="89">
        <v>553905</v>
      </c>
      <c r="D33" s="89">
        <f>9918+2864</f>
        <v>12782</v>
      </c>
      <c r="E33" s="89">
        <v>500180</v>
      </c>
      <c r="F33" s="91">
        <f t="shared" si="12"/>
        <v>40943</v>
      </c>
      <c r="G33" s="80">
        <f t="shared" si="10"/>
        <v>27.132538104705102</v>
      </c>
      <c r="H33" s="28">
        <f t="shared" si="14"/>
        <v>8.3109272655946587E-2</v>
      </c>
      <c r="I33" s="91">
        <f t="shared" si="11"/>
        <v>70304.310000000012</v>
      </c>
      <c r="J33" s="30">
        <f t="shared" si="13"/>
        <v>1.7171264929291945</v>
      </c>
      <c r="M33" s="24">
        <v>2030</v>
      </c>
      <c r="N33" s="26">
        <f t="shared" si="15"/>
        <v>76566.78043424373</v>
      </c>
      <c r="O33" s="34">
        <f t="shared" si="16"/>
        <v>6.4599045459567739E-2</v>
      </c>
    </row>
    <row r="34" spans="2:15" x14ac:dyDescent="0.3">
      <c r="B34" s="8"/>
      <c r="C34" s="13"/>
      <c r="D34" s="13"/>
      <c r="E34" s="13"/>
      <c r="F34" s="13"/>
      <c r="G34" s="13"/>
      <c r="H34" s="13"/>
      <c r="I34" s="13"/>
      <c r="J34" s="14"/>
      <c r="M34" s="8"/>
      <c r="N34" s="13"/>
      <c r="O34" s="14"/>
    </row>
    <row r="35" spans="2:15" x14ac:dyDescent="0.3">
      <c r="B35" s="15"/>
      <c r="C35" s="16">
        <f>(C33/C24)^(1/9)-1</f>
        <v>5.5682678333691227E-2</v>
      </c>
      <c r="D35" s="18"/>
      <c r="E35" s="18"/>
      <c r="F35" s="16">
        <f>(F33/F24)^(1/9)-1</f>
        <v>6.4599045459567739E-2</v>
      </c>
      <c r="G35" s="93">
        <f>AVERAGE(G24:G33)</f>
        <v>19.850879081085377</v>
      </c>
      <c r="H35" s="19">
        <f>AVERAGE(H24:H33)</f>
        <v>9.4346027143076994E-2</v>
      </c>
      <c r="I35" s="92">
        <f>AVERAGE(I24:I33)</f>
        <v>75947.773000000016</v>
      </c>
      <c r="J35" s="31">
        <f>AVERAGE(J24:J33)</f>
        <v>2.2600985103424742</v>
      </c>
      <c r="M35" s="8" t="s">
        <v>21</v>
      </c>
      <c r="N35" s="13"/>
      <c r="O35" s="37">
        <f>+N33*J35</f>
        <v>173048.46640115356</v>
      </c>
    </row>
    <row r="36" spans="2:15" x14ac:dyDescent="0.3">
      <c r="M36" s="8" t="s">
        <v>24</v>
      </c>
      <c r="N36" s="13"/>
      <c r="O36" s="38">
        <f>+F15*(0.99)^10</f>
        <v>1364.7125511882857</v>
      </c>
    </row>
    <row r="37" spans="2:15" x14ac:dyDescent="0.3">
      <c r="M37" s="32" t="s">
        <v>25</v>
      </c>
      <c r="N37" s="18"/>
      <c r="O37" s="36">
        <f>O35/O36</f>
        <v>126.80213591534452</v>
      </c>
    </row>
    <row r="38" spans="2:15" x14ac:dyDescent="0.3">
      <c r="O38" s="104"/>
    </row>
  </sheetData>
  <mergeCells count="9">
    <mergeCell ref="W3:X3"/>
    <mergeCell ref="B21:J21"/>
    <mergeCell ref="M21:O21"/>
    <mergeCell ref="R24:U24"/>
    <mergeCell ref="A1:C1"/>
    <mergeCell ref="A2:C2"/>
    <mergeCell ref="B3:J3"/>
    <mergeCell ref="M3:O3"/>
    <mergeCell ref="R3:U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661D-8686-4C28-8D0D-C5FAD3DC5D8A}">
  <sheetPr>
    <tabColor rgb="FFC00000"/>
  </sheetPr>
  <dimension ref="A1:X37"/>
  <sheetViews>
    <sheetView showGridLines="0" topLeftCell="I9" zoomScale="130" zoomScaleNormal="130" workbookViewId="0">
      <selection activeCell="K1" sqref="K1"/>
    </sheetView>
  </sheetViews>
  <sheetFormatPr defaultRowHeight="14.4" x14ac:dyDescent="0.3"/>
  <cols>
    <col min="3" max="3" width="11.44140625" bestFit="1" customWidth="1"/>
    <col min="5" max="5" width="11.44140625" bestFit="1" customWidth="1"/>
    <col min="6" max="6" width="9.5546875" bestFit="1" customWidth="1"/>
    <col min="8" max="8" width="10.5546875" customWidth="1"/>
    <col min="14" max="14" width="11.33203125" customWidth="1"/>
    <col min="15" max="15" width="12.88671875" customWidth="1"/>
    <col min="18" max="18" width="11.33203125" customWidth="1"/>
    <col min="19" max="19" width="12.21875" customWidth="1"/>
    <col min="20" max="20" width="11.44140625" customWidth="1"/>
    <col min="21" max="21" width="12.88671875" customWidth="1"/>
    <col min="23" max="23" width="13.109375" customWidth="1"/>
  </cols>
  <sheetData>
    <row r="1" spans="1:24" x14ac:dyDescent="0.3">
      <c r="A1" s="123" t="s">
        <v>46</v>
      </c>
      <c r="B1" s="123"/>
      <c r="C1" s="123"/>
    </row>
    <row r="2" spans="1:24" x14ac:dyDescent="0.3">
      <c r="A2" s="123" t="s">
        <v>10</v>
      </c>
      <c r="B2" s="123"/>
      <c r="C2" s="123"/>
      <c r="D2" s="1"/>
      <c r="E2" s="1"/>
      <c r="G2" s="1"/>
      <c r="H2" s="1"/>
      <c r="I2" s="1"/>
    </row>
    <row r="3" spans="1:24" x14ac:dyDescent="0.3">
      <c r="B3" s="109" t="s">
        <v>19</v>
      </c>
      <c r="C3" s="109"/>
      <c r="D3" s="109"/>
      <c r="E3" s="109"/>
      <c r="F3" s="109"/>
      <c r="G3" s="109"/>
      <c r="H3" s="109"/>
      <c r="I3" s="109"/>
      <c r="J3" s="109"/>
      <c r="M3" s="109" t="s">
        <v>26</v>
      </c>
      <c r="N3" s="109"/>
      <c r="O3" s="109"/>
      <c r="R3" s="109" t="s">
        <v>36</v>
      </c>
      <c r="S3" s="109"/>
      <c r="T3" s="109"/>
      <c r="U3" s="109"/>
      <c r="W3" s="109" t="s">
        <v>42</v>
      </c>
      <c r="X3" s="109"/>
    </row>
    <row r="4" spans="1:24" ht="28.8" x14ac:dyDescent="0.3">
      <c r="B4" s="2" t="s">
        <v>1</v>
      </c>
      <c r="C4" s="3" t="s">
        <v>9</v>
      </c>
      <c r="D4" s="3" t="s">
        <v>3</v>
      </c>
      <c r="E4" s="3" t="s">
        <v>4</v>
      </c>
      <c r="F4" s="2" t="s">
        <v>2</v>
      </c>
      <c r="G4" s="3" t="s">
        <v>5</v>
      </c>
      <c r="H4" s="3" t="s">
        <v>6</v>
      </c>
      <c r="I4" s="3" t="s">
        <v>7</v>
      </c>
      <c r="J4" s="3" t="s">
        <v>8</v>
      </c>
      <c r="M4" s="35" t="s">
        <v>1</v>
      </c>
      <c r="N4" s="3" t="s">
        <v>27</v>
      </c>
      <c r="O4" s="3" t="s">
        <v>8</v>
      </c>
      <c r="R4" s="35" t="s">
        <v>1</v>
      </c>
      <c r="S4" s="3" t="s">
        <v>35</v>
      </c>
      <c r="T4" s="3" t="s">
        <v>33</v>
      </c>
      <c r="U4" s="3" t="s">
        <v>34</v>
      </c>
      <c r="W4" s="3" t="s">
        <v>33</v>
      </c>
      <c r="X4" s="2" t="s">
        <v>37</v>
      </c>
    </row>
    <row r="5" spans="1:24" ht="4.2" customHeight="1" x14ac:dyDescent="0.3"/>
    <row r="6" spans="1:24" x14ac:dyDescent="0.3">
      <c r="B6" s="21">
        <v>2011</v>
      </c>
      <c r="C6" s="88">
        <f>14987+3538</f>
        <v>18525</v>
      </c>
      <c r="D6" s="88">
        <v>3121</v>
      </c>
      <c r="E6" s="5">
        <f>D6/C6</f>
        <v>0.16847503373819164</v>
      </c>
      <c r="F6" s="4">
        <v>456</v>
      </c>
      <c r="G6" s="79">
        <f>D6/F6</f>
        <v>6.8442982456140351</v>
      </c>
      <c r="H6" s="86">
        <v>42.29</v>
      </c>
      <c r="I6" s="6">
        <f>G6/H6</f>
        <v>0.161842001551526</v>
      </c>
      <c r="J6" s="7"/>
      <c r="M6" s="23">
        <v>2021</v>
      </c>
      <c r="N6" s="81">
        <f>AVERAGE(G11:G15)</f>
        <v>7.8937316552569756</v>
      </c>
      <c r="O6" s="33"/>
      <c r="R6" s="62">
        <v>2021</v>
      </c>
      <c r="S6" s="83">
        <f>N6</f>
        <v>7.8937316552569756</v>
      </c>
      <c r="T6" s="63">
        <f>-U25</f>
        <v>-129.59</v>
      </c>
      <c r="U6" s="64">
        <f>+S6+T6</f>
        <v>-121.69626834474303</v>
      </c>
      <c r="W6" s="94"/>
      <c r="X6" s="95">
        <f>U17</f>
        <v>0.19205470267649183</v>
      </c>
    </row>
    <row r="7" spans="1:24" x14ac:dyDescent="0.3">
      <c r="B7" s="22">
        <v>2012</v>
      </c>
      <c r="C7" s="89">
        <f>18964+4807</f>
        <v>23771</v>
      </c>
      <c r="D7" s="89">
        <v>3487</v>
      </c>
      <c r="E7" s="10">
        <f t="shared" ref="E7:E15" si="0">D7/C7</f>
        <v>0.14669134659879685</v>
      </c>
      <c r="F7" s="9">
        <v>579.20000000000005</v>
      </c>
      <c r="G7" s="80">
        <f t="shared" ref="G7:G15" si="1">D7/F7</f>
        <v>6.020372928176795</v>
      </c>
      <c r="H7" s="87">
        <v>57.93</v>
      </c>
      <c r="I7" s="11">
        <f t="shared" ref="I7:I15" si="2">G7/H7</f>
        <v>0.10392495992019325</v>
      </c>
      <c r="J7" s="12">
        <f>G7/G6-1</f>
        <v>-0.1203812703464856</v>
      </c>
      <c r="M7" s="24">
        <v>2022</v>
      </c>
      <c r="N7" s="82">
        <f>N6*(1+O7)</f>
        <v>8.8779724050761146</v>
      </c>
      <c r="O7" s="34">
        <f>H35</f>
        <v>0.1246863705030644</v>
      </c>
      <c r="R7" s="65">
        <v>2022</v>
      </c>
      <c r="S7" s="84">
        <f t="shared" ref="S7:S15" si="3">N7</f>
        <v>8.8779724050761146</v>
      </c>
      <c r="T7" s="66"/>
      <c r="U7" s="67">
        <f t="shared" ref="U7:U15" si="4">+S7+T7</f>
        <v>8.8779724050761146</v>
      </c>
      <c r="W7" s="96">
        <f t="shared" ref="W7:W12" si="5">W8-2</f>
        <v>-144</v>
      </c>
      <c r="X7" s="98">
        <f t="dataTable" ref="X7:X18" dt2D="0" dtr="0" r1="T6"/>
        <v>0.17347355797064168</v>
      </c>
    </row>
    <row r="8" spans="1:24" x14ac:dyDescent="0.3">
      <c r="B8" s="22">
        <v>2013</v>
      </c>
      <c r="C8" s="89">
        <f>19898+4278</f>
        <v>24176</v>
      </c>
      <c r="D8" s="89">
        <v>4089</v>
      </c>
      <c r="E8" s="10">
        <f t="shared" si="0"/>
        <v>0.16913467902051621</v>
      </c>
      <c r="F8" s="9">
        <v>573.4</v>
      </c>
      <c r="G8" s="80">
        <f t="shared" si="1"/>
        <v>7.1311475409836067</v>
      </c>
      <c r="H8" s="87">
        <v>76.61</v>
      </c>
      <c r="I8" s="11">
        <f t="shared" si="2"/>
        <v>9.3083768972504977E-2</v>
      </c>
      <c r="J8" s="12">
        <f t="shared" ref="J8:J15" si="6">G8/G7-1</f>
        <v>0.18450262567757547</v>
      </c>
      <c r="M8" s="24">
        <v>2023</v>
      </c>
      <c r="N8" s="82">
        <f t="shared" ref="N8:N15" si="7">N7*(1+O8)</f>
        <v>9.984934561691416</v>
      </c>
      <c r="O8" s="34">
        <f>O7</f>
        <v>0.1246863705030644</v>
      </c>
      <c r="R8" s="65">
        <v>2023</v>
      </c>
      <c r="S8" s="84">
        <f t="shared" si="3"/>
        <v>9.984934561691416</v>
      </c>
      <c r="T8" s="66"/>
      <c r="U8" s="67">
        <f t="shared" si="4"/>
        <v>9.984934561691416</v>
      </c>
      <c r="W8" s="96">
        <f t="shared" si="5"/>
        <v>-142</v>
      </c>
      <c r="X8" s="98">
        <v>0.17589754053738615</v>
      </c>
    </row>
    <row r="9" spans="1:24" x14ac:dyDescent="0.3">
      <c r="B9" s="22">
        <v>2014</v>
      </c>
      <c r="C9" s="89">
        <f>19397+4472</f>
        <v>23869</v>
      </c>
      <c r="D9" s="89">
        <v>4343</v>
      </c>
      <c r="E9" s="10">
        <f t="shared" si="0"/>
        <v>0.1819514851899954</v>
      </c>
      <c r="F9" s="9">
        <v>554.29999999999995</v>
      </c>
      <c r="G9" s="80">
        <f t="shared" si="1"/>
        <v>7.8351073425942639</v>
      </c>
      <c r="H9" s="87">
        <v>82.55</v>
      </c>
      <c r="I9" s="11">
        <f t="shared" si="2"/>
        <v>9.4913474774006829E-2</v>
      </c>
      <c r="J9" s="12">
        <f t="shared" si="6"/>
        <v>9.8716202064942804E-2</v>
      </c>
      <c r="M9" s="24">
        <v>2024</v>
      </c>
      <c r="N9" s="82">
        <f t="shared" si="7"/>
        <v>11.229919811899324</v>
      </c>
      <c r="O9" s="34">
        <f t="shared" ref="O9:O15" si="8">O8</f>
        <v>0.1246863705030644</v>
      </c>
      <c r="R9" s="65">
        <v>2024</v>
      </c>
      <c r="S9" s="84">
        <f t="shared" si="3"/>
        <v>11.229919811899324</v>
      </c>
      <c r="T9" s="66"/>
      <c r="U9" s="67">
        <f t="shared" si="4"/>
        <v>11.229919811899324</v>
      </c>
      <c r="W9" s="96">
        <f t="shared" si="5"/>
        <v>-140</v>
      </c>
      <c r="X9" s="98">
        <v>0.17836833228006754</v>
      </c>
    </row>
    <row r="10" spans="1:24" x14ac:dyDescent="0.3">
      <c r="B10" s="22">
        <v>2015</v>
      </c>
      <c r="C10" s="89">
        <f>20459+4579</f>
        <v>25038</v>
      </c>
      <c r="D10" s="89">
        <v>3872</v>
      </c>
      <c r="E10" s="10">
        <f t="shared" si="0"/>
        <v>0.15464493969166868</v>
      </c>
      <c r="F10" s="9">
        <v>527.29999999999995</v>
      </c>
      <c r="G10" s="80">
        <f t="shared" si="1"/>
        <v>7.3430684619761051</v>
      </c>
      <c r="H10" s="87">
        <v>72.180000000000007</v>
      </c>
      <c r="I10" s="11">
        <f t="shared" si="2"/>
        <v>0.10173273014652402</v>
      </c>
      <c r="J10" s="12">
        <f t="shared" si="6"/>
        <v>-6.2799252020871554E-2</v>
      </c>
      <c r="M10" s="24">
        <v>2025</v>
      </c>
      <c r="N10" s="82">
        <f t="shared" si="7"/>
        <v>12.630137754285505</v>
      </c>
      <c r="O10" s="34">
        <f t="shared" si="8"/>
        <v>0.1246863705030644</v>
      </c>
      <c r="R10" s="65">
        <v>2025</v>
      </c>
      <c r="S10" s="84">
        <f t="shared" si="3"/>
        <v>12.630137754285505</v>
      </c>
      <c r="T10" s="66"/>
      <c r="U10" s="67">
        <f t="shared" si="4"/>
        <v>12.630137754285505</v>
      </c>
      <c r="W10" s="96">
        <f t="shared" si="5"/>
        <v>-138</v>
      </c>
      <c r="X10" s="98">
        <v>0.1808876371539343</v>
      </c>
    </row>
    <row r="11" spans="1:24" x14ac:dyDescent="0.3">
      <c r="B11" s="22">
        <v>2016</v>
      </c>
      <c r="C11" s="89">
        <f>22891+4628</f>
        <v>27519</v>
      </c>
      <c r="D11" s="89">
        <v>3513</v>
      </c>
      <c r="E11" s="10">
        <f t="shared" si="0"/>
        <v>0.12765725498746322</v>
      </c>
      <c r="F11" s="9">
        <v>483.5</v>
      </c>
      <c r="G11" s="80">
        <f t="shared" si="1"/>
        <v>7.2657704239917269</v>
      </c>
      <c r="H11" s="87">
        <v>87.24</v>
      </c>
      <c r="I11" s="11">
        <f t="shared" si="2"/>
        <v>8.3284851260794671E-2</v>
      </c>
      <c r="J11" s="12">
        <f>G11/G10-1</f>
        <v>-1.0526667207944929E-2</v>
      </c>
      <c r="M11" s="24">
        <v>2026</v>
      </c>
      <c r="N11" s="82">
        <f t="shared" si="7"/>
        <v>14.204943789821087</v>
      </c>
      <c r="O11" s="34">
        <f t="shared" si="8"/>
        <v>0.1246863705030644</v>
      </c>
      <c r="R11" s="65">
        <v>2026</v>
      </c>
      <c r="S11" s="84">
        <f t="shared" si="3"/>
        <v>14.204943789821087</v>
      </c>
      <c r="T11" s="66"/>
      <c r="U11" s="67">
        <f t="shared" si="4"/>
        <v>14.204943789821087</v>
      </c>
      <c r="W11" s="96">
        <f t="shared" si="5"/>
        <v>-136</v>
      </c>
      <c r="X11" s="98">
        <v>0.18345725080348974</v>
      </c>
    </row>
    <row r="12" spans="1:24" x14ac:dyDescent="0.3">
      <c r="B12" s="22">
        <v>2017</v>
      </c>
      <c r="C12" s="89">
        <f>25222+4777</f>
        <v>29999</v>
      </c>
      <c r="D12" s="89">
        <v>1704</v>
      </c>
      <c r="E12" s="10">
        <f t="shared" si="0"/>
        <v>5.6801893396446548E-2</v>
      </c>
      <c r="F12" s="9">
        <v>485.5</v>
      </c>
      <c r="G12" s="80">
        <f t="shared" si="1"/>
        <v>3.509783728115345</v>
      </c>
      <c r="H12" s="87">
        <v>99.58</v>
      </c>
      <c r="I12" s="11">
        <f t="shared" si="2"/>
        <v>3.5245869934879943E-2</v>
      </c>
      <c r="J12" s="12">
        <f t="shared" si="6"/>
        <v>-0.51694266081873919</v>
      </c>
      <c r="M12" s="24">
        <v>2027</v>
      </c>
      <c r="N12" s="82">
        <f t="shared" si="7"/>
        <v>15.976106674173922</v>
      </c>
      <c r="O12" s="34">
        <f t="shared" si="8"/>
        <v>0.1246863705030644</v>
      </c>
      <c r="R12" s="65">
        <v>2027</v>
      </c>
      <c r="S12" s="84">
        <f t="shared" si="3"/>
        <v>15.976106674173922</v>
      </c>
      <c r="T12" s="66"/>
      <c r="U12" s="67">
        <f t="shared" si="4"/>
        <v>15.976106674173922</v>
      </c>
      <c r="W12" s="96">
        <f t="shared" si="5"/>
        <v>-134</v>
      </c>
      <c r="X12" s="98">
        <v>0.18607906713183286</v>
      </c>
    </row>
    <row r="13" spans="1:24" x14ac:dyDescent="0.3">
      <c r="B13" s="22">
        <v>2018</v>
      </c>
      <c r="C13" s="89">
        <f>27176+5201</f>
        <v>32377</v>
      </c>
      <c r="D13" s="89">
        <v>5710</v>
      </c>
      <c r="E13" s="10">
        <f t="shared" si="0"/>
        <v>0.17635976155913149</v>
      </c>
      <c r="F13" s="9">
        <v>470</v>
      </c>
      <c r="G13" s="80">
        <f t="shared" si="1"/>
        <v>12.148936170212766</v>
      </c>
      <c r="H13" s="87">
        <v>75.59</v>
      </c>
      <c r="I13" s="11">
        <f t="shared" si="2"/>
        <v>0.16072147334584952</v>
      </c>
      <c r="J13" s="12">
        <f t="shared" si="6"/>
        <v>2.4614486564778741</v>
      </c>
      <c r="M13" s="24">
        <v>2028</v>
      </c>
      <c r="N13" s="82">
        <f t="shared" si="7"/>
        <v>17.968109430146448</v>
      </c>
      <c r="O13" s="34">
        <f t="shared" si="8"/>
        <v>0.1246863705030644</v>
      </c>
      <c r="R13" s="65">
        <v>2028</v>
      </c>
      <c r="S13" s="84">
        <f t="shared" si="3"/>
        <v>17.968109430146448</v>
      </c>
      <c r="T13" s="66"/>
      <c r="U13" s="67">
        <f t="shared" si="4"/>
        <v>17.968109430146448</v>
      </c>
      <c r="W13" s="96">
        <f>W14-2</f>
        <v>-132</v>
      </c>
      <c r="X13" s="98">
        <v>0.18875508546110709</v>
      </c>
    </row>
    <row r="14" spans="1:24" x14ac:dyDescent="0.3">
      <c r="B14" s="22">
        <v>2019</v>
      </c>
      <c r="C14" s="89">
        <f>28513+5253</f>
        <v>33766</v>
      </c>
      <c r="D14" s="89">
        <v>5192</v>
      </c>
      <c r="E14" s="10">
        <f t="shared" si="0"/>
        <v>0.15376414144405615</v>
      </c>
      <c r="F14" s="9">
        <v>456.6</v>
      </c>
      <c r="G14" s="80">
        <f t="shared" si="1"/>
        <v>11.371003066141041</v>
      </c>
      <c r="H14" s="87">
        <v>102.91</v>
      </c>
      <c r="I14" s="11">
        <f t="shared" si="2"/>
        <v>0.11049463673249482</v>
      </c>
      <c r="J14" s="12">
        <f t="shared" si="6"/>
        <v>-6.4033022576831966E-2</v>
      </c>
      <c r="M14" s="24">
        <v>2029</v>
      </c>
      <c r="N14" s="82">
        <f t="shared" si="7"/>
        <v>20.208487779793291</v>
      </c>
      <c r="O14" s="34">
        <f t="shared" si="8"/>
        <v>0.1246863705030644</v>
      </c>
      <c r="R14" s="65">
        <v>2029</v>
      </c>
      <c r="S14" s="84">
        <f t="shared" si="3"/>
        <v>20.208487779793291</v>
      </c>
      <c r="T14" s="66"/>
      <c r="U14" s="67">
        <f t="shared" si="4"/>
        <v>20.208487779793291</v>
      </c>
      <c r="W14" s="96">
        <v>-130</v>
      </c>
      <c r="X14" s="98">
        <v>0.191487418348397</v>
      </c>
    </row>
    <row r="15" spans="1:24" x14ac:dyDescent="0.3">
      <c r="B15" s="22">
        <v>2020</v>
      </c>
      <c r="C15" s="89">
        <f>26003+5610</f>
        <v>31613</v>
      </c>
      <c r="D15" s="89">
        <v>2375</v>
      </c>
      <c r="E15" s="10">
        <f t="shared" si="0"/>
        <v>7.5127321038813144E-2</v>
      </c>
      <c r="F15" s="9">
        <v>459.1</v>
      </c>
      <c r="G15" s="80">
        <f t="shared" si="1"/>
        <v>5.1731648878240035</v>
      </c>
      <c r="H15" s="87">
        <v>98.85</v>
      </c>
      <c r="I15" s="11">
        <f t="shared" si="2"/>
        <v>5.2333483943591337E-2</v>
      </c>
      <c r="J15" s="12">
        <f t="shared" si="6"/>
        <v>-0.54505641606694133</v>
      </c>
      <c r="M15" s="24">
        <v>2030</v>
      </c>
      <c r="N15" s="82">
        <f t="shared" si="7"/>
        <v>22.728210774411245</v>
      </c>
      <c r="O15" s="34">
        <f t="shared" si="8"/>
        <v>0.1246863705030644</v>
      </c>
      <c r="R15" s="68">
        <v>2030</v>
      </c>
      <c r="S15" s="85">
        <f t="shared" si="3"/>
        <v>22.728210774411245</v>
      </c>
      <c r="T15" s="69">
        <f>U30</f>
        <v>330.41527706236883</v>
      </c>
      <c r="U15" s="70">
        <f t="shared" si="4"/>
        <v>353.14348783678008</v>
      </c>
      <c r="W15" s="96">
        <f>W14+2</f>
        <v>-128</v>
      </c>
      <c r="X15" s="98">
        <v>0.19427830012966751</v>
      </c>
    </row>
    <row r="16" spans="1:24" x14ac:dyDescent="0.3">
      <c r="B16" s="8"/>
      <c r="C16" s="13"/>
      <c r="D16" s="13"/>
      <c r="E16" s="13"/>
      <c r="F16" s="13"/>
      <c r="G16" s="13"/>
      <c r="H16" s="13"/>
      <c r="I16" s="13"/>
      <c r="J16" s="14"/>
      <c r="M16" s="8"/>
      <c r="N16" s="13"/>
      <c r="O16" s="14"/>
      <c r="R16" s="71"/>
      <c r="S16" s="66"/>
      <c r="T16" s="66"/>
      <c r="U16" s="72"/>
      <c r="W16" s="96">
        <f t="shared" ref="W16:W18" si="9">W15+2</f>
        <v>-126</v>
      </c>
      <c r="X16" s="98">
        <v>0.19713009627383227</v>
      </c>
    </row>
    <row r="17" spans="2:24" x14ac:dyDescent="0.3">
      <c r="B17" s="15"/>
      <c r="C17" s="16">
        <f>(C15/C6)^(1/9)-1</f>
        <v>6.118162579755726E-2</v>
      </c>
      <c r="D17" s="16">
        <f>(D15/D6)^(1/9)-1</f>
        <v>-2.9894712473642837E-2</v>
      </c>
      <c r="E17" s="17">
        <f>AVERAGE(E6:E15)</f>
        <v>0.1410607856665079</v>
      </c>
      <c r="F17" s="16">
        <f>(F15/F6)^(1/9)-1</f>
        <v>7.5308806639462489E-4</v>
      </c>
      <c r="G17" s="16">
        <f>(G15/G6)^(1/9)-1</f>
        <v>-3.0624737415753223E-2</v>
      </c>
      <c r="H17" s="18"/>
      <c r="I17" s="19">
        <f>AVERAGE(I6:I15)</f>
        <v>9.9757725058236546E-2</v>
      </c>
      <c r="J17" s="20">
        <f>AVERAGE(J7:J15)</f>
        <v>0.15832535502028641</v>
      </c>
      <c r="M17" s="32" t="s">
        <v>25</v>
      </c>
      <c r="N17" s="18"/>
      <c r="O17" s="36">
        <f>N15/I17</f>
        <v>227.83409265942035</v>
      </c>
      <c r="R17" s="65" t="s">
        <v>37</v>
      </c>
      <c r="S17" s="66"/>
      <c r="T17" s="66"/>
      <c r="U17" s="73">
        <f>IRR(U6:U15)</f>
        <v>0.19205470267649183</v>
      </c>
      <c r="W17" s="96">
        <f t="shared" si="9"/>
        <v>-124</v>
      </c>
      <c r="X17" s="98">
        <v>0.20004531363992761</v>
      </c>
    </row>
    <row r="18" spans="2:24" x14ac:dyDescent="0.3">
      <c r="B18" s="55"/>
      <c r="C18" s="56"/>
      <c r="D18" s="56"/>
      <c r="E18" s="57"/>
      <c r="F18" s="56"/>
      <c r="G18" s="56"/>
      <c r="H18" s="55"/>
      <c r="I18" s="58"/>
      <c r="J18" s="58"/>
      <c r="M18" s="59"/>
      <c r="N18" s="60"/>
      <c r="O18" s="61"/>
      <c r="R18" s="65" t="s">
        <v>39</v>
      </c>
      <c r="S18" s="66"/>
      <c r="T18" s="66"/>
      <c r="U18" s="74">
        <f>SUM(S6:S15)</f>
        <v>141.70255463655531</v>
      </c>
      <c r="W18" s="96">
        <f t="shared" si="9"/>
        <v>-122</v>
      </c>
      <c r="X18" s="99">
        <v>0.2030266117429842</v>
      </c>
    </row>
    <row r="19" spans="2:24" x14ac:dyDescent="0.3">
      <c r="B19" s="55"/>
      <c r="C19" s="56"/>
      <c r="D19" s="56"/>
      <c r="E19" s="57"/>
      <c r="F19" s="56"/>
      <c r="G19" s="56"/>
      <c r="H19" s="55"/>
      <c r="I19" s="58"/>
      <c r="J19" s="58"/>
      <c r="M19" s="59"/>
      <c r="N19" s="60"/>
      <c r="O19" s="61"/>
      <c r="R19" s="65" t="s">
        <v>38</v>
      </c>
      <c r="S19" s="66"/>
      <c r="T19" s="66"/>
      <c r="U19" s="75">
        <f>+T15+T6</f>
        <v>200.82527706236883</v>
      </c>
    </row>
    <row r="20" spans="2:24" x14ac:dyDescent="0.3">
      <c r="R20" s="65" t="s">
        <v>40</v>
      </c>
      <c r="S20" s="66"/>
      <c r="T20" s="66"/>
      <c r="U20" s="76">
        <f>+U18+U19</f>
        <v>342.52783169892416</v>
      </c>
    </row>
    <row r="21" spans="2:24" x14ac:dyDescent="0.3">
      <c r="B21" s="109" t="s">
        <v>20</v>
      </c>
      <c r="C21" s="109"/>
      <c r="D21" s="109"/>
      <c r="E21" s="109"/>
      <c r="F21" s="109"/>
      <c r="G21" s="109"/>
      <c r="H21" s="109"/>
      <c r="I21" s="109"/>
      <c r="J21" s="109"/>
      <c r="M21" s="109" t="s">
        <v>26</v>
      </c>
      <c r="N21" s="109"/>
      <c r="O21" s="109"/>
      <c r="R21" s="68" t="s">
        <v>41</v>
      </c>
      <c r="S21" s="77"/>
      <c r="T21" s="77"/>
      <c r="U21" s="78">
        <f>-SUM(S6:S15,T15)/T6</f>
        <v>3.6431656123074632</v>
      </c>
    </row>
    <row r="22" spans="2:24" ht="28.8" x14ac:dyDescent="0.3">
      <c r="B22" s="2" t="s">
        <v>1</v>
      </c>
      <c r="C22" s="2" t="s">
        <v>11</v>
      </c>
      <c r="D22" s="3" t="s">
        <v>12</v>
      </c>
      <c r="E22" s="2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M22" s="35" t="s">
        <v>1</v>
      </c>
      <c r="N22" s="3" t="s">
        <v>14</v>
      </c>
      <c r="O22" s="3" t="s">
        <v>16</v>
      </c>
    </row>
    <row r="23" spans="2:24" ht="3" customHeight="1" x14ac:dyDescent="0.3"/>
    <row r="24" spans="2:24" x14ac:dyDescent="0.3">
      <c r="B24" s="23">
        <v>2011</v>
      </c>
      <c r="C24" s="88">
        <v>206019</v>
      </c>
      <c r="D24" s="88">
        <f>13592</f>
        <v>13592</v>
      </c>
      <c r="E24" s="88">
        <v>176353</v>
      </c>
      <c r="F24" s="90">
        <f>C24-SUM(D24:E24)</f>
        <v>16074</v>
      </c>
      <c r="G24" s="79">
        <f t="shared" ref="G24:G33" si="10">F24/F6</f>
        <v>35.25</v>
      </c>
      <c r="H24" s="27"/>
      <c r="I24" s="90">
        <f t="shared" ref="I24:I33" si="11">F6*H6</f>
        <v>19284.239999999998</v>
      </c>
      <c r="J24" s="29">
        <f>I24/F24</f>
        <v>1.1997163120567376</v>
      </c>
      <c r="M24" s="23">
        <v>2021</v>
      </c>
      <c r="N24" s="25">
        <f>F33*(1+O24)</f>
        <v>51140.113559678786</v>
      </c>
      <c r="O24" s="33">
        <f>F35</f>
        <v>0.12270012863995938</v>
      </c>
      <c r="R24" s="110" t="s">
        <v>22</v>
      </c>
      <c r="S24" s="111"/>
      <c r="T24" s="111"/>
      <c r="U24" s="112"/>
    </row>
    <row r="25" spans="2:24" x14ac:dyDescent="0.3">
      <c r="B25" s="24">
        <v>2012</v>
      </c>
      <c r="C25" s="89">
        <v>312918</v>
      </c>
      <c r="D25" s="89">
        <v>13904</v>
      </c>
      <c r="E25" s="89">
        <v>272419</v>
      </c>
      <c r="F25" s="91">
        <f t="shared" ref="F25:F33" si="12">C25-SUM(D25:E25)</f>
        <v>26595</v>
      </c>
      <c r="G25" s="80">
        <f t="shared" si="10"/>
        <v>45.916781767955797</v>
      </c>
      <c r="H25" s="28">
        <f>G25/G24-1</f>
        <v>0.30260373809803687</v>
      </c>
      <c r="I25" s="91">
        <f t="shared" si="11"/>
        <v>33553.056000000004</v>
      </c>
      <c r="J25" s="30">
        <f t="shared" ref="J25:J33" si="13">I25/F25</f>
        <v>1.2616302312464751</v>
      </c>
      <c r="M25" s="24">
        <v>2022</v>
      </c>
      <c r="N25" s="26">
        <f>N24*(1+O25)</f>
        <v>57415.012072113503</v>
      </c>
      <c r="O25" s="34">
        <f>O24</f>
        <v>0.12270012863995938</v>
      </c>
      <c r="R25" s="41" t="s">
        <v>23</v>
      </c>
      <c r="S25" s="42"/>
      <c r="T25" s="42"/>
      <c r="U25" s="43">
        <v>129.59</v>
      </c>
      <c r="V25" t="s">
        <v>32</v>
      </c>
    </row>
    <row r="26" spans="2:24" x14ac:dyDescent="0.3">
      <c r="B26" s="24">
        <v>2013</v>
      </c>
      <c r="C26" s="89">
        <v>297048</v>
      </c>
      <c r="D26" s="89">
        <v>13978</v>
      </c>
      <c r="E26" s="89">
        <v>255304</v>
      </c>
      <c r="F26" s="91">
        <f t="shared" si="12"/>
        <v>27766</v>
      </c>
      <c r="G26" s="80">
        <f t="shared" si="10"/>
        <v>48.423439134984307</v>
      </c>
      <c r="H26" s="28">
        <f t="shared" ref="H26:H33" si="14">G26/G25-1</f>
        <v>5.4591312163298156E-2</v>
      </c>
      <c r="I26" s="91">
        <f t="shared" si="11"/>
        <v>43928.173999999999</v>
      </c>
      <c r="J26" s="30">
        <f t="shared" si="13"/>
        <v>1.5820850680688612</v>
      </c>
      <c r="M26" s="24">
        <v>2023</v>
      </c>
      <c r="N26" s="26">
        <f t="shared" ref="N26:N33" si="15">N25*(1+O26)</f>
        <v>64459.84143922665</v>
      </c>
      <c r="O26" s="34">
        <f t="shared" ref="O26:O33" si="16">O25</f>
        <v>0.12270012863995938</v>
      </c>
      <c r="R26" s="44"/>
      <c r="S26" s="42"/>
      <c r="T26" s="42"/>
      <c r="U26" s="45"/>
    </row>
    <row r="27" spans="2:24" x14ac:dyDescent="0.3">
      <c r="B27" s="24">
        <v>2014</v>
      </c>
      <c r="C27" s="89">
        <v>308854</v>
      </c>
      <c r="D27" s="89">
        <v>13978</v>
      </c>
      <c r="E27" s="89">
        <v>263801</v>
      </c>
      <c r="F27" s="91">
        <f t="shared" si="12"/>
        <v>31075</v>
      </c>
      <c r="G27" s="80">
        <f t="shared" si="10"/>
        <v>56.061699440736071</v>
      </c>
      <c r="H27" s="28">
        <f t="shared" si="14"/>
        <v>0.15773890583152284</v>
      </c>
      <c r="I27" s="91">
        <f t="shared" si="11"/>
        <v>45757.464999999997</v>
      </c>
      <c r="J27" s="30">
        <f t="shared" si="13"/>
        <v>1.4724847948511663</v>
      </c>
      <c r="M27" s="24">
        <v>2024</v>
      </c>
      <c r="N27" s="26">
        <f t="shared" si="15"/>
        <v>72369.072275931147</v>
      </c>
      <c r="O27" s="34">
        <f t="shared" si="16"/>
        <v>0.12270012863995938</v>
      </c>
      <c r="R27" s="44"/>
      <c r="S27" s="42"/>
      <c r="T27" s="46" t="s">
        <v>28</v>
      </c>
      <c r="U27" s="47" t="s">
        <v>29</v>
      </c>
    </row>
    <row r="28" spans="2:24" x14ac:dyDescent="0.3">
      <c r="B28" s="24">
        <v>2015</v>
      </c>
      <c r="C28" s="89">
        <v>334048</v>
      </c>
      <c r="D28" s="89">
        <v>14480</v>
      </c>
      <c r="E28" s="89">
        <v>286764</v>
      </c>
      <c r="F28" s="91">
        <f t="shared" si="12"/>
        <v>32804</v>
      </c>
      <c r="G28" s="80">
        <f t="shared" si="10"/>
        <v>62.211264934572355</v>
      </c>
      <c r="H28" s="28">
        <f t="shared" si="14"/>
        <v>0.10969281265433484</v>
      </c>
      <c r="I28" s="91">
        <f t="shared" si="11"/>
        <v>38060.514000000003</v>
      </c>
      <c r="J28" s="30">
        <f t="shared" si="13"/>
        <v>1.1602400317034509</v>
      </c>
      <c r="M28" s="24">
        <v>2025</v>
      </c>
      <c r="N28" s="26">
        <f t="shared" si="15"/>
        <v>81248.766753742413</v>
      </c>
      <c r="O28" s="34">
        <f t="shared" si="16"/>
        <v>0.12270012863995938</v>
      </c>
      <c r="R28" s="48" t="s">
        <v>30</v>
      </c>
      <c r="S28" s="42"/>
      <c r="T28" s="39">
        <v>0.5</v>
      </c>
      <c r="U28" s="49">
        <f>O17</f>
        <v>227.83409265942035</v>
      </c>
    </row>
    <row r="29" spans="2:24" x14ac:dyDescent="0.3">
      <c r="B29" s="24">
        <v>2016</v>
      </c>
      <c r="C29" s="89">
        <v>357033</v>
      </c>
      <c r="D29" s="89">
        <v>14519</v>
      </c>
      <c r="E29" s="89">
        <v>309519</v>
      </c>
      <c r="F29" s="91">
        <f t="shared" si="12"/>
        <v>32995</v>
      </c>
      <c r="G29" s="80">
        <f t="shared" si="10"/>
        <v>68.241985522233719</v>
      </c>
      <c r="H29" s="28">
        <f t="shared" si="14"/>
        <v>9.6939366110042613E-2</v>
      </c>
      <c r="I29" s="91">
        <f t="shared" si="11"/>
        <v>42180.54</v>
      </c>
      <c r="J29" s="30">
        <f t="shared" si="13"/>
        <v>1.2783918775572056</v>
      </c>
      <c r="M29" s="24">
        <v>2026</v>
      </c>
      <c r="N29" s="26">
        <f t="shared" si="15"/>
        <v>91218.000886264665</v>
      </c>
      <c r="O29" s="34">
        <f t="shared" si="16"/>
        <v>0.12270012863995938</v>
      </c>
      <c r="R29" s="48" t="s">
        <v>31</v>
      </c>
      <c r="S29" s="42"/>
      <c r="T29" s="40">
        <v>0.5</v>
      </c>
      <c r="U29" s="50">
        <f>O37</f>
        <v>432.99646146531734</v>
      </c>
    </row>
    <row r="30" spans="2:24" x14ac:dyDescent="0.3">
      <c r="B30" s="24">
        <v>2017</v>
      </c>
      <c r="C30" s="89">
        <v>365693</v>
      </c>
      <c r="D30" s="89">
        <v>14533</v>
      </c>
      <c r="E30" s="89">
        <v>316963</v>
      </c>
      <c r="F30" s="91">
        <f t="shared" si="12"/>
        <v>34197</v>
      </c>
      <c r="G30" s="80">
        <f t="shared" si="10"/>
        <v>70.436663233779612</v>
      </c>
      <c r="H30" s="28">
        <f t="shared" si="14"/>
        <v>3.2160226504998946E-2</v>
      </c>
      <c r="I30" s="91">
        <f t="shared" si="11"/>
        <v>48346.09</v>
      </c>
      <c r="J30" s="30">
        <f t="shared" si="13"/>
        <v>1.4137523759394097</v>
      </c>
      <c r="M30" s="24">
        <v>2027</v>
      </c>
      <c r="N30" s="26">
        <f t="shared" si="15"/>
        <v>102410.46132928926</v>
      </c>
      <c r="O30" s="34">
        <f t="shared" si="16"/>
        <v>0.12270012863995938</v>
      </c>
      <c r="R30" s="51"/>
      <c r="S30" s="52"/>
      <c r="T30" s="53">
        <v>1</v>
      </c>
      <c r="U30" s="54">
        <f>+SUMPRODUCT(T28:T29,U28:U29)</f>
        <v>330.41527706236883</v>
      </c>
    </row>
    <row r="31" spans="2:24" x14ac:dyDescent="0.3">
      <c r="B31" s="24">
        <v>2018</v>
      </c>
      <c r="C31" s="89">
        <v>372538</v>
      </c>
      <c r="D31" s="89">
        <v>14544</v>
      </c>
      <c r="E31" s="89">
        <v>320870</v>
      </c>
      <c r="F31" s="91">
        <f t="shared" si="12"/>
        <v>37124</v>
      </c>
      <c r="G31" s="80">
        <f t="shared" si="10"/>
        <v>78.987234042553197</v>
      </c>
      <c r="H31" s="28">
        <f t="shared" si="14"/>
        <v>0.12139375172265332</v>
      </c>
      <c r="I31" s="91">
        <f t="shared" si="11"/>
        <v>35527.300000000003</v>
      </c>
      <c r="J31" s="30">
        <f t="shared" si="13"/>
        <v>0.95699008727507817</v>
      </c>
      <c r="M31" s="24">
        <v>2028</v>
      </c>
      <c r="N31" s="26">
        <f t="shared" si="15"/>
        <v>114976.23810847064</v>
      </c>
      <c r="O31" s="34">
        <f t="shared" si="16"/>
        <v>0.12270012863995938</v>
      </c>
    </row>
    <row r="32" spans="2:24" x14ac:dyDescent="0.3">
      <c r="B32" s="24">
        <v>2019</v>
      </c>
      <c r="C32" s="89">
        <v>390365</v>
      </c>
      <c r="D32" s="89">
        <v>14653</v>
      </c>
      <c r="E32" s="89">
        <v>332354</v>
      </c>
      <c r="F32" s="91">
        <f t="shared" si="12"/>
        <v>43358</v>
      </c>
      <c r="G32" s="80">
        <f t="shared" si="10"/>
        <v>94.958388085851951</v>
      </c>
      <c r="H32" s="28">
        <f t="shared" si="14"/>
        <v>0.20219918113216284</v>
      </c>
      <c r="I32" s="91">
        <f t="shared" si="11"/>
        <v>46988.705999999998</v>
      </c>
      <c r="J32" s="30">
        <f t="shared" si="13"/>
        <v>1.0837378569122191</v>
      </c>
      <c r="M32" s="24">
        <v>2029</v>
      </c>
      <c r="N32" s="26">
        <f t="shared" si="15"/>
        <v>129083.83731491859</v>
      </c>
      <c r="O32" s="34">
        <f t="shared" si="16"/>
        <v>0.12270012863995938</v>
      </c>
    </row>
    <row r="33" spans="2:15" x14ac:dyDescent="0.3">
      <c r="B33" s="24">
        <v>2020</v>
      </c>
      <c r="C33" s="89">
        <v>421602</v>
      </c>
      <c r="D33" s="89">
        <v>14653</v>
      </c>
      <c r="E33" s="89">
        <v>361398</v>
      </c>
      <c r="F33" s="91">
        <f t="shared" si="12"/>
        <v>45551</v>
      </c>
      <c r="G33" s="80">
        <f t="shared" si="10"/>
        <v>99.218035286429966</v>
      </c>
      <c r="H33" s="28">
        <f t="shared" si="14"/>
        <v>4.4858040310529201E-2</v>
      </c>
      <c r="I33" s="91">
        <f t="shared" si="11"/>
        <v>45382.034999999996</v>
      </c>
      <c r="J33" s="30">
        <f t="shared" si="13"/>
        <v>0.99629064125924782</v>
      </c>
      <c r="M33" s="24">
        <v>2030</v>
      </c>
      <c r="N33" s="26">
        <f t="shared" si="15"/>
        <v>144922.44075879871</v>
      </c>
      <c r="O33" s="34">
        <f t="shared" si="16"/>
        <v>0.12270012863995938</v>
      </c>
    </row>
    <row r="34" spans="2:15" x14ac:dyDescent="0.3">
      <c r="B34" s="8"/>
      <c r="C34" s="13"/>
      <c r="D34" s="13"/>
      <c r="E34" s="13"/>
      <c r="F34" s="13"/>
      <c r="G34" s="13"/>
      <c r="H34" s="13"/>
      <c r="I34" s="13"/>
      <c r="J34" s="14"/>
      <c r="M34" s="8"/>
      <c r="N34" s="13"/>
      <c r="O34" s="14"/>
    </row>
    <row r="35" spans="2:15" x14ac:dyDescent="0.3">
      <c r="B35" s="15"/>
      <c r="C35" s="16">
        <f>(C33/C24)^(1/9)-1</f>
        <v>8.2816944109496804E-2</v>
      </c>
      <c r="D35" s="18"/>
      <c r="E35" s="18"/>
      <c r="F35" s="16">
        <f>(F33/F24)^(1/9)-1</f>
        <v>0.12270012863995938</v>
      </c>
      <c r="G35" s="93">
        <f>AVERAGE(G24:G33)</f>
        <v>65.970549144909711</v>
      </c>
      <c r="H35" s="19">
        <f>AVERAGE(H24:H33)</f>
        <v>0.1246863705030644</v>
      </c>
      <c r="I35" s="92">
        <f>AVERAGE(I24:I33)</f>
        <v>39900.811999999998</v>
      </c>
      <c r="J35" s="31">
        <f>AVERAGE(J24:J33)</f>
        <v>1.2405319276869853</v>
      </c>
      <c r="M35" s="8" t="s">
        <v>21</v>
      </c>
      <c r="N35" s="13"/>
      <c r="O35" s="37">
        <f>+N33*J35</f>
        <v>179780.91479961548</v>
      </c>
    </row>
    <row r="36" spans="2:15" x14ac:dyDescent="0.3">
      <c r="M36" s="8" t="s">
        <v>24</v>
      </c>
      <c r="N36" s="13"/>
      <c r="O36" s="38">
        <f>+F15*(0.99)^10</f>
        <v>415.20181063654206</v>
      </c>
    </row>
    <row r="37" spans="2:15" x14ac:dyDescent="0.3">
      <c r="M37" s="32" t="s">
        <v>25</v>
      </c>
      <c r="N37" s="18"/>
      <c r="O37" s="36">
        <f>O35/O36</f>
        <v>432.99646146531734</v>
      </c>
    </row>
  </sheetData>
  <mergeCells count="9">
    <mergeCell ref="W3:X3"/>
    <mergeCell ref="B21:J21"/>
    <mergeCell ref="M21:O21"/>
    <mergeCell ref="R24:U24"/>
    <mergeCell ref="A1:C1"/>
    <mergeCell ref="A2:C2"/>
    <mergeCell ref="B3:J3"/>
    <mergeCell ref="M3:O3"/>
    <mergeCell ref="R3:U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3FD2-AC25-4351-976C-2C788395E7BC}">
  <sheetPr>
    <tabColor theme="4"/>
  </sheetPr>
  <dimension ref="A1:X37"/>
  <sheetViews>
    <sheetView showGridLines="0" tabSelected="1" zoomScale="130" zoomScaleNormal="130" workbookViewId="0">
      <selection activeCell="W22" sqref="W22"/>
    </sheetView>
  </sheetViews>
  <sheetFormatPr defaultRowHeight="14.4" x14ac:dyDescent="0.3"/>
  <cols>
    <col min="3" max="3" width="11.44140625" bestFit="1" customWidth="1"/>
    <col min="5" max="5" width="11.44140625" bestFit="1" customWidth="1"/>
    <col min="6" max="6" width="9.5546875" bestFit="1" customWidth="1"/>
    <col min="9" max="9" width="9.5546875" bestFit="1" customWidth="1"/>
    <col min="14" max="14" width="11" customWidth="1"/>
    <col min="15" max="15" width="9.5546875" bestFit="1" customWidth="1"/>
    <col min="18" max="18" width="12" customWidth="1"/>
    <col min="19" max="19" width="12.33203125" customWidth="1"/>
    <col min="20" max="20" width="10.44140625" customWidth="1"/>
    <col min="21" max="21" width="12.77734375" customWidth="1"/>
    <col min="23" max="23" width="12" customWidth="1"/>
  </cols>
  <sheetData>
    <row r="1" spans="1:24" x14ac:dyDescent="0.3">
      <c r="A1" s="124" t="s">
        <v>47</v>
      </c>
      <c r="B1" s="124"/>
      <c r="C1" s="124"/>
    </row>
    <row r="2" spans="1:24" x14ac:dyDescent="0.3">
      <c r="A2" s="124" t="s">
        <v>10</v>
      </c>
      <c r="B2" s="124"/>
      <c r="C2" s="124"/>
      <c r="D2" s="1"/>
      <c r="E2" s="1"/>
      <c r="G2" s="1"/>
      <c r="H2" s="1"/>
      <c r="I2" s="1"/>
    </row>
    <row r="3" spans="1:24" x14ac:dyDescent="0.3">
      <c r="B3" s="109" t="s">
        <v>19</v>
      </c>
      <c r="C3" s="109"/>
      <c r="D3" s="109"/>
      <c r="E3" s="109"/>
      <c r="F3" s="109"/>
      <c r="G3" s="109"/>
      <c r="H3" s="109"/>
      <c r="I3" s="109"/>
      <c r="J3" s="109"/>
      <c r="M3" s="109" t="s">
        <v>26</v>
      </c>
      <c r="N3" s="109"/>
      <c r="O3" s="109"/>
      <c r="R3" s="109" t="s">
        <v>36</v>
      </c>
      <c r="S3" s="109"/>
      <c r="T3" s="109"/>
      <c r="U3" s="109"/>
      <c r="W3" s="109" t="s">
        <v>42</v>
      </c>
      <c r="X3" s="109"/>
    </row>
    <row r="4" spans="1:24" ht="29.4" customHeight="1" x14ac:dyDescent="0.3">
      <c r="B4" s="2" t="s">
        <v>1</v>
      </c>
      <c r="C4" s="3" t="s">
        <v>9</v>
      </c>
      <c r="D4" s="3" t="s">
        <v>3</v>
      </c>
      <c r="E4" s="3" t="s">
        <v>4</v>
      </c>
      <c r="F4" s="2" t="s">
        <v>2</v>
      </c>
      <c r="G4" s="3" t="s">
        <v>5</v>
      </c>
      <c r="H4" s="3" t="s">
        <v>6</v>
      </c>
      <c r="I4" s="3" t="s">
        <v>7</v>
      </c>
      <c r="J4" s="3" t="s">
        <v>8</v>
      </c>
      <c r="M4" s="35" t="s">
        <v>1</v>
      </c>
      <c r="N4" s="3" t="s">
        <v>27</v>
      </c>
      <c r="O4" s="3" t="s">
        <v>8</v>
      </c>
      <c r="R4" s="35" t="s">
        <v>1</v>
      </c>
      <c r="S4" s="3" t="s">
        <v>35</v>
      </c>
      <c r="T4" s="3" t="s">
        <v>33</v>
      </c>
      <c r="U4" s="3" t="s">
        <v>34</v>
      </c>
      <c r="W4" s="3" t="s">
        <v>33</v>
      </c>
      <c r="X4" s="2" t="s">
        <v>37</v>
      </c>
    </row>
    <row r="5" spans="1:24" ht="3.6" customHeight="1" x14ac:dyDescent="0.3"/>
    <row r="6" spans="1:24" x14ac:dyDescent="0.3">
      <c r="B6" s="21">
        <v>2011</v>
      </c>
      <c r="C6" s="88">
        <f>23619+13174</f>
        <v>36793</v>
      </c>
      <c r="D6" s="88">
        <v>2510</v>
      </c>
      <c r="E6" s="5">
        <f>D6/C6</f>
        <v>6.8219498274128237E-2</v>
      </c>
      <c r="F6" s="4">
        <v>524.6</v>
      </c>
      <c r="G6" s="79">
        <f>D6/F6</f>
        <v>4.7845977887914604</v>
      </c>
      <c r="H6" s="86">
        <v>90.43</v>
      </c>
      <c r="I6" s="6">
        <f>G6/H6</f>
        <v>5.2909408258226917E-2</v>
      </c>
      <c r="J6" s="7"/>
      <c r="M6" s="23">
        <v>2021</v>
      </c>
      <c r="N6" s="81">
        <f>AVERAGE(G11:G15)</f>
        <v>19.521327416739656</v>
      </c>
      <c r="O6" s="33"/>
      <c r="R6" s="62">
        <v>2021</v>
      </c>
      <c r="S6" s="83">
        <f>N6</f>
        <v>19.521327416739656</v>
      </c>
      <c r="T6" s="63">
        <f>-U25</f>
        <v>-327.39</v>
      </c>
      <c r="U6" s="64">
        <f>+S6+T6</f>
        <v>-307.86867258326032</v>
      </c>
      <c r="W6" s="94"/>
      <c r="X6" s="95">
        <f>U17</f>
        <v>0.12104139131997571</v>
      </c>
    </row>
    <row r="7" spans="1:24" x14ac:dyDescent="0.3">
      <c r="B7" s="22">
        <v>2012</v>
      </c>
      <c r="C7" s="89">
        <f>30283+11381</f>
        <v>41664</v>
      </c>
      <c r="D7" s="89">
        <v>7292</v>
      </c>
      <c r="E7" s="10">
        <f t="shared" ref="E7:E15" si="0">D7/C7</f>
        <v>0.17501920122887865</v>
      </c>
      <c r="F7" s="9">
        <v>496.2</v>
      </c>
      <c r="G7" s="80">
        <f t="shared" ref="G7:G15" si="1">D7/F7</f>
        <v>14.695687222893994</v>
      </c>
      <c r="H7" s="87">
        <v>127.56</v>
      </c>
      <c r="I7" s="11">
        <f t="shared" ref="I7:I15" si="2">G7/H7</f>
        <v>0.11520607731964561</v>
      </c>
      <c r="J7" s="12">
        <f>G7/G6-1</f>
        <v>2.0714571781395175</v>
      </c>
      <c r="M7" s="24">
        <v>2022</v>
      </c>
      <c r="N7" s="82">
        <f>N6*(1+O7)</f>
        <v>21.176655308103861</v>
      </c>
      <c r="O7" s="34">
        <f>H35</f>
        <v>8.4795867413439974E-2</v>
      </c>
      <c r="R7" s="65">
        <v>2022</v>
      </c>
      <c r="S7" s="84">
        <f t="shared" ref="S7:S15" si="3">N7</f>
        <v>21.176655308103861</v>
      </c>
      <c r="T7" s="66"/>
      <c r="U7" s="67">
        <f t="shared" ref="U7:U15" si="4">+S7+T7</f>
        <v>21.176655308103861</v>
      </c>
      <c r="W7" s="96">
        <f t="shared" ref="W7:W12" si="5">W8-5</f>
        <v>-362</v>
      </c>
      <c r="X7" s="98">
        <f t="dataTable" ref="X7:X18" dt2D="0" dtr="0" r1="T6"/>
        <v>0.10412680382716366</v>
      </c>
    </row>
    <row r="8" spans="1:24" x14ac:dyDescent="0.3">
      <c r="B8" s="22">
        <v>2013</v>
      </c>
      <c r="C8" s="89">
        <f>30814+10060</f>
        <v>40874</v>
      </c>
      <c r="D8" s="89">
        <v>7726</v>
      </c>
      <c r="E8" s="10">
        <f t="shared" si="0"/>
        <v>0.1890199148603024</v>
      </c>
      <c r="F8" s="9">
        <v>471.3</v>
      </c>
      <c r="G8" s="80">
        <f t="shared" si="1"/>
        <v>16.392955654572457</v>
      </c>
      <c r="H8" s="87">
        <v>177.26</v>
      </c>
      <c r="I8" s="11">
        <f t="shared" si="2"/>
        <v>9.2479722749477938E-2</v>
      </c>
      <c r="J8" s="12">
        <f t="shared" ref="J8:J15" si="6">G8/G7-1</f>
        <v>0.11549432196912424</v>
      </c>
      <c r="M8" s="24">
        <v>2023</v>
      </c>
      <c r="N8" s="82">
        <f t="shared" ref="N8:N15" si="7">N7*(1+O8)</f>
        <v>22.972348163869956</v>
      </c>
      <c r="O8" s="34">
        <f>O7</f>
        <v>8.4795867413439974E-2</v>
      </c>
      <c r="R8" s="65">
        <v>2023</v>
      </c>
      <c r="S8" s="84">
        <f t="shared" si="3"/>
        <v>22.972348163869956</v>
      </c>
      <c r="T8" s="66"/>
      <c r="U8" s="67">
        <f t="shared" si="4"/>
        <v>22.972348163869956</v>
      </c>
      <c r="W8" s="96">
        <f t="shared" si="5"/>
        <v>-357</v>
      </c>
      <c r="X8" s="98">
        <v>0.10643041822817834</v>
      </c>
    </row>
    <row r="9" spans="1:24" x14ac:dyDescent="0.3">
      <c r="B9" s="22">
        <v>2014</v>
      </c>
      <c r="C9" s="89">
        <f>30481+9604</f>
        <v>40085</v>
      </c>
      <c r="D9" s="89">
        <v>8077</v>
      </c>
      <c r="E9" s="10">
        <f t="shared" si="0"/>
        <v>0.20149681925907448</v>
      </c>
      <c r="F9" s="9">
        <v>458.9</v>
      </c>
      <c r="G9" s="80">
        <f t="shared" si="1"/>
        <v>17.600784484637177</v>
      </c>
      <c r="H9" s="87">
        <v>193.83</v>
      </c>
      <c r="I9" s="11">
        <f t="shared" si="2"/>
        <v>9.0805264843611289E-2</v>
      </c>
      <c r="J9" s="12">
        <f t="shared" si="6"/>
        <v>7.3679747296078624E-2</v>
      </c>
      <c r="M9" s="24">
        <v>2024</v>
      </c>
      <c r="N9" s="82">
        <f t="shared" si="7"/>
        <v>24.920308352948854</v>
      </c>
      <c r="O9" s="34">
        <f t="shared" ref="O9:O15" si="8">O8</f>
        <v>8.4795867413439974E-2</v>
      </c>
      <c r="R9" s="65">
        <v>2024</v>
      </c>
      <c r="S9" s="84">
        <f t="shared" si="3"/>
        <v>24.920308352948854</v>
      </c>
      <c r="T9" s="66"/>
      <c r="U9" s="67">
        <f t="shared" si="4"/>
        <v>24.920308352948854</v>
      </c>
      <c r="W9" s="96">
        <f t="shared" si="5"/>
        <v>-352</v>
      </c>
      <c r="X9" s="98">
        <v>0.10877851305739261</v>
      </c>
    </row>
    <row r="10" spans="1:24" x14ac:dyDescent="0.3">
      <c r="B10" s="22">
        <v>2015</v>
      </c>
      <c r="C10" s="89">
        <f>30756+8452</f>
        <v>39208</v>
      </c>
      <c r="D10" s="89">
        <v>5568</v>
      </c>
      <c r="E10" s="10">
        <f t="shared" si="0"/>
        <v>0.14201183431952663</v>
      </c>
      <c r="F10" s="9">
        <v>448.9</v>
      </c>
      <c r="G10" s="80">
        <f t="shared" si="1"/>
        <v>12.403653374916463</v>
      </c>
      <c r="H10" s="87">
        <v>180.23</v>
      </c>
      <c r="I10" s="11">
        <f t="shared" si="2"/>
        <v>6.8821247155947757E-2</v>
      </c>
      <c r="J10" s="12">
        <f t="shared" si="6"/>
        <v>-0.2952783788845903</v>
      </c>
      <c r="M10" s="24">
        <v>2025</v>
      </c>
      <c r="N10" s="82">
        <f t="shared" si="7"/>
        <v>27.033447515947543</v>
      </c>
      <c r="O10" s="34">
        <f t="shared" si="8"/>
        <v>8.4795867413439974E-2</v>
      </c>
      <c r="R10" s="65">
        <v>2025</v>
      </c>
      <c r="S10" s="84">
        <f t="shared" si="3"/>
        <v>27.033447515947543</v>
      </c>
      <c r="T10" s="66"/>
      <c r="U10" s="67">
        <f t="shared" si="4"/>
        <v>27.033447515947543</v>
      </c>
      <c r="W10" s="96">
        <f t="shared" si="5"/>
        <v>-347</v>
      </c>
      <c r="X10" s="98">
        <v>0.11117270361259202</v>
      </c>
    </row>
    <row r="11" spans="1:24" x14ac:dyDescent="0.3">
      <c r="B11" s="22">
        <v>2016</v>
      </c>
      <c r="C11" s="89">
        <f>28203+9691</f>
        <v>37894</v>
      </c>
      <c r="D11" s="89">
        <v>7087</v>
      </c>
      <c r="E11" s="10">
        <f t="shared" si="0"/>
        <v>0.18702169208845729</v>
      </c>
      <c r="F11" s="9">
        <v>427.4</v>
      </c>
      <c r="G11" s="80">
        <f t="shared" si="1"/>
        <v>16.581656527842771</v>
      </c>
      <c r="H11" s="87">
        <v>239.45</v>
      </c>
      <c r="I11" s="11">
        <f t="shared" si="2"/>
        <v>6.9248930999552191E-2</v>
      </c>
      <c r="J11" s="12">
        <f>G11/G10-1</f>
        <v>0.3368364970094504</v>
      </c>
      <c r="M11" s="24">
        <v>2026</v>
      </c>
      <c r="N11" s="82">
        <f t="shared" si="7"/>
        <v>29.325772147238016</v>
      </c>
      <c r="O11" s="34">
        <f t="shared" si="8"/>
        <v>8.4795867413439974E-2</v>
      </c>
      <c r="R11" s="65">
        <v>2026</v>
      </c>
      <c r="S11" s="84">
        <f t="shared" si="3"/>
        <v>29.325772147238016</v>
      </c>
      <c r="T11" s="66"/>
      <c r="U11" s="67">
        <f t="shared" si="4"/>
        <v>29.325772147238016</v>
      </c>
      <c r="W11" s="96">
        <f t="shared" si="5"/>
        <v>-342</v>
      </c>
      <c r="X11" s="98">
        <v>0.11361469179411632</v>
      </c>
    </row>
    <row r="12" spans="1:24" x14ac:dyDescent="0.3">
      <c r="B12" s="22">
        <v>2017</v>
      </c>
      <c r="C12" s="89">
        <f>29798+13113</f>
        <v>42911</v>
      </c>
      <c r="D12" s="89">
        <v>3685</v>
      </c>
      <c r="E12" s="10">
        <f t="shared" si="0"/>
        <v>8.5875416559856449E-2</v>
      </c>
      <c r="F12" s="9">
        <v>401.6</v>
      </c>
      <c r="G12" s="80">
        <f t="shared" si="1"/>
        <v>9.1757968127490042</v>
      </c>
      <c r="H12" s="87">
        <v>254.76</v>
      </c>
      <c r="I12" s="11">
        <f t="shared" si="2"/>
        <v>3.6017415656888853E-2</v>
      </c>
      <c r="J12" s="12">
        <f t="shared" si="6"/>
        <v>-0.44662966589968611</v>
      </c>
      <c r="M12" s="24">
        <v>2027</v>
      </c>
      <c r="N12" s="82">
        <f t="shared" si="7"/>
        <v>31.812476434031961</v>
      </c>
      <c r="O12" s="34">
        <f t="shared" si="8"/>
        <v>8.4795867413439974E-2</v>
      </c>
      <c r="R12" s="65">
        <v>2027</v>
      </c>
      <c r="S12" s="84">
        <f t="shared" si="3"/>
        <v>31.812476434031961</v>
      </c>
      <c r="T12" s="66"/>
      <c r="U12" s="67">
        <f t="shared" si="4"/>
        <v>31.812476434031961</v>
      </c>
      <c r="W12" s="96">
        <f t="shared" si="5"/>
        <v>-337</v>
      </c>
      <c r="X12" s="98">
        <v>0.11610627229968462</v>
      </c>
    </row>
    <row r="13" spans="1:24" x14ac:dyDescent="0.3">
      <c r="B13" s="22">
        <v>2018</v>
      </c>
      <c r="C13" s="89">
        <f>32849+19679</f>
        <v>52528</v>
      </c>
      <c r="D13" s="89">
        <v>9860</v>
      </c>
      <c r="E13" s="10">
        <f t="shared" si="0"/>
        <v>0.18770941212305817</v>
      </c>
      <c r="F13" s="9">
        <v>385.4</v>
      </c>
      <c r="G13" s="80">
        <f t="shared" si="1"/>
        <v>25.583809029579658</v>
      </c>
      <c r="H13" s="87">
        <v>163.03</v>
      </c>
      <c r="I13" s="11">
        <f t="shared" si="2"/>
        <v>0.15692700134686657</v>
      </c>
      <c r="J13" s="12">
        <f t="shared" si="6"/>
        <v>1.7881839094380436</v>
      </c>
      <c r="M13" s="24">
        <v>2028</v>
      </c>
      <c r="N13" s="82">
        <f t="shared" si="7"/>
        <v>34.510042967825314</v>
      </c>
      <c r="O13" s="34">
        <f t="shared" si="8"/>
        <v>8.4795867413439974E-2</v>
      </c>
      <c r="R13" s="65">
        <v>2028</v>
      </c>
      <c r="S13" s="84">
        <f t="shared" si="3"/>
        <v>34.510042967825314</v>
      </c>
      <c r="T13" s="66"/>
      <c r="U13" s="67">
        <f t="shared" si="4"/>
        <v>34.510042967825314</v>
      </c>
      <c r="W13" s="96">
        <f>W14-5</f>
        <v>-332</v>
      </c>
      <c r="X13" s="98">
        <v>0.11864933931014998</v>
      </c>
    </row>
    <row r="14" spans="1:24" x14ac:dyDescent="0.3">
      <c r="B14" s="22">
        <v>2019</v>
      </c>
      <c r="C14" s="89">
        <f>32184+21738</f>
        <v>53922</v>
      </c>
      <c r="D14" s="89">
        <v>7897</v>
      </c>
      <c r="E14" s="10">
        <f t="shared" si="0"/>
        <v>0.14645228292719112</v>
      </c>
      <c r="F14" s="9">
        <v>371.6</v>
      </c>
      <c r="G14" s="80">
        <f t="shared" si="1"/>
        <v>21.251345532830999</v>
      </c>
      <c r="H14" s="87">
        <v>230.66</v>
      </c>
      <c r="I14" s="11">
        <f t="shared" si="2"/>
        <v>9.21327734883855E-2</v>
      </c>
      <c r="J14" s="12">
        <f t="shared" si="6"/>
        <v>-0.1693439585848816</v>
      </c>
      <c r="M14" s="24">
        <v>2029</v>
      </c>
      <c r="N14" s="82">
        <f t="shared" si="7"/>
        <v>37.436351995757143</v>
      </c>
      <c r="O14" s="34">
        <f t="shared" si="8"/>
        <v>8.4795867413439974E-2</v>
      </c>
      <c r="R14" s="65">
        <v>2029</v>
      </c>
      <c r="S14" s="84">
        <f t="shared" si="3"/>
        <v>37.436351995757143</v>
      </c>
      <c r="T14" s="66"/>
      <c r="U14" s="67">
        <f t="shared" si="4"/>
        <v>37.436351995757143</v>
      </c>
      <c r="W14" s="96">
        <v>-327</v>
      </c>
      <c r="X14" s="98">
        <v>0.12124589388328855</v>
      </c>
    </row>
    <row r="15" spans="1:24" x14ac:dyDescent="0.3">
      <c r="B15" s="22">
        <v>2020</v>
      </c>
      <c r="C15" s="89">
        <f>39809+13689</f>
        <v>53498</v>
      </c>
      <c r="D15" s="89">
        <v>8915</v>
      </c>
      <c r="E15" s="10">
        <f t="shared" si="0"/>
        <v>0.16664174361658379</v>
      </c>
      <c r="F15" s="9">
        <v>356.4</v>
      </c>
      <c r="G15" s="80">
        <f t="shared" si="1"/>
        <v>25.01402918069585</v>
      </c>
      <c r="H15" s="87">
        <v>263.70999999999998</v>
      </c>
      <c r="I15" s="11">
        <f t="shared" si="2"/>
        <v>9.4854306551499193E-2</v>
      </c>
      <c r="J15" s="12">
        <f t="shared" si="6"/>
        <v>0.17705625472287934</v>
      </c>
      <c r="M15" s="24">
        <v>2030</v>
      </c>
      <c r="N15" s="82">
        <f t="shared" si="7"/>
        <v>40.61079993603223</v>
      </c>
      <c r="O15" s="34">
        <f t="shared" si="8"/>
        <v>8.4795867413439974E-2</v>
      </c>
      <c r="R15" s="68">
        <v>2030</v>
      </c>
      <c r="S15" s="85">
        <f t="shared" si="3"/>
        <v>40.61079993603223</v>
      </c>
      <c r="T15" s="69">
        <f>U30</f>
        <v>442.56379602090885</v>
      </c>
      <c r="U15" s="70">
        <f t="shared" si="4"/>
        <v>483.17459595694106</v>
      </c>
      <c r="W15" s="96">
        <f>W14+5</f>
        <v>-322</v>
      </c>
      <c r="X15" s="98">
        <v>0.12389805195047843</v>
      </c>
    </row>
    <row r="16" spans="1:24" x14ac:dyDescent="0.3">
      <c r="B16" s="8"/>
      <c r="C16" s="13"/>
      <c r="D16" s="13"/>
      <c r="E16" s="13"/>
      <c r="F16" s="13"/>
      <c r="G16" s="13"/>
      <c r="H16" s="13"/>
      <c r="I16" s="13"/>
      <c r="J16" s="14"/>
      <c r="M16" s="8"/>
      <c r="N16" s="13"/>
      <c r="O16" s="14"/>
      <c r="R16" s="71"/>
      <c r="S16" s="66"/>
      <c r="T16" s="66"/>
      <c r="U16" s="72"/>
      <c r="W16" s="96">
        <f t="shared" ref="W16:W18" si="9">W15+5</f>
        <v>-317</v>
      </c>
      <c r="X16" s="98">
        <v>0.12660805310276313</v>
      </c>
    </row>
    <row r="17" spans="2:24" x14ac:dyDescent="0.3">
      <c r="B17" s="15"/>
      <c r="C17" s="16">
        <f>(C15/C6)^(1/9)-1</f>
        <v>4.2470067720084881E-2</v>
      </c>
      <c r="D17" s="16">
        <f>(D15/D6)^(1/9)-1</f>
        <v>0.15122668369932168</v>
      </c>
      <c r="E17" s="17">
        <f>AVERAGE(E6:E15)</f>
        <v>0.15494678152570573</v>
      </c>
      <c r="F17" s="16">
        <f>(F15/F6)^(1/9)-1</f>
        <v>-4.2044158815531363E-2</v>
      </c>
      <c r="G17" s="16">
        <f>(G15/G6)^(1/9)-1</f>
        <v>0.20175339426489902</v>
      </c>
      <c r="H17" s="18"/>
      <c r="I17" s="19">
        <f>AVERAGE(I6:I15)</f>
        <v>8.6940214837010185E-2</v>
      </c>
      <c r="J17" s="20">
        <f>AVERAGE(J7:J15)</f>
        <v>0.40571732280065947</v>
      </c>
      <c r="M17" s="32" t="s">
        <v>25</v>
      </c>
      <c r="N17" s="18"/>
      <c r="O17" s="36">
        <f>N15/I17</f>
        <v>467.11179644732528</v>
      </c>
      <c r="R17" s="65" t="s">
        <v>37</v>
      </c>
      <c r="S17" s="66"/>
      <c r="T17" s="66"/>
      <c r="U17" s="73">
        <f>IRR(U6:U15)</f>
        <v>0.12104139131997571</v>
      </c>
      <c r="W17" s="96">
        <f t="shared" si="9"/>
        <v>-312</v>
      </c>
      <c r="X17" s="98">
        <v>0.12937827021419634</v>
      </c>
    </row>
    <row r="18" spans="2:24" x14ac:dyDescent="0.3">
      <c r="B18" s="55"/>
      <c r="C18" s="56"/>
      <c r="D18" s="56"/>
      <c r="E18" s="57"/>
      <c r="F18" s="56"/>
      <c r="G18" s="56"/>
      <c r="H18" s="55"/>
      <c r="I18" s="58"/>
      <c r="J18" s="58"/>
      <c r="M18" s="59"/>
      <c r="N18" s="60"/>
      <c r="O18" s="61"/>
      <c r="R18" s="65" t="s">
        <v>39</v>
      </c>
      <c r="S18" s="66"/>
      <c r="T18" s="66"/>
      <c r="U18" s="74">
        <f>SUM(S6:S15)</f>
        <v>289.31953023849451</v>
      </c>
      <c r="W18" s="96">
        <f t="shared" si="9"/>
        <v>-307</v>
      </c>
      <c r="X18" s="99">
        <v>0.13221122000609653</v>
      </c>
    </row>
    <row r="19" spans="2:24" x14ac:dyDescent="0.3">
      <c r="B19" s="55"/>
      <c r="C19" s="56"/>
      <c r="D19" s="56"/>
      <c r="E19" s="57"/>
      <c r="F19" s="56"/>
      <c r="G19" s="56"/>
      <c r="H19" s="55"/>
      <c r="I19" s="58"/>
      <c r="J19" s="58"/>
      <c r="M19" s="59"/>
      <c r="N19" s="60"/>
      <c r="O19" s="61"/>
      <c r="R19" s="65" t="s">
        <v>38</v>
      </c>
      <c r="S19" s="66"/>
      <c r="T19" s="66"/>
      <c r="U19" s="75">
        <f>+T15+T6</f>
        <v>115.17379602090887</v>
      </c>
    </row>
    <row r="20" spans="2:24" x14ac:dyDescent="0.3">
      <c r="R20" s="65" t="s">
        <v>40</v>
      </c>
      <c r="S20" s="66"/>
      <c r="T20" s="66"/>
      <c r="U20" s="76">
        <f>+U18+U19</f>
        <v>404.49332625940337</v>
      </c>
    </row>
    <row r="21" spans="2:24" x14ac:dyDescent="0.3">
      <c r="B21" s="109" t="s">
        <v>20</v>
      </c>
      <c r="C21" s="109"/>
      <c r="D21" s="109"/>
      <c r="E21" s="109"/>
      <c r="F21" s="109"/>
      <c r="G21" s="109"/>
      <c r="H21" s="109"/>
      <c r="I21" s="109"/>
      <c r="J21" s="109"/>
      <c r="M21" s="109" t="s">
        <v>26</v>
      </c>
      <c r="N21" s="109"/>
      <c r="O21" s="109"/>
      <c r="R21" s="68" t="s">
        <v>41</v>
      </c>
      <c r="S21" s="77"/>
      <c r="T21" s="77"/>
      <c r="U21" s="78">
        <f>-SUM(S6:S15,T15)/T6</f>
        <v>2.2355091061406989</v>
      </c>
    </row>
    <row r="22" spans="2:24" ht="43.2" x14ac:dyDescent="0.3">
      <c r="B22" s="2" t="s">
        <v>1</v>
      </c>
      <c r="C22" s="2" t="s">
        <v>11</v>
      </c>
      <c r="D22" s="3" t="s">
        <v>12</v>
      </c>
      <c r="E22" s="2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M22" s="35" t="s">
        <v>1</v>
      </c>
      <c r="N22" s="3" t="s">
        <v>14</v>
      </c>
      <c r="O22" s="3" t="s">
        <v>16</v>
      </c>
    </row>
    <row r="23" spans="2:24" ht="3.6" customHeight="1" x14ac:dyDescent="0.3"/>
    <row r="24" spans="2:24" x14ac:dyDescent="0.3">
      <c r="B24" s="23">
        <v>2011</v>
      </c>
      <c r="C24" s="88">
        <v>923225</v>
      </c>
      <c r="D24" s="88">
        <v>5468</v>
      </c>
      <c r="E24" s="88">
        <v>852846</v>
      </c>
      <c r="F24" s="90">
        <f>C24-SUM(D24:E24)</f>
        <v>64911</v>
      </c>
      <c r="G24" s="79">
        <f t="shared" ref="G24:G33" si="10">F24/F6</f>
        <v>123.73427373236751</v>
      </c>
      <c r="H24" s="27"/>
      <c r="I24" s="90">
        <f t="shared" ref="I24:I33" si="11">F6*H6</f>
        <v>47439.578000000009</v>
      </c>
      <c r="J24" s="29">
        <f>I24/F24</f>
        <v>0.73084035063394504</v>
      </c>
      <c r="M24" s="23">
        <v>2021</v>
      </c>
      <c r="N24" s="25">
        <f>F33*(1+O24)</f>
        <v>94446.278448832411</v>
      </c>
      <c r="O24" s="33">
        <f>F35</f>
        <v>3.8213459919010706E-2</v>
      </c>
      <c r="R24" s="110" t="s">
        <v>22</v>
      </c>
      <c r="S24" s="111"/>
      <c r="T24" s="111"/>
      <c r="U24" s="112"/>
    </row>
    <row r="25" spans="2:24" x14ac:dyDescent="0.3">
      <c r="B25" s="24">
        <v>2012</v>
      </c>
      <c r="C25" s="89">
        <v>938555</v>
      </c>
      <c r="D25" s="89">
        <v>5099</v>
      </c>
      <c r="E25" s="89">
        <v>862839</v>
      </c>
      <c r="F25" s="91">
        <f t="shared" ref="F25:F32" si="12">C25-SUM(D25:E25)</f>
        <v>70617</v>
      </c>
      <c r="G25" s="80">
        <f t="shared" si="10"/>
        <v>142.31559854897219</v>
      </c>
      <c r="H25" s="28">
        <f>G25/G24-1</f>
        <v>0.15017120362944358</v>
      </c>
      <c r="I25" s="91">
        <f t="shared" si="11"/>
        <v>63295.271999999997</v>
      </c>
      <c r="J25" s="30">
        <f t="shared" ref="J25:J33" si="13">I25/F25</f>
        <v>0.89631777050851769</v>
      </c>
      <c r="M25" s="24">
        <v>2022</v>
      </c>
      <c r="N25" s="26">
        <f>N24*(1+O25)</f>
        <v>98055.39752483659</v>
      </c>
      <c r="O25" s="34">
        <f>O24</f>
        <v>3.8213459919010706E-2</v>
      </c>
      <c r="R25" s="41" t="s">
        <v>23</v>
      </c>
      <c r="S25" s="42"/>
      <c r="T25" s="42"/>
      <c r="U25" s="43">
        <v>327.39</v>
      </c>
      <c r="V25" t="s">
        <v>32</v>
      </c>
    </row>
    <row r="26" spans="2:24" x14ac:dyDescent="0.3">
      <c r="B26" s="24">
        <v>2013</v>
      </c>
      <c r="C26" s="89">
        <v>911507</v>
      </c>
      <c r="D26" s="89">
        <v>4376</v>
      </c>
      <c r="E26" s="89">
        <v>833040</v>
      </c>
      <c r="F26" s="91">
        <f t="shared" si="12"/>
        <v>74091</v>
      </c>
      <c r="G26" s="80">
        <f t="shared" si="10"/>
        <v>157.20560152768937</v>
      </c>
      <c r="H26" s="28">
        <f t="shared" ref="H26:H33" si="14">G26/G25-1</f>
        <v>0.10462664058285487</v>
      </c>
      <c r="I26" s="91">
        <f t="shared" si="11"/>
        <v>83542.637999999992</v>
      </c>
      <c r="J26" s="30">
        <f t="shared" si="13"/>
        <v>1.1275679637202898</v>
      </c>
      <c r="M26" s="24">
        <v>2023</v>
      </c>
      <c r="N26" s="26">
        <f t="shared" ref="N26:N33" si="15">N25*(1+O26)</f>
        <v>101802.4335279946</v>
      </c>
      <c r="O26" s="34">
        <f t="shared" ref="O26:O33" si="16">O25</f>
        <v>3.8213459919010706E-2</v>
      </c>
      <c r="R26" s="44"/>
      <c r="S26" s="42"/>
      <c r="T26" s="42"/>
      <c r="U26" s="45"/>
    </row>
    <row r="27" spans="2:24" x14ac:dyDescent="0.3">
      <c r="B27" s="24">
        <v>2014</v>
      </c>
      <c r="C27" s="89">
        <v>856240</v>
      </c>
      <c r="D27" s="89">
        <v>4160</v>
      </c>
      <c r="E27" s="89">
        <v>773443</v>
      </c>
      <c r="F27" s="91">
        <f t="shared" si="12"/>
        <v>78637</v>
      </c>
      <c r="G27" s="80">
        <f t="shared" si="10"/>
        <v>171.35977337110484</v>
      </c>
      <c r="H27" s="28">
        <f t="shared" si="14"/>
        <v>9.0036052824252755E-2</v>
      </c>
      <c r="I27" s="91">
        <f t="shared" si="11"/>
        <v>88948.587</v>
      </c>
      <c r="J27" s="30">
        <f t="shared" si="13"/>
        <v>1.1311289469333774</v>
      </c>
      <c r="M27" s="24">
        <v>2024</v>
      </c>
      <c r="N27" s="26">
        <f t="shared" si="15"/>
        <v>105692.65674127438</v>
      </c>
      <c r="O27" s="34">
        <f t="shared" si="16"/>
        <v>3.8213459919010706E-2</v>
      </c>
      <c r="R27" s="44"/>
      <c r="S27" s="42"/>
      <c r="T27" s="46" t="s">
        <v>28</v>
      </c>
      <c r="U27" s="47" t="s">
        <v>29</v>
      </c>
    </row>
    <row r="28" spans="2:24" x14ac:dyDescent="0.3">
      <c r="B28" s="24">
        <v>2015</v>
      </c>
      <c r="C28" s="89">
        <v>861395</v>
      </c>
      <c r="D28" s="89">
        <v>4418</v>
      </c>
      <c r="E28" s="89">
        <v>774667</v>
      </c>
      <c r="F28" s="91">
        <f t="shared" si="12"/>
        <v>82310</v>
      </c>
      <c r="G28" s="80">
        <f t="shared" si="10"/>
        <v>183.35932278903988</v>
      </c>
      <c r="H28" s="28">
        <f t="shared" si="14"/>
        <v>7.0025474368177631E-2</v>
      </c>
      <c r="I28" s="91">
        <f t="shared" si="11"/>
        <v>80905.246999999988</v>
      </c>
      <c r="J28" s="30">
        <f t="shared" si="13"/>
        <v>0.98293338597983215</v>
      </c>
      <c r="M28" s="24">
        <v>2025</v>
      </c>
      <c r="N28" s="26">
        <f t="shared" si="15"/>
        <v>109731.53884339082</v>
      </c>
      <c r="O28" s="34">
        <f t="shared" si="16"/>
        <v>3.8213459919010706E-2</v>
      </c>
      <c r="R28" s="48" t="s">
        <v>30</v>
      </c>
      <c r="S28" s="42"/>
      <c r="T28" s="39">
        <v>0.5</v>
      </c>
      <c r="U28" s="49">
        <f>O17</f>
        <v>467.11179644732528</v>
      </c>
    </row>
    <row r="29" spans="2:24" x14ac:dyDescent="0.3">
      <c r="B29" s="24">
        <v>2016</v>
      </c>
      <c r="C29" s="89">
        <v>860165</v>
      </c>
      <c r="D29" s="89">
        <v>4095</v>
      </c>
      <c r="E29" s="89">
        <v>773272</v>
      </c>
      <c r="F29" s="91">
        <f t="shared" si="12"/>
        <v>82798</v>
      </c>
      <c r="G29" s="80">
        <f t="shared" si="10"/>
        <v>193.72484791764157</v>
      </c>
      <c r="H29" s="28">
        <f t="shared" si="14"/>
        <v>5.6531214071550151E-2</v>
      </c>
      <c r="I29" s="91">
        <f t="shared" si="11"/>
        <v>102340.93</v>
      </c>
      <c r="J29" s="30">
        <f t="shared" si="13"/>
        <v>1.2360314258798522</v>
      </c>
      <c r="M29" s="24">
        <v>2026</v>
      </c>
      <c r="N29" s="26">
        <f t="shared" si="15"/>
        <v>113924.76060483411</v>
      </c>
      <c r="O29" s="34">
        <f t="shared" si="16"/>
        <v>3.8213459919010706E-2</v>
      </c>
      <c r="R29" s="48" t="s">
        <v>31</v>
      </c>
      <c r="S29" s="42"/>
      <c r="T29" s="40">
        <v>0.5</v>
      </c>
      <c r="U29" s="50">
        <f>O37</f>
        <v>418.01579559449243</v>
      </c>
    </row>
    <row r="30" spans="2:24" x14ac:dyDescent="0.3">
      <c r="B30" s="24">
        <v>2017</v>
      </c>
      <c r="C30" s="89">
        <v>916776</v>
      </c>
      <c r="D30" s="89">
        <v>4038</v>
      </c>
      <c r="E30" s="89">
        <v>834533</v>
      </c>
      <c r="F30" s="91">
        <f t="shared" si="12"/>
        <v>78205</v>
      </c>
      <c r="G30" s="80">
        <f t="shared" si="10"/>
        <v>194.73356573705178</v>
      </c>
      <c r="H30" s="28">
        <f t="shared" si="14"/>
        <v>5.206961472691729E-3</v>
      </c>
      <c r="I30" s="91">
        <f t="shared" si="11"/>
        <v>102311.61600000001</v>
      </c>
      <c r="J30" s="30">
        <f t="shared" si="13"/>
        <v>1.308249037785308</v>
      </c>
      <c r="M30" s="24">
        <v>2027</v>
      </c>
      <c r="N30" s="26">
        <f t="shared" si="15"/>
        <v>118278.21987798983</v>
      </c>
      <c r="O30" s="34">
        <f t="shared" si="16"/>
        <v>3.8213459919010706E-2</v>
      </c>
      <c r="R30" s="51"/>
      <c r="S30" s="52"/>
      <c r="T30" s="53">
        <v>1</v>
      </c>
      <c r="U30" s="54">
        <f>+SUMPRODUCT(T28:T29,U28:U29)</f>
        <v>442.56379602090885</v>
      </c>
    </row>
    <row r="31" spans="2:24" x14ac:dyDescent="0.3">
      <c r="B31" s="24">
        <v>2018</v>
      </c>
      <c r="C31" s="89">
        <v>931796</v>
      </c>
      <c r="D31" s="89">
        <v>4082</v>
      </c>
      <c r="E31" s="89">
        <v>841611</v>
      </c>
      <c r="F31" s="91">
        <f t="shared" si="12"/>
        <v>86103</v>
      </c>
      <c r="G31" s="80">
        <f t="shared" si="10"/>
        <v>223.41203943954335</v>
      </c>
      <c r="H31" s="28">
        <f t="shared" si="14"/>
        <v>0.14727031569491222</v>
      </c>
      <c r="I31" s="91">
        <f t="shared" si="11"/>
        <v>62831.761999999995</v>
      </c>
      <c r="J31" s="30">
        <f t="shared" si="13"/>
        <v>0.7297279072738464</v>
      </c>
      <c r="M31" s="24">
        <v>2028</v>
      </c>
      <c r="N31" s="26">
        <f t="shared" si="15"/>
        <v>122798.03989258934</v>
      </c>
      <c r="O31" s="34">
        <f t="shared" si="16"/>
        <v>3.8213459919010706E-2</v>
      </c>
    </row>
    <row r="32" spans="2:24" x14ac:dyDescent="0.3">
      <c r="B32" s="24">
        <v>2019</v>
      </c>
      <c r="C32" s="89">
        <v>992968</v>
      </c>
      <c r="D32" s="89">
        <f>4196+641</f>
        <v>4837</v>
      </c>
      <c r="E32" s="89">
        <v>902703</v>
      </c>
      <c r="F32" s="91">
        <f t="shared" si="12"/>
        <v>85428</v>
      </c>
      <c r="G32" s="80">
        <f t="shared" si="10"/>
        <v>229.8923573735199</v>
      </c>
      <c r="H32" s="28">
        <f t="shared" si="14"/>
        <v>2.9006126752314731E-2</v>
      </c>
      <c r="I32" s="91">
        <f t="shared" si="11"/>
        <v>85713.256000000008</v>
      </c>
      <c r="J32" s="30">
        <f t="shared" si="13"/>
        <v>1.0033391393922368</v>
      </c>
      <c r="M32" s="24">
        <v>2029</v>
      </c>
      <c r="N32" s="26">
        <f t="shared" si="15"/>
        <v>127490.57786815788</v>
      </c>
      <c r="O32" s="34">
        <f t="shared" si="16"/>
        <v>3.8213459919010706E-2</v>
      </c>
    </row>
    <row r="33" spans="2:15" x14ac:dyDescent="0.3">
      <c r="B33" s="24">
        <v>2020</v>
      </c>
      <c r="C33" s="89">
        <v>1163028</v>
      </c>
      <c r="D33" s="89">
        <f>4332+630</f>
        <v>4962</v>
      </c>
      <c r="E33" s="89">
        <v>1067096</v>
      </c>
      <c r="F33" s="91">
        <f>C33-SUM(D33:E33)</f>
        <v>90970</v>
      </c>
      <c r="G33" s="80">
        <f t="shared" si="10"/>
        <v>255.24691358024694</v>
      </c>
      <c r="H33" s="28">
        <f t="shared" si="14"/>
        <v>0.11028881732476203</v>
      </c>
      <c r="I33" s="91">
        <f t="shared" si="11"/>
        <v>93986.243999999992</v>
      </c>
      <c r="J33" s="30">
        <f t="shared" si="13"/>
        <v>1.033156469165659</v>
      </c>
      <c r="M33" s="24">
        <v>2030</v>
      </c>
      <c r="N33" s="26">
        <f t="shared" si="15"/>
        <v>132362.43395557423</v>
      </c>
      <c r="O33" s="34">
        <f t="shared" si="16"/>
        <v>3.8213459919010706E-2</v>
      </c>
    </row>
    <row r="34" spans="2:15" x14ac:dyDescent="0.3">
      <c r="B34" s="8"/>
      <c r="C34" s="13"/>
      <c r="D34" s="13"/>
      <c r="E34" s="13"/>
      <c r="F34" s="13"/>
      <c r="G34" s="13"/>
      <c r="H34" s="13"/>
      <c r="I34" s="13"/>
      <c r="J34" s="14"/>
      <c r="M34" s="8"/>
      <c r="N34" s="13"/>
      <c r="O34" s="14"/>
    </row>
    <row r="35" spans="2:15" x14ac:dyDescent="0.3">
      <c r="B35" s="15"/>
      <c r="C35" s="16">
        <f>(C33/C24)^(1/9)-1</f>
        <v>2.598854671741524E-2</v>
      </c>
      <c r="D35" s="18"/>
      <c r="E35" s="18"/>
      <c r="F35" s="16">
        <f>(F33/F24)^(1/9)-1</f>
        <v>3.8213459919010706E-2</v>
      </c>
      <c r="G35" s="93">
        <f>AVERAGE(G24:G33)</f>
        <v>187.49842940171771</v>
      </c>
      <c r="H35" s="19">
        <f>AVERAGE(H24:H33)</f>
        <v>8.4795867413439974E-2</v>
      </c>
      <c r="I35" s="92">
        <f>AVERAGE(I24:I33)</f>
        <v>81131.513000000006</v>
      </c>
      <c r="J35" s="31">
        <f>AVERAGE(J24:J33)</f>
        <v>1.0179292397272863</v>
      </c>
      <c r="M35" s="8" t="s">
        <v>21</v>
      </c>
      <c r="N35" s="13"/>
      <c r="O35" s="37">
        <f>+N33*J35</f>
        <v>134735.59176485083</v>
      </c>
    </row>
    <row r="36" spans="2:15" x14ac:dyDescent="0.3">
      <c r="M36" s="8" t="s">
        <v>24</v>
      </c>
      <c r="N36" s="13"/>
      <c r="O36" s="38">
        <f>+F15*(0.99)^10</f>
        <v>322.32177153313785</v>
      </c>
    </row>
    <row r="37" spans="2:15" x14ac:dyDescent="0.3">
      <c r="M37" s="32" t="s">
        <v>25</v>
      </c>
      <c r="N37" s="18"/>
      <c r="O37" s="36">
        <f>O35/O36</f>
        <v>418.01579559449243</v>
      </c>
    </row>
  </sheetData>
  <mergeCells count="9">
    <mergeCell ref="W3:X3"/>
    <mergeCell ref="B21:J21"/>
    <mergeCell ref="M21:O21"/>
    <mergeCell ref="R24:U24"/>
    <mergeCell ref="A1:C1"/>
    <mergeCell ref="A2:C2"/>
    <mergeCell ref="B3:J3"/>
    <mergeCell ref="M3:O3"/>
    <mergeCell ref="R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</vt:lpstr>
      <vt:lpstr>JPM</vt:lpstr>
      <vt:lpstr>BAC</vt:lpstr>
      <vt:lpstr>WFC</vt:lpstr>
      <vt:lpstr>C</vt:lpstr>
      <vt:lpstr>USB</vt:lpstr>
      <vt:lpstr>COF</vt:lpstr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Lain</dc:creator>
  <cp:lastModifiedBy>Dana Lain</cp:lastModifiedBy>
  <dcterms:created xsi:type="dcterms:W3CDTF">2021-03-19T08:45:04Z</dcterms:created>
  <dcterms:modified xsi:type="dcterms:W3CDTF">2021-03-29T01:44:00Z</dcterms:modified>
</cp:coreProperties>
</file>