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 Lain\Desktop\Github\Roku_Market_Research_Analysis\Spreadsheet\"/>
    </mc:Choice>
  </mc:AlternateContent>
  <xr:revisionPtr revIDLastSave="0" documentId="13_ncr:1_{84C3B627-02F0-472C-A2B9-25852FAAB26B}" xr6:coauthVersionLast="46" xr6:coauthVersionMax="46" xr10:uidLastSave="{00000000-0000-0000-0000-000000000000}"/>
  <bookViews>
    <workbookView xWindow="-108" yWindow="-108" windowWidth="23256" windowHeight="12576" xr2:uid="{008D74CF-67CA-4431-B827-473B1EA43EA6}"/>
  </bookViews>
  <sheets>
    <sheet name="Val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D20" i="1"/>
  <c r="B10" i="1"/>
  <c r="B11" i="1"/>
  <c r="B9" i="1"/>
  <c r="C6" i="1"/>
  <c r="D6" i="1"/>
  <c r="E6" i="1"/>
  <c r="F6" i="1"/>
  <c r="G6" i="1"/>
  <c r="H6" i="1"/>
  <c r="I6" i="1"/>
  <c r="J6" i="1"/>
  <c r="K6" i="1"/>
  <c r="L6" i="1"/>
  <c r="B6" i="1"/>
  <c r="L5" i="1"/>
  <c r="C5" i="1"/>
  <c r="D5" i="1"/>
  <c r="E5" i="1"/>
  <c r="F5" i="1"/>
  <c r="G5" i="1"/>
  <c r="H5" i="1"/>
  <c r="I5" i="1"/>
  <c r="J5" i="1"/>
  <c r="K5" i="1"/>
  <c r="B5" i="1"/>
  <c r="L4" i="1"/>
  <c r="B7" i="1"/>
  <c r="B33" i="1"/>
  <c r="C34" i="1" s="1"/>
  <c r="C29" i="1"/>
  <c r="C4" i="1"/>
  <c r="D4" i="1"/>
  <c r="E4" i="1"/>
  <c r="F4" i="1"/>
  <c r="G4" i="1"/>
  <c r="H4" i="1"/>
  <c r="I4" i="1"/>
  <c r="J4" i="1"/>
  <c r="K4" i="1"/>
  <c r="B4" i="1"/>
  <c r="G16" i="1"/>
  <c r="G15" i="1" s="1"/>
  <c r="D16" i="1"/>
  <c r="E16" i="1"/>
  <c r="F16" i="1"/>
  <c r="C16" i="1"/>
  <c r="C19" i="1"/>
  <c r="D19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D18" i="1"/>
  <c r="E18" i="1"/>
  <c r="B36" i="1" l="1"/>
  <c r="C37" i="1" s="1"/>
  <c r="C38" i="1"/>
  <c r="C40" i="1" s="1"/>
  <c r="H15" i="1"/>
  <c r="I15" i="1" s="1"/>
  <c r="H16" i="1"/>
  <c r="I16" i="1" s="1"/>
  <c r="J16" i="1" s="1"/>
  <c r="K16" i="1" s="1"/>
  <c r="L16" i="1" s="1"/>
  <c r="M16" i="1" s="1"/>
  <c r="N16" i="1" s="1"/>
  <c r="O16" i="1" s="1"/>
  <c r="E19" i="1"/>
  <c r="H19" i="1"/>
  <c r="H20" i="1" s="1"/>
  <c r="G19" i="1"/>
  <c r="F22" i="1"/>
  <c r="F23" i="1" s="1"/>
  <c r="H22" i="1"/>
  <c r="H23" i="1" s="1"/>
  <c r="F19" i="1"/>
  <c r="G22" i="1"/>
  <c r="G23" i="1" s="1"/>
  <c r="J15" i="1" l="1"/>
  <c r="I22" i="1"/>
  <c r="I23" i="1" s="1"/>
  <c r="I19" i="1"/>
  <c r="I20" i="1" s="1"/>
  <c r="K15" i="1" l="1"/>
  <c r="J19" i="1"/>
  <c r="J20" i="1" s="1"/>
  <c r="J22" i="1"/>
  <c r="J23" i="1" s="1"/>
  <c r="L15" i="1" l="1"/>
  <c r="K22" i="1"/>
  <c r="K23" i="1" s="1"/>
  <c r="K19" i="1"/>
  <c r="K20" i="1" s="1"/>
  <c r="M15" i="1" l="1"/>
  <c r="L19" i="1"/>
  <c r="L20" i="1" s="1"/>
  <c r="L22" i="1"/>
  <c r="L23" i="1" s="1"/>
  <c r="N15" i="1" l="1"/>
  <c r="M22" i="1"/>
  <c r="M23" i="1" s="1"/>
  <c r="M19" i="1"/>
  <c r="M20" i="1" s="1"/>
  <c r="O15" i="1" l="1"/>
  <c r="N19" i="1"/>
  <c r="N20" i="1" s="1"/>
  <c r="N22" i="1"/>
  <c r="N23" i="1" s="1"/>
  <c r="O22" i="1" l="1"/>
  <c r="O23" i="1" s="1"/>
  <c r="O19" i="1"/>
  <c r="O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Dana Lain</author>
  </authors>
  <commentList>
    <comment ref="E15" authorId="0" shapeId="0" xr:uid="{E590787E-EA76-43FC-ABD6-678D3A4D903A}">
      <text>
        <r>
          <rPr>
            <b/>
            <sz val="9"/>
            <color indexed="81"/>
            <rFont val="Tahoma"/>
            <family val="2"/>
          </rPr>
          <t>Dana Lain:</t>
        </r>
        <r>
          <rPr>
            <sz val="9"/>
            <color indexed="81"/>
            <rFont val="Tahoma"/>
            <family val="2"/>
          </rPr>
          <t xml:space="preserve">
Yahoo Finance Analyst Revenue estimate</t>
        </r>
      </text>
    </comment>
    <comment ref="F15" authorId="0" shapeId="0" xr:uid="{A48E9F5B-5BB0-4C0E-8797-467D9D4A7F8C}">
      <text>
        <r>
          <rPr>
            <b/>
            <sz val="9"/>
            <color indexed="81"/>
            <rFont val="Tahoma"/>
            <family val="2"/>
          </rPr>
          <t>Dana Lain:</t>
        </r>
        <r>
          <rPr>
            <sz val="9"/>
            <color indexed="81"/>
            <rFont val="Tahoma"/>
            <family val="2"/>
          </rPr>
          <t xml:space="preserve">
Yahoo Finance Analyst Revenue estimate</t>
        </r>
      </text>
    </comment>
    <comment ref="F18" authorId="0" shapeId="0" xr:uid="{11D3CE63-5908-4E9D-A2D9-5E906B690331}">
      <text>
        <r>
          <rPr>
            <b/>
            <sz val="9"/>
            <color indexed="81"/>
            <rFont val="Tahoma"/>
            <family val="2"/>
          </rPr>
          <t>Dana Lain:</t>
        </r>
        <r>
          <rPr>
            <sz val="9"/>
            <color indexed="81"/>
            <rFont val="Tahoma"/>
            <family val="2"/>
          </rPr>
          <t xml:space="preserve"> 
I estimated the growth of active accounts to be the relatively the same as previous year because of the ongoing pandemic as people move over to streaming services.</t>
        </r>
      </text>
    </comment>
    <comment ref="G18" authorId="0" shapeId="0" xr:uid="{AF575595-27BC-41A4-A29F-ABA6D5AA2629}">
      <text>
        <r>
          <rPr>
            <b/>
            <sz val="9"/>
            <color indexed="81"/>
            <rFont val="Tahoma"/>
            <family val="2"/>
          </rPr>
          <t>Dana Lain:</t>
        </r>
        <r>
          <rPr>
            <sz val="9"/>
            <color indexed="81"/>
            <rFont val="Tahoma"/>
            <family val="2"/>
          </rPr>
          <t xml:space="preserve">
As we recover from the pandemic I estimated that the growth rate will adjust back to normal and become consistently average. My conservative estimate is growth rate of 10% from 2025 to 2030 as Roku becomes bigger.</t>
        </r>
      </text>
    </comment>
    <comment ref="J21" authorId="0" shapeId="0" xr:uid="{E313C7C0-A531-4001-BE49-103FB3FBE5C6}">
      <text>
        <r>
          <rPr>
            <b/>
            <sz val="9"/>
            <color indexed="81"/>
            <rFont val="Tahoma"/>
            <family val="2"/>
          </rPr>
          <t>Dana Lain:</t>
        </r>
        <r>
          <rPr>
            <sz val="9"/>
            <color indexed="81"/>
            <rFont val="Tahoma"/>
            <family val="2"/>
          </rPr>
          <t xml:space="preserve">
I assume that the operating margin is 20% as Roku matures.</t>
        </r>
      </text>
    </comment>
    <comment ref="A23" authorId="0" shapeId="0" xr:uid="{D9C77C80-C6E3-409A-8292-289D996059C2}">
      <text>
        <r>
          <rPr>
            <b/>
            <sz val="9"/>
            <color indexed="81"/>
            <rFont val="Tahoma"/>
            <charset val="1"/>
          </rPr>
          <t>Dana Lain:</t>
        </r>
        <r>
          <rPr>
            <sz val="9"/>
            <color indexed="81"/>
            <rFont val="Tahoma"/>
            <charset val="1"/>
          </rPr>
          <t xml:space="preserve">
5%, a stable growth rate for an average company, as a basis of my assumption.</t>
        </r>
      </text>
    </comment>
  </commentList>
</comments>
</file>

<file path=xl/sharedStrings.xml><?xml version="1.0" encoding="utf-8"?>
<sst xmlns="http://schemas.openxmlformats.org/spreadsheetml/2006/main" count="39" uniqueCount="37">
  <si>
    <t>Free Cash Flow</t>
  </si>
  <si>
    <t>Discount Factor</t>
  </si>
  <si>
    <t>PV of Future Cash Flow</t>
  </si>
  <si>
    <t>Today's Value</t>
  </si>
  <si>
    <t>Shares Outstanding</t>
  </si>
  <si>
    <t>Year</t>
  </si>
  <si>
    <t>Active Accounts</t>
  </si>
  <si>
    <t>ARPU</t>
  </si>
  <si>
    <t>Active Accounts Growth</t>
  </si>
  <si>
    <t>ARPU Growth</t>
  </si>
  <si>
    <t>Operating Margin</t>
  </si>
  <si>
    <t>Period</t>
  </si>
  <si>
    <t>Free Cash Flow Calculation (in Thousands)</t>
  </si>
  <si>
    <t>Net operating margin</t>
  </si>
  <si>
    <t xml:space="preserve">Revenue </t>
  </si>
  <si>
    <t xml:space="preserve">Revenue Growth </t>
  </si>
  <si>
    <t>Required Rate of Return</t>
  </si>
  <si>
    <t>Risk Free Rate (10 year treasury note)</t>
  </si>
  <si>
    <t>Beta</t>
  </si>
  <si>
    <t>Market Expected Return</t>
  </si>
  <si>
    <t>Cost of Equity</t>
  </si>
  <si>
    <t>Interest Expense</t>
  </si>
  <si>
    <t>Short/Current LT Debt</t>
  </si>
  <si>
    <t>Long Term Debt</t>
  </si>
  <si>
    <t>Cost of Debt</t>
  </si>
  <si>
    <t>Total Debt</t>
  </si>
  <si>
    <t>Market Cap</t>
  </si>
  <si>
    <t>Total Debt+Equity</t>
  </si>
  <si>
    <t>Weight of Equity</t>
  </si>
  <si>
    <t>Weight of Debt</t>
  </si>
  <si>
    <t>Weighted Average Cost of Capital</t>
  </si>
  <si>
    <t>Tax rate</t>
  </si>
  <si>
    <t>Discounted Cash Flow Valuation (in Thousands)</t>
  </si>
  <si>
    <t>Perpetual Growth Rate</t>
  </si>
  <si>
    <t>Terminal Value</t>
  </si>
  <si>
    <t>∞</t>
  </si>
  <si>
    <t>Fair Value of Price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</si>
</sst>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000000000000%"/>
    <numFmt numFmtId="167" formatCode="&quot;FCF rate (&quot;\ \5\ &quot;%/year )&quot;"/>
    <numFmt numFmtId="168" formatCode="_(&quot;$&quot;* #,##0_);_(&quot;$&quot;* \(#,##0\);_(&quot;$&quot;* &quot;-&quot;??_);_(@_)"/>
    <numFmt numFmtId="169" formatCode="0.000%"/>
    <numFmt numFmtId="170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166" fontId="0" fillId="0" borderId="0" xfId="0" applyNumberFormat="1"/>
    <xf numFmtId="0" fontId="0" fillId="0" borderId="0" xfId="0" applyBorder="1"/>
    <xf numFmtId="44" fontId="5" fillId="0" borderId="0" xfId="1" applyNumberFormat="1" applyFont="1" applyBorder="1"/>
    <xf numFmtId="9" fontId="5" fillId="2" borderId="0" xfId="2" applyFont="1" applyFill="1" applyBorder="1"/>
    <xf numFmtId="0" fontId="5" fillId="0" borderId="0" xfId="0" applyFont="1" applyBorder="1"/>
    <xf numFmtId="0" fontId="5" fillId="0" borderId="0" xfId="0" applyNumberFormat="1" applyFont="1" applyBorder="1"/>
    <xf numFmtId="1" fontId="5" fillId="0" borderId="0" xfId="0" applyNumberFormat="1" applyFont="1" applyBorder="1"/>
    <xf numFmtId="0" fontId="5" fillId="2" borderId="0" xfId="0" applyFont="1" applyFill="1" applyBorder="1"/>
    <xf numFmtId="165" fontId="5" fillId="2" borderId="0" xfId="2" applyNumberFormat="1" applyFont="1" applyFill="1" applyBorder="1"/>
    <xf numFmtId="9" fontId="5" fillId="2" borderId="0" xfId="0" applyNumberFormat="1" applyFont="1" applyFill="1" applyBorder="1"/>
    <xf numFmtId="44" fontId="5" fillId="0" borderId="0" xfId="1" applyFont="1" applyBorder="1"/>
    <xf numFmtId="9" fontId="5" fillId="0" borderId="0" xfId="0" applyNumberFormat="1" applyFont="1" applyBorder="1"/>
    <xf numFmtId="0" fontId="0" fillId="0" borderId="2" xfId="0" applyBorder="1"/>
    <xf numFmtId="9" fontId="5" fillId="2" borderId="2" xfId="2" applyFont="1" applyFill="1" applyBorder="1"/>
    <xf numFmtId="1" fontId="5" fillId="0" borderId="2" xfId="0" applyNumberFormat="1" applyFont="1" applyBorder="1"/>
    <xf numFmtId="44" fontId="5" fillId="0" borderId="2" xfId="1" applyFont="1" applyBorder="1"/>
    <xf numFmtId="9" fontId="5" fillId="0" borderId="2" xfId="0" applyNumberFormat="1" applyFont="1" applyBorder="1"/>
    <xf numFmtId="0" fontId="0" fillId="0" borderId="3" xfId="0" applyBorder="1"/>
    <xf numFmtId="44" fontId="0" fillId="0" borderId="3" xfId="0" applyNumberFormat="1" applyBorder="1"/>
    <xf numFmtId="44" fontId="0" fillId="0" borderId="4" xfId="0" applyNumberFormat="1" applyBorder="1"/>
    <xf numFmtId="0" fontId="0" fillId="0" borderId="8" xfId="0" applyBorder="1"/>
    <xf numFmtId="0" fontId="0" fillId="2" borderId="8" xfId="0" applyFill="1" applyBorder="1"/>
    <xf numFmtId="0" fontId="0" fillId="0" borderId="4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0" fillId="0" borderId="8" xfId="0" applyFill="1" applyBorder="1"/>
    <xf numFmtId="44" fontId="0" fillId="0" borderId="0" xfId="0" applyNumberFormat="1" applyBorder="1"/>
    <xf numFmtId="44" fontId="0" fillId="0" borderId="2" xfId="0" applyNumberFormat="1" applyBorder="1"/>
    <xf numFmtId="167" fontId="0" fillId="0" borderId="9" xfId="0" applyNumberFormat="1" applyFill="1" applyBorder="1" applyAlignment="1">
      <alignment horizontal="left"/>
    </xf>
    <xf numFmtId="164" fontId="0" fillId="0" borderId="3" xfId="0" applyNumberFormat="1" applyBorder="1"/>
    <xf numFmtId="9" fontId="0" fillId="0" borderId="0" xfId="0" applyNumberFormat="1"/>
    <xf numFmtId="0" fontId="0" fillId="2" borderId="0" xfId="0" applyFill="1" applyBorder="1"/>
    <xf numFmtId="0" fontId="0" fillId="0" borderId="0" xfId="0" applyFill="1" applyBorder="1"/>
    <xf numFmtId="167" fontId="0" fillId="0" borderId="3" xfId="0" applyNumberForma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3" fontId="0" fillId="0" borderId="0" xfId="0" applyNumberFormat="1" applyBorder="1"/>
    <xf numFmtId="168" fontId="5" fillId="0" borderId="0" xfId="1" applyNumberFormat="1" applyFont="1" applyBorder="1"/>
    <xf numFmtId="44" fontId="5" fillId="0" borderId="15" xfId="1" applyNumberFormat="1" applyFont="1" applyBorder="1"/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0" fontId="0" fillId="0" borderId="0" xfId="0" applyNumberFormat="1" applyBorder="1"/>
    <xf numFmtId="168" fontId="0" fillId="0" borderId="0" xfId="1" applyNumberFormat="1" applyFont="1" applyBorder="1"/>
    <xf numFmtId="168" fontId="0" fillId="0" borderId="0" xfId="0" applyNumberFormat="1" applyBorder="1"/>
    <xf numFmtId="168" fontId="0" fillId="0" borderId="2" xfId="0" applyNumberFormat="1" applyBorder="1"/>
    <xf numFmtId="170" fontId="0" fillId="0" borderId="0" xfId="3" applyNumberFormat="1" applyFont="1" applyBorder="1"/>
    <xf numFmtId="2" fontId="0" fillId="0" borderId="0" xfId="1" applyNumberFormat="1" applyFont="1" applyBorder="1"/>
    <xf numFmtId="168" fontId="0" fillId="0" borderId="17" xfId="1" applyNumberFormat="1" applyFont="1" applyBorder="1"/>
    <xf numFmtId="0" fontId="2" fillId="5" borderId="2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2" fontId="0" fillId="0" borderId="2" xfId="0" applyNumberFormat="1" applyBorder="1"/>
    <xf numFmtId="44" fontId="2" fillId="4" borderId="3" xfId="1" applyFont="1" applyFill="1" applyBorder="1"/>
    <xf numFmtId="9" fontId="0" fillId="0" borderId="0" xfId="0" applyNumberFormat="1" applyBorder="1"/>
    <xf numFmtId="10" fontId="0" fillId="0" borderId="2" xfId="0" applyNumberFormat="1" applyBorder="1"/>
    <xf numFmtId="10" fontId="0" fillId="0" borderId="2" xfId="2" applyNumberFormat="1" applyFont="1" applyBorder="1"/>
    <xf numFmtId="169" fontId="0" fillId="0" borderId="2" xfId="2" applyNumberFormat="1" applyFont="1" applyBorder="1"/>
    <xf numFmtId="0" fontId="0" fillId="0" borderId="10" xfId="0" applyBorder="1"/>
    <xf numFmtId="10" fontId="0" fillId="0" borderId="17" xfId="0" applyNumberFormat="1" applyBorder="1"/>
    <xf numFmtId="0" fontId="0" fillId="0" borderId="15" xfId="0" applyBorder="1"/>
    <xf numFmtId="10" fontId="2" fillId="0" borderId="4" xfId="2" applyNumberFormat="1" applyFont="1" applyBorder="1"/>
    <xf numFmtId="0" fontId="0" fillId="0" borderId="21" xfId="0" applyBorder="1"/>
    <xf numFmtId="9" fontId="0" fillId="0" borderId="22" xfId="0" applyNumberFormat="1" applyBorder="1"/>
    <xf numFmtId="0" fontId="0" fillId="5" borderId="16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E99E-A0A9-4B7C-BA87-79AA3E3BB1F4}">
  <dimension ref="A1:Q40"/>
  <sheetViews>
    <sheetView tabSelected="1" topLeftCell="B4" zoomScaleNormal="100" workbookViewId="0">
      <selection activeCell="K24" sqref="K24"/>
    </sheetView>
  </sheetViews>
  <sheetFormatPr defaultRowHeight="14.4" x14ac:dyDescent="0.3"/>
  <cols>
    <col min="1" max="1" width="31.88671875" bestFit="1" customWidth="1"/>
    <col min="2" max="2" width="12" bestFit="1" customWidth="1"/>
    <col min="3" max="3" width="9.5546875" bestFit="1" customWidth="1"/>
    <col min="4" max="4" width="11" bestFit="1" customWidth="1"/>
    <col min="5" max="9" width="13.6640625" bestFit="1" customWidth="1"/>
    <col min="10" max="12" width="14.6640625" bestFit="1" customWidth="1"/>
    <col min="13" max="14" width="15.109375" bestFit="1" customWidth="1"/>
    <col min="15" max="15" width="14.6640625" bestFit="1" customWidth="1"/>
  </cols>
  <sheetData>
    <row r="1" spans="1:17" x14ac:dyDescent="0.3">
      <c r="A1" s="72" t="s">
        <v>32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4"/>
    </row>
    <row r="2" spans="1:17" x14ac:dyDescent="0.3">
      <c r="A2" s="64" t="s">
        <v>11</v>
      </c>
      <c r="B2" s="41">
        <v>1</v>
      </c>
      <c r="C2" s="41">
        <v>2</v>
      </c>
      <c r="D2" s="41">
        <v>3</v>
      </c>
      <c r="E2" s="41">
        <v>4</v>
      </c>
      <c r="F2" s="41">
        <v>5</v>
      </c>
      <c r="G2" s="41">
        <v>6</v>
      </c>
      <c r="H2" s="41">
        <v>7</v>
      </c>
      <c r="I2" s="41">
        <v>8</v>
      </c>
      <c r="J2" s="41">
        <v>9</v>
      </c>
      <c r="K2" s="41">
        <v>10</v>
      </c>
      <c r="L2" s="50" t="s">
        <v>34</v>
      </c>
    </row>
    <row r="3" spans="1:17" x14ac:dyDescent="0.3">
      <c r="A3" s="65" t="s">
        <v>5</v>
      </c>
      <c r="B3" s="42">
        <v>2021</v>
      </c>
      <c r="C3" s="42">
        <v>2022</v>
      </c>
      <c r="D3" s="42">
        <v>2023</v>
      </c>
      <c r="E3" s="42">
        <v>2024</v>
      </c>
      <c r="F3" s="42">
        <v>2025</v>
      </c>
      <c r="G3" s="42">
        <v>2026</v>
      </c>
      <c r="H3" s="42">
        <v>2027</v>
      </c>
      <c r="I3" s="42">
        <v>2028</v>
      </c>
      <c r="J3" s="42">
        <v>2029</v>
      </c>
      <c r="K3" s="42">
        <v>2030</v>
      </c>
      <c r="L3" s="51" t="s">
        <v>35</v>
      </c>
    </row>
    <row r="4" spans="1:17" x14ac:dyDescent="0.3">
      <c r="A4" s="21" t="s">
        <v>0</v>
      </c>
      <c r="B4" s="44">
        <f>F23</f>
        <v>255150</v>
      </c>
      <c r="C4" s="44">
        <f t="shared" ref="C4:K4" si="0">G23</f>
        <v>565123.65955842193</v>
      </c>
      <c r="D4" s="44">
        <f t="shared" si="0"/>
        <v>834449.67167732224</v>
      </c>
      <c r="E4" s="44">
        <f t="shared" si="0"/>
        <v>1232130.7784325876</v>
      </c>
      <c r="F4" s="44">
        <f t="shared" si="0"/>
        <v>2425784.4128722227</v>
      </c>
      <c r="G4" s="44">
        <f t="shared" si="0"/>
        <v>3581862.0803504563</v>
      </c>
      <c r="H4" s="44">
        <f t="shared" si="0"/>
        <v>5288901.9710789528</v>
      </c>
      <c r="I4" s="44">
        <f t="shared" si="0"/>
        <v>7809481.0554363811</v>
      </c>
      <c r="J4" s="44">
        <f t="shared" si="0"/>
        <v>11531314.947548175</v>
      </c>
      <c r="K4" s="49">
        <f t="shared" si="0"/>
        <v>17026896.342489142</v>
      </c>
      <c r="L4" s="46">
        <f>(K4*(1+B8))/(B7-B8)</f>
        <v>125757442.3553085</v>
      </c>
    </row>
    <row r="5" spans="1:17" x14ac:dyDescent="0.3">
      <c r="A5" s="21" t="s">
        <v>1</v>
      </c>
      <c r="B5" s="48">
        <f>(1+$B$7)^B2</f>
        <v>1.1637796095736568</v>
      </c>
      <c r="C5" s="48">
        <f t="shared" ref="C5:K5" si="1">(1+$B$7)^C2</f>
        <v>1.3543829796594129</v>
      </c>
      <c r="D5" s="48">
        <f t="shared" si="1"/>
        <v>1.5762032952812375</v>
      </c>
      <c r="E5" s="48">
        <f t="shared" si="1"/>
        <v>1.8343532555911097</v>
      </c>
      <c r="F5" s="48">
        <f t="shared" si="1"/>
        <v>2.134782915611988</v>
      </c>
      <c r="G5" s="48">
        <f t="shared" si="1"/>
        <v>2.4844168280554317</v>
      </c>
      <c r="H5" s="48">
        <f t="shared" si="1"/>
        <v>2.891313646172573</v>
      </c>
      <c r="I5" s="48">
        <f t="shared" si="1"/>
        <v>3.3648518662977032</v>
      </c>
      <c r="J5" s="48">
        <f t="shared" si="1"/>
        <v>3.9159459912331314</v>
      </c>
      <c r="K5" s="48">
        <f t="shared" si="1"/>
        <v>4.5572980967888199</v>
      </c>
      <c r="L5" s="52">
        <f>K5</f>
        <v>4.5572980967888199</v>
      </c>
    </row>
    <row r="6" spans="1:17" x14ac:dyDescent="0.3">
      <c r="A6" s="21" t="s">
        <v>2</v>
      </c>
      <c r="B6" s="45">
        <f>B4/B5</f>
        <v>219242.54205955076</v>
      </c>
      <c r="C6" s="45">
        <f t="shared" ref="C6:L6" si="2">C4/C5</f>
        <v>417255.43516541662</v>
      </c>
      <c r="D6" s="45">
        <f t="shared" si="2"/>
        <v>529404.85163015325</v>
      </c>
      <c r="E6" s="45">
        <f t="shared" si="2"/>
        <v>671697.65402441018</v>
      </c>
      <c r="F6" s="45">
        <f t="shared" si="2"/>
        <v>1136314.3273876221</v>
      </c>
      <c r="G6" s="45">
        <f t="shared" si="2"/>
        <v>1441731.5322863923</v>
      </c>
      <c r="H6" s="45">
        <f t="shared" si="2"/>
        <v>1829238.4079742539</v>
      </c>
      <c r="I6" s="45">
        <f t="shared" si="2"/>
        <v>2320898.9179155272</v>
      </c>
      <c r="J6" s="45">
        <f t="shared" si="2"/>
        <v>2944707.3512668554</v>
      </c>
      <c r="K6" s="45">
        <f t="shared" si="2"/>
        <v>3736182.2687189798</v>
      </c>
      <c r="L6" s="46">
        <f t="shared" si="2"/>
        <v>27594736.987672623</v>
      </c>
    </row>
    <row r="7" spans="1:17" x14ac:dyDescent="0.3">
      <c r="A7" s="21" t="s">
        <v>16</v>
      </c>
      <c r="B7" s="43">
        <f>C40</f>
        <v>0.16377960957365684</v>
      </c>
      <c r="C7" s="2"/>
      <c r="D7" s="2"/>
      <c r="E7" s="2"/>
      <c r="F7" s="2"/>
      <c r="G7" s="2"/>
      <c r="H7" s="2"/>
      <c r="I7" s="2"/>
      <c r="J7" s="2"/>
      <c r="K7" s="2"/>
      <c r="L7" s="13"/>
    </row>
    <row r="8" spans="1:17" x14ac:dyDescent="0.3">
      <c r="A8" s="21" t="s">
        <v>33</v>
      </c>
      <c r="B8" s="43">
        <v>2.5000000000000001E-2</v>
      </c>
      <c r="C8" s="2"/>
      <c r="D8" s="2"/>
      <c r="E8" s="2"/>
      <c r="F8" s="2"/>
      <c r="G8" s="2"/>
      <c r="H8" s="2"/>
      <c r="I8" s="2"/>
      <c r="J8" s="2"/>
      <c r="K8" s="2"/>
      <c r="L8" s="13"/>
    </row>
    <row r="9" spans="1:17" x14ac:dyDescent="0.3">
      <c r="A9" s="21" t="s">
        <v>3</v>
      </c>
      <c r="B9" s="45">
        <f>SUM(B6:L6)</f>
        <v>42841410.276101783</v>
      </c>
      <c r="C9" s="2"/>
      <c r="D9" s="2"/>
      <c r="E9" s="2"/>
      <c r="F9" s="2"/>
      <c r="G9" s="2"/>
      <c r="H9" s="2"/>
      <c r="I9" s="2"/>
      <c r="J9" s="2"/>
      <c r="K9" s="2"/>
      <c r="L9" s="13"/>
    </row>
    <row r="10" spans="1:17" x14ac:dyDescent="0.3">
      <c r="A10" s="21" t="s">
        <v>4</v>
      </c>
      <c r="B10" s="47">
        <f>108986.407+17945.065</f>
        <v>126931.47200000001</v>
      </c>
      <c r="C10" s="2"/>
      <c r="D10" s="2"/>
      <c r="E10" s="2"/>
      <c r="F10" s="2"/>
      <c r="G10" s="2"/>
      <c r="H10" s="2"/>
      <c r="I10" s="2"/>
      <c r="J10" s="2"/>
      <c r="K10" s="2"/>
      <c r="L10" s="13"/>
    </row>
    <row r="11" spans="1:17" ht="15" thickBot="1" x14ac:dyDescent="0.35">
      <c r="A11" s="24" t="s">
        <v>36</v>
      </c>
      <c r="B11" s="53">
        <f>B9/B10</f>
        <v>337.51605965856743</v>
      </c>
      <c r="C11" s="18"/>
      <c r="D11" s="18"/>
      <c r="E11" s="18"/>
      <c r="F11" s="18"/>
      <c r="G11" s="18"/>
      <c r="H11" s="18"/>
      <c r="I11" s="18"/>
      <c r="J11" s="18"/>
      <c r="K11" s="18"/>
      <c r="L11" s="23"/>
    </row>
    <row r="12" spans="1:17" ht="15" thickBot="1" x14ac:dyDescent="0.35"/>
    <row r="13" spans="1:17" x14ac:dyDescent="0.3">
      <c r="A13" s="66" t="s">
        <v>12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8"/>
    </row>
    <row r="14" spans="1:17" x14ac:dyDescent="0.3">
      <c r="A14" s="25" t="s">
        <v>5</v>
      </c>
      <c r="B14" s="37">
        <v>2017</v>
      </c>
      <c r="C14" s="26">
        <v>2018</v>
      </c>
      <c r="D14" s="26">
        <v>2019</v>
      </c>
      <c r="E14" s="26">
        <v>2020</v>
      </c>
      <c r="F14" s="26">
        <v>2021</v>
      </c>
      <c r="G14" s="26">
        <v>2022</v>
      </c>
      <c r="H14" s="26">
        <v>2023</v>
      </c>
      <c r="I14" s="26">
        <v>2024</v>
      </c>
      <c r="J14" s="26">
        <v>2025</v>
      </c>
      <c r="K14" s="26">
        <v>2026</v>
      </c>
      <c r="L14" s="26">
        <v>2027</v>
      </c>
      <c r="M14" s="26">
        <v>2028</v>
      </c>
      <c r="N14" s="26">
        <v>2029</v>
      </c>
      <c r="O14" s="27">
        <v>2030</v>
      </c>
    </row>
    <row r="15" spans="1:17" x14ac:dyDescent="0.3">
      <c r="A15" s="21" t="s">
        <v>14</v>
      </c>
      <c r="B15" s="39">
        <v>512763</v>
      </c>
      <c r="C15" s="39">
        <v>742506</v>
      </c>
      <c r="D15" s="39">
        <v>1128921</v>
      </c>
      <c r="E15" s="3">
        <v>1740000</v>
      </c>
      <c r="F15" s="3">
        <v>2430000</v>
      </c>
      <c r="G15" s="3">
        <f>F15*(1+G16)</f>
        <v>3588086.7273550597</v>
      </c>
      <c r="H15" s="3">
        <f t="shared" ref="H15:O15" si="3">G15*(1+H16)</f>
        <v>5298093.153506808</v>
      </c>
      <c r="I15" s="3">
        <f t="shared" si="3"/>
        <v>7823052.5614767456</v>
      </c>
      <c r="J15" s="3">
        <f t="shared" si="3"/>
        <v>11551354.347010583</v>
      </c>
      <c r="K15" s="3">
        <f t="shared" si="3"/>
        <v>17056486.096906934</v>
      </c>
      <c r="L15" s="3">
        <f t="shared" si="3"/>
        <v>25185247.481328346</v>
      </c>
      <c r="M15" s="3">
        <f t="shared" si="3"/>
        <v>37188005.025887527</v>
      </c>
      <c r="N15" s="3">
        <f t="shared" si="3"/>
        <v>54911023.559753209</v>
      </c>
      <c r="O15" s="40">
        <f t="shared" si="3"/>
        <v>81080458.773757815</v>
      </c>
    </row>
    <row r="16" spans="1:17" x14ac:dyDescent="0.3">
      <c r="A16" s="22" t="s">
        <v>15</v>
      </c>
      <c r="B16" s="34"/>
      <c r="C16" s="4">
        <f>(C15-B15)/B15</f>
        <v>0.4480490987064199</v>
      </c>
      <c r="D16" s="4">
        <f t="shared" ref="D16:F16" si="4">(D15-C15)/C15</f>
        <v>0.52042003700980199</v>
      </c>
      <c r="E16" s="4">
        <f t="shared" si="4"/>
        <v>0.54129474073030792</v>
      </c>
      <c r="F16" s="4">
        <f t="shared" si="4"/>
        <v>0.39655172413793105</v>
      </c>
      <c r="G16" s="4">
        <f>SUM(C16:F16)/COUNT(C16:F16)</f>
        <v>0.4765789001461152</v>
      </c>
      <c r="H16" s="4">
        <f>G16</f>
        <v>0.4765789001461152</v>
      </c>
      <c r="I16" s="4">
        <f>H16</f>
        <v>0.4765789001461152</v>
      </c>
      <c r="J16" s="4">
        <f>I16</f>
        <v>0.4765789001461152</v>
      </c>
      <c r="K16" s="4">
        <f>J16</f>
        <v>0.4765789001461152</v>
      </c>
      <c r="L16" s="4">
        <f>K16</f>
        <v>0.4765789001461152</v>
      </c>
      <c r="M16" s="4">
        <f t="shared" ref="M16:N16" si="5">L16</f>
        <v>0.4765789001461152</v>
      </c>
      <c r="N16" s="4">
        <f t="shared" si="5"/>
        <v>0.4765789001461152</v>
      </c>
      <c r="O16" s="14">
        <f>N16</f>
        <v>0.4765789001461152</v>
      </c>
      <c r="Q16" s="33"/>
    </row>
    <row r="17" spans="1:16" x14ac:dyDescent="0.3">
      <c r="A17" s="21" t="s">
        <v>6</v>
      </c>
      <c r="B17" s="2"/>
      <c r="C17" s="5">
        <v>28000</v>
      </c>
      <c r="D17" s="6">
        <v>32300</v>
      </c>
      <c r="E17" s="6">
        <v>46000</v>
      </c>
      <c r="F17" s="7">
        <f>E17*(1+F18)</f>
        <v>64399.999999999993</v>
      </c>
      <c r="G17" s="7">
        <f t="shared" ref="G17:J17" si="6">F17*(1+G18)</f>
        <v>83720</v>
      </c>
      <c r="H17" s="7">
        <f t="shared" si="6"/>
        <v>108836</v>
      </c>
      <c r="I17" s="7">
        <f t="shared" si="6"/>
        <v>130603.2</v>
      </c>
      <c r="J17" s="7">
        <f t="shared" si="6"/>
        <v>156723.84</v>
      </c>
      <c r="K17" s="7">
        <f t="shared" ref="K17" si="7">J17*(1+K18)</f>
        <v>172396.22400000002</v>
      </c>
      <c r="L17" s="7">
        <f t="shared" ref="L17" si="8">K17*(1+L18)</f>
        <v>189635.84640000004</v>
      </c>
      <c r="M17" s="7">
        <f t="shared" ref="M17" si="9">L17*(1+M18)</f>
        <v>208599.43104000005</v>
      </c>
      <c r="N17" s="7">
        <f t="shared" ref="N17" si="10">M17*(1+N18)</f>
        <v>229459.37414400009</v>
      </c>
      <c r="O17" s="15">
        <f t="shared" ref="O17" si="11">N17*(1+O18)</f>
        <v>252405.31155840011</v>
      </c>
    </row>
    <row r="18" spans="1:16" x14ac:dyDescent="0.3">
      <c r="A18" s="22" t="s">
        <v>8</v>
      </c>
      <c r="B18" s="34"/>
      <c r="C18" s="8"/>
      <c r="D18" s="9">
        <f>((D17-C17)/C17)</f>
        <v>0.15357142857142858</v>
      </c>
      <c r="E18" s="9">
        <f>((E17-D17)/D17)</f>
        <v>0.42414860681114552</v>
      </c>
      <c r="F18" s="10">
        <v>0.4</v>
      </c>
      <c r="G18" s="10">
        <v>0.3</v>
      </c>
      <c r="H18" s="4">
        <v>0.3</v>
      </c>
      <c r="I18" s="4">
        <v>0.2</v>
      </c>
      <c r="J18" s="4">
        <v>0.2</v>
      </c>
      <c r="K18" s="4">
        <v>0.1</v>
      </c>
      <c r="L18" s="4">
        <v>0.1</v>
      </c>
      <c r="M18" s="4">
        <v>0.1</v>
      </c>
      <c r="N18" s="4">
        <v>0.1</v>
      </c>
      <c r="O18" s="14">
        <v>0.1</v>
      </c>
    </row>
    <row r="19" spans="1:16" x14ac:dyDescent="0.3">
      <c r="A19" s="21" t="s">
        <v>7</v>
      </c>
      <c r="B19" s="2"/>
      <c r="C19" s="11">
        <f>C15/C17</f>
        <v>26.518071428571428</v>
      </c>
      <c r="D19" s="11">
        <f>D15/D17</f>
        <v>34.951114551083592</v>
      </c>
      <c r="E19" s="11">
        <f t="shared" ref="E19:O19" si="12">E15/E17</f>
        <v>37.826086956521742</v>
      </c>
      <c r="F19" s="11">
        <f t="shared" si="12"/>
        <v>37.732919254658391</v>
      </c>
      <c r="G19" s="11">
        <f t="shared" si="12"/>
        <v>42.858178778727421</v>
      </c>
      <c r="H19" s="11">
        <f t="shared" si="12"/>
        <v>48.679601910276084</v>
      </c>
      <c r="I19" s="11">
        <f t="shared" si="12"/>
        <v>59.899394206855163</v>
      </c>
      <c r="J19" s="11">
        <f t="shared" si="12"/>
        <v>73.705151347813981</v>
      </c>
      <c r="K19" s="11">
        <f t="shared" si="12"/>
        <v>98.937701192961924</v>
      </c>
      <c r="L19" s="11">
        <f t="shared" si="12"/>
        <v>132.80847455498974</v>
      </c>
      <c r="M19" s="11">
        <f t="shared" si="12"/>
        <v>178.27471935317277</v>
      </c>
      <c r="N19" s="11">
        <f t="shared" si="12"/>
        <v>239.30608093305926</v>
      </c>
      <c r="O19" s="16">
        <f t="shared" si="12"/>
        <v>321.23119071128531</v>
      </c>
    </row>
    <row r="20" spans="1:16" x14ac:dyDescent="0.3">
      <c r="A20" s="22" t="s">
        <v>9</v>
      </c>
      <c r="B20" s="34"/>
      <c r="C20" s="8"/>
      <c r="D20" s="4">
        <f>(D19-C19)/C19</f>
        <v>0.3180111775936364</v>
      </c>
      <c r="E20" s="4">
        <f t="shared" ref="E20:O20" si="13">(E19-D19)/D19</f>
        <v>8.2256959251933701E-2</v>
      </c>
      <c r="F20" s="4">
        <f t="shared" si="13"/>
        <v>-2.4630541871920315E-3</v>
      </c>
      <c r="G20" s="4">
        <f t="shared" si="13"/>
        <v>0.13582992318931911</v>
      </c>
      <c r="H20" s="4">
        <f t="shared" si="13"/>
        <v>0.13582992318931936</v>
      </c>
      <c r="I20" s="4">
        <f t="shared" si="13"/>
        <v>0.23048241678842946</v>
      </c>
      <c r="J20" s="4">
        <f t="shared" si="13"/>
        <v>0.23048241678842929</v>
      </c>
      <c r="K20" s="4">
        <f t="shared" si="13"/>
        <v>0.34234445467828639</v>
      </c>
      <c r="L20" s="4">
        <f t="shared" si="13"/>
        <v>0.34234445467828661</v>
      </c>
      <c r="M20" s="4">
        <f t="shared" si="13"/>
        <v>0.34234445467828634</v>
      </c>
      <c r="N20" s="4">
        <f t="shared" si="13"/>
        <v>0.34234445467828645</v>
      </c>
      <c r="O20" s="14">
        <f t="shared" si="13"/>
        <v>0.34234445467828639</v>
      </c>
    </row>
    <row r="21" spans="1:16" x14ac:dyDescent="0.3">
      <c r="A21" s="21" t="s">
        <v>10</v>
      </c>
      <c r="B21" s="2"/>
      <c r="C21" s="5"/>
      <c r="D21" s="5"/>
      <c r="E21" s="5"/>
      <c r="F21" s="12">
        <v>0.1</v>
      </c>
      <c r="G21" s="12">
        <v>0.15</v>
      </c>
      <c r="H21" s="12">
        <v>0.15</v>
      </c>
      <c r="I21" s="12">
        <v>0.15</v>
      </c>
      <c r="J21" s="12">
        <v>0.2</v>
      </c>
      <c r="K21" s="12">
        <v>0.2</v>
      </c>
      <c r="L21" s="12">
        <v>0.2</v>
      </c>
      <c r="M21" s="12">
        <v>0.2</v>
      </c>
      <c r="N21" s="12">
        <v>0.2</v>
      </c>
      <c r="O21" s="17">
        <v>0.2</v>
      </c>
    </row>
    <row r="22" spans="1:16" x14ac:dyDescent="0.3">
      <c r="A22" s="28" t="s">
        <v>13</v>
      </c>
      <c r="B22" s="35"/>
      <c r="C22" s="2"/>
      <c r="D22" s="2"/>
      <c r="E22" s="2"/>
      <c r="F22" s="29">
        <f t="shared" ref="F22:O22" si="14">F15*F21</f>
        <v>243000</v>
      </c>
      <c r="G22" s="29">
        <f t="shared" si="14"/>
        <v>538213.00910325896</v>
      </c>
      <c r="H22" s="29">
        <f t="shared" si="14"/>
        <v>794713.97302602115</v>
      </c>
      <c r="I22" s="29">
        <f t="shared" si="14"/>
        <v>1173457.8842215119</v>
      </c>
      <c r="J22" s="29">
        <f t="shared" si="14"/>
        <v>2310270.8694021166</v>
      </c>
      <c r="K22" s="29">
        <f t="shared" si="14"/>
        <v>3411297.2193813869</v>
      </c>
      <c r="L22" s="29">
        <f t="shared" si="14"/>
        <v>5037049.4962656694</v>
      </c>
      <c r="M22" s="29">
        <f t="shared" si="14"/>
        <v>7437601.0051775053</v>
      </c>
      <c r="N22" s="29">
        <f t="shared" si="14"/>
        <v>10982204.711950643</v>
      </c>
      <c r="O22" s="30">
        <f t="shared" si="14"/>
        <v>16216091.754751563</v>
      </c>
    </row>
    <row r="23" spans="1:16" ht="15" thickBot="1" x14ac:dyDescent="0.35">
      <c r="A23" s="31">
        <v>0.05</v>
      </c>
      <c r="B23" s="36"/>
      <c r="C23" s="18"/>
      <c r="D23" s="18"/>
      <c r="E23" s="32"/>
      <c r="F23" s="19">
        <f>F22*(1+$A$23)</f>
        <v>255150</v>
      </c>
      <c r="G23" s="19">
        <f t="shared" ref="G23:O23" si="15">G22*(1+$A$23)</f>
        <v>565123.65955842193</v>
      </c>
      <c r="H23" s="19">
        <f t="shared" si="15"/>
        <v>834449.67167732224</v>
      </c>
      <c r="I23" s="19">
        <f t="shared" si="15"/>
        <v>1232130.7784325876</v>
      </c>
      <c r="J23" s="19">
        <f t="shared" si="15"/>
        <v>2425784.4128722227</v>
      </c>
      <c r="K23" s="19">
        <f t="shared" si="15"/>
        <v>3581862.0803504563</v>
      </c>
      <c r="L23" s="19">
        <f t="shared" si="15"/>
        <v>5288901.9710789528</v>
      </c>
      <c r="M23" s="19">
        <f t="shared" si="15"/>
        <v>7809481.0554363811</v>
      </c>
      <c r="N23" s="19">
        <f t="shared" si="15"/>
        <v>11531314.947548175</v>
      </c>
      <c r="O23" s="20">
        <f t="shared" si="15"/>
        <v>17026896.342489142</v>
      </c>
      <c r="P23" s="29"/>
    </row>
    <row r="24" spans="1:16" ht="15" thickBot="1" x14ac:dyDescent="0.35">
      <c r="N24" s="29"/>
    </row>
    <row r="25" spans="1:16" x14ac:dyDescent="0.3">
      <c r="A25" s="69" t="s">
        <v>16</v>
      </c>
      <c r="B25" s="70"/>
      <c r="C25" s="71"/>
      <c r="D25" s="1"/>
      <c r="N25" s="29"/>
    </row>
    <row r="26" spans="1:16" x14ac:dyDescent="0.3">
      <c r="A26" s="58" t="s">
        <v>17</v>
      </c>
      <c r="B26" s="59">
        <v>1.04E-2</v>
      </c>
      <c r="C26" s="60"/>
    </row>
    <row r="27" spans="1:16" x14ac:dyDescent="0.3">
      <c r="A27" s="21" t="s">
        <v>19</v>
      </c>
      <c r="B27" s="54">
        <v>0.09</v>
      </c>
      <c r="C27" s="13"/>
    </row>
    <row r="28" spans="1:16" x14ac:dyDescent="0.3">
      <c r="A28" s="21" t="s">
        <v>18</v>
      </c>
      <c r="B28" s="2">
        <v>1.93</v>
      </c>
      <c r="C28" s="13"/>
    </row>
    <row r="29" spans="1:16" x14ac:dyDescent="0.3">
      <c r="A29" s="21" t="s">
        <v>20</v>
      </c>
      <c r="B29" s="2"/>
      <c r="C29" s="55">
        <f>B26+(B28*(B27-B26))</f>
        <v>0.16402800000000001</v>
      </c>
    </row>
    <row r="30" spans="1:16" x14ac:dyDescent="0.3">
      <c r="A30" s="21" t="s">
        <v>21</v>
      </c>
      <c r="B30" s="47">
        <v>2670</v>
      </c>
      <c r="C30" s="13"/>
    </row>
    <row r="31" spans="1:16" x14ac:dyDescent="0.3">
      <c r="A31" s="21" t="s">
        <v>22</v>
      </c>
      <c r="B31" s="47">
        <v>4872</v>
      </c>
      <c r="C31" s="13"/>
    </row>
    <row r="32" spans="1:16" x14ac:dyDescent="0.3">
      <c r="A32" s="21" t="s">
        <v>23</v>
      </c>
      <c r="B32" s="47">
        <v>91087</v>
      </c>
      <c r="C32" s="13"/>
    </row>
    <row r="33" spans="1:3" x14ac:dyDescent="0.3">
      <c r="A33" s="21" t="s">
        <v>25</v>
      </c>
      <c r="B33" s="47">
        <f>B32+B31</f>
        <v>95959</v>
      </c>
      <c r="C33" s="13"/>
    </row>
    <row r="34" spans="1:3" x14ac:dyDescent="0.3">
      <c r="A34" s="21" t="s">
        <v>24</v>
      </c>
      <c r="B34" s="2"/>
      <c r="C34" s="56">
        <f>(B30/B33)</f>
        <v>2.7824383330380682E-2</v>
      </c>
    </row>
    <row r="35" spans="1:3" x14ac:dyDescent="0.3">
      <c r="A35" s="21" t="s">
        <v>26</v>
      </c>
      <c r="B35" s="38">
        <v>54780000</v>
      </c>
      <c r="C35" s="13"/>
    </row>
    <row r="36" spans="1:3" x14ac:dyDescent="0.3">
      <c r="A36" s="21" t="s">
        <v>27</v>
      </c>
      <c r="B36" s="38">
        <f>B33+B35</f>
        <v>54875959</v>
      </c>
      <c r="C36" s="13"/>
    </row>
    <row r="37" spans="1:3" x14ac:dyDescent="0.3">
      <c r="A37" s="21" t="s">
        <v>28</v>
      </c>
      <c r="B37" s="2"/>
      <c r="C37" s="57">
        <f>B35/B36</f>
        <v>0.99825134718830155</v>
      </c>
    </row>
    <row r="38" spans="1:3" x14ac:dyDescent="0.3">
      <c r="A38" s="21" t="s">
        <v>29</v>
      </c>
      <c r="B38" s="2"/>
      <c r="C38" s="57">
        <f>B33/B36</f>
        <v>1.7486528116984707E-3</v>
      </c>
    </row>
    <row r="39" spans="1:3" ht="15" thickBot="1" x14ac:dyDescent="0.35">
      <c r="A39" s="21" t="s">
        <v>31</v>
      </c>
      <c r="B39" s="63">
        <v>0.21</v>
      </c>
      <c r="C39" s="62"/>
    </row>
    <row r="40" spans="1:3" ht="15.6" thickTop="1" thickBot="1" x14ac:dyDescent="0.35">
      <c r="A40" s="24" t="s">
        <v>30</v>
      </c>
      <c r="B40" s="18"/>
      <c r="C40" s="61">
        <f>(C38*C34*(1-B39))+(C37*C29)</f>
        <v>0.16377960957365684</v>
      </c>
    </row>
  </sheetData>
  <mergeCells count="3">
    <mergeCell ref="A13:O13"/>
    <mergeCell ref="A25:C25"/>
    <mergeCell ref="A1:L1"/>
  </mergeCells>
  <pageMargins left="0.7" right="0.7" top="0.75" bottom="0.75" header="0.3" footer="0.3"/>
  <pageSetup orientation="portrait" verticalDpi="0" r:id="rId1"/>
  <ignoredErrors>
    <ignoredError sqref="G16 H16:O16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Lain</dc:creator>
  <cp:lastModifiedBy>Dana Lain</cp:lastModifiedBy>
  <dcterms:created xsi:type="dcterms:W3CDTF">2021-01-25T01:18:42Z</dcterms:created>
  <dcterms:modified xsi:type="dcterms:W3CDTF">2021-01-26T01:48:36Z</dcterms:modified>
</cp:coreProperties>
</file>