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5210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1" i="1" l="1"/>
  <c r="G16" i="1"/>
  <c r="G15" i="1"/>
  <c r="G14" i="1"/>
  <c r="G13" i="1"/>
  <c r="D6" i="1" l="1"/>
  <c r="F6" i="1"/>
  <c r="F5" i="1"/>
  <c r="F4" i="1"/>
  <c r="C4" i="1"/>
  <c r="E4" i="1" s="1"/>
  <c r="C5" i="1"/>
  <c r="E5" i="1" s="1"/>
  <c r="D3" i="1"/>
  <c r="D2" i="1"/>
  <c r="G5" i="1" l="1"/>
  <c r="G4" i="1"/>
  <c r="C6" i="1"/>
  <c r="E6" i="1" s="1"/>
  <c r="G6" i="1" l="1"/>
  <c r="D11" i="1"/>
  <c r="C11" i="1"/>
  <c r="E11" i="1" s="1"/>
  <c r="G9" i="1"/>
  <c r="B10" i="1"/>
  <c r="G10" i="1" s="1"/>
  <c r="B7" i="1"/>
  <c r="B8" i="1" s="1"/>
  <c r="G8" i="1" s="1"/>
  <c r="B3" i="1"/>
  <c r="F3" i="1"/>
  <c r="C3" i="1"/>
  <c r="E3" i="1" s="1"/>
  <c r="B2" i="1"/>
  <c r="F2" i="1"/>
  <c r="C2" i="1"/>
  <c r="E2" i="1" s="1"/>
  <c r="G2" i="1" s="1"/>
  <c r="G7" i="1" l="1"/>
  <c r="G11" i="1"/>
  <c r="G3" i="1"/>
  <c r="G18" i="1" l="1"/>
  <c r="G17" i="1"/>
</calcChain>
</file>

<file path=xl/sharedStrings.xml><?xml version="1.0" encoding="utf-8"?>
<sst xmlns="http://schemas.openxmlformats.org/spreadsheetml/2006/main" count="30" uniqueCount="26">
  <si>
    <t>#</t>
  </si>
  <si>
    <t>A (mm^2)</t>
  </si>
  <si>
    <t>L (m)</t>
  </si>
  <si>
    <t>A/L (mm)</t>
  </si>
  <si>
    <r>
      <rPr>
        <sz val="10"/>
        <rFont val="Verdana"/>
      </rPr>
      <t>Load (uW)</t>
    </r>
  </si>
  <si>
    <t>36 AWG Phosphor Bronze - see Lakeshore appendix for data value</t>
  </si>
  <si>
    <t>Thermal Integral (W/mm)</t>
  </si>
  <si>
    <t>Wiring (251 detectors)</t>
  </si>
  <si>
    <t>Wiring (1004 Detectors)</t>
  </si>
  <si>
    <t>Shunts (251 Detectors)</t>
  </si>
  <si>
    <t>Shunts (1004 Detectors)</t>
  </si>
  <si>
    <t>Detectors (251 Detectors)</t>
  </si>
  <si>
    <t>Detectors (1004 Detectors)</t>
  </si>
  <si>
    <t>Spiders</t>
  </si>
  <si>
    <t>kappa is 150 T uW/cm/K</t>
  </si>
  <si>
    <t>251 Total</t>
  </si>
  <si>
    <t>1004 Total</t>
  </si>
  <si>
    <t>BOSE inputs (from 300K)</t>
  </si>
  <si>
    <t>BOSE inputs (from 50K)</t>
  </si>
  <si>
    <t>BOSE inputs (from 4K)</t>
  </si>
  <si>
    <t>Other in-band optical power</t>
  </si>
  <si>
    <t>Series Arrays (251 detectors)</t>
  </si>
  <si>
    <t>Series Arrays (1004 detectors)</t>
  </si>
  <si>
    <t>Mux Chips (251 detectors)</t>
  </si>
  <si>
    <t>Mux Chips (1004 detectors)</t>
  </si>
  <si>
    <t>100 uA Ic, R_dyn = 5 Ohm (see QSP wiki)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</si>
</sst>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0"/>
      <name val="Verdana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Border="1"/>
    <xf numFmtId="164" fontId="1" fillId="0" borderId="0" xfId="0" applyNumberFormat="1" applyFont="1" applyBorder="1"/>
    <xf numFmtId="165" fontId="1" fillId="0" borderId="0" xfId="0" applyNumberFormat="1" applyFont="1" applyBorder="1"/>
    <xf numFmtId="0" fontId="2" fillId="0" borderId="0" xfId="0" applyFont="1" applyBorder="1"/>
    <xf numFmtId="0" fontId="2" fillId="0" borderId="0" xfId="0" applyFon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F15" sqref="F15"/>
    </sheetView>
  </sheetViews>
  <sheetFormatPr defaultRowHeight="15" x14ac:dyDescent="0.25"/>
  <cols>
    <col min="1" max="1" width="24.140625" bestFit="1" customWidth="1"/>
    <col min="2" max="2" width="20.28515625" customWidth="1"/>
    <col min="4" max="4" width="6" bestFit="1" customWidth="1"/>
    <col min="5" max="5" width="9.7109375" bestFit="1" customWidth="1"/>
    <col min="6" max="6" width="25.140625" bestFit="1" customWidth="1"/>
    <col min="7" max="7" width="20.7109375" customWidth="1"/>
  </cols>
  <sheetData>
    <row r="1" spans="1:8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4</v>
      </c>
    </row>
    <row r="2" spans="1:8" x14ac:dyDescent="0.25">
      <c r="A2" s="4" t="s">
        <v>7</v>
      </c>
      <c r="B2" s="1">
        <f>2*90</f>
        <v>180</v>
      </c>
      <c r="C2" s="1">
        <f>PI()*(0.005/2)^2*25.4^2</f>
        <v>1.2667686977437443E-2</v>
      </c>
      <c r="D2" s="1">
        <f>1.04 - 2*(13*2.54/100)</f>
        <v>0.37959999999999994</v>
      </c>
      <c r="E2" s="2">
        <f>(C2/1000^2)/D2*1000</f>
        <v>3.3371145883660284E-5</v>
      </c>
      <c r="F2" s="2">
        <f>(8.8 - 0.11)/1000</f>
        <v>8.6900000000000015E-3</v>
      </c>
      <c r="G2" s="3">
        <f>B2*E2*F2*1000000</f>
        <v>52.199146391221433</v>
      </c>
      <c r="H2" t="s">
        <v>5</v>
      </c>
    </row>
    <row r="3" spans="1:8" x14ac:dyDescent="0.25">
      <c r="A3" s="4" t="s">
        <v>8</v>
      </c>
      <c r="B3" s="1">
        <f>5*90</f>
        <v>450</v>
      </c>
      <c r="C3" s="1">
        <f>PI()*(0.005/2)^2*25.4^2</f>
        <v>1.2667686977437443E-2</v>
      </c>
      <c r="D3" s="1">
        <f>1.04 - 2*(13*2.54/100)</f>
        <v>0.37959999999999994</v>
      </c>
      <c r="E3" s="2">
        <f>(C3/1000^2)/D3*1000</f>
        <v>3.3371145883660284E-5</v>
      </c>
      <c r="F3" s="2">
        <f>(8.8 - 0.11)/1000</f>
        <v>8.6900000000000015E-3</v>
      </c>
      <c r="G3" s="3">
        <f>B3*E3*F3*1000000</f>
        <v>130.49786597805357</v>
      </c>
      <c r="H3" t="s">
        <v>5</v>
      </c>
    </row>
    <row r="4" spans="1:8" x14ac:dyDescent="0.25">
      <c r="A4" s="4" t="s">
        <v>17</v>
      </c>
      <c r="B4">
        <v>4</v>
      </c>
      <c r="C4" s="1">
        <f>PI()*(0.005/2)^2*25.4^2</f>
        <v>1.2667686977437443E-2</v>
      </c>
      <c r="D4" s="1">
        <v>1</v>
      </c>
      <c r="E4" s="2">
        <f>(C4/1000^2)/D4*1000</f>
        <v>1.2667686977437441E-5</v>
      </c>
      <c r="F4">
        <f>(10000-0.11)/1000</f>
        <v>9.9998899999999988</v>
      </c>
      <c r="G4" s="3">
        <f>B4*E4*F4*1000000</f>
        <v>506.70190531522752</v>
      </c>
      <c r="H4" t="s">
        <v>5</v>
      </c>
    </row>
    <row r="5" spans="1:8" x14ac:dyDescent="0.25">
      <c r="A5" s="4" t="s">
        <v>18</v>
      </c>
      <c r="B5">
        <v>4</v>
      </c>
      <c r="C5" s="1">
        <f>PI()*(0.005/2)^2*25.4^2</f>
        <v>1.2667686977437443E-2</v>
      </c>
      <c r="D5" s="1">
        <v>1</v>
      </c>
      <c r="E5" s="2">
        <f>(C5/1000^2)/D5*1000</f>
        <v>1.2667686977437441E-5</v>
      </c>
      <c r="F5">
        <f>(1300-0.11)/1000</f>
        <v>1.29989</v>
      </c>
      <c r="G5" s="3">
        <f>B5*E5*F5*1000000</f>
        <v>65.866398500404628</v>
      </c>
      <c r="H5" t="s">
        <v>5</v>
      </c>
    </row>
    <row r="6" spans="1:8" x14ac:dyDescent="0.25">
      <c r="A6" s="4" t="s">
        <v>19</v>
      </c>
      <c r="B6">
        <v>4</v>
      </c>
      <c r="C6" s="1">
        <f>PI()*(0.005/2)^2*25.4^2</f>
        <v>1.2667686977437443E-2</v>
      </c>
      <c r="D6" s="1">
        <f>12*2.54/100</f>
        <v>0.30480000000000002</v>
      </c>
      <c r="E6" s="2">
        <f>(C6/1000^2)/D6*1000</f>
        <v>4.1560652813114968E-5</v>
      </c>
      <c r="F6">
        <f>(6.5-0.11)/1000</f>
        <v>6.3899999999999998E-3</v>
      </c>
      <c r="G6" s="3">
        <f>B6*E6*F6*1000000</f>
        <v>1.0622902859032186</v>
      </c>
      <c r="H6" t="s">
        <v>5</v>
      </c>
    </row>
    <row r="7" spans="1:8" x14ac:dyDescent="0.25">
      <c r="A7" s="4" t="s">
        <v>9</v>
      </c>
      <c r="B7" s="1">
        <f>8*32</f>
        <v>256</v>
      </c>
      <c r="C7" s="1"/>
      <c r="D7" s="1"/>
      <c r="E7" s="1"/>
      <c r="F7" s="1"/>
      <c r="G7" s="3">
        <f>B7*(0.01)^2*(0.00018)*1000000</f>
        <v>4.6080000000000005</v>
      </c>
    </row>
    <row r="8" spans="1:8" x14ac:dyDescent="0.25">
      <c r="A8" s="4" t="s">
        <v>10</v>
      </c>
      <c r="B8" s="1">
        <f>4*B7</f>
        <v>1024</v>
      </c>
      <c r="C8" s="1"/>
      <c r="D8" s="1"/>
      <c r="E8" s="1"/>
      <c r="F8" s="1"/>
      <c r="G8" s="3">
        <f>B8*(0.01)^2*(0.00018)*1000000</f>
        <v>18.432000000000002</v>
      </c>
    </row>
    <row r="9" spans="1:8" x14ac:dyDescent="0.25">
      <c r="A9" s="4" t="s">
        <v>11</v>
      </c>
      <c r="B9" s="1">
        <v>251</v>
      </c>
      <c r="C9" s="1"/>
      <c r="D9" s="1"/>
      <c r="E9" s="1"/>
      <c r="F9" s="1"/>
      <c r="G9" s="3">
        <f>0.000000001*B9*1000000</f>
        <v>0.251</v>
      </c>
    </row>
    <row r="10" spans="1:8" x14ac:dyDescent="0.25">
      <c r="A10" s="4" t="s">
        <v>12</v>
      </c>
      <c r="B10">
        <f>4*B9</f>
        <v>1004</v>
      </c>
      <c r="G10" s="3">
        <f>0.000000001*B10*1000000</f>
        <v>1.004</v>
      </c>
    </row>
    <row r="11" spans="1:8" x14ac:dyDescent="0.25">
      <c r="A11" s="5" t="s">
        <v>13</v>
      </c>
      <c r="B11">
        <v>16</v>
      </c>
      <c r="C11">
        <f>(0.016*0.1)*(25.4)^2</f>
        <v>1.0322560000000001</v>
      </c>
      <c r="D11">
        <f>1.5*25.4/1000</f>
        <v>3.8099999999999995E-2</v>
      </c>
      <c r="E11" s="2">
        <f>(C11/1000^2)/D11*1000</f>
        <v>2.7093333333333341E-2</v>
      </c>
      <c r="F11">
        <f>170/2.1*(6.4^2.1 - 1^2.1)*0.000001/10</f>
        <v>3.9112042468723401E-4</v>
      </c>
      <c r="G11" s="3">
        <f>B11*E11*F11*1000000</f>
        <v>169.54809663241807</v>
      </c>
      <c r="H11" t="s">
        <v>14</v>
      </c>
    </row>
    <row r="12" spans="1:8" x14ac:dyDescent="0.25">
      <c r="A12" s="5" t="s">
        <v>20</v>
      </c>
      <c r="E12" s="2"/>
      <c r="G12" s="3">
        <v>5.6</v>
      </c>
    </row>
    <row r="13" spans="1:8" x14ac:dyDescent="0.25">
      <c r="A13" s="5" t="s">
        <v>21</v>
      </c>
      <c r="G13" s="6">
        <f>0.02*8</f>
        <v>0.16</v>
      </c>
    </row>
    <row r="14" spans="1:8" x14ac:dyDescent="0.25">
      <c r="A14" s="5" t="s">
        <v>22</v>
      </c>
      <c r="G14" s="6">
        <f>0.02*32</f>
        <v>0.64</v>
      </c>
    </row>
    <row r="15" spans="1:8" x14ac:dyDescent="0.25">
      <c r="A15" s="5" t="s">
        <v>23</v>
      </c>
      <c r="G15" s="6">
        <f>8*5*(0.0001)^2*1000000</f>
        <v>0.39999999999999997</v>
      </c>
      <c r="H15" t="s">
        <v>25</v>
      </c>
    </row>
    <row r="16" spans="1:8" x14ac:dyDescent="0.25">
      <c r="A16" s="5" t="s">
        <v>24</v>
      </c>
      <c r="G16" s="6">
        <f>32*5*(0.0001)^2*1000000</f>
        <v>1.5999999999999999</v>
      </c>
    </row>
    <row r="17" spans="6:7" x14ac:dyDescent="0.25">
      <c r="F17" t="s">
        <v>15</v>
      </c>
      <c r="G17" s="3">
        <f>G2+G7+G9+G11+G4+G12+G13+G15</f>
        <v>739.46814833886697</v>
      </c>
    </row>
    <row r="18" spans="6:7" x14ac:dyDescent="0.25">
      <c r="F18" t="s">
        <v>16</v>
      </c>
      <c r="G18" s="3">
        <f>G3+G8+G10+G11+G4+G12+G14+G16</f>
        <v>834.02386792569916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Dan</dc:creator>
  <cp:lastModifiedBy>Becker, Dan</cp:lastModifiedBy>
  <dcterms:created xsi:type="dcterms:W3CDTF">2013-08-14T02:08:25Z</dcterms:created>
  <dcterms:modified xsi:type="dcterms:W3CDTF">2014-02-26T16:37:46Z</dcterms:modified>
</cp:coreProperties>
</file>