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 userName="Sun, Dan (GenPact)" algorithmName="SHA-512" hashValue="fUrQN0kh1yOr/kgc3CRWa0evKIkMU27waKqFZK3gg6pbAELRxTXmmoSQZ2qwskXGiNOUeBD2+aiEal60ij4TGw==" saltValue="Noi6+VnF1HGwIP9fdlu7Tg==" spinCount="100000"/>
  <workbookPr filterPrivacy="1" codeName="ThisWorkbook" defaultThemeVersion="164011"/>
  <bookViews>
    <workbookView xWindow="0" yWindow="0" windowWidth="22260" windowHeight="12120" activeTab="1"/>
  </bookViews>
  <sheets>
    <sheet name="透视表" sheetId="20" r:id="rId1"/>
    <sheet name="Open order" sheetId="1" r:id="rId2"/>
    <sheet name="张家口" sheetId="21" r:id="rId3"/>
    <sheet name="哈密" sheetId="19" r:id="rId4"/>
    <sheet name="洛阳" sheetId="17" r:id="rId5"/>
    <sheet name="大连" sheetId="15" r:id="rId6"/>
    <sheet name="大丰" sheetId="13" r:id="rId7"/>
    <sheet name="鄂尔多斯" sheetId="18" r:id="rId8"/>
    <sheet name="703" sheetId="16" r:id="rId9"/>
    <sheet name="德州" sheetId="14" r:id="rId10"/>
    <sheet name="乌兰察布" sheetId="22" r:id="rId11"/>
    <sheet name="基础数据" sheetId="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8" hidden="1">'703'!$A$1:$L$16</definedName>
    <definedName name="_xlnm._FilterDatabase" localSheetId="1" hidden="1">'Open order'!$A$1:$O$1</definedName>
    <definedName name="_xlnm._FilterDatabase" localSheetId="6" hidden="1">大丰!$A$1:$N$542</definedName>
    <definedName name="_xlnm._FilterDatabase" localSheetId="5" hidden="1">大连!$A$1:$N$1</definedName>
    <definedName name="_xlnm._FilterDatabase" localSheetId="9" hidden="1">德州!$A$1:$M$258</definedName>
    <definedName name="_xlnm._FilterDatabase" localSheetId="3" hidden="1">哈密!$A$1:$N$1</definedName>
    <definedName name="_xlnm._FilterDatabase" localSheetId="11" hidden="1">基础数据!$F$1:$J$57</definedName>
    <definedName name="_xlnm._FilterDatabase" localSheetId="4" hidden="1">洛阳!$A$1:$N$451</definedName>
    <definedName name="_xlnm._FilterDatabase" localSheetId="2" hidden="1">张家口!$A$1:$N$77</definedName>
    <definedName name="_xlnm.Print_Area" localSheetId="1">'Open order'!$A$1:$N$67</definedName>
    <definedName name="_xlnm.Print_Area" localSheetId="10">乌兰察布!$A:$N</definedName>
    <definedName name="_xlnm.Print_Area" localSheetId="2">张家口!$A:$M</definedName>
  </definedNames>
  <calcPr calcId="162913"/>
  <pivotCaches>
    <pivotCache cacheId="2" r:id="rId18"/>
    <pivotCache cacheId="3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0" i="17" l="1"/>
  <c r="K510" i="17"/>
  <c r="B510" i="17"/>
  <c r="N509" i="17"/>
  <c r="K509" i="17"/>
  <c r="B509" i="17"/>
  <c r="N508" i="17"/>
  <c r="K508" i="17"/>
  <c r="B508" i="17"/>
  <c r="N507" i="17"/>
  <c r="K507" i="17"/>
  <c r="B507" i="17"/>
  <c r="N506" i="17"/>
  <c r="K506" i="17"/>
  <c r="B506" i="17"/>
  <c r="N623" i="13" l="1"/>
  <c r="K623" i="13"/>
  <c r="B623" i="13"/>
  <c r="J24" i="1"/>
  <c r="N622" i="13"/>
  <c r="K622" i="13"/>
  <c r="B622" i="13"/>
  <c r="J31" i="1"/>
  <c r="N621" i="13"/>
  <c r="K621" i="13"/>
  <c r="B621" i="13"/>
  <c r="J32" i="1" l="1"/>
  <c r="K24" i="20" l="1"/>
  <c r="K22" i="20"/>
  <c r="N505" i="17" l="1"/>
  <c r="K505" i="17"/>
  <c r="B505" i="17"/>
  <c r="J33" i="1"/>
  <c r="N504" i="17"/>
  <c r="K504" i="17"/>
  <c r="B504" i="17"/>
  <c r="N503" i="17" l="1"/>
  <c r="K503" i="17"/>
  <c r="B503" i="17"/>
  <c r="N502" i="17"/>
  <c r="K502" i="17"/>
  <c r="B502" i="17"/>
  <c r="J6" i="1"/>
  <c r="N500" i="17"/>
  <c r="K500" i="17"/>
  <c r="B500" i="17"/>
  <c r="N501" i="17"/>
  <c r="K501" i="17"/>
  <c r="I501" i="17"/>
  <c r="B501" i="17"/>
  <c r="J8" i="1"/>
  <c r="I8" i="1"/>
  <c r="N620" i="13" l="1"/>
  <c r="K620" i="13"/>
  <c r="B620" i="13"/>
  <c r="N619" i="13"/>
  <c r="K619" i="13"/>
  <c r="B619" i="13"/>
  <c r="N618" i="13"/>
  <c r="K618" i="13"/>
  <c r="B618" i="13"/>
  <c r="N617" i="13"/>
  <c r="J617" i="13"/>
  <c r="K617" i="13" s="1"/>
  <c r="B617" i="13"/>
  <c r="N616" i="13"/>
  <c r="K616" i="13"/>
  <c r="B616" i="13"/>
  <c r="J23" i="1"/>
  <c r="I23" i="1"/>
  <c r="I79" i="15" l="1"/>
  <c r="B615" i="13" l="1"/>
  <c r="I615" i="13"/>
  <c r="J615" i="13"/>
  <c r="K615" i="13"/>
  <c r="N615" i="13"/>
  <c r="J27" i="1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" i="20"/>
  <c r="N499" i="17" l="1"/>
  <c r="K499" i="17"/>
  <c r="B499" i="17"/>
  <c r="N498" i="17"/>
  <c r="K498" i="17"/>
  <c r="B498" i="17"/>
  <c r="J28" i="1" l="1"/>
  <c r="K28" i="1" s="1"/>
  <c r="J35" i="1"/>
  <c r="N33" i="1"/>
  <c r="K33" i="1"/>
  <c r="B33" i="1"/>
  <c r="N18" i="1"/>
  <c r="J18" i="1"/>
  <c r="K18" i="1" s="1"/>
  <c r="B18" i="1"/>
  <c r="N10" i="1"/>
  <c r="K10" i="1"/>
  <c r="B10" i="1"/>
  <c r="N8" i="1"/>
  <c r="K8" i="1"/>
  <c r="B8" i="1"/>
  <c r="N7" i="1"/>
  <c r="K7" i="1"/>
  <c r="B7" i="1"/>
  <c r="N497" i="17"/>
  <c r="K497" i="17"/>
  <c r="B497" i="17"/>
  <c r="N496" i="17"/>
  <c r="K496" i="17"/>
  <c r="B496" i="17"/>
  <c r="K495" i="17"/>
  <c r="J494" i="17"/>
  <c r="K494" i="17" s="1"/>
  <c r="N493" i="17"/>
  <c r="K493" i="17"/>
  <c r="B493" i="17"/>
  <c r="N492" i="17"/>
  <c r="J492" i="17"/>
  <c r="K492" i="17" s="1"/>
  <c r="B492" i="17"/>
  <c r="N491" i="17"/>
  <c r="K491" i="17"/>
  <c r="B491" i="17"/>
  <c r="N614" i="13" l="1"/>
  <c r="K614" i="13"/>
  <c r="B614" i="13"/>
  <c r="J20" i="1"/>
  <c r="I613" i="13"/>
  <c r="K613" i="13" s="1"/>
  <c r="I20" i="1"/>
  <c r="B489" i="17" l="1"/>
  <c r="N490" i="17"/>
  <c r="K490" i="17"/>
  <c r="B490" i="17"/>
  <c r="N489" i="17"/>
  <c r="K489" i="17"/>
  <c r="J30" i="1" l="1"/>
  <c r="N44" i="1" l="1"/>
  <c r="N43" i="1"/>
  <c r="N78" i="15" l="1"/>
  <c r="K78" i="15"/>
  <c r="B78" i="15"/>
  <c r="N610" i="13" l="1"/>
  <c r="K610" i="13"/>
  <c r="B610" i="13"/>
  <c r="N609" i="13"/>
  <c r="K609" i="13"/>
  <c r="B609" i="13"/>
  <c r="N488" i="17" l="1"/>
  <c r="K488" i="17"/>
  <c r="B488" i="17"/>
  <c r="N487" i="17"/>
  <c r="K487" i="17"/>
  <c r="B487" i="17"/>
  <c r="N608" i="13" l="1"/>
  <c r="K608" i="13"/>
  <c r="B608" i="13"/>
  <c r="N607" i="13"/>
  <c r="K607" i="13"/>
  <c r="B607" i="13"/>
  <c r="N486" i="17" l="1"/>
  <c r="K486" i="17"/>
  <c r="B486" i="17"/>
  <c r="J485" i="17" l="1"/>
  <c r="N485" i="17"/>
  <c r="I485" i="17"/>
  <c r="K485" i="17" s="1"/>
  <c r="B485" i="17"/>
  <c r="N484" i="17"/>
  <c r="K484" i="17"/>
  <c r="B484" i="17"/>
  <c r="N606" i="13" l="1"/>
  <c r="K606" i="13"/>
  <c r="B606" i="13"/>
  <c r="N605" i="13"/>
  <c r="K605" i="13"/>
  <c r="B605" i="13"/>
  <c r="N604" i="13" l="1"/>
  <c r="K604" i="13"/>
  <c r="B604" i="13"/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N64" i="1"/>
  <c r="N63" i="1"/>
  <c r="N62" i="1"/>
  <c r="N61" i="1"/>
  <c r="N60" i="1"/>
  <c r="N59" i="1"/>
  <c r="N58" i="1"/>
  <c r="N57" i="1"/>
  <c r="N56" i="1"/>
  <c r="N55" i="1"/>
  <c r="N54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N483" i="17"/>
  <c r="K483" i="17"/>
  <c r="B483" i="17"/>
  <c r="N482" i="17"/>
  <c r="K482" i="17"/>
  <c r="B482" i="17"/>
  <c r="N603" i="13"/>
  <c r="K603" i="13"/>
  <c r="B603" i="13"/>
  <c r="N53" i="1"/>
  <c r="N52" i="1"/>
  <c r="N51" i="1"/>
  <c r="N50" i="1"/>
  <c r="N49" i="1"/>
  <c r="N48" i="1"/>
  <c r="N47" i="1"/>
  <c r="N46" i="1"/>
  <c r="N45" i="1"/>
  <c r="N42" i="1"/>
  <c r="N41" i="1"/>
  <c r="B50" i="1"/>
  <c r="B49" i="1"/>
  <c r="B48" i="1"/>
  <c r="B47" i="1"/>
  <c r="B46" i="1"/>
  <c r="B45" i="1"/>
  <c r="B44" i="1"/>
  <c r="B43" i="1"/>
  <c r="B42" i="1"/>
  <c r="B41" i="1"/>
  <c r="B24" i="1" l="1"/>
  <c r="J481" i="17" l="1"/>
  <c r="I481" i="17"/>
  <c r="K481" i="17" s="1"/>
  <c r="N481" i="17"/>
  <c r="B481" i="17"/>
  <c r="J9" i="1" l="1"/>
  <c r="N480" i="17"/>
  <c r="K480" i="17"/>
  <c r="B480" i="17"/>
  <c r="I9" i="1"/>
  <c r="N602" i="13"/>
  <c r="K602" i="13"/>
  <c r="B602" i="13"/>
  <c r="N601" i="13"/>
  <c r="K601" i="13"/>
  <c r="B601" i="13"/>
  <c r="B40" i="1"/>
  <c r="B39" i="1"/>
  <c r="B38" i="1"/>
  <c r="B37" i="1"/>
  <c r="N40" i="1" l="1"/>
  <c r="N39" i="1"/>
  <c r="N38" i="1"/>
  <c r="K40" i="1"/>
  <c r="N600" i="13" l="1"/>
  <c r="K600" i="13"/>
  <c r="N599" i="13"/>
  <c r="K599" i="13"/>
  <c r="B599" i="13"/>
  <c r="N598" i="13"/>
  <c r="K598" i="13"/>
  <c r="B598" i="13"/>
  <c r="N479" i="17" l="1"/>
  <c r="K479" i="17"/>
  <c r="B479" i="17"/>
  <c r="N478" i="17"/>
  <c r="K478" i="17"/>
  <c r="B478" i="17"/>
  <c r="N595" i="13"/>
  <c r="K595" i="13"/>
  <c r="B595" i="13"/>
  <c r="N594" i="13"/>
  <c r="K594" i="13"/>
  <c r="B594" i="13"/>
  <c r="N593" i="13" l="1"/>
  <c r="K593" i="13"/>
  <c r="B593" i="13"/>
  <c r="N592" i="13" l="1"/>
  <c r="K592" i="13"/>
  <c r="B592" i="13"/>
  <c r="K39" i="1" l="1"/>
  <c r="K38" i="1"/>
  <c r="K37" i="1"/>
  <c r="K36" i="1"/>
  <c r="K34" i="1"/>
  <c r="K31" i="1"/>
  <c r="K30" i="1"/>
  <c r="K29" i="1"/>
  <c r="K27" i="1"/>
  <c r="K26" i="1"/>
  <c r="K25" i="1"/>
  <c r="K23" i="1"/>
  <c r="K22" i="1"/>
  <c r="K21" i="1"/>
  <c r="K20" i="1"/>
  <c r="K19" i="1"/>
  <c r="K17" i="1"/>
  <c r="K16" i="1"/>
  <c r="K15" i="1"/>
  <c r="K14" i="1"/>
  <c r="K13" i="1"/>
  <c r="K12" i="1"/>
  <c r="K11" i="1"/>
  <c r="K6" i="1"/>
  <c r="K5" i="1"/>
  <c r="K3" i="1"/>
  <c r="K2" i="1"/>
  <c r="N77" i="15" l="1"/>
  <c r="K77" i="15"/>
  <c r="B77" i="15"/>
  <c r="N591" i="13" l="1"/>
  <c r="K591" i="13"/>
  <c r="B591" i="13"/>
  <c r="N590" i="13"/>
  <c r="K590" i="13"/>
  <c r="B590" i="13"/>
  <c r="K32" i="1"/>
  <c r="N477" i="17" l="1"/>
  <c r="K477" i="17"/>
  <c r="B477" i="17"/>
  <c r="N476" i="17"/>
  <c r="K476" i="17"/>
  <c r="B476" i="17"/>
  <c r="K9" i="1"/>
  <c r="N475" i="17"/>
  <c r="K475" i="17"/>
  <c r="B475" i="17"/>
  <c r="N589" i="13" l="1"/>
  <c r="K589" i="13"/>
  <c r="B589" i="13"/>
  <c r="K35" i="1"/>
  <c r="N588" i="13"/>
  <c r="I588" i="13"/>
  <c r="K588" i="13" s="1"/>
  <c r="B588" i="13"/>
  <c r="N587" i="13"/>
  <c r="K587" i="13"/>
  <c r="B587" i="13"/>
  <c r="N586" i="13" l="1"/>
  <c r="K586" i="13"/>
  <c r="B586" i="13"/>
  <c r="N585" i="13"/>
  <c r="J585" i="13"/>
  <c r="K585" i="13" s="1"/>
  <c r="B585" i="13"/>
  <c r="N37" i="1"/>
  <c r="N36" i="1"/>
  <c r="N35" i="1"/>
  <c r="B36" i="1"/>
  <c r="B35" i="1"/>
  <c r="N474" i="17" l="1"/>
  <c r="K474" i="17"/>
  <c r="B474" i="17"/>
  <c r="N473" i="17"/>
  <c r="J473" i="17"/>
  <c r="K473" i="17" s="1"/>
  <c r="B473" i="17"/>
  <c r="N472" i="17" l="1"/>
  <c r="K472" i="17"/>
  <c r="B472" i="17"/>
  <c r="N471" i="17"/>
  <c r="K471" i="17"/>
  <c r="B471" i="17"/>
  <c r="N584" i="13" l="1"/>
  <c r="K584" i="13"/>
  <c r="B584" i="13"/>
  <c r="K24" i="1"/>
  <c r="N583" i="13"/>
  <c r="K583" i="13"/>
  <c r="B583" i="13"/>
  <c r="N582" i="13"/>
  <c r="K582" i="13"/>
  <c r="B582" i="13"/>
  <c r="B34" i="1" l="1"/>
  <c r="N34" i="1"/>
  <c r="N24" i="1" l="1"/>
  <c r="N9" i="1"/>
  <c r="B9" i="1"/>
  <c r="N470" i="17"/>
  <c r="K470" i="17"/>
  <c r="B470" i="17"/>
  <c r="N469" i="17"/>
  <c r="K469" i="17"/>
  <c r="B469" i="17"/>
  <c r="N468" i="17"/>
  <c r="K468" i="17"/>
  <c r="B468" i="17"/>
  <c r="N581" i="13"/>
  <c r="K581" i="13"/>
  <c r="B581" i="13"/>
  <c r="N580" i="13"/>
  <c r="K580" i="13"/>
  <c r="B580" i="13"/>
  <c r="N579" i="13" l="1"/>
  <c r="K579" i="13"/>
  <c r="B579" i="13"/>
  <c r="N578" i="13"/>
  <c r="K578" i="13"/>
  <c r="B578" i="13"/>
  <c r="N467" i="17" l="1"/>
  <c r="K467" i="17"/>
  <c r="B467" i="17"/>
  <c r="N466" i="17"/>
  <c r="K466" i="17"/>
  <c r="B466" i="17"/>
  <c r="N465" i="17"/>
  <c r="K465" i="17"/>
  <c r="B465" i="17"/>
  <c r="N577" i="13" l="1"/>
  <c r="K577" i="13"/>
  <c r="B577" i="13"/>
  <c r="N576" i="13"/>
  <c r="K576" i="13"/>
  <c r="B576" i="13"/>
  <c r="N575" i="13" l="1"/>
  <c r="K575" i="13"/>
  <c r="B575" i="13"/>
  <c r="N464" i="17"/>
  <c r="K464" i="17"/>
  <c r="B464" i="17"/>
  <c r="N463" i="17"/>
  <c r="K463" i="17"/>
  <c r="B463" i="17"/>
  <c r="N574" i="13" l="1"/>
  <c r="K574" i="13"/>
  <c r="B574" i="13"/>
  <c r="N573" i="13"/>
  <c r="K573" i="13"/>
  <c r="B573" i="13"/>
  <c r="N572" i="13" l="1"/>
  <c r="K572" i="13"/>
  <c r="B572" i="13"/>
  <c r="N571" i="13"/>
  <c r="K571" i="13"/>
  <c r="B571" i="13"/>
  <c r="N462" i="17" l="1"/>
  <c r="K462" i="17"/>
  <c r="B462" i="17"/>
  <c r="N461" i="17"/>
  <c r="K461" i="17"/>
  <c r="B461" i="17"/>
  <c r="N460" i="17"/>
  <c r="K460" i="17"/>
  <c r="B460" i="17"/>
  <c r="N459" i="17"/>
  <c r="K459" i="17"/>
  <c r="B459" i="17"/>
  <c r="N458" i="17"/>
  <c r="K458" i="17"/>
  <c r="B458" i="17"/>
  <c r="K569" i="13" l="1"/>
  <c r="N570" i="13"/>
  <c r="K570" i="13"/>
  <c r="B570" i="13"/>
  <c r="N569" i="13"/>
  <c r="B569" i="13"/>
  <c r="N568" i="13" l="1"/>
  <c r="K568" i="13"/>
  <c r="B568" i="13"/>
  <c r="N567" i="13"/>
  <c r="K567" i="13"/>
  <c r="B567" i="13"/>
  <c r="N30" i="1"/>
  <c r="N29" i="1"/>
  <c r="N28" i="1"/>
  <c r="N27" i="1"/>
  <c r="N32" i="1"/>
  <c r="N26" i="1"/>
  <c r="N25" i="1"/>
  <c r="N31" i="1"/>
  <c r="N23" i="1"/>
  <c r="N22" i="1"/>
  <c r="N21" i="1"/>
  <c r="N20" i="1"/>
  <c r="N17" i="1"/>
  <c r="N16" i="1"/>
  <c r="N15" i="1"/>
  <c r="N14" i="1"/>
  <c r="N13" i="1"/>
  <c r="N12" i="1"/>
  <c r="B31" i="1"/>
  <c r="B25" i="1"/>
  <c r="B26" i="1"/>
  <c r="B32" i="1"/>
  <c r="B27" i="1"/>
  <c r="B28" i="1"/>
  <c r="B29" i="1"/>
  <c r="B30" i="1"/>
  <c r="B20" i="1"/>
  <c r="B21" i="1"/>
  <c r="B22" i="1"/>
  <c r="B23" i="1"/>
  <c r="B17" i="1"/>
  <c r="B3" i="1"/>
  <c r="B12" i="1"/>
  <c r="B13" i="1"/>
  <c r="B14" i="1"/>
  <c r="B15" i="1"/>
  <c r="B16" i="1"/>
  <c r="N3" i="1"/>
  <c r="N2" i="1"/>
  <c r="B2" i="1"/>
  <c r="N566" i="13"/>
  <c r="K566" i="13"/>
  <c r="B566" i="13"/>
  <c r="K565" i="13"/>
  <c r="K564" i="13"/>
  <c r="N563" i="13"/>
  <c r="K563" i="13"/>
  <c r="B563" i="13"/>
  <c r="N562" i="13"/>
  <c r="K562" i="13"/>
  <c r="B562" i="13"/>
  <c r="N561" i="13"/>
  <c r="K561" i="13"/>
  <c r="B561" i="13"/>
  <c r="N560" i="13"/>
  <c r="K560" i="13"/>
  <c r="B560" i="13"/>
  <c r="N559" i="13"/>
  <c r="K559" i="13"/>
  <c r="B559" i="13"/>
  <c r="N558" i="13"/>
  <c r="K558" i="13"/>
  <c r="B558" i="13"/>
  <c r="N557" i="13"/>
  <c r="K557" i="13"/>
  <c r="B557" i="13"/>
  <c r="N556" i="13"/>
  <c r="K556" i="13"/>
  <c r="B556" i="13"/>
  <c r="N457" i="17"/>
  <c r="K457" i="17"/>
  <c r="B457" i="17"/>
  <c r="K4" i="1"/>
  <c r="T1" i="1" s="1"/>
  <c r="N456" i="17"/>
  <c r="K456" i="17"/>
  <c r="B456" i="17"/>
  <c r="N455" i="17"/>
  <c r="K455" i="17"/>
  <c r="B455" i="17"/>
  <c r="N454" i="17"/>
  <c r="K454" i="17"/>
  <c r="B454" i="17"/>
  <c r="N453" i="17"/>
  <c r="K453" i="17"/>
  <c r="B453" i="17"/>
  <c r="N452" i="17"/>
  <c r="K452" i="17"/>
  <c r="B452" i="17"/>
  <c r="N553" i="13"/>
  <c r="K553" i="13"/>
  <c r="B553" i="13"/>
  <c r="N552" i="13"/>
  <c r="K552" i="13"/>
  <c r="B552" i="13"/>
  <c r="N551" i="13"/>
  <c r="K551" i="13"/>
  <c r="B551" i="13"/>
  <c r="N550" i="13"/>
  <c r="K550" i="13"/>
  <c r="B550" i="13"/>
  <c r="J549" i="13"/>
  <c r="J548" i="13"/>
  <c r="N549" i="13"/>
  <c r="K549" i="13"/>
  <c r="B549" i="13"/>
  <c r="N548" i="13"/>
  <c r="K548" i="13"/>
  <c r="B548" i="13"/>
  <c r="N547" i="13"/>
  <c r="K547" i="13"/>
  <c r="B547" i="13"/>
  <c r="N544" i="13"/>
  <c r="K544" i="13"/>
  <c r="B544" i="13"/>
  <c r="N546" i="13"/>
  <c r="K546" i="13"/>
  <c r="B546" i="13"/>
  <c r="N545" i="13"/>
  <c r="K545" i="13"/>
  <c r="B545" i="13"/>
  <c r="N543" i="13"/>
  <c r="K543" i="13"/>
  <c r="B543" i="13"/>
  <c r="J540" i="13"/>
  <c r="N542" i="13"/>
  <c r="K542" i="13"/>
  <c r="B542" i="13"/>
  <c r="N541" i="13"/>
  <c r="K541" i="13"/>
  <c r="B541" i="13"/>
  <c r="N540" i="13"/>
  <c r="K540" i="13"/>
  <c r="B540" i="13"/>
  <c r="N539" i="13"/>
  <c r="K539" i="13"/>
  <c r="B539" i="13"/>
  <c r="N538" i="13"/>
  <c r="K538" i="13"/>
  <c r="B538" i="13"/>
  <c r="N537" i="13"/>
  <c r="K537" i="13"/>
  <c r="B537" i="13"/>
  <c r="N536" i="13"/>
  <c r="K536" i="13"/>
  <c r="B536" i="13"/>
  <c r="N535" i="13"/>
  <c r="K535" i="13"/>
  <c r="B535" i="13"/>
  <c r="N534" i="13"/>
  <c r="K534" i="13"/>
  <c r="B534" i="13"/>
  <c r="N533" i="13"/>
  <c r="K533" i="13"/>
  <c r="B533" i="13"/>
  <c r="N532" i="13"/>
  <c r="K532" i="13"/>
  <c r="B532" i="13"/>
  <c r="N451" i="17"/>
  <c r="K451" i="17"/>
  <c r="B451" i="17"/>
  <c r="K450" i="17"/>
  <c r="K449" i="17"/>
  <c r="K447" i="17"/>
  <c r="K448" i="17"/>
  <c r="N526" i="13"/>
  <c r="K526" i="13"/>
  <c r="B526" i="13"/>
  <c r="N531" i="13"/>
  <c r="K531" i="13"/>
  <c r="B531" i="13"/>
  <c r="N530" i="13"/>
  <c r="K530" i="13"/>
  <c r="B530" i="13"/>
  <c r="N529" i="13"/>
  <c r="K529" i="13"/>
  <c r="B529" i="13"/>
  <c r="N528" i="13"/>
  <c r="K528" i="13"/>
  <c r="B528" i="13"/>
  <c r="N527" i="13"/>
  <c r="K527" i="13"/>
  <c r="B527" i="13"/>
  <c r="N525" i="13"/>
  <c r="K525" i="13"/>
  <c r="B525" i="13"/>
  <c r="N524" i="13"/>
  <c r="K524" i="13"/>
  <c r="B524" i="13"/>
  <c r="N523" i="13"/>
  <c r="K523" i="13"/>
  <c r="B523" i="13"/>
  <c r="N522" i="13"/>
  <c r="K522" i="13"/>
  <c r="B522" i="13"/>
  <c r="N521" i="13"/>
  <c r="K521" i="13"/>
  <c r="B521" i="13"/>
  <c r="N520" i="13"/>
  <c r="K520" i="13"/>
  <c r="B520" i="13"/>
  <c r="N519" i="13"/>
  <c r="K519" i="13"/>
  <c r="B519" i="13"/>
  <c r="N518" i="13"/>
  <c r="K518" i="13"/>
  <c r="B518" i="13"/>
  <c r="J517" i="13"/>
  <c r="J516" i="13"/>
  <c r="N517" i="13"/>
  <c r="K517" i="13"/>
  <c r="B517" i="13"/>
  <c r="N516" i="13"/>
  <c r="K516" i="13"/>
  <c r="B516" i="13"/>
  <c r="N515" i="13"/>
  <c r="K515" i="13"/>
  <c r="B515" i="13"/>
  <c r="N514" i="13"/>
  <c r="K514" i="13"/>
  <c r="B514" i="13"/>
  <c r="K513" i="13"/>
  <c r="K512" i="13"/>
  <c r="N511" i="13"/>
  <c r="K511" i="13"/>
  <c r="B511" i="13"/>
  <c r="N510" i="13"/>
  <c r="K510" i="13"/>
  <c r="B510" i="13"/>
  <c r="N509" i="13"/>
  <c r="K509" i="13"/>
  <c r="B509" i="13"/>
  <c r="K508" i="13"/>
  <c r="N508" i="13"/>
  <c r="B508" i="13"/>
  <c r="N507" i="13"/>
  <c r="K507" i="13"/>
  <c r="B507" i="13"/>
  <c r="N506" i="13"/>
  <c r="K506" i="13"/>
  <c r="B506" i="13"/>
  <c r="N505" i="13"/>
  <c r="K505" i="13"/>
  <c r="B505" i="13"/>
  <c r="N504" i="13"/>
  <c r="K504" i="13"/>
  <c r="B504" i="13"/>
  <c r="N503" i="13"/>
  <c r="K503" i="13"/>
  <c r="B503" i="13"/>
  <c r="N76" i="15"/>
  <c r="K76" i="15"/>
  <c r="B76" i="15"/>
  <c r="N446" i="17"/>
  <c r="K446" i="17"/>
  <c r="B446" i="17"/>
  <c r="N445" i="17"/>
  <c r="K445" i="17"/>
  <c r="B445" i="17"/>
  <c r="N444" i="17"/>
  <c r="K444" i="17"/>
  <c r="B444" i="17"/>
  <c r="N502" i="13"/>
  <c r="K502" i="13"/>
  <c r="B502" i="13"/>
  <c r="N501" i="13"/>
  <c r="K501" i="13"/>
  <c r="B501" i="13"/>
  <c r="N75" i="15"/>
  <c r="K75" i="15"/>
  <c r="B75" i="15"/>
  <c r="N499" i="13"/>
  <c r="K499" i="13"/>
  <c r="B499" i="13"/>
  <c r="N498" i="13"/>
  <c r="K498" i="13"/>
  <c r="B498" i="13"/>
  <c r="N443" i="17"/>
  <c r="K443" i="17"/>
  <c r="B443" i="17"/>
  <c r="N442" i="17"/>
  <c r="K442" i="17"/>
  <c r="B442" i="17"/>
  <c r="N440" i="17"/>
  <c r="K440" i="17"/>
  <c r="B440" i="17"/>
  <c r="N497" i="13"/>
  <c r="K497" i="13"/>
  <c r="B497" i="13"/>
  <c r="B496" i="13"/>
  <c r="J496" i="13"/>
  <c r="K496" i="13" s="1"/>
  <c r="N496" i="13"/>
  <c r="N495" i="13"/>
  <c r="K495" i="13"/>
  <c r="B495" i="13"/>
  <c r="N494" i="13"/>
  <c r="K494" i="13"/>
  <c r="B494" i="13"/>
  <c r="N493" i="13"/>
  <c r="K493" i="13"/>
  <c r="B493" i="13"/>
  <c r="N492" i="13"/>
  <c r="K492" i="13"/>
  <c r="B492" i="13"/>
  <c r="N491" i="13"/>
  <c r="K491" i="13"/>
  <c r="B491" i="13"/>
  <c r="N490" i="13"/>
  <c r="K490" i="13"/>
  <c r="B490" i="13"/>
  <c r="N489" i="13"/>
  <c r="K489" i="13"/>
  <c r="B489" i="13"/>
  <c r="N74" i="15"/>
  <c r="K74" i="15"/>
  <c r="B74" i="15"/>
  <c r="N73" i="15"/>
  <c r="K73" i="15"/>
  <c r="B73" i="15"/>
  <c r="B4" i="1"/>
  <c r="N4" i="1"/>
  <c r="B5" i="1"/>
  <c r="N5" i="1"/>
  <c r="B6" i="1"/>
  <c r="N6" i="1"/>
  <c r="N19" i="1"/>
  <c r="B19" i="1"/>
  <c r="N488" i="13"/>
  <c r="K488" i="13"/>
  <c r="B488" i="13"/>
  <c r="N487" i="13"/>
  <c r="K487" i="13"/>
  <c r="B487" i="13"/>
  <c r="N486" i="13"/>
  <c r="K486" i="13"/>
  <c r="B486" i="13"/>
  <c r="K437" i="17"/>
  <c r="N485" i="13"/>
  <c r="K485" i="13"/>
  <c r="B485" i="13"/>
  <c r="N484" i="13"/>
  <c r="K484" i="13"/>
  <c r="B484" i="13"/>
  <c r="N483" i="13"/>
  <c r="K483" i="13"/>
  <c r="B483" i="13"/>
  <c r="N439" i="17"/>
  <c r="K439" i="17"/>
  <c r="B439" i="17"/>
  <c r="K438" i="17"/>
  <c r="N438" i="17"/>
  <c r="B438" i="17"/>
  <c r="N437" i="17"/>
  <c r="B437" i="17"/>
  <c r="B481" i="13"/>
  <c r="I481" i="13"/>
  <c r="K481" i="13" s="1"/>
  <c r="J481" i="13"/>
  <c r="N481" i="13"/>
  <c r="B482" i="13"/>
  <c r="I482" i="13"/>
  <c r="K482" i="13" s="1"/>
  <c r="J482" i="13"/>
  <c r="N482" i="13"/>
  <c r="N436" i="17"/>
  <c r="K436" i="17"/>
  <c r="B436" i="17"/>
  <c r="N435" i="17"/>
  <c r="K435" i="17"/>
  <c r="B435" i="17"/>
  <c r="N480" i="13"/>
  <c r="K480" i="13"/>
  <c r="B480" i="13"/>
  <c r="B479" i="13"/>
  <c r="I479" i="13"/>
  <c r="K479" i="13" s="1"/>
  <c r="J479" i="13"/>
  <c r="N479" i="13"/>
  <c r="N478" i="13"/>
  <c r="K478" i="13"/>
  <c r="B478" i="13"/>
  <c r="N477" i="13"/>
  <c r="K477" i="13"/>
  <c r="B477" i="13"/>
  <c r="N476" i="13"/>
  <c r="K476" i="13"/>
  <c r="B476" i="13"/>
  <c r="N475" i="13"/>
  <c r="K475" i="13"/>
  <c r="B475" i="13"/>
  <c r="N474" i="13"/>
  <c r="K474" i="13"/>
  <c r="B474" i="13"/>
  <c r="N473" i="13"/>
  <c r="K473" i="13"/>
  <c r="B473" i="13"/>
  <c r="B472" i="13"/>
  <c r="N472" i="13"/>
  <c r="B471" i="13"/>
  <c r="K471" i="13"/>
  <c r="N471" i="13"/>
  <c r="N470" i="13"/>
  <c r="K470" i="13"/>
  <c r="B470" i="13"/>
  <c r="B72" i="15"/>
  <c r="K72" i="15"/>
  <c r="N72" i="15"/>
  <c r="N71" i="15"/>
  <c r="K71" i="15"/>
  <c r="B71" i="15"/>
  <c r="N469" i="13"/>
  <c r="K469" i="13"/>
  <c r="B469" i="13"/>
  <c r="N468" i="13"/>
  <c r="K468" i="13"/>
  <c r="B468" i="13"/>
  <c r="N467" i="13"/>
  <c r="K467" i="13"/>
  <c r="B467" i="13"/>
  <c r="B70" i="15"/>
  <c r="I70" i="15"/>
  <c r="K70" i="15" s="1"/>
  <c r="J70" i="15"/>
  <c r="N70" i="15"/>
  <c r="B465" i="13"/>
  <c r="I465" i="13"/>
  <c r="K465" i="13" s="1"/>
  <c r="J465" i="13"/>
  <c r="N465" i="13"/>
  <c r="B466" i="13"/>
  <c r="I466" i="13"/>
  <c r="K466" i="13" s="1"/>
  <c r="J466" i="13"/>
  <c r="N466" i="13"/>
  <c r="N464" i="13"/>
  <c r="K464" i="13"/>
  <c r="B464" i="13"/>
  <c r="N463" i="13"/>
  <c r="K463" i="13"/>
  <c r="B463" i="13"/>
  <c r="N462" i="13"/>
  <c r="K462" i="13"/>
  <c r="B462" i="13"/>
  <c r="B461" i="13"/>
  <c r="J461" i="13"/>
  <c r="K461" i="13" s="1"/>
  <c r="N461" i="13"/>
  <c r="N460" i="13"/>
  <c r="K460" i="13"/>
  <c r="B460" i="13"/>
  <c r="N69" i="15"/>
  <c r="J69" i="15"/>
  <c r="K69" i="15" s="1"/>
  <c r="B69" i="15"/>
  <c r="N459" i="13"/>
  <c r="K459" i="13"/>
  <c r="B459" i="13"/>
  <c r="B455" i="13"/>
  <c r="K455" i="13"/>
  <c r="N455" i="13"/>
  <c r="B456" i="13"/>
  <c r="K456" i="13"/>
  <c r="N456" i="13"/>
  <c r="B457" i="13"/>
  <c r="K457" i="13"/>
  <c r="N457" i="13"/>
  <c r="B458" i="13"/>
  <c r="K458" i="13"/>
  <c r="N458" i="13"/>
  <c r="N454" i="13"/>
  <c r="K454" i="13"/>
  <c r="B454" i="13"/>
  <c r="N453" i="13"/>
  <c r="K453" i="13"/>
  <c r="B453" i="13"/>
  <c r="N452" i="13"/>
  <c r="K452" i="13"/>
  <c r="B452" i="13"/>
  <c r="N451" i="13"/>
  <c r="K451" i="13"/>
  <c r="B451" i="13"/>
  <c r="N68" i="15"/>
  <c r="K68" i="15"/>
  <c r="B68" i="15"/>
  <c r="N450" i="13"/>
  <c r="K450" i="13"/>
  <c r="B450" i="13"/>
  <c r="N449" i="13"/>
  <c r="K449" i="13"/>
  <c r="B449" i="13"/>
  <c r="B448" i="13"/>
  <c r="I448" i="13"/>
  <c r="K448" i="13" s="1"/>
  <c r="J448" i="13"/>
  <c r="N448" i="13"/>
  <c r="N447" i="13"/>
  <c r="K447" i="13"/>
  <c r="B447" i="13"/>
  <c r="N446" i="13"/>
  <c r="K446" i="13"/>
  <c r="B446" i="13"/>
  <c r="N445" i="13"/>
  <c r="K445" i="13"/>
  <c r="B445" i="13"/>
  <c r="N444" i="13"/>
  <c r="K444" i="13"/>
  <c r="B444" i="13"/>
  <c r="B443" i="13"/>
  <c r="K443" i="13"/>
  <c r="N443" i="13"/>
  <c r="B442" i="13"/>
  <c r="K442" i="13"/>
  <c r="N442" i="13"/>
  <c r="B441" i="13"/>
  <c r="J441" i="13"/>
  <c r="K441" i="13" s="1"/>
  <c r="N441" i="13"/>
  <c r="N440" i="13"/>
  <c r="K440" i="13"/>
  <c r="B440" i="13"/>
  <c r="N439" i="13"/>
  <c r="K439" i="13"/>
  <c r="B439" i="13"/>
  <c r="B438" i="13"/>
  <c r="K438" i="13"/>
  <c r="N438" i="13"/>
  <c r="B437" i="13"/>
  <c r="I437" i="13"/>
  <c r="K437" i="13" s="1"/>
  <c r="J437" i="13"/>
  <c r="N437" i="13"/>
  <c r="N436" i="13"/>
  <c r="K436" i="13"/>
  <c r="B436" i="13"/>
  <c r="N435" i="13"/>
  <c r="K435" i="13"/>
  <c r="B435" i="13"/>
  <c r="N434" i="13"/>
  <c r="K434" i="13"/>
  <c r="B434" i="13"/>
  <c r="N433" i="13"/>
  <c r="K433" i="13"/>
  <c r="B433" i="13"/>
  <c r="N432" i="13"/>
  <c r="K432" i="13"/>
  <c r="B432" i="13"/>
  <c r="N431" i="13"/>
  <c r="K431" i="13"/>
  <c r="B431" i="13"/>
  <c r="N430" i="13"/>
  <c r="K430" i="13"/>
  <c r="B430" i="13"/>
  <c r="N429" i="13"/>
  <c r="K429" i="13"/>
  <c r="B429" i="13"/>
  <c r="N428" i="13"/>
  <c r="K428" i="13"/>
  <c r="B428" i="13"/>
  <c r="N427" i="13"/>
  <c r="K427" i="13"/>
  <c r="B427" i="13"/>
  <c r="N426" i="13"/>
  <c r="K426" i="13"/>
  <c r="B426" i="13"/>
  <c r="N425" i="13"/>
  <c r="K425" i="13"/>
  <c r="B425" i="13"/>
  <c r="N424" i="13"/>
  <c r="K424" i="13"/>
  <c r="B424" i="13"/>
  <c r="N87" i="21"/>
  <c r="K87" i="21"/>
  <c r="B87" i="21"/>
  <c r="N86" i="21"/>
  <c r="K86" i="21"/>
  <c r="B86" i="21"/>
  <c r="B85" i="21"/>
  <c r="K85" i="21"/>
  <c r="N85" i="21"/>
  <c r="B84" i="21"/>
  <c r="N84" i="21"/>
  <c r="N423" i="13"/>
  <c r="K423" i="13"/>
  <c r="B423" i="13"/>
  <c r="N422" i="13"/>
  <c r="K422" i="13"/>
  <c r="B422" i="13"/>
  <c r="N421" i="13"/>
  <c r="K421" i="13"/>
  <c r="B421" i="13"/>
  <c r="N420" i="13"/>
  <c r="K420" i="13"/>
  <c r="B420" i="13"/>
  <c r="N419" i="13"/>
  <c r="K419" i="13"/>
  <c r="B419" i="13"/>
  <c r="N418" i="13"/>
  <c r="K418" i="13"/>
  <c r="B418" i="13"/>
  <c r="N417" i="13"/>
  <c r="K417" i="13"/>
  <c r="B417" i="13"/>
  <c r="N416" i="13"/>
  <c r="K416" i="13"/>
  <c r="B416" i="13"/>
  <c r="N415" i="13"/>
  <c r="K415" i="13"/>
  <c r="B415" i="13"/>
  <c r="N83" i="21"/>
  <c r="K83" i="21"/>
  <c r="B83" i="21"/>
  <c r="N82" i="21"/>
  <c r="K82" i="21"/>
  <c r="B82" i="21"/>
  <c r="N414" i="13"/>
  <c r="K414" i="13"/>
  <c r="B414" i="13"/>
  <c r="N413" i="13"/>
  <c r="K413" i="13"/>
  <c r="B413" i="13"/>
  <c r="N412" i="13"/>
  <c r="K412" i="13"/>
  <c r="B412" i="13"/>
  <c r="N411" i="13"/>
  <c r="K411" i="13"/>
  <c r="B411" i="13"/>
  <c r="N410" i="13"/>
  <c r="K410" i="13"/>
  <c r="B410" i="13"/>
  <c r="N409" i="13"/>
  <c r="K409" i="13"/>
  <c r="B409" i="13"/>
  <c r="N408" i="13"/>
  <c r="K408" i="13"/>
  <c r="B408" i="13"/>
  <c r="N81" i="21"/>
  <c r="K81" i="21"/>
  <c r="B81" i="21"/>
  <c r="N80" i="21"/>
  <c r="K80" i="21"/>
  <c r="B80" i="21"/>
  <c r="B136" i="19"/>
  <c r="K136" i="19"/>
  <c r="N136" i="19"/>
  <c r="B137" i="19"/>
  <c r="K137" i="19"/>
  <c r="N137" i="19"/>
  <c r="B138" i="19"/>
  <c r="K138" i="19"/>
  <c r="N138" i="19"/>
  <c r="N407" i="13"/>
  <c r="K407" i="13"/>
  <c r="B407" i="13"/>
  <c r="N406" i="13"/>
  <c r="K406" i="13"/>
  <c r="B406" i="13"/>
  <c r="N405" i="13"/>
  <c r="K405" i="13"/>
  <c r="B405" i="13"/>
  <c r="N67" i="15"/>
  <c r="K67" i="15"/>
  <c r="B67" i="15"/>
  <c r="N403" i="13"/>
  <c r="K403" i="13"/>
  <c r="B403" i="13"/>
  <c r="N404" i="13"/>
  <c r="K404" i="13"/>
  <c r="B404" i="13"/>
  <c r="N402" i="13"/>
  <c r="K402" i="13"/>
  <c r="B402" i="13"/>
  <c r="N79" i="21"/>
  <c r="K79" i="21"/>
  <c r="B79" i="21"/>
  <c r="N78" i="21"/>
  <c r="K78" i="21"/>
  <c r="B78" i="21"/>
  <c r="N401" i="13"/>
  <c r="K401" i="13"/>
  <c r="B401" i="13"/>
  <c r="N400" i="13"/>
  <c r="K400" i="13"/>
  <c r="B400" i="13"/>
  <c r="N399" i="13"/>
  <c r="K399" i="13"/>
  <c r="B399" i="13"/>
  <c r="B398" i="13"/>
  <c r="J398" i="13"/>
  <c r="K398" i="13" s="1"/>
  <c r="N398" i="13"/>
  <c r="N397" i="13"/>
  <c r="K397" i="13"/>
  <c r="B397" i="13"/>
  <c r="B66" i="15"/>
  <c r="K66" i="15"/>
  <c r="N66" i="15"/>
  <c r="B65" i="15"/>
  <c r="I65" i="15"/>
  <c r="K65" i="15" s="1"/>
  <c r="J65" i="15"/>
  <c r="N65" i="15"/>
  <c r="B64" i="15"/>
  <c r="I64" i="15"/>
  <c r="K64" i="15" s="1"/>
  <c r="J64" i="15"/>
  <c r="N64" i="15"/>
  <c r="B63" i="15"/>
  <c r="I63" i="15"/>
  <c r="K63" i="15" s="1"/>
  <c r="J63" i="15"/>
  <c r="N63" i="15"/>
  <c r="N433" i="17"/>
  <c r="K433" i="17"/>
  <c r="B433" i="17"/>
  <c r="N432" i="17"/>
  <c r="K432" i="17"/>
  <c r="B432" i="17"/>
  <c r="N434" i="17"/>
  <c r="K434" i="17"/>
  <c r="B434" i="17"/>
  <c r="N429" i="17"/>
  <c r="K429" i="17"/>
  <c r="B429" i="17"/>
  <c r="N431" i="17"/>
  <c r="K431" i="17"/>
  <c r="B431" i="17"/>
  <c r="N430" i="17"/>
  <c r="K430" i="17"/>
  <c r="B430" i="17"/>
  <c r="N428" i="17"/>
  <c r="K428" i="17"/>
  <c r="B428" i="17"/>
  <c r="N427" i="17"/>
  <c r="K427" i="17"/>
  <c r="B427" i="17"/>
  <c r="N396" i="13"/>
  <c r="K396" i="13"/>
  <c r="B396" i="13"/>
  <c r="B395" i="13"/>
  <c r="I395" i="13"/>
  <c r="K395" i="13" s="1"/>
  <c r="J395" i="13"/>
  <c r="N395" i="13"/>
  <c r="N394" i="13"/>
  <c r="K394" i="13"/>
  <c r="B394" i="13"/>
  <c r="N393" i="13"/>
  <c r="K393" i="13"/>
  <c r="B393" i="13"/>
  <c r="N392" i="13"/>
  <c r="K392" i="13"/>
  <c r="B392" i="13"/>
  <c r="N426" i="17"/>
  <c r="K426" i="17"/>
  <c r="B426" i="17"/>
  <c r="N425" i="17"/>
  <c r="K425" i="17"/>
  <c r="B425" i="17"/>
  <c r="N424" i="17"/>
  <c r="K424" i="17"/>
  <c r="B424" i="17"/>
  <c r="N423" i="17"/>
  <c r="K423" i="17"/>
  <c r="B423" i="17"/>
  <c r="N420" i="17"/>
  <c r="K420" i="17"/>
  <c r="B420" i="17"/>
  <c r="N422" i="17"/>
  <c r="K422" i="17"/>
  <c r="B422" i="17"/>
  <c r="N421" i="17"/>
  <c r="K421" i="17"/>
  <c r="B421" i="17"/>
  <c r="N419" i="17"/>
  <c r="K419" i="17"/>
  <c r="B419" i="17"/>
  <c r="N418" i="17"/>
  <c r="K418" i="17"/>
  <c r="B418" i="17"/>
  <c r="N417" i="17"/>
  <c r="K417" i="17"/>
  <c r="B417" i="17"/>
  <c r="N416" i="17"/>
  <c r="K416" i="17"/>
  <c r="B416" i="17"/>
  <c r="N415" i="17"/>
  <c r="K415" i="17"/>
  <c r="B415" i="17"/>
  <c r="N414" i="17"/>
  <c r="K414" i="17"/>
  <c r="B414" i="17"/>
  <c r="N62" i="15"/>
  <c r="K62" i="15"/>
  <c r="B62" i="15"/>
  <c r="B61" i="15"/>
  <c r="I61" i="15"/>
  <c r="K61" i="15" s="1"/>
  <c r="J61" i="15"/>
  <c r="N61" i="15"/>
  <c r="N391" i="13"/>
  <c r="K391" i="13"/>
  <c r="B391" i="13"/>
  <c r="N390" i="13"/>
  <c r="K390" i="13"/>
  <c r="B390" i="13"/>
  <c r="N389" i="13"/>
  <c r="K389" i="13"/>
  <c r="B389" i="13"/>
  <c r="N388" i="13"/>
  <c r="K388" i="13"/>
  <c r="B388" i="13"/>
  <c r="N387" i="13"/>
  <c r="K387" i="13"/>
  <c r="B387" i="13"/>
  <c r="N386" i="13"/>
  <c r="K386" i="13"/>
  <c r="B386" i="13"/>
  <c r="N413" i="17"/>
  <c r="K413" i="17"/>
  <c r="B413" i="17"/>
  <c r="N412" i="17"/>
  <c r="K412" i="17"/>
  <c r="B412" i="17"/>
  <c r="N411" i="17"/>
  <c r="K411" i="17"/>
  <c r="B411" i="17"/>
  <c r="B385" i="13"/>
  <c r="K385" i="13"/>
  <c r="N385" i="13"/>
  <c r="N384" i="13"/>
  <c r="K384" i="13"/>
  <c r="B384" i="13"/>
  <c r="N383" i="13"/>
  <c r="K383" i="13"/>
  <c r="B383" i="13"/>
  <c r="N382" i="13"/>
  <c r="K382" i="13"/>
  <c r="B382" i="13"/>
  <c r="N381" i="13"/>
  <c r="K381" i="13"/>
  <c r="B381" i="13"/>
  <c r="N410" i="17"/>
  <c r="K410" i="17"/>
  <c r="B410" i="17"/>
  <c r="B409" i="17"/>
  <c r="J409" i="17"/>
  <c r="K409" i="17" s="1"/>
  <c r="N409" i="17"/>
  <c r="N408" i="17"/>
  <c r="K408" i="17"/>
  <c r="B408" i="17"/>
  <c r="N407" i="17"/>
  <c r="K407" i="17"/>
  <c r="B407" i="17"/>
  <c r="B11" i="1"/>
  <c r="N11" i="1"/>
  <c r="N380" i="13"/>
  <c r="K380" i="13"/>
  <c r="B380" i="13"/>
  <c r="N379" i="13"/>
  <c r="K379" i="13"/>
  <c r="B379" i="13"/>
  <c r="N378" i="13"/>
  <c r="K378" i="13"/>
  <c r="B378" i="13"/>
  <c r="N406" i="17"/>
  <c r="K406" i="17"/>
  <c r="B406" i="17"/>
  <c r="N405" i="17"/>
  <c r="K405" i="17"/>
  <c r="B405" i="17"/>
  <c r="N404" i="17"/>
  <c r="K404" i="17"/>
  <c r="B404" i="17"/>
  <c r="N377" i="13"/>
  <c r="K377" i="13"/>
  <c r="B377" i="13"/>
  <c r="N403" i="17"/>
  <c r="K403" i="17"/>
  <c r="B403" i="17"/>
  <c r="N402" i="17"/>
  <c r="K402" i="17"/>
  <c r="B402" i="17"/>
  <c r="N401" i="17"/>
  <c r="K401" i="17"/>
  <c r="B401" i="17"/>
  <c r="N77" i="21"/>
  <c r="K77" i="21"/>
  <c r="B77" i="21"/>
  <c r="N76" i="21"/>
  <c r="K76" i="21"/>
  <c r="B76" i="21"/>
  <c r="N376" i="13"/>
  <c r="K376" i="13"/>
  <c r="B376" i="13"/>
  <c r="N375" i="13"/>
  <c r="K375" i="13"/>
  <c r="B375" i="13"/>
  <c r="N374" i="13"/>
  <c r="K374" i="13"/>
  <c r="B374" i="13"/>
  <c r="N373" i="13"/>
  <c r="K373" i="13"/>
  <c r="B373" i="13"/>
  <c r="N60" i="15"/>
  <c r="K60" i="15"/>
  <c r="B60" i="15"/>
  <c r="N400" i="17"/>
  <c r="K400" i="17"/>
  <c r="B400" i="17"/>
  <c r="N399" i="17"/>
  <c r="K399" i="17"/>
  <c r="B399" i="17"/>
  <c r="N398" i="17"/>
  <c r="K398" i="17"/>
  <c r="B398" i="17"/>
  <c r="N397" i="17"/>
  <c r="K397" i="17"/>
  <c r="B397" i="17"/>
  <c r="N396" i="17"/>
  <c r="K396" i="17"/>
  <c r="B396" i="17"/>
  <c r="N395" i="17"/>
  <c r="K395" i="17"/>
  <c r="B395" i="17"/>
  <c r="N372" i="13"/>
  <c r="K372" i="13"/>
  <c r="B372" i="13"/>
  <c r="B371" i="13"/>
  <c r="J371" i="13"/>
  <c r="K371" i="13" s="1"/>
  <c r="N371" i="13"/>
  <c r="N370" i="13"/>
  <c r="K370" i="13"/>
  <c r="B370" i="13"/>
  <c r="B135" i="19"/>
  <c r="K135" i="19"/>
  <c r="N135" i="19"/>
  <c r="B134" i="19"/>
  <c r="K134" i="19"/>
  <c r="N134" i="19"/>
  <c r="B133" i="19"/>
  <c r="K133" i="19"/>
  <c r="N133" i="19"/>
  <c r="B132" i="19"/>
  <c r="I132" i="19"/>
  <c r="K132" i="19" s="1"/>
  <c r="J132" i="19"/>
  <c r="N132" i="19"/>
  <c r="N394" i="17"/>
  <c r="K394" i="17"/>
  <c r="B394" i="17"/>
  <c r="N393" i="17"/>
  <c r="K393" i="17"/>
  <c r="B393" i="17"/>
  <c r="N369" i="13"/>
  <c r="K369" i="13"/>
  <c r="B369" i="13"/>
  <c r="N368" i="13"/>
  <c r="K368" i="13"/>
  <c r="B368" i="13"/>
  <c r="N367" i="13"/>
  <c r="K367" i="13"/>
  <c r="B367" i="13"/>
  <c r="N366" i="13"/>
  <c r="K366" i="13"/>
  <c r="B366" i="13"/>
  <c r="N365" i="13"/>
  <c r="K365" i="13"/>
  <c r="B365" i="13"/>
  <c r="B392" i="17"/>
  <c r="J392" i="17"/>
  <c r="K392" i="17" s="1"/>
  <c r="N392" i="17"/>
  <c r="N391" i="17"/>
  <c r="K391" i="17"/>
  <c r="B391" i="17"/>
  <c r="N390" i="17"/>
  <c r="K390" i="17"/>
  <c r="B390" i="17"/>
  <c r="B389" i="17"/>
  <c r="I389" i="17"/>
  <c r="K389" i="17" s="1"/>
  <c r="J389" i="17"/>
  <c r="N389" i="17"/>
  <c r="N75" i="21"/>
  <c r="K75" i="21"/>
  <c r="B75" i="21"/>
  <c r="N74" i="21"/>
  <c r="K74" i="21"/>
  <c r="B74" i="21"/>
  <c r="B73" i="21"/>
  <c r="K73" i="21"/>
  <c r="N73" i="21"/>
  <c r="N363" i="13"/>
  <c r="K363" i="13"/>
  <c r="B363" i="13"/>
  <c r="N364" i="13"/>
  <c r="K364" i="13"/>
  <c r="B364" i="13"/>
  <c r="B362" i="13"/>
  <c r="K362" i="13"/>
  <c r="N362" i="13"/>
  <c r="B388" i="17"/>
  <c r="I388" i="17"/>
  <c r="K388" i="17" s="1"/>
  <c r="J388" i="17"/>
  <c r="N388" i="17"/>
  <c r="N387" i="17"/>
  <c r="K387" i="17"/>
  <c r="B387" i="17"/>
  <c r="N386" i="17"/>
  <c r="K386" i="17"/>
  <c r="B386" i="17"/>
  <c r="N385" i="17"/>
  <c r="K385" i="17"/>
  <c r="B385" i="17"/>
  <c r="B384" i="17"/>
  <c r="J384" i="17"/>
  <c r="K384" i="17" s="1"/>
  <c r="N384" i="17"/>
  <c r="N360" i="13"/>
  <c r="K360" i="13"/>
  <c r="B360" i="13"/>
  <c r="N361" i="13"/>
  <c r="K361" i="13"/>
  <c r="B361" i="13"/>
  <c r="N359" i="13"/>
  <c r="K359" i="13"/>
  <c r="B359" i="13"/>
  <c r="N59" i="15"/>
  <c r="K59" i="15"/>
  <c r="B59" i="15"/>
  <c r="N383" i="17"/>
  <c r="K383" i="17"/>
  <c r="B383" i="17"/>
  <c r="N382" i="17"/>
  <c r="K382" i="17"/>
  <c r="B382" i="17"/>
  <c r="N381" i="17"/>
  <c r="K381" i="17"/>
  <c r="B381" i="17"/>
  <c r="N380" i="17"/>
  <c r="K380" i="17"/>
  <c r="B380" i="17"/>
  <c r="N72" i="21"/>
  <c r="K72" i="21"/>
  <c r="B72" i="21"/>
  <c r="N71" i="21"/>
  <c r="K71" i="21"/>
  <c r="B71" i="21"/>
  <c r="N357" i="13"/>
  <c r="K357" i="13"/>
  <c r="B357" i="13"/>
  <c r="N358" i="13"/>
  <c r="K358" i="13"/>
  <c r="B358" i="13"/>
  <c r="N379" i="17"/>
  <c r="K379" i="17"/>
  <c r="B379" i="17"/>
  <c r="N378" i="17"/>
  <c r="K378" i="17"/>
  <c r="B378" i="17"/>
  <c r="B376" i="17"/>
  <c r="J376" i="17"/>
  <c r="K376" i="17" s="1"/>
  <c r="N376" i="17"/>
  <c r="B377" i="17"/>
  <c r="J377" i="17"/>
  <c r="K377" i="17" s="1"/>
  <c r="N377" i="17"/>
  <c r="B375" i="17"/>
  <c r="J375" i="17"/>
  <c r="K375" i="17" s="1"/>
  <c r="N375" i="17"/>
  <c r="N374" i="17"/>
  <c r="K374" i="17"/>
  <c r="B374" i="17"/>
  <c r="N373" i="17"/>
  <c r="K373" i="17"/>
  <c r="B373" i="17"/>
  <c r="N372" i="17"/>
  <c r="K372" i="17"/>
  <c r="B372" i="17"/>
  <c r="B371" i="17"/>
  <c r="J371" i="17"/>
  <c r="K371" i="17" s="1"/>
  <c r="N371" i="17"/>
  <c r="N370" i="17"/>
  <c r="K370" i="17"/>
  <c r="B370" i="17"/>
  <c r="N369" i="17"/>
  <c r="K369" i="17"/>
  <c r="B369" i="17"/>
  <c r="N356" i="13"/>
  <c r="K356" i="13"/>
  <c r="B356" i="13"/>
  <c r="B355" i="13"/>
  <c r="J355" i="13"/>
  <c r="K355" i="13" s="1"/>
  <c r="N355" i="13"/>
  <c r="N354" i="13"/>
  <c r="K354" i="13"/>
  <c r="B354" i="13"/>
  <c r="N353" i="13"/>
  <c r="K353" i="13"/>
  <c r="B353" i="13"/>
  <c r="N352" i="13"/>
  <c r="K352" i="13"/>
  <c r="B352" i="13"/>
  <c r="N368" i="17"/>
  <c r="K368" i="17"/>
  <c r="B368" i="17"/>
  <c r="N367" i="17"/>
  <c r="K367" i="17"/>
  <c r="B367" i="17"/>
  <c r="B366" i="17"/>
  <c r="I366" i="17"/>
  <c r="K366" i="17" s="1"/>
  <c r="J366" i="17"/>
  <c r="N366" i="17"/>
  <c r="N365" i="17"/>
  <c r="K365" i="17"/>
  <c r="B365" i="17"/>
  <c r="N364" i="17"/>
  <c r="K364" i="17"/>
  <c r="B364" i="17"/>
  <c r="N58" i="15"/>
  <c r="K58" i="15"/>
  <c r="B58" i="15"/>
  <c r="N363" i="17"/>
  <c r="K363" i="17"/>
  <c r="B363" i="17"/>
  <c r="N362" i="17"/>
  <c r="K362" i="17"/>
  <c r="B362" i="17"/>
  <c r="N361" i="17"/>
  <c r="K361" i="17"/>
  <c r="B361" i="17"/>
  <c r="N360" i="17"/>
  <c r="K360" i="17"/>
  <c r="B360" i="17"/>
  <c r="N351" i="13"/>
  <c r="K351" i="13"/>
  <c r="B351" i="13"/>
  <c r="N350" i="13"/>
  <c r="K350" i="13"/>
  <c r="B350" i="13"/>
  <c r="B349" i="13"/>
  <c r="K349" i="13"/>
  <c r="N349" i="13"/>
  <c r="N359" i="17"/>
  <c r="K359" i="17"/>
  <c r="B359" i="17"/>
  <c r="N358" i="17"/>
  <c r="K358" i="17"/>
  <c r="B358" i="17"/>
  <c r="N357" i="17"/>
  <c r="K357" i="17"/>
  <c r="B357" i="17"/>
  <c r="N354" i="17"/>
  <c r="K354" i="17"/>
  <c r="B354" i="17"/>
  <c r="N356" i="17"/>
  <c r="K356" i="17"/>
  <c r="B356" i="17"/>
  <c r="N355" i="17"/>
  <c r="K355" i="17"/>
  <c r="B355" i="17"/>
  <c r="N353" i="17"/>
  <c r="K353" i="17"/>
  <c r="B353" i="17"/>
  <c r="N348" i="13"/>
  <c r="K348" i="13"/>
  <c r="B348" i="13"/>
  <c r="N347" i="13"/>
  <c r="K347" i="13"/>
  <c r="B347" i="13"/>
  <c r="N346" i="13"/>
  <c r="K346" i="13"/>
  <c r="B346" i="13"/>
  <c r="N352" i="17"/>
  <c r="K352" i="17"/>
  <c r="B352" i="17"/>
  <c r="N350" i="17"/>
  <c r="K350" i="17"/>
  <c r="B350" i="17"/>
  <c r="B351" i="17"/>
  <c r="J351" i="17"/>
  <c r="K351" i="17" s="1"/>
  <c r="N351" i="17"/>
  <c r="N349" i="17"/>
  <c r="K349" i="17"/>
  <c r="B349" i="17"/>
  <c r="N348" i="17"/>
  <c r="K348" i="17"/>
  <c r="B348" i="17"/>
  <c r="N345" i="13"/>
  <c r="K345" i="13"/>
  <c r="B345" i="13"/>
  <c r="N345" i="17"/>
  <c r="K345" i="17"/>
  <c r="B345" i="17"/>
  <c r="N347" i="17"/>
  <c r="K347" i="17"/>
  <c r="B347" i="17"/>
  <c r="N346" i="17"/>
  <c r="K346" i="17"/>
  <c r="B346" i="17"/>
  <c r="N344" i="17"/>
  <c r="K344" i="17"/>
  <c r="B344" i="17"/>
  <c r="N343" i="17"/>
  <c r="K343" i="17"/>
  <c r="B343" i="17"/>
  <c r="B344" i="13"/>
  <c r="I344" i="13"/>
  <c r="K344" i="13" s="1"/>
  <c r="J344" i="13"/>
  <c r="N344" i="13"/>
  <c r="B343" i="13"/>
  <c r="I343" i="13"/>
  <c r="K343" i="13" s="1"/>
  <c r="J343" i="13"/>
  <c r="N343" i="13"/>
  <c r="N342" i="17"/>
  <c r="K342" i="17"/>
  <c r="B342" i="17"/>
  <c r="N341" i="17"/>
  <c r="K341" i="17"/>
  <c r="B341" i="17"/>
  <c r="N340" i="17"/>
  <c r="K340" i="17"/>
  <c r="B340" i="17"/>
  <c r="N339" i="17"/>
  <c r="K339" i="17"/>
  <c r="B339" i="17"/>
  <c r="N57" i="15"/>
  <c r="K57" i="15"/>
  <c r="B57" i="15"/>
  <c r="B340" i="13"/>
  <c r="K340" i="13"/>
  <c r="N340" i="13"/>
  <c r="B339" i="13"/>
  <c r="J339" i="13"/>
  <c r="K339" i="13" s="1"/>
  <c r="N339" i="13"/>
  <c r="B341" i="13"/>
  <c r="K341" i="13"/>
  <c r="N341" i="13"/>
  <c r="N342" i="13"/>
  <c r="K342" i="13"/>
  <c r="B342" i="13"/>
  <c r="N338" i="17"/>
  <c r="K338" i="17"/>
  <c r="B338" i="17"/>
  <c r="N337" i="17"/>
  <c r="K337" i="17"/>
  <c r="B337" i="17"/>
  <c r="N336" i="17"/>
  <c r="K336" i="17"/>
  <c r="B336" i="17"/>
  <c r="N335" i="17"/>
  <c r="K335" i="17"/>
  <c r="B335" i="17"/>
  <c r="B321" i="17"/>
  <c r="K321" i="17"/>
  <c r="N321" i="17"/>
  <c r="B338" i="13"/>
  <c r="J338" i="13"/>
  <c r="K338" i="13" s="1"/>
  <c r="N338" i="13"/>
  <c r="N337" i="13"/>
  <c r="K337" i="13"/>
  <c r="B337" i="13"/>
  <c r="N334" i="17"/>
  <c r="K334" i="17"/>
  <c r="B334" i="17"/>
  <c r="N333" i="17"/>
  <c r="K333" i="17"/>
  <c r="B333" i="17"/>
  <c r="B332" i="17"/>
  <c r="K332" i="17"/>
  <c r="N332" i="17"/>
  <c r="N336" i="13"/>
  <c r="K336" i="13"/>
  <c r="B336" i="13"/>
  <c r="N335" i="13"/>
  <c r="K335" i="13"/>
  <c r="B335" i="13"/>
  <c r="N334" i="13"/>
  <c r="K334" i="13"/>
  <c r="B334" i="13"/>
  <c r="N333" i="13"/>
  <c r="K333" i="13"/>
  <c r="B333" i="13"/>
  <c r="N331" i="17"/>
  <c r="K331" i="17"/>
  <c r="B331" i="17"/>
  <c r="N330" i="17"/>
  <c r="K330" i="17"/>
  <c r="B330" i="17"/>
  <c r="N329" i="17"/>
  <c r="K329" i="17"/>
  <c r="B329" i="17"/>
  <c r="N56" i="15"/>
  <c r="K56" i="15"/>
  <c r="B56" i="15"/>
  <c r="N332" i="13"/>
  <c r="K332" i="13"/>
  <c r="B332" i="13"/>
  <c r="N331" i="13"/>
  <c r="K331" i="13"/>
  <c r="B331" i="13"/>
  <c r="N328" i="17"/>
  <c r="K328" i="17"/>
  <c r="B328" i="17"/>
  <c r="I330" i="13"/>
  <c r="K330" i="13" s="1"/>
  <c r="N330" i="13"/>
  <c r="B330" i="13"/>
  <c r="B324" i="17"/>
  <c r="K324" i="17"/>
  <c r="N324" i="17"/>
  <c r="B325" i="17"/>
  <c r="K325" i="17"/>
  <c r="N325" i="17"/>
  <c r="B326" i="17"/>
  <c r="K326" i="17"/>
  <c r="N326" i="17"/>
  <c r="B327" i="17"/>
  <c r="K327" i="17"/>
  <c r="N327" i="17"/>
  <c r="N323" i="17"/>
  <c r="K323" i="17"/>
  <c r="B323" i="17"/>
  <c r="B322" i="17"/>
  <c r="K322" i="17"/>
  <c r="N322" i="17"/>
  <c r="N70" i="21"/>
  <c r="K70" i="21"/>
  <c r="B70" i="21"/>
  <c r="N69" i="21"/>
  <c r="K69" i="21"/>
  <c r="B69" i="21"/>
  <c r="B68" i="21"/>
  <c r="I68" i="21"/>
  <c r="K68" i="21" s="1"/>
  <c r="J68" i="21"/>
  <c r="N68" i="21"/>
  <c r="B55" i="15"/>
  <c r="K55" i="15"/>
  <c r="N55" i="15"/>
  <c r="N329" i="13"/>
  <c r="K329" i="13"/>
  <c r="B329" i="13"/>
  <c r="B320" i="17"/>
  <c r="K320" i="17"/>
  <c r="N320" i="17"/>
  <c r="N328" i="13"/>
  <c r="K328" i="13"/>
  <c r="B328" i="13"/>
  <c r="N327" i="13"/>
  <c r="K327" i="13"/>
  <c r="B327" i="13"/>
  <c r="N326" i="13"/>
  <c r="K326" i="13"/>
  <c r="B326" i="13"/>
  <c r="T18" i="3"/>
  <c r="B325" i="13"/>
  <c r="K325" i="13"/>
  <c r="N325" i="13"/>
  <c r="N324" i="13"/>
  <c r="K324" i="13"/>
  <c r="B324" i="13"/>
  <c r="N323" i="13"/>
  <c r="K323" i="13"/>
  <c r="B323" i="13"/>
  <c r="N130" i="19"/>
  <c r="K130" i="19"/>
  <c r="B130" i="19"/>
  <c r="B131" i="19"/>
  <c r="I131" i="19"/>
  <c r="K131" i="19" s="1"/>
  <c r="J131" i="19"/>
  <c r="N131" i="19"/>
  <c r="B129" i="19"/>
  <c r="I129" i="19"/>
  <c r="K129" i="19" s="1"/>
  <c r="J129" i="19"/>
  <c r="N129" i="19"/>
  <c r="N54" i="15"/>
  <c r="K54" i="15"/>
  <c r="B54" i="15"/>
  <c r="B58" i="18"/>
  <c r="K58" i="18"/>
  <c r="N58" i="18"/>
  <c r="B322" i="13"/>
  <c r="J322" i="13"/>
  <c r="K322" i="13" s="1"/>
  <c r="N322" i="13"/>
  <c r="N320" i="13"/>
  <c r="K320" i="13"/>
  <c r="B320" i="13"/>
  <c r="B321" i="13"/>
  <c r="J321" i="13"/>
  <c r="K321" i="13" s="1"/>
  <c r="N321" i="13"/>
  <c r="N319" i="13"/>
  <c r="K319" i="13"/>
  <c r="B319" i="13"/>
  <c r="N318" i="13"/>
  <c r="K318" i="13"/>
  <c r="B318" i="13"/>
  <c r="K24" i="22"/>
  <c r="N24" i="22"/>
  <c r="N317" i="13"/>
  <c r="K317" i="13"/>
  <c r="B317" i="13"/>
  <c r="N316" i="13"/>
  <c r="K316" i="13"/>
  <c r="B316" i="13"/>
  <c r="N315" i="13"/>
  <c r="K315" i="13"/>
  <c r="B315" i="13"/>
  <c r="N314" i="13"/>
  <c r="K314" i="13"/>
  <c r="B314" i="13"/>
  <c r="N313" i="13"/>
  <c r="K313" i="13"/>
  <c r="B313" i="13"/>
  <c r="N312" i="13"/>
  <c r="K312" i="13"/>
  <c r="B312" i="13"/>
  <c r="K23" i="22"/>
  <c r="N23" i="22"/>
  <c r="N307" i="13"/>
  <c r="K307" i="13"/>
  <c r="B307" i="13"/>
  <c r="N309" i="13"/>
  <c r="K309" i="13"/>
  <c r="B309" i="13"/>
  <c r="N308" i="13"/>
  <c r="K308" i="13"/>
  <c r="B308" i="13"/>
  <c r="N306" i="13"/>
  <c r="K306" i="13"/>
  <c r="B306" i="13"/>
  <c r="N311" i="13"/>
  <c r="K311" i="13"/>
  <c r="B311" i="13"/>
  <c r="N310" i="13"/>
  <c r="K310" i="13"/>
  <c r="B310" i="13"/>
  <c r="N305" i="13"/>
  <c r="K305" i="13"/>
  <c r="B305" i="13"/>
  <c r="B304" i="13"/>
  <c r="I304" i="13"/>
  <c r="K304" i="13" s="1"/>
  <c r="J304" i="13"/>
  <c r="N304" i="13"/>
  <c r="B67" i="21"/>
  <c r="I67" i="21"/>
  <c r="K67" i="21" s="1"/>
  <c r="J67" i="21"/>
  <c r="N67" i="21"/>
  <c r="B319" i="17"/>
  <c r="K319" i="17"/>
  <c r="N319" i="17"/>
  <c r="B318" i="17"/>
  <c r="I318" i="17"/>
  <c r="K318" i="17" s="1"/>
  <c r="J318" i="17"/>
  <c r="N318" i="17"/>
  <c r="N303" i="13"/>
  <c r="K303" i="13"/>
  <c r="B303" i="13"/>
  <c r="N300" i="13"/>
  <c r="K300" i="13"/>
  <c r="B300" i="13"/>
  <c r="N299" i="13"/>
  <c r="K299" i="13"/>
  <c r="B299" i="13"/>
  <c r="N302" i="13"/>
  <c r="K302" i="13"/>
  <c r="B302" i="13"/>
  <c r="N301" i="13"/>
  <c r="K301" i="13"/>
  <c r="B301" i="13"/>
  <c r="N298" i="13"/>
  <c r="K298" i="13"/>
  <c r="B298" i="13"/>
  <c r="N317" i="17"/>
  <c r="K317" i="17"/>
  <c r="B317" i="17"/>
  <c r="B316" i="17"/>
  <c r="J316" i="17"/>
  <c r="K316" i="17" s="1"/>
  <c r="N316" i="17"/>
  <c r="N66" i="21"/>
  <c r="K66" i="21"/>
  <c r="B66" i="21"/>
  <c r="B65" i="21"/>
  <c r="I65" i="21"/>
  <c r="K65" i="21" s="1"/>
  <c r="J65" i="21"/>
  <c r="N65" i="21"/>
  <c r="B296" i="13"/>
  <c r="K296" i="13"/>
  <c r="N296" i="13"/>
  <c r="B297" i="13"/>
  <c r="K297" i="13"/>
  <c r="N297" i="13"/>
  <c r="N295" i="13"/>
  <c r="K295" i="13"/>
  <c r="B295" i="13"/>
  <c r="N294" i="13"/>
  <c r="K294" i="13"/>
  <c r="J294" i="13"/>
  <c r="B294" i="13"/>
  <c r="N293" i="13"/>
  <c r="K293" i="13"/>
  <c r="B293" i="13"/>
  <c r="N292" i="13"/>
  <c r="K292" i="13"/>
  <c r="B292" i="13"/>
  <c r="N291" i="13"/>
  <c r="K291" i="13"/>
  <c r="B291" i="13"/>
  <c r="B290" i="13"/>
  <c r="J290" i="13"/>
  <c r="K290" i="13" s="1"/>
  <c r="N290" i="13"/>
  <c r="N289" i="13"/>
  <c r="K289" i="13"/>
  <c r="B289" i="13"/>
  <c r="B288" i="13"/>
  <c r="J288" i="13"/>
  <c r="K288" i="13" s="1"/>
  <c r="N288" i="13"/>
  <c r="N287" i="13"/>
  <c r="K287" i="13"/>
  <c r="B287" i="13"/>
  <c r="N286" i="13"/>
  <c r="K286" i="13"/>
  <c r="B286" i="13"/>
  <c r="N64" i="21"/>
  <c r="K64" i="21"/>
  <c r="B64" i="21"/>
  <c r="B63" i="21"/>
  <c r="I63" i="21"/>
  <c r="K63" i="21" s="1"/>
  <c r="J63" i="21"/>
  <c r="N63" i="21"/>
  <c r="N281" i="13"/>
  <c r="K281" i="13"/>
  <c r="B281" i="13"/>
  <c r="N285" i="13"/>
  <c r="K285" i="13"/>
  <c r="B285" i="13"/>
  <c r="N284" i="13"/>
  <c r="K284" i="13"/>
  <c r="B284" i="13"/>
  <c r="N283" i="13"/>
  <c r="K283" i="13"/>
  <c r="B283" i="13"/>
  <c r="N282" i="13"/>
  <c r="K282" i="13"/>
  <c r="B282" i="13"/>
  <c r="N62" i="21"/>
  <c r="K62" i="21"/>
  <c r="B62" i="21"/>
  <c r="N61" i="21"/>
  <c r="K61" i="21"/>
  <c r="B61" i="21"/>
  <c r="N128" i="19"/>
  <c r="K128" i="19"/>
  <c r="B128" i="19"/>
  <c r="N280" i="13"/>
  <c r="K280" i="13"/>
  <c r="B280" i="13"/>
  <c r="N276" i="13"/>
  <c r="K276" i="13"/>
  <c r="B276" i="13"/>
  <c r="N279" i="13"/>
  <c r="K279" i="13"/>
  <c r="B279" i="13"/>
  <c r="N275" i="13"/>
  <c r="K275" i="13"/>
  <c r="B275" i="13"/>
  <c r="B274" i="13"/>
  <c r="I274" i="13"/>
  <c r="K274" i="13" s="1"/>
  <c r="J274" i="13"/>
  <c r="N274" i="13"/>
  <c r="N278" i="13"/>
  <c r="K278" i="13"/>
  <c r="B278" i="13"/>
  <c r="B277" i="13"/>
  <c r="I277" i="13"/>
  <c r="K277" i="13" s="1"/>
  <c r="J277" i="13"/>
  <c r="N277" i="13"/>
  <c r="N315" i="17"/>
  <c r="K315" i="17"/>
  <c r="B315" i="17"/>
  <c r="B314" i="17"/>
  <c r="J314" i="17"/>
  <c r="K314" i="17" s="1"/>
  <c r="N314" i="17"/>
  <c r="N60" i="21"/>
  <c r="K60" i="21"/>
  <c r="B60" i="21"/>
  <c r="N59" i="21"/>
  <c r="K59" i="21"/>
  <c r="B59" i="21"/>
  <c r="B58" i="21"/>
  <c r="K58" i="21"/>
  <c r="N58" i="21"/>
  <c r="N273" i="13"/>
  <c r="K273" i="13"/>
  <c r="B273" i="13"/>
  <c r="N272" i="13"/>
  <c r="K272" i="13"/>
  <c r="B272" i="13"/>
  <c r="N271" i="13"/>
  <c r="K271" i="13"/>
  <c r="B271" i="13"/>
  <c r="N270" i="13"/>
  <c r="K270" i="13"/>
  <c r="B270" i="13"/>
  <c r="N269" i="13"/>
  <c r="K269" i="13"/>
  <c r="B269" i="13"/>
  <c r="N268" i="13"/>
  <c r="K268" i="13"/>
  <c r="B268" i="13"/>
  <c r="N57" i="21"/>
  <c r="K57" i="21"/>
  <c r="B57" i="21"/>
  <c r="N56" i="21"/>
  <c r="K56" i="21"/>
  <c r="B56" i="21"/>
  <c r="N267" i="13"/>
  <c r="B267" i="13"/>
  <c r="N266" i="13"/>
  <c r="B266" i="13"/>
  <c r="N265" i="13"/>
  <c r="B265" i="13"/>
  <c r="N264" i="13"/>
  <c r="B264" i="13"/>
  <c r="N263" i="13"/>
  <c r="B263" i="13"/>
  <c r="N313" i="17"/>
  <c r="B313" i="17"/>
  <c r="N312" i="17"/>
  <c r="B312" i="17"/>
  <c r="B311" i="17"/>
  <c r="I311" i="17"/>
  <c r="J311" i="17"/>
  <c r="N311" i="17"/>
  <c r="N260" i="13"/>
  <c r="B260" i="13"/>
  <c r="N262" i="13"/>
  <c r="B262" i="13"/>
  <c r="N259" i="13"/>
  <c r="B259" i="13"/>
  <c r="N261" i="13"/>
  <c r="B261" i="13"/>
  <c r="N258" i="13"/>
  <c r="B258" i="13"/>
  <c r="N55" i="21"/>
  <c r="B55" i="21"/>
  <c r="N54" i="21"/>
  <c r="B54" i="21"/>
  <c r="N257" i="13"/>
  <c r="B257" i="13"/>
  <c r="N256" i="13"/>
  <c r="B256" i="13"/>
  <c r="N255" i="13"/>
  <c r="B255" i="13"/>
  <c r="N310" i="17"/>
  <c r="B310" i="17"/>
  <c r="N309" i="17"/>
  <c r="B309" i="17"/>
  <c r="N53" i="21"/>
  <c r="B53" i="21"/>
  <c r="N52" i="21"/>
  <c r="B52" i="21"/>
  <c r="N254" i="13"/>
  <c r="B254" i="13"/>
  <c r="N253" i="13"/>
  <c r="B253" i="13"/>
  <c r="N252" i="13"/>
  <c r="B252" i="13"/>
  <c r="B57" i="18"/>
  <c r="N57" i="18"/>
  <c r="B56" i="18"/>
  <c r="I56" i="18"/>
  <c r="J56" i="18"/>
  <c r="N56" i="18"/>
  <c r="N308" i="17"/>
  <c r="B308" i="17"/>
  <c r="N307" i="17"/>
  <c r="B307" i="17"/>
  <c r="N248" i="13"/>
  <c r="B248" i="13"/>
  <c r="B251" i="13"/>
  <c r="N251" i="13"/>
  <c r="N250" i="13"/>
  <c r="B250" i="13"/>
  <c r="N247" i="13"/>
  <c r="B247" i="13"/>
  <c r="N249" i="13"/>
  <c r="B249" i="13"/>
  <c r="N246" i="13"/>
  <c r="B246" i="13"/>
  <c r="N245" i="13"/>
  <c r="B245" i="13"/>
  <c r="B244" i="13"/>
  <c r="J244" i="13"/>
  <c r="N244" i="13"/>
  <c r="N306" i="17"/>
  <c r="B306" i="17"/>
  <c r="N305" i="17"/>
  <c r="B305" i="17"/>
  <c r="N242" i="13"/>
  <c r="B242" i="13"/>
  <c r="N243" i="13"/>
  <c r="B243" i="13"/>
  <c r="B241" i="13"/>
  <c r="J241" i="13"/>
  <c r="N241" i="13"/>
  <c r="N240" i="13"/>
  <c r="B240" i="13"/>
  <c r="B238" i="13"/>
  <c r="I238" i="13"/>
  <c r="J238" i="13"/>
  <c r="N238" i="13"/>
  <c r="N239" i="13"/>
  <c r="B239" i="13"/>
  <c r="N237" i="13"/>
  <c r="B237" i="13"/>
  <c r="J279" i="17"/>
  <c r="B304" i="17"/>
  <c r="I304" i="17"/>
  <c r="J304" i="17"/>
  <c r="N304" i="17"/>
  <c r="N236" i="13"/>
  <c r="B236" i="13"/>
  <c r="N235" i="13"/>
  <c r="B235" i="13"/>
  <c r="N234" i="13"/>
  <c r="B234" i="13"/>
  <c r="N233" i="13"/>
  <c r="B233" i="13"/>
  <c r="N232" i="13"/>
  <c r="B232" i="13"/>
  <c r="N231" i="13"/>
  <c r="B231" i="13"/>
  <c r="B229" i="13"/>
  <c r="I229" i="13"/>
  <c r="J229" i="13"/>
  <c r="N229" i="13"/>
  <c r="B230" i="13"/>
  <c r="I230" i="13"/>
  <c r="J230" i="13"/>
  <c r="N230" i="13"/>
  <c r="N228" i="13"/>
  <c r="B228" i="13"/>
  <c r="N227" i="13"/>
  <c r="B227" i="13"/>
  <c r="N226" i="13"/>
  <c r="B226" i="13"/>
  <c r="N224" i="13"/>
  <c r="B224" i="13"/>
  <c r="B225" i="13"/>
  <c r="I225" i="13"/>
  <c r="J225" i="13"/>
  <c r="N225" i="13"/>
  <c r="N223" i="13"/>
  <c r="B223" i="13"/>
  <c r="K22" i="22"/>
  <c r="K21" i="22"/>
  <c r="I22" i="22"/>
  <c r="I21" i="22"/>
  <c r="B54" i="18"/>
  <c r="N54" i="18"/>
  <c r="B55" i="18"/>
  <c r="N55" i="18"/>
  <c r="N53" i="15"/>
  <c r="B53" i="15"/>
  <c r="B127" i="19"/>
  <c r="N127" i="19"/>
  <c r="N126" i="19"/>
  <c r="B126" i="19"/>
  <c r="B303" i="17"/>
  <c r="I303" i="17"/>
  <c r="J303" i="17"/>
  <c r="N303" i="17"/>
  <c r="N218" i="13"/>
  <c r="B218" i="13"/>
  <c r="N220" i="13"/>
  <c r="B220" i="13"/>
  <c r="N222" i="13"/>
  <c r="B222" i="13"/>
  <c r="N221" i="13"/>
  <c r="B221" i="13"/>
  <c r="N219" i="13"/>
  <c r="B219" i="13"/>
  <c r="N217" i="13"/>
  <c r="B217" i="13"/>
  <c r="N216" i="13"/>
  <c r="B216" i="13"/>
  <c r="N51" i="21"/>
  <c r="B51" i="21"/>
  <c r="N215" i="13"/>
  <c r="B215" i="13"/>
  <c r="N214" i="13"/>
  <c r="B214" i="13"/>
  <c r="N213" i="13"/>
  <c r="B213" i="13"/>
  <c r="N212" i="13"/>
  <c r="B212" i="13"/>
  <c r="N211" i="13"/>
  <c r="B211" i="13"/>
  <c r="N125" i="19"/>
  <c r="B125" i="19"/>
  <c r="N50" i="21"/>
  <c r="B50" i="21"/>
  <c r="B272" i="14"/>
  <c r="J272" i="14"/>
  <c r="M272" i="14"/>
  <c r="B270" i="14"/>
  <c r="M270" i="14"/>
  <c r="B271" i="14"/>
  <c r="M271" i="14"/>
  <c r="B268" i="14"/>
  <c r="I268" i="14"/>
  <c r="J268" i="14"/>
  <c r="M268" i="14"/>
  <c r="B269" i="14"/>
  <c r="I269" i="14"/>
  <c r="J269" i="14"/>
  <c r="M269" i="14"/>
  <c r="N207" i="13"/>
  <c r="B207" i="13"/>
  <c r="N210" i="13"/>
  <c r="B210" i="13"/>
  <c r="N208" i="13"/>
  <c r="B208" i="13"/>
  <c r="N209" i="13"/>
  <c r="B209" i="13"/>
  <c r="B206" i="13"/>
  <c r="I206" i="13"/>
  <c r="J206" i="13"/>
  <c r="N206" i="13"/>
  <c r="N205" i="13"/>
  <c r="B205" i="13"/>
  <c r="M267" i="14"/>
  <c r="B267" i="14"/>
  <c r="M266" i="14"/>
  <c r="B266" i="14"/>
  <c r="B265" i="14"/>
  <c r="J265" i="14"/>
  <c r="M265" i="14"/>
  <c r="N204" i="13"/>
  <c r="B204" i="13"/>
  <c r="N203" i="13"/>
  <c r="B203" i="13"/>
  <c r="N202" i="13"/>
  <c r="B202" i="13"/>
  <c r="N201" i="13"/>
  <c r="B201" i="13"/>
  <c r="N200" i="13"/>
  <c r="B200" i="13"/>
  <c r="N199" i="13"/>
  <c r="B199" i="13"/>
  <c r="N198" i="13"/>
  <c r="B198" i="13"/>
  <c r="N195" i="13"/>
  <c r="B195" i="13"/>
  <c r="N194" i="13"/>
  <c r="B194" i="13"/>
  <c r="N193" i="13"/>
  <c r="B193" i="13"/>
  <c r="N192" i="13"/>
  <c r="B192" i="13"/>
  <c r="B123" i="19"/>
  <c r="I123" i="19"/>
  <c r="J123" i="19"/>
  <c r="N123" i="19"/>
  <c r="B124" i="19"/>
  <c r="I124" i="19"/>
  <c r="J124" i="19"/>
  <c r="N124" i="19"/>
  <c r="N53" i="18"/>
  <c r="B53" i="18"/>
  <c r="B52" i="18"/>
  <c r="I52" i="18"/>
  <c r="J52" i="18"/>
  <c r="N52" i="18"/>
  <c r="M264" i="14"/>
  <c r="B264" i="14"/>
  <c r="B263" i="14"/>
  <c r="I263" i="14"/>
  <c r="J263" i="14"/>
  <c r="M263" i="14"/>
  <c r="B262" i="14"/>
  <c r="M262" i="14"/>
  <c r="B197" i="13"/>
  <c r="N197" i="13"/>
  <c r="N196" i="13"/>
  <c r="B196" i="13"/>
  <c r="N189" i="13"/>
  <c r="B189" i="13"/>
  <c r="N191" i="13"/>
  <c r="B191" i="13"/>
  <c r="N190" i="13"/>
  <c r="B190" i="13"/>
  <c r="N188" i="13"/>
  <c r="B188" i="13"/>
  <c r="N187" i="13"/>
  <c r="B187" i="13"/>
  <c r="N186" i="13"/>
  <c r="B186" i="13"/>
  <c r="N184" i="13"/>
  <c r="B184" i="13"/>
  <c r="N185" i="13"/>
  <c r="B185" i="13"/>
  <c r="N183" i="13"/>
  <c r="B183" i="13"/>
  <c r="N182" i="13"/>
  <c r="B182" i="13"/>
  <c r="M261" i="14"/>
  <c r="B261" i="14"/>
  <c r="M260" i="14"/>
  <c r="B260" i="14"/>
  <c r="M259" i="14"/>
  <c r="B259" i="14"/>
  <c r="N52" i="15"/>
  <c r="B52" i="15"/>
  <c r="N180" i="13"/>
  <c r="B180" i="13"/>
  <c r="N179" i="13"/>
  <c r="B179" i="13"/>
  <c r="N181" i="13"/>
  <c r="B181" i="13"/>
  <c r="N178" i="13"/>
  <c r="B178" i="13"/>
  <c r="N177" i="13"/>
  <c r="B177" i="13"/>
  <c r="N176" i="13"/>
  <c r="B176" i="13"/>
  <c r="N174" i="13"/>
  <c r="B174" i="13"/>
  <c r="N172" i="13"/>
  <c r="B172" i="13"/>
  <c r="N175" i="13"/>
  <c r="B175" i="13"/>
  <c r="N173" i="13"/>
  <c r="B173" i="13"/>
  <c r="N171" i="13"/>
  <c r="B171" i="13"/>
  <c r="N122" i="19"/>
  <c r="B122" i="19"/>
  <c r="B120" i="19"/>
  <c r="I120" i="19"/>
  <c r="J120" i="19"/>
  <c r="N120" i="19"/>
  <c r="N121" i="19"/>
  <c r="B121" i="19"/>
  <c r="B119" i="19"/>
  <c r="I119" i="19"/>
  <c r="J119" i="19"/>
  <c r="N119" i="19"/>
  <c r="N302" i="17"/>
  <c r="B302" i="17"/>
  <c r="N301" i="17"/>
  <c r="B301" i="17"/>
  <c r="N300" i="17"/>
  <c r="B300" i="17"/>
  <c r="B49" i="21"/>
  <c r="I49" i="21"/>
  <c r="J49" i="21"/>
  <c r="N49" i="21"/>
  <c r="N170" i="13"/>
  <c r="B170" i="13"/>
  <c r="N169" i="13"/>
  <c r="B169" i="13"/>
  <c r="N168" i="13"/>
  <c r="B168" i="13"/>
  <c r="N167" i="13"/>
  <c r="B167" i="13"/>
  <c r="N166" i="13"/>
  <c r="B166" i="13"/>
  <c r="N165" i="13"/>
  <c r="B165" i="13"/>
  <c r="B164" i="13"/>
  <c r="I164" i="13"/>
  <c r="J164" i="13"/>
  <c r="N164" i="13"/>
  <c r="N163" i="13"/>
  <c r="B163" i="13"/>
  <c r="N162" i="13"/>
  <c r="B162" i="13"/>
  <c r="N161" i="13"/>
  <c r="B161" i="13"/>
  <c r="N160" i="13"/>
  <c r="B160" i="13"/>
  <c r="N51" i="18"/>
  <c r="B51" i="18"/>
  <c r="N50" i="18"/>
  <c r="B50" i="18"/>
  <c r="N299" i="17"/>
  <c r="B299" i="17"/>
  <c r="N298" i="17"/>
  <c r="B298" i="17"/>
  <c r="M258" i="14"/>
  <c r="B258" i="14"/>
  <c r="M256" i="14"/>
  <c r="B256" i="14"/>
  <c r="B257" i="14"/>
  <c r="I257" i="14"/>
  <c r="J257" i="14"/>
  <c r="M257" i="14"/>
  <c r="B255" i="14"/>
  <c r="I255" i="14"/>
  <c r="J255" i="14"/>
  <c r="M255" i="14"/>
  <c r="N159" i="13"/>
  <c r="B159" i="13"/>
  <c r="N158" i="13"/>
  <c r="B158" i="13"/>
  <c r="N157" i="13"/>
  <c r="B157" i="13"/>
  <c r="B156" i="13"/>
  <c r="J156" i="13"/>
  <c r="N156" i="13"/>
  <c r="N155" i="13"/>
  <c r="B155" i="13"/>
  <c r="N154" i="13"/>
  <c r="B154" i="13"/>
  <c r="M254" i="14"/>
  <c r="B254" i="14"/>
  <c r="M253" i="14"/>
  <c r="B253" i="14"/>
  <c r="N297" i="17"/>
  <c r="B297" i="17"/>
  <c r="N296" i="17"/>
  <c r="B296" i="17"/>
  <c r="N295" i="17"/>
  <c r="B295" i="17"/>
  <c r="N153" i="13"/>
  <c r="B153" i="13"/>
  <c r="N152" i="13"/>
  <c r="B152" i="13"/>
  <c r="N151" i="13"/>
  <c r="B151" i="13"/>
  <c r="B294" i="17"/>
  <c r="J294" i="17"/>
  <c r="N294" i="17"/>
  <c r="N293" i="17"/>
  <c r="B293" i="17"/>
  <c r="N292" i="17"/>
  <c r="B292" i="17"/>
  <c r="N291" i="17"/>
  <c r="B291" i="17"/>
  <c r="M252" i="14"/>
  <c r="B252" i="14"/>
  <c r="M251" i="14"/>
  <c r="B251" i="14"/>
  <c r="N49" i="18"/>
  <c r="B49" i="18"/>
  <c r="N48" i="18"/>
  <c r="B48" i="18"/>
  <c r="N118" i="19"/>
  <c r="B118" i="19"/>
  <c r="J49" i="15"/>
  <c r="N49" i="15"/>
  <c r="N150" i="13"/>
  <c r="B150" i="13"/>
  <c r="N149" i="13"/>
  <c r="B149" i="13"/>
  <c r="N148" i="13"/>
  <c r="B148" i="13"/>
  <c r="N147" i="13"/>
  <c r="B147" i="13"/>
  <c r="N146" i="13"/>
  <c r="B146" i="13"/>
  <c r="N145" i="13"/>
  <c r="B145" i="13"/>
  <c r="B18" i="22"/>
  <c r="N18" i="22"/>
  <c r="B19" i="22"/>
  <c r="N19" i="22"/>
  <c r="B20" i="22"/>
  <c r="I20" i="22"/>
  <c r="K20" i="22"/>
  <c r="N20" i="22"/>
  <c r="I16" i="22"/>
  <c r="K16" i="22"/>
  <c r="N16" i="22"/>
  <c r="I17" i="22"/>
  <c r="K17" i="22"/>
  <c r="N17" i="22"/>
  <c r="N290" i="17"/>
  <c r="B290" i="17"/>
  <c r="N289" i="17"/>
  <c r="B289" i="17"/>
  <c r="N288" i="17"/>
  <c r="B288" i="17"/>
  <c r="N287" i="17"/>
  <c r="B287" i="17"/>
  <c r="N144" i="13"/>
  <c r="B144" i="13"/>
  <c r="N142" i="13"/>
  <c r="B142" i="13"/>
  <c r="N143" i="13"/>
  <c r="B143" i="13"/>
  <c r="N141" i="13"/>
  <c r="B141" i="13"/>
  <c r="N140" i="13"/>
  <c r="B140" i="13"/>
  <c r="N139" i="13"/>
  <c r="B139" i="13"/>
  <c r="N138" i="13"/>
  <c r="B138" i="13"/>
  <c r="M250" i="14"/>
  <c r="B250" i="14"/>
  <c r="M249" i="14"/>
  <c r="B249" i="14"/>
  <c r="N137" i="13"/>
  <c r="B137" i="13"/>
  <c r="N136" i="13"/>
  <c r="B136" i="13"/>
  <c r="N135" i="13"/>
  <c r="B135" i="13"/>
  <c r="J134" i="13"/>
  <c r="B134" i="13"/>
  <c r="N134" i="13"/>
  <c r="N133" i="13"/>
  <c r="B133" i="13"/>
  <c r="B132" i="13"/>
  <c r="I132" i="13"/>
  <c r="J132" i="13"/>
  <c r="N132" i="13"/>
  <c r="N131" i="13"/>
  <c r="B131" i="13"/>
  <c r="N130" i="13"/>
  <c r="B130" i="13"/>
  <c r="M248" i="14"/>
  <c r="B248" i="14"/>
  <c r="M247" i="14"/>
  <c r="B247" i="14"/>
  <c r="N286" i="17"/>
  <c r="B286" i="17"/>
  <c r="M246" i="14"/>
  <c r="B246" i="14"/>
  <c r="M245" i="14"/>
  <c r="B245" i="14"/>
  <c r="M244" i="14"/>
  <c r="B244" i="14"/>
  <c r="N129" i="13"/>
  <c r="B129" i="13"/>
  <c r="N128" i="13"/>
  <c r="B128" i="13"/>
  <c r="N127" i="13"/>
  <c r="B127" i="13"/>
  <c r="N126" i="13"/>
  <c r="B126" i="13"/>
  <c r="B125" i="13"/>
  <c r="I125" i="13"/>
  <c r="J125" i="13"/>
  <c r="N125" i="13"/>
  <c r="N285" i="17"/>
  <c r="J285" i="17"/>
  <c r="B285" i="17"/>
  <c r="N284" i="17"/>
  <c r="J284" i="17"/>
  <c r="B284" i="17"/>
  <c r="N283" i="17"/>
  <c r="B283" i="17"/>
  <c r="N124" i="13"/>
  <c r="B124" i="13"/>
  <c r="N123" i="13"/>
  <c r="B123" i="13"/>
  <c r="N122" i="13"/>
  <c r="B122" i="13"/>
  <c r="M243" i="14"/>
  <c r="B243" i="14"/>
  <c r="M242" i="14"/>
  <c r="B242" i="14"/>
  <c r="N121" i="13"/>
  <c r="B121" i="13"/>
  <c r="N120" i="13"/>
  <c r="B120" i="13"/>
  <c r="N119" i="13"/>
  <c r="B119" i="13"/>
  <c r="N282" i="17"/>
  <c r="B282" i="17"/>
  <c r="N281" i="17"/>
  <c r="B281" i="17"/>
  <c r="N280" i="17"/>
  <c r="B280" i="17"/>
  <c r="B279" i="17"/>
  <c r="N279" i="17"/>
  <c r="J48" i="21"/>
  <c r="N48" i="21"/>
  <c r="N47" i="21"/>
  <c r="B47" i="21"/>
  <c r="B46" i="21"/>
  <c r="I46" i="21"/>
  <c r="J46" i="21"/>
  <c r="N46" i="21"/>
  <c r="B45" i="21"/>
  <c r="I45" i="21"/>
  <c r="J45" i="21"/>
  <c r="N45" i="21"/>
  <c r="N44" i="21"/>
  <c r="I44" i="21"/>
  <c r="B44" i="21"/>
  <c r="N47" i="18"/>
  <c r="B47" i="18"/>
  <c r="N46" i="18"/>
  <c r="B46" i="18"/>
  <c r="B45" i="18"/>
  <c r="N118" i="13"/>
  <c r="B118" i="13"/>
  <c r="N116" i="13"/>
  <c r="B116" i="13"/>
  <c r="N114" i="13"/>
  <c r="B114" i="13"/>
  <c r="N117" i="13"/>
  <c r="B117" i="13"/>
  <c r="N115" i="13"/>
  <c r="B115" i="13"/>
  <c r="N113" i="13"/>
  <c r="B113" i="13"/>
  <c r="N48" i="15"/>
  <c r="B47" i="15"/>
  <c r="I47" i="15"/>
  <c r="J47" i="15"/>
  <c r="N47" i="15"/>
  <c r="M241" i="14"/>
  <c r="B241" i="14"/>
  <c r="B238" i="14"/>
  <c r="J238" i="14"/>
  <c r="M238" i="14"/>
  <c r="B239" i="14"/>
  <c r="J239" i="14"/>
  <c r="M239" i="14"/>
  <c r="M240" i="14"/>
  <c r="B240" i="14"/>
  <c r="M237" i="14"/>
  <c r="B237" i="14"/>
  <c r="B236" i="14"/>
  <c r="I236" i="14"/>
  <c r="J236" i="14"/>
  <c r="M236" i="14"/>
  <c r="N43" i="21"/>
  <c r="J43" i="21"/>
  <c r="I43" i="21"/>
  <c r="B43" i="21"/>
  <c r="N42" i="21"/>
  <c r="J42" i="21"/>
  <c r="I42" i="21"/>
  <c r="B42" i="21"/>
  <c r="N112" i="13"/>
  <c r="B112" i="13"/>
  <c r="N111" i="13"/>
  <c r="B111" i="13"/>
  <c r="N109" i="13"/>
  <c r="B109" i="13"/>
  <c r="N110" i="13"/>
  <c r="B110" i="13"/>
  <c r="N108" i="13"/>
  <c r="B108" i="13"/>
  <c r="M235" i="14"/>
  <c r="B235" i="14"/>
  <c r="M234" i="14"/>
  <c r="B234" i="14"/>
  <c r="M233" i="14"/>
  <c r="B233" i="14"/>
  <c r="N106" i="13"/>
  <c r="B106" i="13"/>
  <c r="N105" i="13"/>
  <c r="B105" i="13"/>
  <c r="N103" i="13"/>
  <c r="B103" i="13"/>
  <c r="N107" i="13"/>
  <c r="B107" i="13"/>
  <c r="N104" i="13"/>
  <c r="B104" i="13"/>
  <c r="N102" i="13"/>
  <c r="B102" i="13"/>
  <c r="N101" i="13"/>
  <c r="B101" i="13"/>
  <c r="N117" i="19"/>
  <c r="B117" i="19"/>
  <c r="N116" i="19"/>
  <c r="B116" i="19"/>
  <c r="N115" i="19"/>
  <c r="B115" i="19"/>
  <c r="N278" i="17"/>
  <c r="B278" i="17"/>
  <c r="B276" i="17"/>
  <c r="I276" i="17"/>
  <c r="J276" i="17"/>
  <c r="N276" i="17"/>
  <c r="B277" i="17"/>
  <c r="I277" i="17"/>
  <c r="J277" i="17"/>
  <c r="N277" i="17"/>
  <c r="M232" i="14"/>
  <c r="B232" i="14"/>
  <c r="M231" i="14"/>
  <c r="B231" i="14"/>
  <c r="B230" i="14"/>
  <c r="I230" i="14"/>
  <c r="J230" i="14"/>
  <c r="M230" i="14"/>
  <c r="B229" i="14"/>
  <c r="I229" i="14"/>
  <c r="J229" i="14"/>
  <c r="M229" i="14"/>
  <c r="B100" i="13"/>
  <c r="J100" i="13"/>
  <c r="N100" i="13"/>
  <c r="N99" i="13"/>
  <c r="B99" i="13"/>
  <c r="N98" i="13"/>
  <c r="B98" i="13"/>
  <c r="N97" i="13"/>
  <c r="B97" i="13"/>
  <c r="N96" i="13"/>
  <c r="B96" i="13"/>
  <c r="N13" i="22"/>
  <c r="B13" i="22"/>
  <c r="N12" i="22"/>
  <c r="B12" i="22"/>
  <c r="N11" i="22"/>
  <c r="I11" i="22"/>
  <c r="N10" i="22"/>
  <c r="I10" i="22"/>
  <c r="M228" i="14"/>
  <c r="B228" i="14"/>
  <c r="M227" i="14"/>
  <c r="B227" i="14"/>
  <c r="M226" i="14"/>
  <c r="B226" i="14"/>
  <c r="N41" i="21"/>
  <c r="B41" i="21"/>
  <c r="N275" i="17"/>
  <c r="B275" i="17"/>
  <c r="N274" i="17"/>
  <c r="B274" i="17"/>
  <c r="N95" i="13"/>
  <c r="B95" i="13"/>
  <c r="N94" i="13"/>
  <c r="B94" i="13"/>
  <c r="N93" i="13"/>
  <c r="B93" i="13"/>
  <c r="N92" i="13"/>
  <c r="B92" i="13"/>
  <c r="N91" i="13"/>
  <c r="B91" i="13"/>
  <c r="N90" i="13"/>
  <c r="B90" i="13"/>
  <c r="M225" i="14"/>
  <c r="B225" i="14"/>
  <c r="M224" i="14"/>
  <c r="B224" i="14"/>
  <c r="M223" i="14"/>
  <c r="B223" i="14"/>
  <c r="N89" i="13"/>
  <c r="B89" i="13"/>
  <c r="N88" i="13"/>
  <c r="B88" i="13"/>
  <c r="N87" i="13"/>
  <c r="B87" i="13"/>
  <c r="B86" i="13"/>
  <c r="J86" i="13"/>
  <c r="N86" i="13"/>
  <c r="N85" i="13"/>
  <c r="B85" i="13"/>
  <c r="N84" i="13"/>
  <c r="B84" i="13"/>
  <c r="N83" i="13"/>
  <c r="B83" i="13"/>
  <c r="N40" i="21"/>
  <c r="B40" i="21"/>
  <c r="N273" i="17"/>
  <c r="B273" i="17"/>
  <c r="N272" i="17"/>
  <c r="B272" i="17"/>
  <c r="N271" i="17"/>
  <c r="B271" i="17"/>
  <c r="N44" i="18"/>
  <c r="B43" i="18"/>
  <c r="I43" i="18"/>
  <c r="J43" i="18"/>
  <c r="N43" i="18"/>
  <c r="N82" i="13"/>
  <c r="B82" i="13"/>
  <c r="N81" i="13"/>
  <c r="B81" i="13"/>
  <c r="B80" i="13"/>
  <c r="I80" i="13"/>
  <c r="J80" i="13"/>
  <c r="N80" i="13"/>
  <c r="N79" i="13"/>
  <c r="B79" i="13"/>
  <c r="N78" i="13"/>
  <c r="B78" i="13"/>
  <c r="M222" i="14"/>
  <c r="B222" i="14"/>
  <c r="M221" i="14"/>
  <c r="B221" i="14"/>
  <c r="M220" i="14"/>
  <c r="B220" i="14"/>
  <c r="N42" i="18"/>
  <c r="J42" i="18"/>
  <c r="B42" i="18"/>
  <c r="N114" i="19"/>
  <c r="B114" i="19"/>
  <c r="N113" i="19"/>
  <c r="B113" i="19"/>
  <c r="B112" i="19"/>
  <c r="I112" i="19"/>
  <c r="J112" i="19"/>
  <c r="N112" i="19"/>
  <c r="N77" i="13"/>
  <c r="B77" i="13"/>
  <c r="N76" i="13"/>
  <c r="B76" i="13"/>
  <c r="N75" i="13"/>
  <c r="B75" i="13"/>
  <c r="N74" i="13"/>
  <c r="B74" i="13"/>
  <c r="N73" i="13"/>
  <c r="B73" i="13"/>
  <c r="N72" i="13"/>
  <c r="B72" i="13"/>
  <c r="N71" i="13"/>
  <c r="B71" i="13"/>
  <c r="B46" i="15"/>
  <c r="I46" i="15"/>
  <c r="J46" i="15"/>
  <c r="N46" i="15"/>
  <c r="B45" i="15"/>
  <c r="I45" i="15"/>
  <c r="J45" i="15"/>
  <c r="N45" i="15"/>
  <c r="N70" i="13"/>
  <c r="B70" i="13"/>
  <c r="N69" i="13"/>
  <c r="B69" i="13"/>
  <c r="N68" i="13"/>
  <c r="B68" i="13"/>
  <c r="N67" i="13"/>
  <c r="J67" i="13"/>
  <c r="I67" i="13"/>
  <c r="B67" i="13"/>
  <c r="N66" i="13"/>
  <c r="B66" i="13"/>
  <c r="N65" i="13"/>
  <c r="B65" i="13"/>
  <c r="N64" i="13"/>
  <c r="B64" i="13"/>
  <c r="N63" i="13"/>
  <c r="B63" i="13"/>
  <c r="N62" i="13"/>
  <c r="B62" i="13"/>
  <c r="N61" i="13"/>
  <c r="B61" i="13"/>
  <c r="N60" i="13"/>
  <c r="B60" i="13"/>
  <c r="N59" i="13"/>
  <c r="B59" i="13"/>
  <c r="N58" i="13"/>
  <c r="B58" i="13"/>
  <c r="N270" i="17"/>
  <c r="B270" i="17"/>
  <c r="N269" i="17"/>
  <c r="B269" i="17"/>
  <c r="N268" i="17"/>
  <c r="B268" i="17"/>
  <c r="N111" i="19"/>
  <c r="B111" i="19"/>
  <c r="N110" i="19"/>
  <c r="B110" i="19"/>
  <c r="N41" i="18"/>
  <c r="B41" i="18"/>
  <c r="N57" i="13"/>
  <c r="B57" i="13"/>
  <c r="N56" i="13"/>
  <c r="B56" i="13"/>
  <c r="N267" i="17"/>
  <c r="B267" i="17"/>
  <c r="N266" i="17"/>
  <c r="B266" i="17"/>
  <c r="N55" i="13"/>
  <c r="B55" i="13"/>
  <c r="N54" i="13"/>
  <c r="B54" i="13"/>
  <c r="N53" i="13"/>
  <c r="B53" i="13"/>
  <c r="M219" i="14"/>
  <c r="B219" i="14"/>
  <c r="N44" i="15"/>
  <c r="N265" i="17"/>
  <c r="B265" i="17"/>
  <c r="N264" i="17"/>
  <c r="B264" i="17"/>
  <c r="N52" i="13"/>
  <c r="B52" i="13"/>
  <c r="N51" i="13"/>
  <c r="B51" i="13"/>
  <c r="N50" i="13"/>
  <c r="B50" i="13"/>
  <c r="N49" i="13"/>
  <c r="B49" i="13"/>
  <c r="N48" i="13"/>
  <c r="B48" i="13"/>
  <c r="N39" i="21"/>
  <c r="B39" i="21"/>
  <c r="M218" i="14"/>
  <c r="B218" i="14"/>
  <c r="M217" i="14"/>
  <c r="B217" i="14"/>
  <c r="N47" i="13"/>
  <c r="B47" i="13"/>
  <c r="N46" i="13"/>
  <c r="B46" i="13"/>
  <c r="N45" i="13"/>
  <c r="B45" i="13"/>
  <c r="N44" i="13"/>
  <c r="B44" i="13"/>
  <c r="N43" i="13"/>
  <c r="B43" i="13"/>
  <c r="N43" i="15"/>
  <c r="B43" i="15"/>
  <c r="M216" i="14"/>
  <c r="B216" i="14"/>
  <c r="M215" i="14"/>
  <c r="B215" i="14"/>
  <c r="B214" i="14"/>
  <c r="I214" i="14"/>
  <c r="J214" i="14"/>
  <c r="M214" i="14"/>
  <c r="N42" i="13"/>
  <c r="B42" i="13"/>
  <c r="N41" i="13"/>
  <c r="B41" i="13"/>
  <c r="N40" i="13"/>
  <c r="B40" i="13"/>
  <c r="N39" i="13"/>
  <c r="B39" i="13"/>
  <c r="N38" i="13"/>
  <c r="B38" i="13"/>
  <c r="N40" i="18"/>
  <c r="B40" i="18"/>
  <c r="N109" i="19"/>
  <c r="B109" i="19"/>
  <c r="N108" i="19"/>
  <c r="B108" i="19"/>
  <c r="N263" i="17"/>
  <c r="B263" i="17"/>
  <c r="N262" i="17"/>
  <c r="B262" i="17"/>
  <c r="N37" i="13"/>
  <c r="B37" i="13"/>
  <c r="N36" i="13"/>
  <c r="B36" i="13"/>
  <c r="N35" i="13"/>
  <c r="B35" i="13"/>
  <c r="N34" i="13"/>
  <c r="B34" i="13"/>
  <c r="N33" i="13"/>
  <c r="B33" i="13"/>
  <c r="N32" i="13"/>
  <c r="B32" i="13"/>
  <c r="M213" i="14"/>
  <c r="B213" i="14"/>
  <c r="B212" i="14"/>
  <c r="J212" i="14"/>
  <c r="M212" i="14"/>
  <c r="M211" i="14"/>
  <c r="B211" i="14"/>
  <c r="M210" i="14"/>
  <c r="B210" i="14"/>
  <c r="N31" i="13"/>
  <c r="B31" i="13"/>
  <c r="N30" i="13"/>
  <c r="B30" i="13"/>
  <c r="N29" i="13"/>
  <c r="B29" i="13"/>
  <c r="N28" i="13"/>
  <c r="B28" i="13"/>
  <c r="N27" i="13"/>
  <c r="B27" i="13"/>
  <c r="N26" i="13"/>
  <c r="B26" i="13"/>
  <c r="N38" i="21"/>
  <c r="N37" i="21"/>
  <c r="B37" i="21"/>
  <c r="N261" i="17"/>
  <c r="B261" i="17"/>
  <c r="N260" i="17"/>
  <c r="B260" i="17"/>
  <c r="N25" i="13"/>
  <c r="B25" i="13"/>
  <c r="N24" i="13"/>
  <c r="B24" i="13"/>
  <c r="N23" i="13"/>
  <c r="B23" i="13"/>
  <c r="N22" i="13"/>
  <c r="B22" i="13"/>
  <c r="N21" i="13"/>
  <c r="B21" i="13"/>
  <c r="N20" i="13"/>
  <c r="B20" i="13"/>
  <c r="N19" i="13"/>
  <c r="B19" i="13"/>
  <c r="N18" i="13"/>
  <c r="B18" i="13"/>
  <c r="N17" i="13"/>
  <c r="B17" i="13"/>
  <c r="N16" i="13"/>
  <c r="B16" i="13"/>
  <c r="N15" i="13"/>
  <c r="B15" i="13"/>
  <c r="N14" i="13"/>
  <c r="B14" i="13"/>
  <c r="N259" i="17"/>
  <c r="B259" i="17"/>
  <c r="N258" i="17"/>
  <c r="B258" i="17"/>
  <c r="N257" i="17"/>
  <c r="B257" i="17"/>
  <c r="N256" i="17"/>
  <c r="B256" i="17"/>
  <c r="N255" i="17"/>
  <c r="B255" i="17"/>
  <c r="M209" i="14"/>
  <c r="B209" i="14"/>
  <c r="M208" i="14"/>
  <c r="B208" i="14"/>
  <c r="M207" i="14"/>
  <c r="B207" i="14"/>
  <c r="N13" i="13"/>
  <c r="B13" i="13"/>
  <c r="N12" i="13"/>
  <c r="B12" i="13"/>
  <c r="N11" i="13"/>
  <c r="B11" i="13"/>
  <c r="N10" i="13"/>
  <c r="B10" i="13"/>
  <c r="N9" i="13"/>
  <c r="B9" i="13"/>
  <c r="N8" i="13"/>
  <c r="B8" i="13"/>
  <c r="N7" i="13"/>
  <c r="B7" i="13"/>
  <c r="N6" i="13"/>
  <c r="B6" i="13"/>
  <c r="N5" i="13"/>
  <c r="B5" i="13"/>
  <c r="N254" i="17"/>
  <c r="B254" i="17"/>
  <c r="N253" i="17"/>
  <c r="B253" i="17"/>
  <c r="N252" i="17"/>
  <c r="B252" i="17"/>
  <c r="N9" i="22"/>
  <c r="B9" i="22"/>
  <c r="M206" i="14"/>
  <c r="B206" i="14"/>
  <c r="M205" i="14"/>
  <c r="B205" i="14"/>
  <c r="M204" i="14"/>
  <c r="B204" i="14"/>
  <c r="M203" i="14"/>
  <c r="B203" i="14"/>
  <c r="N107" i="19"/>
  <c r="B106" i="19"/>
  <c r="I106" i="19"/>
  <c r="J106" i="19"/>
  <c r="N106" i="19"/>
  <c r="N251" i="17"/>
  <c r="B251" i="17"/>
  <c r="N250" i="17"/>
  <c r="B250" i="17"/>
  <c r="N4" i="13"/>
  <c r="B4" i="13"/>
  <c r="N3" i="13"/>
  <c r="B3" i="13"/>
  <c r="N2" i="13"/>
  <c r="B2" i="13"/>
  <c r="N8" i="22"/>
  <c r="N7" i="22"/>
  <c r="M202" i="14"/>
  <c r="B202" i="14"/>
  <c r="M201" i="14"/>
  <c r="B201" i="14"/>
  <c r="N42" i="15"/>
  <c r="B42" i="15"/>
  <c r="B36" i="21"/>
  <c r="I36" i="21"/>
  <c r="J36" i="21"/>
  <c r="N36" i="21"/>
  <c r="N249" i="17"/>
  <c r="B249" i="17"/>
  <c r="N248" i="17"/>
  <c r="B248" i="17"/>
  <c r="N247" i="17"/>
  <c r="B247" i="17"/>
  <c r="N104" i="19"/>
  <c r="B104" i="19"/>
  <c r="N103" i="19"/>
  <c r="B103" i="19"/>
  <c r="M200" i="14"/>
  <c r="B200" i="14"/>
  <c r="M199" i="14"/>
  <c r="B199" i="14"/>
  <c r="N102" i="19"/>
  <c r="B102" i="19"/>
  <c r="N6" i="22"/>
  <c r="N5" i="22"/>
  <c r="N4" i="22"/>
  <c r="B4" i="22"/>
  <c r="M198" i="14"/>
  <c r="B198" i="14"/>
  <c r="M197" i="14"/>
  <c r="B197" i="14"/>
  <c r="M196" i="14"/>
  <c r="B196" i="14"/>
  <c r="N39" i="18"/>
  <c r="B39" i="18"/>
  <c r="N35" i="21"/>
  <c r="B35" i="21"/>
  <c r="M195" i="14"/>
  <c r="B195" i="14"/>
  <c r="M194" i="14"/>
  <c r="B194" i="14"/>
  <c r="N41" i="15"/>
  <c r="N40" i="15"/>
  <c r="B40" i="15"/>
  <c r="M193" i="14"/>
  <c r="B193" i="14"/>
  <c r="M192" i="14"/>
  <c r="B192" i="14"/>
  <c r="M191" i="14"/>
  <c r="B191" i="14"/>
  <c r="M190" i="14"/>
  <c r="J190" i="14"/>
  <c r="B190" i="14"/>
  <c r="N34" i="21"/>
  <c r="I34" i="21"/>
  <c r="B34" i="21"/>
  <c r="N3" i="22"/>
  <c r="N2" i="22"/>
  <c r="M189" i="14"/>
  <c r="B189" i="14"/>
  <c r="M188" i="14"/>
  <c r="B188" i="14"/>
  <c r="M187" i="14"/>
  <c r="B187" i="14"/>
  <c r="M186" i="14"/>
  <c r="B186" i="14"/>
  <c r="N246" i="17"/>
  <c r="B246" i="17"/>
  <c r="N245" i="17"/>
  <c r="B245" i="17"/>
  <c r="M185" i="14"/>
  <c r="B185" i="14"/>
  <c r="M184" i="14"/>
  <c r="B184" i="14"/>
  <c r="M183" i="14"/>
  <c r="B183" i="14"/>
  <c r="N33" i="21"/>
  <c r="B33" i="21"/>
  <c r="N32" i="21"/>
  <c r="B32" i="21"/>
  <c r="N31" i="21"/>
  <c r="B31" i="21"/>
  <c r="B38" i="18"/>
  <c r="N101" i="19"/>
  <c r="B101" i="19"/>
  <c r="N100" i="19"/>
  <c r="B100" i="19"/>
  <c r="N244" i="17"/>
  <c r="B244" i="17"/>
  <c r="N243" i="17"/>
  <c r="B243" i="17"/>
  <c r="N242" i="17"/>
  <c r="B242" i="17"/>
  <c r="M182" i="14"/>
  <c r="B182" i="14"/>
  <c r="M181" i="14"/>
  <c r="B181" i="14"/>
  <c r="N37" i="18"/>
  <c r="B37" i="18"/>
  <c r="N30" i="21"/>
  <c r="B30" i="21"/>
  <c r="N29" i="21"/>
  <c r="J29" i="21"/>
  <c r="I29" i="21"/>
  <c r="B29" i="21"/>
  <c r="N28" i="21"/>
  <c r="J28" i="21"/>
  <c r="I28" i="21"/>
  <c r="B28" i="21"/>
  <c r="N241" i="17"/>
  <c r="B241" i="17"/>
  <c r="N240" i="17"/>
  <c r="B240" i="17"/>
  <c r="N239" i="17"/>
  <c r="B239" i="17"/>
  <c r="B237" i="17"/>
  <c r="I237" i="17"/>
  <c r="J237" i="17"/>
  <c r="N237" i="17"/>
  <c r="B238" i="17"/>
  <c r="I238" i="17"/>
  <c r="J238" i="17"/>
  <c r="N238" i="17"/>
  <c r="M180" i="14"/>
  <c r="B180" i="14"/>
  <c r="M179" i="14"/>
  <c r="B179" i="14"/>
  <c r="M178" i="14"/>
  <c r="B178" i="14"/>
  <c r="N99" i="19"/>
  <c r="J99" i="19"/>
  <c r="B99" i="19"/>
  <c r="B98" i="19"/>
  <c r="I98" i="19"/>
  <c r="J98" i="19"/>
  <c r="N98" i="19"/>
  <c r="N27" i="21"/>
  <c r="B27" i="21"/>
  <c r="N26" i="21"/>
  <c r="B26" i="21"/>
  <c r="B96" i="19"/>
  <c r="N96" i="19"/>
  <c r="B97" i="19"/>
  <c r="N97" i="19"/>
  <c r="M177" i="14"/>
  <c r="B177" i="14"/>
  <c r="M176" i="14"/>
  <c r="B176" i="14"/>
  <c r="N95" i="19"/>
  <c r="B95" i="19"/>
  <c r="N94" i="19"/>
  <c r="B94" i="19"/>
  <c r="N36" i="18"/>
  <c r="B36" i="18"/>
  <c r="N39" i="15"/>
  <c r="J39" i="15"/>
  <c r="N38" i="15"/>
  <c r="B38" i="15"/>
  <c r="N235" i="17"/>
  <c r="B235" i="17"/>
  <c r="N234" i="17"/>
  <c r="B234" i="17"/>
  <c r="N233" i="17"/>
  <c r="B233" i="17"/>
  <c r="M175" i="14"/>
  <c r="B175" i="14"/>
  <c r="N232" i="17"/>
  <c r="B232" i="17"/>
  <c r="N231" i="17"/>
  <c r="B231" i="17"/>
  <c r="M174" i="14"/>
  <c r="B174" i="14"/>
  <c r="M173" i="14"/>
  <c r="B173" i="14"/>
  <c r="J230" i="17"/>
  <c r="N230" i="17"/>
  <c r="B230" i="17"/>
  <c r="N229" i="17"/>
  <c r="B229" i="17"/>
  <c r="N228" i="17"/>
  <c r="B228" i="17"/>
  <c r="M172" i="14"/>
  <c r="B172" i="14"/>
  <c r="M171" i="14"/>
  <c r="B171" i="14"/>
  <c r="N35" i="18"/>
  <c r="B35" i="18"/>
  <c r="B34" i="18"/>
  <c r="I34" i="18"/>
  <c r="J34" i="18"/>
  <c r="N34" i="18"/>
  <c r="N93" i="19"/>
  <c r="B93" i="19"/>
  <c r="B92" i="19"/>
  <c r="I92" i="19"/>
  <c r="J92" i="19"/>
  <c r="N92" i="19"/>
  <c r="B90" i="19"/>
  <c r="I90" i="19"/>
  <c r="J90" i="19"/>
  <c r="N90" i="19"/>
  <c r="B91" i="19"/>
  <c r="I91" i="19"/>
  <c r="J91" i="19"/>
  <c r="N91" i="19"/>
  <c r="M170" i="14"/>
  <c r="B170" i="14"/>
  <c r="M169" i="14"/>
  <c r="B169" i="14"/>
  <c r="N227" i="17"/>
  <c r="B227" i="17"/>
  <c r="N226" i="17"/>
  <c r="B226" i="17"/>
  <c r="N225" i="17"/>
  <c r="B225" i="17"/>
  <c r="N25" i="21"/>
  <c r="B25" i="21"/>
  <c r="M168" i="14"/>
  <c r="B168" i="14"/>
  <c r="M167" i="14"/>
  <c r="B167" i="14"/>
  <c r="M166" i="14"/>
  <c r="B166" i="14"/>
  <c r="M165" i="14"/>
  <c r="N224" i="17"/>
  <c r="B224" i="17"/>
  <c r="N223" i="17"/>
  <c r="J223" i="17"/>
  <c r="I223" i="17"/>
  <c r="B223" i="17"/>
  <c r="N222" i="17"/>
  <c r="J222" i="17"/>
  <c r="I222" i="17"/>
  <c r="B222" i="17"/>
  <c r="M164" i="14"/>
  <c r="B164" i="14"/>
  <c r="M163" i="14"/>
  <c r="B163" i="14"/>
  <c r="N33" i="18"/>
  <c r="B32" i="18"/>
  <c r="I32" i="18"/>
  <c r="J32" i="18"/>
  <c r="N32" i="18"/>
  <c r="B162" i="14"/>
  <c r="I162" i="14"/>
  <c r="J162" i="14"/>
  <c r="M162" i="14"/>
  <c r="M161" i="14"/>
  <c r="B161" i="14"/>
  <c r="M160" i="14"/>
  <c r="B160" i="14"/>
  <c r="B159" i="14"/>
  <c r="I159" i="14"/>
  <c r="J159" i="14"/>
  <c r="M159" i="14"/>
  <c r="J158" i="14"/>
  <c r="B158" i="14"/>
  <c r="I158" i="14"/>
  <c r="M158" i="14"/>
  <c r="M157" i="14"/>
  <c r="B157" i="14"/>
  <c r="N24" i="21"/>
  <c r="B24" i="21"/>
  <c r="N89" i="19"/>
  <c r="B89" i="19"/>
  <c r="N88" i="19"/>
  <c r="B88" i="19"/>
  <c r="N221" i="17"/>
  <c r="B221" i="17"/>
  <c r="N220" i="17"/>
  <c r="B220" i="17"/>
  <c r="N219" i="17"/>
  <c r="B219" i="17"/>
  <c r="M156" i="14"/>
  <c r="B156" i="14"/>
  <c r="M154" i="14"/>
  <c r="B154" i="14"/>
  <c r="M152" i="14"/>
  <c r="B152" i="14"/>
  <c r="B155" i="14"/>
  <c r="I155" i="14"/>
  <c r="J155" i="14"/>
  <c r="M155" i="14"/>
  <c r="B153" i="14"/>
  <c r="I153" i="14"/>
  <c r="J153" i="14"/>
  <c r="M153" i="14"/>
  <c r="B151" i="14"/>
  <c r="I151" i="14"/>
  <c r="J151" i="14"/>
  <c r="M151" i="14"/>
  <c r="N218" i="17"/>
  <c r="B218" i="17"/>
  <c r="N217" i="17"/>
  <c r="B217" i="17"/>
  <c r="B216" i="17"/>
  <c r="J216" i="17"/>
  <c r="N216" i="17"/>
  <c r="B215" i="17"/>
  <c r="J215" i="17"/>
  <c r="N215" i="17"/>
  <c r="B214" i="17"/>
  <c r="J214" i="17"/>
  <c r="N214" i="17"/>
  <c r="N23" i="21"/>
  <c r="N22" i="21"/>
  <c r="N21" i="21"/>
  <c r="B21" i="21"/>
  <c r="N20" i="21"/>
  <c r="B20" i="21"/>
  <c r="N213" i="17"/>
  <c r="B213" i="17"/>
  <c r="B211" i="17"/>
  <c r="I211" i="17"/>
  <c r="J211" i="17"/>
  <c r="N211" i="17"/>
  <c r="B212" i="17"/>
  <c r="I212" i="17"/>
  <c r="J212" i="17"/>
  <c r="N212" i="17"/>
  <c r="M150" i="14"/>
  <c r="B150" i="14"/>
  <c r="M149" i="14"/>
  <c r="B149" i="14"/>
  <c r="M148" i="14"/>
  <c r="B148" i="14"/>
  <c r="B147" i="14"/>
  <c r="I147" i="14"/>
  <c r="J147" i="14"/>
  <c r="M147" i="14"/>
  <c r="N31" i="18"/>
  <c r="B31" i="18"/>
  <c r="N37" i="15"/>
  <c r="B37" i="15"/>
  <c r="N36" i="15"/>
  <c r="B36" i="15"/>
  <c r="N210" i="17"/>
  <c r="B210" i="17"/>
  <c r="N209" i="17"/>
  <c r="B209" i="17"/>
  <c r="N208" i="17"/>
  <c r="B208" i="17"/>
  <c r="M146" i="14"/>
  <c r="J146" i="14"/>
  <c r="I146" i="14"/>
  <c r="B146" i="14"/>
  <c r="M145" i="14"/>
  <c r="B145" i="14"/>
  <c r="M144" i="14"/>
  <c r="B144" i="14"/>
  <c r="M143" i="14"/>
  <c r="J143" i="14"/>
  <c r="B143" i="14"/>
  <c r="N207" i="17"/>
  <c r="B207" i="17"/>
  <c r="N206" i="17"/>
  <c r="B206" i="17"/>
  <c r="N205" i="17"/>
  <c r="B205" i="17"/>
  <c r="N19" i="21"/>
  <c r="B19" i="21"/>
  <c r="N204" i="17"/>
  <c r="B204" i="17"/>
  <c r="N203" i="17"/>
  <c r="B203" i="17"/>
  <c r="N202" i="17"/>
  <c r="B202" i="17"/>
  <c r="N35" i="15"/>
  <c r="B35" i="15"/>
  <c r="M142" i="14"/>
  <c r="B142" i="14"/>
  <c r="M141" i="14"/>
  <c r="B141" i="14"/>
  <c r="M140" i="14"/>
  <c r="B140" i="14"/>
  <c r="M139" i="14"/>
  <c r="B139" i="14"/>
  <c r="N201" i="17"/>
  <c r="B201" i="17"/>
  <c r="N200" i="17"/>
  <c r="B200" i="17"/>
  <c r="M138" i="14"/>
  <c r="B138" i="14"/>
  <c r="M137" i="14"/>
  <c r="B137" i="14"/>
  <c r="N199" i="17"/>
  <c r="B199" i="17"/>
  <c r="N198" i="17"/>
  <c r="B198" i="17"/>
  <c r="N87" i="19"/>
  <c r="B87" i="19"/>
  <c r="B86" i="19"/>
  <c r="I86" i="19"/>
  <c r="J86" i="19"/>
  <c r="N86" i="19"/>
  <c r="B85" i="19"/>
  <c r="I85" i="19"/>
  <c r="J85" i="19"/>
  <c r="N85" i="19"/>
  <c r="N34" i="15"/>
  <c r="B34" i="15"/>
  <c r="N18" i="21"/>
  <c r="B18" i="21"/>
  <c r="N197" i="17"/>
  <c r="B197" i="17"/>
  <c r="N196" i="17"/>
  <c r="B196" i="17"/>
  <c r="N195" i="17"/>
  <c r="B195" i="17"/>
  <c r="N194" i="17"/>
  <c r="B194" i="17"/>
  <c r="N193" i="17"/>
  <c r="B193" i="17"/>
  <c r="M136" i="14"/>
  <c r="B136" i="14"/>
  <c r="M135" i="14"/>
  <c r="B135" i="14"/>
  <c r="B191" i="17"/>
  <c r="I191" i="17"/>
  <c r="J191" i="17"/>
  <c r="N191" i="17"/>
  <c r="B192" i="17"/>
  <c r="I192" i="17"/>
  <c r="J192" i="17"/>
  <c r="N192" i="17"/>
  <c r="N190" i="17"/>
  <c r="B190" i="17"/>
  <c r="N189" i="17"/>
  <c r="B189" i="17"/>
  <c r="N188" i="17"/>
  <c r="B188" i="17"/>
  <c r="N30" i="18"/>
  <c r="J30" i="18"/>
  <c r="B30" i="18"/>
  <c r="N17" i="21"/>
  <c r="B17" i="21"/>
  <c r="M134" i="14"/>
  <c r="B134" i="14"/>
  <c r="B133" i="14"/>
  <c r="I133" i="14"/>
  <c r="J133" i="14"/>
  <c r="M133" i="14"/>
  <c r="M132" i="14"/>
  <c r="B132" i="14"/>
  <c r="B131" i="14"/>
  <c r="I131" i="14"/>
  <c r="J131" i="14"/>
  <c r="M131" i="14"/>
  <c r="B130" i="14"/>
  <c r="M130" i="14"/>
  <c r="N84" i="19"/>
  <c r="J84" i="19"/>
  <c r="I84" i="19"/>
  <c r="B84" i="19"/>
  <c r="B83" i="19"/>
  <c r="I83" i="19"/>
  <c r="N83" i="19"/>
  <c r="N187" i="17"/>
  <c r="J187" i="17"/>
  <c r="I187" i="17"/>
  <c r="B187" i="17"/>
  <c r="N186" i="17"/>
  <c r="J186" i="17"/>
  <c r="I186" i="17"/>
  <c r="B186" i="17"/>
  <c r="N82" i="19"/>
  <c r="B82" i="19"/>
  <c r="M129" i="14"/>
  <c r="B129" i="14"/>
  <c r="M128" i="14"/>
  <c r="J128" i="14"/>
  <c r="I128" i="14"/>
  <c r="B128" i="14"/>
  <c r="N33" i="15"/>
  <c r="B33" i="15"/>
  <c r="N32" i="15"/>
  <c r="N16" i="21"/>
  <c r="B16" i="21"/>
  <c r="N185" i="17"/>
  <c r="B185" i="17"/>
  <c r="N184" i="17"/>
  <c r="B184" i="17"/>
  <c r="N183" i="17"/>
  <c r="B183" i="17"/>
  <c r="N182" i="17"/>
  <c r="B182" i="17"/>
  <c r="N181" i="17"/>
  <c r="B181" i="17"/>
  <c r="N180" i="17"/>
  <c r="B180" i="17"/>
  <c r="B179" i="17"/>
  <c r="J179" i="17"/>
  <c r="N179" i="17"/>
  <c r="N178" i="17"/>
  <c r="B178" i="17"/>
  <c r="N177" i="17"/>
  <c r="B177" i="17"/>
  <c r="J81" i="19"/>
  <c r="N81" i="19"/>
  <c r="B81" i="19"/>
  <c r="N29" i="18"/>
  <c r="B29" i="18"/>
  <c r="M127" i="14"/>
  <c r="B127" i="14"/>
  <c r="B126" i="14"/>
  <c r="I126" i="14"/>
  <c r="J126" i="14"/>
  <c r="M126" i="14"/>
  <c r="N176" i="17"/>
  <c r="B176" i="17"/>
  <c r="N175" i="17"/>
  <c r="B175" i="17"/>
  <c r="N28" i="18"/>
  <c r="B28" i="18"/>
  <c r="N80" i="19"/>
  <c r="B80" i="19"/>
  <c r="M125" i="14"/>
  <c r="B125" i="14"/>
  <c r="M124" i="14"/>
  <c r="B124" i="14"/>
  <c r="N174" i="17"/>
  <c r="B174" i="17"/>
  <c r="N173" i="17"/>
  <c r="J173" i="17"/>
  <c r="B173" i="17"/>
  <c r="N172" i="17"/>
  <c r="J172" i="17"/>
  <c r="B172" i="17"/>
  <c r="N15" i="21"/>
  <c r="B15" i="21"/>
  <c r="N14" i="21"/>
  <c r="J14" i="21"/>
  <c r="I14" i="21"/>
  <c r="B14" i="21"/>
  <c r="N79" i="19"/>
  <c r="B79" i="19"/>
  <c r="N78" i="19"/>
  <c r="B78" i="19"/>
  <c r="N27" i="18"/>
  <c r="B27" i="18"/>
  <c r="N171" i="17"/>
  <c r="B171" i="17"/>
  <c r="N170" i="17"/>
  <c r="B170" i="17"/>
  <c r="B169" i="17"/>
  <c r="J169" i="17"/>
  <c r="N169" i="17"/>
  <c r="N168" i="17"/>
  <c r="B168" i="17"/>
  <c r="N167" i="17"/>
  <c r="B167" i="17"/>
  <c r="N26" i="18"/>
  <c r="J26" i="18"/>
  <c r="I26" i="18"/>
  <c r="B26" i="18"/>
  <c r="M123" i="14"/>
  <c r="B123" i="14"/>
  <c r="M122" i="14"/>
  <c r="B122" i="14"/>
  <c r="B121" i="14"/>
  <c r="M121" i="14"/>
  <c r="N31" i="15"/>
  <c r="B31" i="15"/>
  <c r="N166" i="17"/>
  <c r="B166" i="17"/>
  <c r="N165" i="17"/>
  <c r="B165" i="17"/>
  <c r="N13" i="21"/>
  <c r="B13" i="21"/>
  <c r="M120" i="14"/>
  <c r="B120" i="14"/>
  <c r="N164" i="17"/>
  <c r="B164" i="17"/>
  <c r="N163" i="17"/>
  <c r="B163" i="17"/>
  <c r="N77" i="19"/>
  <c r="B77" i="19"/>
  <c r="N25" i="18"/>
  <c r="B25" i="18"/>
  <c r="M119" i="14"/>
  <c r="B119" i="14"/>
  <c r="M118" i="14"/>
  <c r="B118" i="14"/>
  <c r="B117" i="14"/>
  <c r="I117" i="14"/>
  <c r="J117" i="14"/>
  <c r="M117" i="14"/>
  <c r="M116" i="14"/>
  <c r="B116" i="14"/>
  <c r="B115" i="14"/>
  <c r="I115" i="14"/>
  <c r="J115" i="14"/>
  <c r="M115" i="14"/>
  <c r="B114" i="14"/>
  <c r="I114" i="14"/>
  <c r="J114" i="14"/>
  <c r="M114" i="14"/>
  <c r="N12" i="21"/>
  <c r="B12" i="21"/>
  <c r="N11" i="21"/>
  <c r="J11" i="21"/>
  <c r="I11" i="21"/>
  <c r="B11" i="21"/>
  <c r="B10" i="21"/>
  <c r="I10" i="21"/>
  <c r="J10" i="21"/>
  <c r="N10" i="21"/>
  <c r="N162" i="17"/>
  <c r="J162" i="17"/>
  <c r="B162" i="17"/>
  <c r="N161" i="17"/>
  <c r="J161" i="17"/>
  <c r="B161" i="17"/>
  <c r="N160" i="17"/>
  <c r="B160" i="17"/>
  <c r="N76" i="19"/>
  <c r="B76" i="19"/>
  <c r="N24" i="18"/>
  <c r="J24" i="18"/>
  <c r="I24" i="18"/>
  <c r="B24" i="18"/>
  <c r="B113" i="14"/>
  <c r="I113" i="14"/>
  <c r="J113" i="14"/>
  <c r="M113" i="14"/>
  <c r="N30" i="15"/>
  <c r="B30" i="15"/>
  <c r="N29" i="15"/>
  <c r="J29" i="15"/>
  <c r="I29" i="15"/>
  <c r="B29" i="15"/>
  <c r="N28" i="15"/>
  <c r="B75" i="19"/>
  <c r="I75" i="19"/>
  <c r="J75" i="19"/>
  <c r="N75" i="19"/>
  <c r="N159" i="17"/>
  <c r="B159" i="17"/>
  <c r="N158" i="17"/>
  <c r="B158" i="17"/>
  <c r="N157" i="17"/>
  <c r="B157" i="17"/>
  <c r="B112" i="14"/>
  <c r="I112" i="14"/>
  <c r="J112" i="14"/>
  <c r="M112" i="14"/>
  <c r="M111" i="14"/>
  <c r="B111" i="14"/>
  <c r="N23" i="18"/>
  <c r="B23" i="18"/>
  <c r="B74" i="19"/>
  <c r="N74" i="19"/>
  <c r="B73" i="19"/>
  <c r="I73" i="19"/>
  <c r="J73" i="19"/>
  <c r="N73" i="19"/>
  <c r="J110" i="14"/>
  <c r="N156" i="17"/>
  <c r="B156" i="17"/>
  <c r="N155" i="17"/>
  <c r="B155" i="17"/>
  <c r="B110" i="14"/>
  <c r="M110" i="14"/>
  <c r="B109" i="14"/>
  <c r="I109" i="14"/>
  <c r="J109" i="14"/>
  <c r="M109" i="14"/>
  <c r="B108" i="14"/>
  <c r="I108" i="14"/>
  <c r="J108" i="14"/>
  <c r="M108" i="14"/>
  <c r="M107" i="14"/>
  <c r="B107" i="14"/>
  <c r="B106" i="14"/>
  <c r="M106" i="14"/>
  <c r="M105" i="14"/>
  <c r="B105" i="14"/>
  <c r="N154" i="17"/>
  <c r="B154" i="17"/>
  <c r="N153" i="17"/>
  <c r="B153" i="17"/>
  <c r="N152" i="17"/>
  <c r="B152" i="17"/>
  <c r="N22" i="18"/>
  <c r="J22" i="18"/>
  <c r="I22" i="18"/>
  <c r="B22" i="18"/>
  <c r="M104" i="14"/>
  <c r="B104" i="14"/>
  <c r="N72" i="19"/>
  <c r="B72" i="19"/>
  <c r="N151" i="17"/>
  <c r="B151" i="17"/>
  <c r="N150" i="17"/>
  <c r="B150" i="17"/>
  <c r="M103" i="14"/>
  <c r="B103" i="14"/>
  <c r="N21" i="18"/>
  <c r="B21" i="18"/>
  <c r="M102" i="14"/>
  <c r="B102" i="14"/>
  <c r="M101" i="14"/>
  <c r="B101" i="14"/>
  <c r="N149" i="17"/>
  <c r="B149" i="17"/>
  <c r="N148" i="17"/>
  <c r="B148" i="17"/>
  <c r="N147" i="17"/>
  <c r="B147" i="17"/>
  <c r="N9" i="21"/>
  <c r="B9" i="21"/>
  <c r="N71" i="19"/>
  <c r="B71" i="19"/>
  <c r="M100" i="14"/>
  <c r="B100" i="14"/>
  <c r="B99" i="14"/>
  <c r="M99" i="14"/>
  <c r="B98" i="14"/>
  <c r="I98" i="14"/>
  <c r="J98" i="14"/>
  <c r="M98" i="14"/>
  <c r="M97" i="14"/>
  <c r="B97" i="14"/>
  <c r="N20" i="18"/>
  <c r="B20" i="18"/>
  <c r="N146" i="17"/>
  <c r="B146" i="17"/>
  <c r="N145" i="17"/>
  <c r="B145" i="17"/>
  <c r="N144" i="17"/>
  <c r="B144" i="17"/>
  <c r="N143" i="17"/>
  <c r="B143" i="17"/>
  <c r="N19" i="18"/>
  <c r="B19" i="18"/>
  <c r="N70" i="19"/>
  <c r="B70" i="19"/>
  <c r="B69" i="19"/>
  <c r="I69" i="19"/>
  <c r="J69" i="19"/>
  <c r="N69" i="19"/>
  <c r="N142" i="17"/>
  <c r="B142" i="17"/>
  <c r="B140" i="17"/>
  <c r="I140" i="17"/>
  <c r="J140" i="17"/>
  <c r="N140" i="17"/>
  <c r="B141" i="17"/>
  <c r="I141" i="17"/>
  <c r="J141" i="17"/>
  <c r="N141" i="17"/>
  <c r="M96" i="14"/>
  <c r="B96" i="14"/>
  <c r="N8" i="21"/>
  <c r="B8" i="21"/>
  <c r="N68" i="19"/>
  <c r="B68" i="19"/>
  <c r="N139" i="17"/>
  <c r="B139" i="17"/>
  <c r="N138" i="17"/>
  <c r="B138" i="17"/>
  <c r="M95" i="14"/>
  <c r="B95" i="14"/>
  <c r="M94" i="14"/>
  <c r="B94" i="14"/>
  <c r="B67" i="19"/>
  <c r="I67" i="19"/>
  <c r="J67" i="19"/>
  <c r="N67" i="19"/>
  <c r="N137" i="17"/>
  <c r="B137" i="17"/>
  <c r="N136" i="17"/>
  <c r="B136" i="17"/>
  <c r="N135" i="17"/>
  <c r="B135" i="17"/>
  <c r="M93" i="14"/>
  <c r="B93" i="14"/>
  <c r="B92" i="14"/>
  <c r="I92" i="14"/>
  <c r="J92" i="14"/>
  <c r="M92" i="14"/>
  <c r="N134" i="17"/>
  <c r="B134" i="17"/>
  <c r="N133" i="17"/>
  <c r="B133" i="17"/>
  <c r="B66" i="19"/>
  <c r="N65" i="19"/>
  <c r="B65" i="19"/>
  <c r="N64" i="19"/>
  <c r="B64" i="19"/>
  <c r="M91" i="14"/>
  <c r="B91" i="14"/>
  <c r="B90" i="14"/>
  <c r="I90" i="14"/>
  <c r="J90" i="14"/>
  <c r="M90" i="14"/>
  <c r="N132" i="17"/>
  <c r="B132" i="17"/>
  <c r="N131" i="17"/>
  <c r="B131" i="17"/>
  <c r="N130" i="17"/>
  <c r="B130" i="17"/>
  <c r="N27" i="15"/>
  <c r="B27" i="15"/>
  <c r="J116" i="17"/>
  <c r="N129" i="17"/>
  <c r="B129" i="17"/>
  <c r="N128" i="17"/>
  <c r="B128" i="17"/>
  <c r="N18" i="18"/>
  <c r="B18" i="18"/>
  <c r="B63" i="19"/>
  <c r="I63" i="19"/>
  <c r="J63" i="19"/>
  <c r="N63" i="19"/>
  <c r="B62" i="19"/>
  <c r="I62" i="19"/>
  <c r="J62" i="19"/>
  <c r="N62" i="19"/>
  <c r="B61" i="19"/>
  <c r="I61" i="19"/>
  <c r="J61" i="19"/>
  <c r="N61" i="19"/>
  <c r="B60" i="19"/>
  <c r="I60" i="19"/>
  <c r="J60" i="19"/>
  <c r="N60" i="19"/>
  <c r="B59" i="19"/>
  <c r="I59" i="19"/>
  <c r="J59" i="19"/>
  <c r="N59" i="19"/>
  <c r="M89" i="14"/>
  <c r="B89" i="14"/>
  <c r="M88" i="14"/>
  <c r="B88" i="14"/>
  <c r="B87" i="14"/>
  <c r="I87" i="14"/>
  <c r="J87" i="14"/>
  <c r="M87" i="14"/>
  <c r="M86" i="14"/>
  <c r="B86" i="14"/>
  <c r="B85" i="14"/>
  <c r="I85" i="14"/>
  <c r="J85" i="14"/>
  <c r="M85" i="14"/>
  <c r="N26" i="15"/>
  <c r="B26" i="15"/>
  <c r="N58" i="19"/>
  <c r="B58" i="19"/>
  <c r="N57" i="19"/>
  <c r="B57" i="19"/>
  <c r="N56" i="19"/>
  <c r="B56" i="19"/>
  <c r="B55" i="19"/>
  <c r="I55" i="19"/>
  <c r="J55" i="19"/>
  <c r="N55" i="19"/>
  <c r="N54" i="19"/>
  <c r="B54" i="19"/>
  <c r="N25" i="15"/>
  <c r="B25" i="15"/>
  <c r="N24" i="15"/>
  <c r="J24" i="15"/>
  <c r="I24" i="15"/>
  <c r="B24" i="15"/>
  <c r="M84" i="14"/>
  <c r="B84" i="14"/>
  <c r="M83" i="14"/>
  <c r="I83" i="14"/>
  <c r="B83" i="14"/>
  <c r="M82" i="14"/>
  <c r="B82" i="14"/>
  <c r="M81" i="14"/>
  <c r="J81" i="14"/>
  <c r="B81" i="14"/>
  <c r="B127" i="17"/>
  <c r="I127" i="17"/>
  <c r="J127" i="17"/>
  <c r="N127" i="17"/>
  <c r="B126" i="17"/>
  <c r="I126" i="17"/>
  <c r="J126" i="17"/>
  <c r="N126" i="17"/>
  <c r="J125" i="17"/>
  <c r="M80" i="14"/>
  <c r="J80" i="14"/>
  <c r="B80" i="14"/>
  <c r="N125" i="17"/>
  <c r="B125" i="17"/>
  <c r="N124" i="17"/>
  <c r="B124" i="17"/>
  <c r="J25" i="16"/>
  <c r="I123" i="17"/>
  <c r="N123" i="17"/>
  <c r="J123" i="17"/>
  <c r="B123" i="17"/>
  <c r="N122" i="17"/>
  <c r="B122" i="17"/>
  <c r="M26" i="16"/>
  <c r="M25" i="16"/>
  <c r="N53" i="19"/>
  <c r="B53" i="19"/>
  <c r="N52" i="19"/>
  <c r="B52" i="19"/>
  <c r="N51" i="19"/>
  <c r="B51" i="19"/>
  <c r="N121" i="17"/>
  <c r="B121" i="17"/>
  <c r="N120" i="17"/>
  <c r="B120" i="17"/>
  <c r="N119" i="17"/>
  <c r="B119" i="17"/>
  <c r="N7" i="21"/>
  <c r="B7" i="21"/>
  <c r="N50" i="19"/>
  <c r="B50" i="19"/>
  <c r="N49" i="19"/>
  <c r="B49" i="19"/>
  <c r="N48" i="19"/>
  <c r="B48" i="19"/>
  <c r="N47" i="19"/>
  <c r="B47" i="19"/>
  <c r="N46" i="19"/>
  <c r="B46" i="19"/>
  <c r="M79" i="14"/>
  <c r="B79" i="14"/>
  <c r="M78" i="14"/>
  <c r="I78" i="14"/>
  <c r="B78" i="14"/>
  <c r="M77" i="14"/>
  <c r="I77" i="14"/>
  <c r="B77" i="14"/>
  <c r="M76" i="14"/>
  <c r="B76" i="14"/>
  <c r="M24" i="16"/>
  <c r="M75" i="14"/>
  <c r="B75" i="14"/>
  <c r="M74" i="14"/>
  <c r="B74" i="14"/>
  <c r="M73" i="14"/>
  <c r="B73" i="14"/>
  <c r="M72" i="14"/>
  <c r="B72" i="14"/>
  <c r="M71" i="14"/>
  <c r="B71" i="14"/>
  <c r="M23" i="16"/>
  <c r="M22" i="16"/>
  <c r="M21" i="16"/>
  <c r="N118" i="17"/>
  <c r="B118" i="17"/>
  <c r="N117" i="17"/>
  <c r="B117" i="17"/>
  <c r="N116" i="17"/>
  <c r="B116" i="17"/>
  <c r="N115" i="17"/>
  <c r="B115" i="17"/>
  <c r="N114" i="17"/>
  <c r="B114" i="17"/>
  <c r="I113" i="17"/>
  <c r="N113" i="17"/>
  <c r="B113" i="17"/>
  <c r="N112" i="17"/>
  <c r="B112" i="17"/>
  <c r="N17" i="18"/>
  <c r="B17" i="18"/>
  <c r="N16" i="18"/>
  <c r="B16" i="18"/>
  <c r="M70" i="14"/>
  <c r="B70" i="14"/>
  <c r="M69" i="14"/>
  <c r="B69" i="14"/>
  <c r="M68" i="14"/>
  <c r="B68" i="14"/>
  <c r="M67" i="14"/>
  <c r="B67" i="14"/>
  <c r="M66" i="14"/>
  <c r="B66" i="14"/>
  <c r="M65" i="14"/>
  <c r="B65" i="14"/>
  <c r="N23" i="15"/>
  <c r="B23" i="15"/>
  <c r="N111" i="17"/>
  <c r="B111" i="17"/>
  <c r="N110" i="17"/>
  <c r="B110" i="17"/>
  <c r="B15" i="18"/>
  <c r="N45" i="19"/>
  <c r="B45" i="19"/>
  <c r="N44" i="19"/>
  <c r="B44" i="19"/>
  <c r="N43" i="19"/>
  <c r="J43" i="19"/>
  <c r="B43" i="19"/>
  <c r="N42" i="19"/>
  <c r="I42" i="19"/>
  <c r="B42" i="19"/>
  <c r="N14" i="18"/>
  <c r="J14" i="18"/>
  <c r="B14" i="18"/>
  <c r="B22" i="15"/>
  <c r="N22" i="15"/>
  <c r="N109" i="17"/>
  <c r="B109" i="17"/>
  <c r="N108" i="17"/>
  <c r="B108" i="17"/>
  <c r="N107" i="17"/>
  <c r="B107" i="17"/>
  <c r="N13" i="18"/>
  <c r="J13" i="18"/>
  <c r="I13" i="18"/>
  <c r="B13" i="18"/>
  <c r="I63" i="14"/>
  <c r="N106" i="17"/>
  <c r="B106" i="17"/>
  <c r="N105" i="17"/>
  <c r="B105" i="17"/>
  <c r="N104" i="17"/>
  <c r="B104" i="17"/>
  <c r="M20" i="16"/>
  <c r="M64" i="14"/>
  <c r="B64" i="14"/>
  <c r="M63" i="14"/>
  <c r="B63" i="14"/>
  <c r="N103" i="17"/>
  <c r="B103" i="17"/>
  <c r="B102" i="17"/>
  <c r="I102" i="17"/>
  <c r="J102" i="17"/>
  <c r="N102" i="17"/>
  <c r="M62" i="14"/>
  <c r="B62" i="14"/>
  <c r="B61" i="14"/>
  <c r="M61" i="14"/>
  <c r="M60" i="14"/>
  <c r="B60" i="14"/>
  <c r="B59" i="14"/>
  <c r="I59" i="14"/>
  <c r="M59" i="14"/>
  <c r="N101" i="17"/>
  <c r="B101" i="17"/>
  <c r="B100" i="17"/>
  <c r="I100" i="17"/>
  <c r="J100" i="17"/>
  <c r="N100" i="17"/>
  <c r="B99" i="17"/>
  <c r="N99" i="17"/>
  <c r="N21" i="15"/>
  <c r="B21" i="15"/>
  <c r="N20" i="15"/>
  <c r="J20" i="15"/>
  <c r="I20" i="15"/>
  <c r="B20" i="15"/>
  <c r="N19" i="15"/>
  <c r="J19" i="15"/>
  <c r="I19" i="15"/>
  <c r="B19" i="15"/>
  <c r="N12" i="18"/>
  <c r="B12" i="18"/>
  <c r="N6" i="21"/>
  <c r="B6" i="21"/>
  <c r="M58" i="14"/>
  <c r="B58" i="14"/>
  <c r="M57" i="14"/>
  <c r="B57" i="14"/>
  <c r="N98" i="17"/>
  <c r="B98" i="17"/>
  <c r="N97" i="17"/>
  <c r="B97" i="17"/>
  <c r="N5" i="21"/>
  <c r="N11" i="18"/>
  <c r="B11" i="18"/>
  <c r="B96" i="17"/>
  <c r="J96" i="17"/>
  <c r="N96" i="17"/>
  <c r="N95" i="17"/>
  <c r="B95" i="17"/>
  <c r="B94" i="17"/>
  <c r="I94" i="17"/>
  <c r="J94" i="17"/>
  <c r="N94" i="17"/>
  <c r="B93" i="17"/>
  <c r="I93" i="17"/>
  <c r="J93" i="17"/>
  <c r="N93" i="17"/>
  <c r="M53" i="14"/>
  <c r="B53" i="14"/>
  <c r="B55" i="14"/>
  <c r="M55" i="14"/>
  <c r="I52" i="14"/>
  <c r="M56" i="14"/>
  <c r="B56" i="14"/>
  <c r="B54" i="14"/>
  <c r="M54" i="14"/>
  <c r="B52" i="14"/>
  <c r="J52" i="14"/>
  <c r="M52" i="14"/>
  <c r="N10" i="18"/>
  <c r="J10" i="18"/>
  <c r="I10" i="18"/>
  <c r="B10" i="18"/>
  <c r="N41" i="19"/>
  <c r="B41" i="19"/>
  <c r="N40" i="19"/>
  <c r="B40" i="19"/>
  <c r="N39" i="19"/>
  <c r="N38" i="19"/>
  <c r="B38" i="19"/>
  <c r="M51" i="14"/>
  <c r="B51" i="14"/>
  <c r="M50" i="14"/>
  <c r="B50" i="14"/>
  <c r="N18" i="15"/>
  <c r="B18" i="15"/>
  <c r="M49" i="14"/>
  <c r="B49" i="14"/>
  <c r="M48" i="14"/>
  <c r="B48" i="14"/>
  <c r="B37" i="19"/>
  <c r="B36" i="19"/>
  <c r="B92" i="17"/>
  <c r="B91" i="17"/>
  <c r="B47" i="14"/>
  <c r="B46" i="14"/>
  <c r="J9" i="18"/>
  <c r="B9" i="18"/>
  <c r="J17" i="15"/>
  <c r="B17" i="15"/>
  <c r="B90" i="17"/>
  <c r="B89" i="17"/>
  <c r="B88" i="17"/>
  <c r="B87" i="17"/>
  <c r="J87" i="17"/>
  <c r="B86" i="17"/>
  <c r="J86" i="17"/>
  <c r="J7" i="18"/>
  <c r="B7" i="18"/>
  <c r="B45" i="14"/>
  <c r="B44" i="14"/>
  <c r="B43" i="14"/>
  <c r="B42" i="14"/>
  <c r="J4" i="21"/>
  <c r="B4" i="21"/>
  <c r="B35" i="19"/>
  <c r="J33" i="19"/>
  <c r="I33" i="19"/>
  <c r="B33" i="19"/>
  <c r="B32" i="19"/>
  <c r="J31" i="19"/>
  <c r="B31" i="19"/>
  <c r="B30" i="19"/>
  <c r="J30" i="19"/>
  <c r="B29" i="19"/>
  <c r="J29" i="19"/>
  <c r="J17" i="16"/>
  <c r="J15" i="16"/>
  <c r="B85" i="17"/>
  <c r="B84" i="17"/>
  <c r="B14" i="15"/>
  <c r="B83" i="17"/>
  <c r="B82" i="17"/>
  <c r="B81" i="17"/>
  <c r="B41" i="14"/>
  <c r="B40" i="14"/>
  <c r="B39" i="14"/>
  <c r="B38" i="14"/>
  <c r="B80" i="17"/>
  <c r="B79" i="17"/>
  <c r="J78" i="17"/>
  <c r="B78" i="17"/>
  <c r="B77" i="17"/>
  <c r="I77" i="17"/>
  <c r="J77" i="17"/>
  <c r="B76" i="17"/>
  <c r="I76" i="17"/>
  <c r="J76" i="17"/>
  <c r="B28" i="19"/>
  <c r="J6" i="18"/>
  <c r="I6" i="18"/>
  <c r="B6" i="18"/>
  <c r="B13" i="15"/>
  <c r="B75" i="17"/>
  <c r="B74" i="17"/>
  <c r="B37" i="14"/>
  <c r="B36" i="14"/>
  <c r="B27" i="19"/>
  <c r="J26" i="19"/>
  <c r="B26" i="19"/>
  <c r="B25" i="19"/>
  <c r="B24" i="19"/>
  <c r="B35" i="14"/>
  <c r="B34" i="14"/>
  <c r="B33" i="14"/>
  <c r="J33" i="14"/>
  <c r="B73" i="17"/>
  <c r="B72" i="17"/>
  <c r="B71" i="17"/>
  <c r="J71" i="17"/>
  <c r="B5" i="18"/>
  <c r="B32" i="14"/>
  <c r="B31" i="14"/>
  <c r="B70" i="17"/>
  <c r="B69" i="17"/>
  <c r="B68" i="17"/>
  <c r="J68" i="17"/>
  <c r="J12" i="15"/>
  <c r="I12" i="15"/>
  <c r="B12" i="15"/>
  <c r="B67" i="17"/>
  <c r="B66" i="17"/>
  <c r="B65" i="17"/>
  <c r="B23" i="19"/>
  <c r="B22" i="19"/>
  <c r="J21" i="19"/>
  <c r="I21" i="19"/>
  <c r="B21" i="19"/>
  <c r="B64" i="17"/>
  <c r="B63" i="17"/>
  <c r="B30" i="14"/>
  <c r="B29" i="14"/>
  <c r="I29" i="14"/>
  <c r="J29" i="14"/>
  <c r="J11" i="16"/>
  <c r="B62" i="17"/>
  <c r="B61" i="17"/>
  <c r="B28" i="14"/>
  <c r="B27" i="14"/>
  <c r="B11" i="15"/>
  <c r="J20" i="19"/>
  <c r="I20" i="19"/>
  <c r="B20" i="19"/>
  <c r="B19" i="19"/>
  <c r="I19" i="19"/>
  <c r="J19" i="19"/>
  <c r="B18" i="19"/>
  <c r="J4" i="18"/>
  <c r="I4" i="18"/>
  <c r="B4" i="18"/>
  <c r="B26" i="14"/>
  <c r="B3" i="21"/>
  <c r="B2" i="21"/>
  <c r="J3" i="18"/>
  <c r="I3" i="18"/>
  <c r="B3" i="18"/>
  <c r="B60" i="17"/>
  <c r="B59" i="17"/>
  <c r="B58" i="17"/>
  <c r="J58" i="17"/>
  <c r="J59" i="17" s="1"/>
  <c r="B57" i="17"/>
  <c r="I57" i="17"/>
  <c r="J57" i="17"/>
  <c r="B17" i="19"/>
  <c r="B16" i="19"/>
  <c r="J15" i="19"/>
  <c r="I15" i="19"/>
  <c r="B15" i="19"/>
  <c r="J14" i="19"/>
  <c r="I14" i="19"/>
  <c r="B14" i="19"/>
  <c r="B56" i="17"/>
  <c r="I55" i="17"/>
  <c r="B55" i="17"/>
  <c r="J55" i="17"/>
  <c r="J54" i="17"/>
  <c r="B54" i="17"/>
  <c r="J25" i="14"/>
  <c r="B25" i="14"/>
  <c r="J24" i="14"/>
  <c r="B24" i="14"/>
  <c r="B23" i="14"/>
  <c r="J23" i="14"/>
  <c r="B53" i="17"/>
  <c r="B52" i="17"/>
  <c r="B51" i="17"/>
  <c r="B50" i="17"/>
  <c r="B49" i="17"/>
  <c r="B10" i="15"/>
  <c r="B22" i="14"/>
  <c r="B21" i="14"/>
  <c r="B20" i="14"/>
  <c r="B19" i="14"/>
  <c r="B18" i="14"/>
  <c r="B17" i="14"/>
  <c r="J16" i="14"/>
  <c r="B16" i="14"/>
  <c r="J15" i="14"/>
  <c r="B15" i="14"/>
  <c r="J48" i="17"/>
  <c r="B48" i="17"/>
  <c r="B47" i="17"/>
  <c r="B13" i="19"/>
  <c r="B12" i="19"/>
  <c r="B11" i="19"/>
  <c r="B9" i="15"/>
  <c r="B46" i="17"/>
  <c r="B45" i="17"/>
  <c r="J8" i="15"/>
  <c r="I8" i="15"/>
  <c r="B8" i="15"/>
  <c r="B44" i="17"/>
  <c r="B43" i="17"/>
  <c r="B42" i="17"/>
  <c r="J42" i="17"/>
  <c r="J10" i="19"/>
  <c r="B10" i="19"/>
  <c r="B9" i="19"/>
  <c r="J8" i="19"/>
  <c r="B8" i="19"/>
  <c r="B7" i="19"/>
  <c r="B6" i="19"/>
  <c r="I7" i="15"/>
  <c r="B7" i="15"/>
</calcChain>
</file>

<file path=xl/comments1.xml><?xml version="1.0" encoding="utf-8"?>
<comments xmlns="http://schemas.openxmlformats.org/spreadsheetml/2006/main">
  <authors>
    <author>Author</author>
  </authors>
  <commentLis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15240为调整套裁量。
</t>
        </r>
      </text>
    </comment>
    <comment ref="J30" authorId="0" shapeId="0">
      <text>
        <r>
          <rPr>
            <sz val="9"/>
            <color indexed="81"/>
            <rFont val="宋体"/>
            <family val="3"/>
            <charset val="134"/>
          </rPr>
          <t>3/1客户通知降低单量
51280-&gt;36972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原始订单号4500047725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原订单号4500046388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原订单号4500047725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11.25日WS3000A纱线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原订单号4500048319</t>
        </r>
      </text>
    </comment>
    <comment ref="E1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20191177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原始订单号4500048319
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原始订单号4500049223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原始订单号4500048319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原始订单号4500048319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原始订单号4500048869
</t>
        </r>
      </text>
    </comment>
    <comment ref="E1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原始订单号4500049223</t>
        </r>
      </text>
    </comment>
    <comment ref="E20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原始订单号4500049835</t>
        </r>
      </text>
    </comment>
    <comment ref="C2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11.25日WS3000A纱线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原订单号4500048319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11.25日WS3000A纱线</t>
        </r>
      </text>
    </commen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原订单号4500048319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原始订单号4500048869
</t>
        </r>
      </text>
    </commen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11.25日WS3000A纱线</t>
        </r>
      </text>
    </comment>
    <comment ref="E2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原订单号4500048319</t>
        </r>
      </text>
    </comment>
    <comment ref="E30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原订单号4500048869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原始订单号4500048869
</t>
        </r>
      </text>
    </comment>
    <comment ref="E3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原始订单号4500049835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原订单号4500048869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原始订单号4500048869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原始订单号4500049835</t>
        </r>
      </text>
    </comment>
    <comment ref="E23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20200760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原订单号4500049242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5天4套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原订单号4500050720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原订单号4500050720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临时订单号20200358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20200402</t>
        </r>
      </text>
    </comment>
    <comment ref="E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20200488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20200546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609" authorId="0" shapeId="0">
      <text>
        <r>
          <rPr>
            <sz val="9"/>
            <color indexed="81"/>
            <rFont val="宋体"/>
            <family val="3"/>
            <charset val="134"/>
          </rPr>
          <t>3/1客户通知降低单量
51280-&gt;36972</t>
        </r>
      </text>
    </comment>
    <comment ref="J6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15240为调整套裁量。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20200554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原始订单号4500050732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原始订单号4500050664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原始订单号4500050664</t>
        </r>
      </text>
    </commen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原始订单号4500050732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原始订单号4500050732</t>
        </r>
      </text>
    </comment>
    <comment ref="E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原始订单号4500050732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原始订单号4500050732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7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20200563</t>
        </r>
      </text>
    </comment>
    <comment ref="E26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程铭将订单4500061100改为4500062993</t>
        </r>
      </text>
    </comment>
  </commentList>
</comments>
</file>

<file path=xl/sharedStrings.xml><?xml version="1.0" encoding="utf-8"?>
<sst xmlns="http://schemas.openxmlformats.org/spreadsheetml/2006/main" count="4671" uniqueCount="2158">
  <si>
    <t>客户代码</t>
    <phoneticPr fontId="2" type="noConversion"/>
  </si>
  <si>
    <t>Location</t>
    <phoneticPr fontId="2" type="noConversion"/>
  </si>
  <si>
    <t>PO Date</t>
    <phoneticPr fontId="2" type="noConversion"/>
  </si>
  <si>
    <t xml:space="preserve">PO </t>
    <phoneticPr fontId="2" type="noConversion"/>
  </si>
  <si>
    <t>SAP code</t>
    <phoneticPr fontId="2" type="noConversion"/>
  </si>
  <si>
    <t>Customer code</t>
    <phoneticPr fontId="2" type="noConversion"/>
  </si>
  <si>
    <t>Description</t>
    <phoneticPr fontId="2" type="noConversion"/>
  </si>
  <si>
    <t>Qty/KG</t>
    <phoneticPr fontId="2" type="noConversion"/>
  </si>
  <si>
    <t>ETA</t>
    <phoneticPr fontId="2" type="noConversion"/>
  </si>
  <si>
    <t>三轴玻纤；3AX9060-1500-0339-H；2540mm×100m；-</t>
  </si>
  <si>
    <t>双轴玻纤；2AX-800-0440；2540mm×100m；-</t>
  </si>
  <si>
    <t>三轴玻纤；3AX9060-1250-0336；2540mm×100m；-</t>
  </si>
  <si>
    <t>三轴玻纤；3AX-1250-6330；2540mm×100m；-</t>
  </si>
  <si>
    <t>单轴玻纤；UDH-1215-630；SR146Ⅰ28大梁；-</t>
  </si>
  <si>
    <t>单轴玻纤；UDH-1215-230；SR146Ⅰ28后缘；-</t>
  </si>
  <si>
    <t>1120001194</t>
  </si>
  <si>
    <t>单轴玻纤；UDH-1215-230；WB171Ⅰ36后缘；-</t>
  </si>
  <si>
    <t>大丰</t>
    <phoneticPr fontId="2" type="noConversion"/>
  </si>
  <si>
    <t>单轴玻纤；UDH-1250-230；SR140Ⅲ23后缘；-</t>
  </si>
  <si>
    <t>单轴玻纤；UDH-1250-550；SR140Ⅲ23大梁；-</t>
  </si>
  <si>
    <t>三轴玻纤；3AX9060-1500-0339-H；1270mm×100m；-</t>
  </si>
  <si>
    <t>单轴玻纤；UDE-1200-170；SR120后缘；-</t>
  </si>
  <si>
    <t>单轴玻纤；UDH-1250-550；SR120大梁；-</t>
  </si>
  <si>
    <t>洛阳</t>
  </si>
  <si>
    <t>工厂代码</t>
    <phoneticPr fontId="2" type="noConversion"/>
  </si>
  <si>
    <t>简称</t>
    <phoneticPr fontId="2" type="noConversion"/>
  </si>
  <si>
    <t>张家口</t>
    <phoneticPr fontId="2" type="noConversion"/>
  </si>
  <si>
    <t>大连</t>
    <phoneticPr fontId="2" type="noConversion"/>
  </si>
  <si>
    <t>洛阳双瑞风电叶片有限公司哈密分公司</t>
    <phoneticPr fontId="2" type="noConversion"/>
  </si>
  <si>
    <t>公司名称</t>
  </si>
  <si>
    <t>洛阳</t>
    <phoneticPr fontId="2" type="noConversion"/>
  </si>
  <si>
    <t>洛阳双瑞风电叶片工厂</t>
  </si>
  <si>
    <t>洛阳双瑞风电叶片张家口工厂</t>
  </si>
  <si>
    <t>德州</t>
    <phoneticPr fontId="2" type="noConversion"/>
  </si>
  <si>
    <t>洛阳双瑞风电叶片德州工厂</t>
  </si>
  <si>
    <t>大连双瑞风电叶片工厂</t>
  </si>
  <si>
    <t>鄂尔多斯</t>
    <phoneticPr fontId="2" type="noConversion"/>
  </si>
  <si>
    <t>洛阳双瑞风电叶片鄂尔多斯工厂</t>
    <phoneticPr fontId="2" type="noConversion"/>
  </si>
  <si>
    <t>洛阳双瑞风电叶片大丰工厂</t>
  </si>
  <si>
    <t>哈密</t>
    <phoneticPr fontId="2" type="noConversion"/>
  </si>
  <si>
    <t>青岛双瑞工厂</t>
  </si>
  <si>
    <t>新疆双瑞风电叶片工厂</t>
    <phoneticPr fontId="2" type="noConversion"/>
  </si>
  <si>
    <t>洛阳双瑞橡塑工厂</t>
  </si>
  <si>
    <t>备注</t>
    <phoneticPr fontId="1" type="noConversion"/>
  </si>
  <si>
    <t>SO</t>
    <phoneticPr fontId="1" type="noConversion"/>
  </si>
  <si>
    <t>1029670/1029671</t>
  </si>
  <si>
    <t>N/A</t>
    <phoneticPr fontId="1" type="noConversion"/>
  </si>
  <si>
    <t>WS3000纱线，PS第六卷113.1米</t>
  </si>
  <si>
    <t>三轴玻纤；3AX-1215-7220；1270mm×114m；-</t>
  </si>
  <si>
    <t>双轴玻纤；2AX-800-0440；1270mm×90m；-</t>
  </si>
  <si>
    <t>三轴玻纤；3AX-1215-7220；1270mm×90m；-</t>
  </si>
  <si>
    <t>双轴玻纤；2AX-800-0440；1270mm×104m；-</t>
  </si>
  <si>
    <t>双轴玻纤；2AX35-790-0440；1270mm×100m；-</t>
  </si>
  <si>
    <t>张家口703</t>
    <phoneticPr fontId="1" type="noConversion"/>
  </si>
  <si>
    <t>三轴玻纤；3AX90-1250-0336；2540mm×100m；-</t>
  </si>
  <si>
    <t>鄂尔多斯703</t>
    <phoneticPr fontId="1" type="noConversion"/>
  </si>
  <si>
    <t>三轴玻纤；3AX9060-1500-0339-H；2540mm×103m；-</t>
    <phoneticPr fontId="1" type="noConversion"/>
  </si>
  <si>
    <t>12-5-2支，1230日发5套 0103发2套</t>
    <phoneticPr fontId="1" type="noConversion"/>
  </si>
  <si>
    <t>3-3支，0103 发3套</t>
    <phoneticPr fontId="1" type="noConversion"/>
  </si>
  <si>
    <t>36套，1230发3136KG，0104日发11760</t>
    <phoneticPr fontId="1" type="noConversion"/>
  </si>
  <si>
    <t>15托，实物到货703，开票双瑞张家口分公司，1228发6272，0104日发6272</t>
    <phoneticPr fontId="1" type="noConversion"/>
  </si>
  <si>
    <t>4-4支，0105日发4支</t>
    <phoneticPr fontId="1" type="noConversion"/>
  </si>
  <si>
    <t>8-4-4支，1227日4支,0103发4只</t>
    <phoneticPr fontId="1" type="noConversion"/>
  </si>
  <si>
    <t>6-6支，0103发6支</t>
    <phoneticPr fontId="1" type="noConversion"/>
  </si>
  <si>
    <t>781781/781782</t>
    <phoneticPr fontId="1" type="noConversion"/>
  </si>
  <si>
    <t>三轴玻纤；3AX9060-1500-0339-H；2540mm×103m；-</t>
    <phoneticPr fontId="1" type="noConversion"/>
  </si>
  <si>
    <t>32-6.5-6.5-6-6-6-1支，1114日发6.5套，1117日发6.5套，1121日发6套，1124日发6套，1219日发6套，0108发1套</t>
    <phoneticPr fontId="2" type="noConversion"/>
  </si>
  <si>
    <t>10-3支，0108发3套</t>
    <phoneticPr fontId="1" type="noConversion"/>
  </si>
  <si>
    <t>4-4支，0108发4套</t>
    <phoneticPr fontId="1" type="noConversion"/>
  </si>
  <si>
    <t>15托，实物到货703，开票双瑞张家口分公司，1228发6272，0104日发6272，0109发10976</t>
    <phoneticPr fontId="1" type="noConversion"/>
  </si>
  <si>
    <t>(老纱线WS3000)共2卷，编号分别为：SS-A-8第8卷43.6米、SS-A-10第10卷39.2米</t>
    <phoneticPr fontId="1" type="noConversion"/>
  </si>
  <si>
    <t>洛阳</t>
    <phoneticPr fontId="1" type="noConversion"/>
  </si>
  <si>
    <t>单轴玻纤；UDE-1200-420；U88E大梁；-</t>
    <phoneticPr fontId="1" type="noConversion"/>
  </si>
  <si>
    <t>单轴玻纤；UDE-1200-150；U88E后缘；-</t>
    <phoneticPr fontId="1" type="noConversion"/>
  </si>
  <si>
    <t>单轴玻纤；UDH-1250-230；SR140Ⅲ23后缘；-</t>
    <phoneticPr fontId="1" type="noConversion"/>
  </si>
  <si>
    <t>单轴玻纤；UDH-1215-230；WB171Ⅰ36后缘；-</t>
    <phoneticPr fontId="1" type="noConversion"/>
  </si>
  <si>
    <t>4-4支实验 ，0110发出4套</t>
    <phoneticPr fontId="1" type="noConversion"/>
  </si>
  <si>
    <t>4-4支实验 ，0104日发出</t>
    <phoneticPr fontId="1" type="noConversion"/>
  </si>
  <si>
    <t>4-4支调整 ，0112日发出</t>
    <phoneticPr fontId="1" type="noConversion"/>
  </si>
  <si>
    <t>735013/735014</t>
    <phoneticPr fontId="1" type="noConversion"/>
  </si>
  <si>
    <t>803452 </t>
  </si>
  <si>
    <t>40卷，1214日发4536，0113发3084</t>
    <phoneticPr fontId="1" type="noConversion"/>
  </si>
  <si>
    <t>104卷，0113发8256KG</t>
    <phoneticPr fontId="1" type="noConversion"/>
  </si>
  <si>
    <t>3-3支，布卷组合见附件。0113发3支</t>
    <phoneticPr fontId="1" type="noConversion"/>
  </si>
  <si>
    <t>3-3支。0113发3支</t>
    <phoneticPr fontId="1" type="noConversion"/>
  </si>
  <si>
    <t>3-3支，0113发</t>
    <phoneticPr fontId="1" type="noConversion"/>
  </si>
  <si>
    <t>3-3支，0113发3支</t>
    <phoneticPr fontId="1" type="noConversion"/>
  </si>
  <si>
    <t>单轴玻纤；UDH-1250-630；SR113大梁；-</t>
  </si>
  <si>
    <t>单轴玻纤；UDH-1250-315；SR113后缘；-</t>
  </si>
  <si>
    <t>套裁数量</t>
    <phoneticPr fontId="1" type="noConversion"/>
  </si>
  <si>
    <t>1029670/1029671</t>
    <phoneticPr fontId="1" type="noConversion"/>
  </si>
  <si>
    <t>1120000131</t>
  </si>
  <si>
    <t>1120000132</t>
  </si>
  <si>
    <t>4500052613</t>
  </si>
  <si>
    <t>三轴玻纤；3AX-1215-7220；2540mm×100m；-</t>
  </si>
  <si>
    <t>三轴玻纤；3AX90-1215-0227；2540mm×100m；-</t>
  </si>
  <si>
    <t>10-7支，0213发7套</t>
    <phoneticPr fontId="1" type="noConversion"/>
  </si>
  <si>
    <t>10-7-3支，0213发7套，0214日发3套</t>
    <phoneticPr fontId="1" type="noConversion"/>
  </si>
  <si>
    <t>10-4支OC新纱线备货 大梁脱模，0214日发4套</t>
    <phoneticPr fontId="1" type="noConversion"/>
  </si>
  <si>
    <t>754845/754846</t>
    <phoneticPr fontId="1" type="noConversion"/>
  </si>
  <si>
    <t>6卷，实物到货703</t>
  </si>
  <si>
    <t>单轴玻纤；UDH-1250-550；SR120Ⅲ23大梁；-</t>
  </si>
  <si>
    <t>单轴玻纤；UDE-1200-170；SR120Ⅲ23后缘；-</t>
  </si>
  <si>
    <t>1120002601</t>
  </si>
  <si>
    <t>1120002596</t>
  </si>
  <si>
    <t>1120002597</t>
  </si>
  <si>
    <t>1120000126</t>
  </si>
  <si>
    <t>1120000149</t>
  </si>
  <si>
    <t>1120000884</t>
  </si>
  <si>
    <t>1120000885</t>
  </si>
  <si>
    <t>4500053020</t>
  </si>
  <si>
    <t>4500053029</t>
  </si>
  <si>
    <t>4500053037</t>
  </si>
  <si>
    <t>三轴玻纤；3AX9060-1500-0339-H；2540mm×103m；-</t>
    <phoneticPr fontId="1" type="noConversion"/>
  </si>
  <si>
    <t>三轴玻纤；3AX-1215-7220；1270mm×100m；-</t>
  </si>
  <si>
    <t>双轴玻纤；2AX-800-0440；1270mm×100m；-</t>
  </si>
  <si>
    <t>1120000140</t>
  </si>
  <si>
    <t>1120000133</t>
  </si>
  <si>
    <t>4500053162</t>
  </si>
  <si>
    <t>104卷，0113发8256KG，0226发11563</t>
    <phoneticPr fontId="1" type="noConversion"/>
  </si>
  <si>
    <t>48卷，0226发1645</t>
    <phoneticPr fontId="1" type="noConversion"/>
  </si>
  <si>
    <t>10-3支，0108发3套,0226发2套</t>
    <phoneticPr fontId="1" type="noConversion"/>
  </si>
  <si>
    <t>4500053434</t>
  </si>
  <si>
    <t>36套，1230发3136KG，0104日发11760,0228日发12544</t>
    <phoneticPr fontId="1" type="noConversion"/>
  </si>
  <si>
    <t>112卷，0228日发3136</t>
    <phoneticPr fontId="1" type="noConversion"/>
  </si>
  <si>
    <t>4500053616</t>
  </si>
  <si>
    <t>10-3-2支，0108发3套,0226发2套，0301发1套</t>
    <phoneticPr fontId="1" type="noConversion"/>
  </si>
  <si>
    <t>10-4支OC新纱线备货 大梁脱模，0214日发4套，0301发4套</t>
    <phoneticPr fontId="1" type="noConversion"/>
  </si>
  <si>
    <t>0302发2778</t>
    <phoneticPr fontId="1" type="noConversion"/>
  </si>
  <si>
    <t>0302发1582</t>
    <phoneticPr fontId="1" type="noConversion"/>
  </si>
  <si>
    <t>0302发1236</t>
    <phoneticPr fontId="1" type="noConversion"/>
  </si>
  <si>
    <t>0302发2826</t>
    <phoneticPr fontId="1" type="noConversion"/>
  </si>
  <si>
    <t>4500053814</t>
  </si>
  <si>
    <t>36套，1230发3136KG，0104日发11760,0228日发12544，0304日发12544</t>
    <phoneticPr fontId="1" type="noConversion"/>
  </si>
  <si>
    <t>112卷，0228日发3136，0304发10936</t>
    <phoneticPr fontId="1" type="noConversion"/>
  </si>
  <si>
    <t>10-1支OC新纱线备货UD预制;2.5-SR140Ⅲ23海装2.5-SR140Ⅲ23海装，0304发1套</t>
    <phoneticPr fontId="1" type="noConversion"/>
  </si>
  <si>
    <t>10-3-2-1-4支，0108发3套,0226发2套，0301发1套，0304发4套</t>
    <phoneticPr fontId="1" type="noConversion"/>
  </si>
  <si>
    <t>10-4-4-1支OC新纱线备货 大梁脱模，0214日发4套，0301发4套，0304发1套</t>
    <phoneticPr fontId="1" type="noConversion"/>
  </si>
  <si>
    <t>48卷，0226发1645，0304发4536</t>
    <phoneticPr fontId="1" type="noConversion"/>
  </si>
  <si>
    <t>只要PS面1套</t>
  </si>
  <si>
    <t>20支,0308日发3套</t>
    <phoneticPr fontId="1" type="noConversion"/>
  </si>
  <si>
    <t>10-1支OC新纱线备货UD预制;2.5-SR140Ⅲ23海装2.5-SR140Ⅲ23海装，0304发1套，0308发9套</t>
    <phoneticPr fontId="1" type="noConversion"/>
  </si>
  <si>
    <t>10-4-4-1支OC新纱线备货 大梁脱模，0214日发4套，0301发4套，0304发1套，0308发1套</t>
    <phoneticPr fontId="1" type="noConversion"/>
  </si>
  <si>
    <t>14-8支，0308日发8套</t>
    <phoneticPr fontId="1" type="noConversion"/>
  </si>
  <si>
    <t>39-8支，0308日发8套</t>
    <phoneticPr fontId="1" type="noConversion"/>
  </si>
  <si>
    <t>14-5支，0308发5套</t>
    <phoneticPr fontId="1" type="noConversion"/>
  </si>
  <si>
    <t>781781/781782</t>
    <phoneticPr fontId="1" type="noConversion"/>
  </si>
  <si>
    <t>5支 ，双瑞数据出问题，这个5套订单号代替0305日的订单号4500050981。</t>
    <phoneticPr fontId="1" type="noConversion"/>
  </si>
  <si>
    <t>12-5-2-5支，1230日发5套 0103发2套，0305发5套，双瑞数据出问题，这个五套相当于取消订单</t>
    <phoneticPr fontId="1" type="noConversion"/>
  </si>
  <si>
    <t>6-5套   截止项目结束还需要再到货16套，0310发5套</t>
    <phoneticPr fontId="1" type="noConversion"/>
  </si>
  <si>
    <t>三轴玻纤；3AX9060-1500-0339-H；2540mm×103m；-</t>
    <phoneticPr fontId="1" type="noConversion"/>
  </si>
  <si>
    <t>20支，160卷，0311发6061KG</t>
    <phoneticPr fontId="1" type="noConversion"/>
  </si>
  <si>
    <t>48卷，0226发1645，0304发4536,0304发2963KG</t>
    <phoneticPr fontId="1" type="noConversion"/>
  </si>
  <si>
    <t>20-3支，0311发3套</t>
    <phoneticPr fontId="1" type="noConversion"/>
  </si>
  <si>
    <t>20-3支,0308日发3套，0311发1套</t>
    <phoneticPr fontId="1" type="noConversion"/>
  </si>
  <si>
    <t>鄂尔多斯</t>
    <phoneticPr fontId="1" type="noConversion"/>
  </si>
  <si>
    <t>SuiruiSR136III螺栓加强层套裁</t>
  </si>
  <si>
    <t>4套</t>
    <phoneticPr fontId="1" type="noConversion"/>
  </si>
  <si>
    <t>36套，1230发3136KG，0104日发11760,0228日发12544，0304日发12544，0314发12544</t>
    <phoneticPr fontId="1" type="noConversion"/>
  </si>
  <si>
    <t>39-6支，0314日发6套</t>
    <phoneticPr fontId="1" type="noConversion"/>
  </si>
  <si>
    <t>39-8-6支，0308日发8套，0314发6套</t>
    <phoneticPr fontId="1" type="noConversion"/>
  </si>
  <si>
    <t>14-8-6支，0308日发8套，0314发6套</t>
    <phoneticPr fontId="1" type="noConversion"/>
  </si>
  <si>
    <t>14-5支，0308发5套，0314发2套</t>
    <phoneticPr fontId="1" type="noConversion"/>
  </si>
  <si>
    <t>838148/838149</t>
    <phoneticPr fontId="1" type="noConversion"/>
  </si>
  <si>
    <t>781781/781782</t>
    <phoneticPr fontId="1" type="noConversion"/>
  </si>
  <si>
    <t>20-3-1-2支,0308日发3套，0311发1套，0305发2套</t>
    <phoneticPr fontId="1" type="noConversion"/>
  </si>
  <si>
    <t>20支，160卷，0311发6061KG，0315发11280</t>
    <phoneticPr fontId="1" type="noConversion"/>
  </si>
  <si>
    <t>单轴玻纤；UDH-1215-230；SR152Ⅳ32后缘；-</t>
  </si>
  <si>
    <t>6-6支，0318发6套</t>
    <phoneticPr fontId="1" type="noConversion"/>
  </si>
  <si>
    <t>12-2套，0318发2套</t>
    <phoneticPr fontId="1" type="noConversion"/>
  </si>
  <si>
    <t>12套，0318发3008KG</t>
    <phoneticPr fontId="1" type="noConversion"/>
  </si>
  <si>
    <t>哈密</t>
  </si>
  <si>
    <t>大连</t>
  </si>
  <si>
    <t>德州</t>
  </si>
  <si>
    <t>鄂尔多斯703</t>
    <phoneticPr fontId="1" type="noConversion"/>
  </si>
  <si>
    <t>张家口703</t>
    <phoneticPr fontId="1" type="noConversion"/>
  </si>
  <si>
    <t>单轴玻纤；SR171Ⅲ36后缘；UDH-1215-230；-</t>
  </si>
  <si>
    <t>5-5支 ,0319发5支</t>
    <phoneticPr fontId="1" type="noConversion"/>
  </si>
  <si>
    <t>15-6支，0320发6套</t>
    <phoneticPr fontId="1" type="noConversion"/>
  </si>
  <si>
    <t>11-5支，0320发5套</t>
    <phoneticPr fontId="1" type="noConversion"/>
  </si>
  <si>
    <t>12-12套，0318发3008KG，其中75米4套，80米16套，0320发8套80米，20套75米</t>
    <phoneticPr fontId="1" type="noConversion"/>
  </si>
  <si>
    <t>18-12套，0320发8套80米，20套75米</t>
    <phoneticPr fontId="1" type="noConversion"/>
  </si>
  <si>
    <t>12-2-2套，0318发2套，0320发2套</t>
    <phoneticPr fontId="1" type="noConversion"/>
  </si>
  <si>
    <t>2019000544</t>
  </si>
  <si>
    <t>螺栓加强层套裁；2.2-SR136Ⅲ23；SR11190271110-072</t>
  </si>
  <si>
    <t>4500054960</t>
  </si>
  <si>
    <t>4500054991</t>
  </si>
  <si>
    <t>20支，160卷，0311发6061KG，0315发11280,0323发13348</t>
    <phoneticPr fontId="1" type="noConversion"/>
  </si>
  <si>
    <t>20-3支，0311发3套，0323发1套</t>
    <phoneticPr fontId="1" type="noConversion"/>
  </si>
  <si>
    <t>20-3-1-2支,0308日发3套，0311发1套，0315发2套，0323发1套</t>
    <phoneticPr fontId="1" type="noConversion"/>
  </si>
  <si>
    <t>6-5-1套   截止项目结束还需要再到货16套，0310发5套,0325发1套</t>
    <phoneticPr fontId="1" type="noConversion"/>
  </si>
  <si>
    <t>20-3-1-1支，0311发3套，0323发1套，0325发1套</t>
    <phoneticPr fontId="1" type="noConversion"/>
  </si>
  <si>
    <t>20-3-1-2-1-4支,0308日发3套，0311发1套，0315发2套，0323发1套，0325发4套</t>
    <phoneticPr fontId="1" type="noConversion"/>
  </si>
  <si>
    <t>15-6-8支，0320发6套，0327发8套</t>
    <phoneticPr fontId="1" type="noConversion"/>
  </si>
  <si>
    <t>12-2-2-3套，0318发2套，0320发2套，0327发3套</t>
    <phoneticPr fontId="1" type="noConversion"/>
  </si>
  <si>
    <t>11-5-4支，0320发5套，0327发4套</t>
    <phoneticPr fontId="1" type="noConversion"/>
  </si>
  <si>
    <t>781781/781782</t>
    <phoneticPr fontId="1" type="noConversion"/>
  </si>
  <si>
    <t>781782/781781</t>
    <phoneticPr fontId="1" type="noConversion"/>
  </si>
  <si>
    <t>4500055514</t>
  </si>
  <si>
    <t>20-3-1-1-7支，0311发3套，0323发1套，0325发1套,0328发7套</t>
    <phoneticPr fontId="1" type="noConversion"/>
  </si>
  <si>
    <t>20-3-1-2-1-4-1支,0308日发3套，0311发1套，0315发2套，0323发1套，0325发4套，0328发1套</t>
    <phoneticPr fontId="1" type="noConversion"/>
  </si>
  <si>
    <t>244卷，0328日发12544</t>
    <phoneticPr fontId="1" type="noConversion"/>
  </si>
  <si>
    <t>8-4支，0330发4套</t>
    <phoneticPr fontId="1" type="noConversion"/>
  </si>
  <si>
    <t>14-5-2-4支，0308发5套，0314发2套,0330发4套</t>
    <phoneticPr fontId="1" type="noConversion"/>
  </si>
  <si>
    <t>39-6-3支，0314日发6套,0330发3套</t>
    <phoneticPr fontId="1" type="noConversion"/>
  </si>
  <si>
    <t>39-8-6-2支，0308日发8套，0314发6套，0330发2套</t>
    <phoneticPr fontId="1" type="noConversion"/>
  </si>
  <si>
    <t>8-4支，0331发4套</t>
    <phoneticPr fontId="1" type="noConversion"/>
  </si>
  <si>
    <t>8-4-2支，0330发4套，0331发2套</t>
    <phoneticPr fontId="1" type="noConversion"/>
  </si>
  <si>
    <t>39-8-6-2-2支，0308日发8套，0314发6套，0330发2套，0331发2套</t>
    <phoneticPr fontId="1" type="noConversion"/>
  </si>
  <si>
    <t>39-6-3-4支，0314日发6套,0330发3套，0331发4套</t>
    <phoneticPr fontId="1" type="noConversion"/>
  </si>
  <si>
    <t>3套</t>
    <phoneticPr fontId="1" type="noConversion"/>
  </si>
  <si>
    <t>12-5支，0401发5套</t>
    <phoneticPr fontId="1" type="noConversion"/>
  </si>
  <si>
    <t>单轴玻纤；SR171Ⅲ36后缘；UDH-1215-230；-</t>
    <phoneticPr fontId="1" type="noConversion"/>
  </si>
  <si>
    <t>20-3-1-1-7-2支，0311发3套，0323发1套，0325发1套,0328发7套，0401发2套</t>
    <phoneticPr fontId="1" type="noConversion"/>
  </si>
  <si>
    <t>20-3-1-2-1-4-1-2支,0308日发3套，0311发1套，0315发2套，0323发1套，0325发4套，0328发1套，0401发2套</t>
    <phoneticPr fontId="1" type="noConversion"/>
  </si>
  <si>
    <t>72卷 ，0401发6768</t>
    <phoneticPr fontId="1" type="noConversion"/>
  </si>
  <si>
    <t>PODate</t>
  </si>
  <si>
    <t>PO</t>
  </si>
  <si>
    <t>SAPcode</t>
  </si>
  <si>
    <t>Customercode</t>
  </si>
  <si>
    <t>20-3-1-1-7-2支，0311发3套，0323发1套，0325发1套,0328发7套，0401发2套,0403发3套</t>
    <phoneticPr fontId="1" type="noConversion"/>
  </si>
  <si>
    <t>20-3-1-2-1-4-1-2支,0308日发3套，0311发1套，0315发2套，0323发1套，0325发4套，0328发1套，0401发2套,0403发3套</t>
    <phoneticPr fontId="1" type="noConversion"/>
  </si>
  <si>
    <t>螺栓加强层；2.5-SR140Ⅲ23；海装</t>
  </si>
  <si>
    <t>14-5-2-4-3支，0308发5套，0314发2套,0330发4套,0406发3套</t>
    <phoneticPr fontId="1" type="noConversion"/>
  </si>
  <si>
    <t>8-4-2-2支，0330发4套，0331发2套，0406发2套</t>
    <phoneticPr fontId="1" type="noConversion"/>
  </si>
  <si>
    <t>8-4-4支，0331发4套，0406发4套</t>
    <phoneticPr fontId="1" type="noConversion"/>
  </si>
  <si>
    <t>20-3-1-1-7-2-3-1支，0311发3套，0323发1套，0325发1套,0328发7套，0401发2套,0403发3套，0406发1套</t>
    <phoneticPr fontId="1" type="noConversion"/>
  </si>
  <si>
    <t>20-3-1-2-1-4-1-2-3-3支,0308日发3套，0311发1套，0315发2套，0323发1套，0325发4套，0328发1套，0401发2套,0403发3套，0406发3套</t>
    <phoneticPr fontId="1" type="noConversion"/>
  </si>
  <si>
    <t>12-1支，0406发1支</t>
    <phoneticPr fontId="1" type="noConversion"/>
  </si>
  <si>
    <t>12-9支，0407发9套</t>
    <phoneticPr fontId="1" type="noConversion"/>
  </si>
  <si>
    <t>11-5-4-2支，0320发5套，0327发4套，0407发2套</t>
    <phoneticPr fontId="1" type="noConversion"/>
  </si>
  <si>
    <t>15-6-8-1支，0320发6套，0327发8套,0407发1套</t>
    <phoneticPr fontId="1" type="noConversion"/>
  </si>
  <si>
    <t>12-1-1支，0406发1支，0407发1套</t>
    <phoneticPr fontId="1" type="noConversion"/>
  </si>
  <si>
    <t>8-4支，0407发4套</t>
    <phoneticPr fontId="1" type="noConversion"/>
  </si>
  <si>
    <t>螺栓加强层套裁；2.2-SR136Ⅲ23；SR11190271110-072</t>
    <phoneticPr fontId="1" type="noConversion"/>
  </si>
  <si>
    <t>72卷，0401发6768，0407发6948</t>
    <phoneticPr fontId="1" type="noConversion"/>
  </si>
  <si>
    <t>96卷12支，0407发4332</t>
    <phoneticPr fontId="1" type="noConversion"/>
  </si>
  <si>
    <t>20-3-1-1-7-2-3-1-2支，0311发3套，0323发1套，0325发1套,0328发7套，0401发2套,0403发3套，0406发1套,0407发2套</t>
    <phoneticPr fontId="1" type="noConversion"/>
  </si>
  <si>
    <t>16-5支，0406发5套</t>
    <phoneticPr fontId="1" type="noConversion"/>
  </si>
  <si>
    <t>781781/781782</t>
    <phoneticPr fontId="1" type="noConversion"/>
  </si>
  <si>
    <t>838148/838149</t>
    <phoneticPr fontId="1" type="noConversion"/>
  </si>
  <si>
    <t>8-4-4支，0407发4套,0410发4套</t>
    <phoneticPr fontId="1" type="noConversion"/>
  </si>
  <si>
    <t>12-9-2支，0407发9套，0410发2套</t>
    <phoneticPr fontId="1" type="noConversion"/>
  </si>
  <si>
    <t>12-2-2-3-5套，0318发2套，0320发2套，0327发3套，0410发5套</t>
    <phoneticPr fontId="1" type="noConversion"/>
  </si>
  <si>
    <t>12-9支，0407发9套，0410发3套</t>
    <phoneticPr fontId="1" type="noConversion"/>
  </si>
  <si>
    <t>781781/781782</t>
    <phoneticPr fontId="1" type="noConversion"/>
  </si>
  <si>
    <t>12-5-5支，0401发5套，0410发5套</t>
    <phoneticPr fontId="1" type="noConversion"/>
  </si>
  <si>
    <t>16-5-4支，0406发5套，0410发4套</t>
    <phoneticPr fontId="1" type="noConversion"/>
  </si>
  <si>
    <t>16-8支，0410发8套</t>
    <phoneticPr fontId="1" type="noConversion"/>
  </si>
  <si>
    <t>12-1-1-2支，0406发1支，0407发1套，0410发2套</t>
    <phoneticPr fontId="1" type="noConversion"/>
  </si>
  <si>
    <t>12-5支，0410发5套</t>
    <phoneticPr fontId="1" type="noConversion"/>
  </si>
  <si>
    <t>244卷，0328日发12544，0411发9266</t>
    <phoneticPr fontId="1" type="noConversion"/>
  </si>
  <si>
    <t>16-8-7支，0410发8套,0413发7套</t>
    <phoneticPr fontId="1" type="noConversion"/>
  </si>
  <si>
    <t>12-5-3支，0410发5套，0413发3套</t>
    <phoneticPr fontId="1" type="noConversion"/>
  </si>
  <si>
    <t>12-1-1-2-3支，0406发1支，0407发1套，0410发2套，0413发3套</t>
    <phoneticPr fontId="1" type="noConversion"/>
  </si>
  <si>
    <t>14-11支 ，0413发11套</t>
    <phoneticPr fontId="1" type="noConversion"/>
  </si>
  <si>
    <t>14-7支 ，0413日发7套</t>
    <phoneticPr fontId="1" type="noConversion"/>
  </si>
  <si>
    <t>12-9-2-1支，0407发9套，0410发2套，0413发1套</t>
    <phoneticPr fontId="1" type="noConversion"/>
  </si>
  <si>
    <t>哈密</t>
    <phoneticPr fontId="1" type="noConversion"/>
  </si>
  <si>
    <t>12-5-3-2支，0410发5套，0413发3套，0415发2套</t>
    <phoneticPr fontId="1" type="noConversion"/>
  </si>
  <si>
    <t>12-1-1-2-3-2支，0406发1支，0407发1套，0410发2套，0413发3套，0415发2套</t>
    <phoneticPr fontId="1" type="noConversion"/>
  </si>
  <si>
    <t>96卷12支，0407发4332，0415发5640</t>
    <phoneticPr fontId="1" type="noConversion"/>
  </si>
  <si>
    <t>12-1-1-2-3-2-2支，0406发1支，0407发1套，0410发2套，0413发3套，0415发2套，0417发2套</t>
    <phoneticPr fontId="1" type="noConversion"/>
  </si>
  <si>
    <t>12-5-3-2-2支，0410发5套，0413发3套，0415发2套，0417发2套</t>
    <phoneticPr fontId="1" type="noConversion"/>
  </si>
  <si>
    <t>96卷12支，0407发4332，0415发5640，0417发6768</t>
    <phoneticPr fontId="1" type="noConversion"/>
  </si>
  <si>
    <t>32卷</t>
  </si>
  <si>
    <t>39-6-3-4-7支，0314日发6套,0330发3套，0331发4套，0418发7套</t>
    <phoneticPr fontId="1" type="noConversion"/>
  </si>
  <si>
    <t>39-8-6-2-2-8支，0308日发8套，0314发6套，0330发2套，0331发2套，0418日发8套</t>
    <phoneticPr fontId="1" type="noConversion"/>
  </si>
  <si>
    <t>12套，0420日发4套</t>
    <phoneticPr fontId="1" type="noConversion"/>
  </si>
  <si>
    <t>螺栓加强层套裁；2.2-SR136Ⅲ23；SR11190271110-072</t>
    <phoneticPr fontId="1" type="noConversion"/>
  </si>
  <si>
    <t>8-3支。0420发3套</t>
    <phoneticPr fontId="1" type="noConversion"/>
  </si>
  <si>
    <t>12-1-1-2-3-2-2支，0406发1支，0407发1套，0410发2套，0413发3套，0415发2套，0417发2套，0420发1套</t>
    <phoneticPr fontId="1" type="noConversion"/>
  </si>
  <si>
    <t>8-2支 ，0420发2套</t>
    <phoneticPr fontId="1" type="noConversion"/>
  </si>
  <si>
    <t>60-8支 ,0420发8套</t>
    <phoneticPr fontId="1" type="noConversion"/>
  </si>
  <si>
    <t>60-6支，0420发6套</t>
    <phoneticPr fontId="1" type="noConversion"/>
  </si>
  <si>
    <t>16-8-7-1支，0410发8套,0413发7套,0420发1套</t>
    <phoneticPr fontId="1" type="noConversion"/>
  </si>
  <si>
    <t>18-8套,0421日发8套</t>
    <phoneticPr fontId="1" type="noConversion"/>
  </si>
  <si>
    <t>16-10支 ，0421发10套</t>
    <phoneticPr fontId="1" type="noConversion"/>
  </si>
  <si>
    <t>16-6支 ，0421发6套</t>
    <phoneticPr fontId="1" type="noConversion"/>
  </si>
  <si>
    <t>841330</t>
    <phoneticPr fontId="1" type="noConversion"/>
  </si>
  <si>
    <t>781781/781782</t>
    <phoneticPr fontId="1" type="noConversion"/>
  </si>
  <si>
    <t>244卷，0328日发12544，0411发9266，0422发9360</t>
    <phoneticPr fontId="1" type="noConversion"/>
  </si>
  <si>
    <t>60-6-6支，0420发6套,0422发6套</t>
    <phoneticPr fontId="1" type="noConversion"/>
  </si>
  <si>
    <t>60-8-6支 ,0420发8套,0422发6套</t>
    <phoneticPr fontId="1" type="noConversion"/>
  </si>
  <si>
    <t>8-3-3支，0420发3套，0422发3套</t>
    <phoneticPr fontId="1" type="noConversion"/>
  </si>
  <si>
    <t>8-2-3支 ，0420发2套，0422发3套</t>
    <phoneticPr fontId="1" type="noConversion"/>
  </si>
  <si>
    <t>12-5-5支，0401发5套，0410发5套，0417发2套</t>
    <phoneticPr fontId="1" type="noConversion"/>
  </si>
  <si>
    <t>大连</t>
    <phoneticPr fontId="1" type="noConversion"/>
  </si>
  <si>
    <t>单轴玻纤；UDH-1215-630；SR146Ⅱ28大梁；-</t>
  </si>
  <si>
    <t>单轴玻纤；UDH-1215-230；SR146Ⅱ28后缘；-</t>
  </si>
  <si>
    <t>10-5支,0426发5套</t>
    <phoneticPr fontId="1" type="noConversion"/>
  </si>
  <si>
    <t>12套，0420日发4套，0426发8套</t>
    <phoneticPr fontId="1" type="noConversion"/>
  </si>
  <si>
    <t>18-8-4套,0421日发8套，0426发4套</t>
    <phoneticPr fontId="1" type="noConversion"/>
  </si>
  <si>
    <t>64卷，0426发2256</t>
    <phoneticPr fontId="1" type="noConversion"/>
  </si>
  <si>
    <t>39-8-6-2-2-8-8支，0308日发8套，0314发6套，0330发2套，0331发2套，0418日发8套，0427日发8套</t>
    <phoneticPr fontId="1" type="noConversion"/>
  </si>
  <si>
    <t>10-3支 0427发3支</t>
    <phoneticPr fontId="1" type="noConversion"/>
  </si>
  <si>
    <t>39-6-3-4-7-7支，0314日发6套,0330发3套，0331发4套，0418发7套，0427发7套</t>
    <phoneticPr fontId="1" type="noConversion"/>
  </si>
  <si>
    <t>10-5支,0426发5套,0428发5套</t>
    <phoneticPr fontId="1" type="noConversion"/>
  </si>
  <si>
    <t>60-8-6支 ,0420发8套,0422发6套,0428发14套</t>
    <phoneticPr fontId="1" type="noConversion"/>
  </si>
  <si>
    <t>60-6-6-4支，0420发6套,0422发6套,0428发4套</t>
    <phoneticPr fontId="1" type="noConversion"/>
  </si>
  <si>
    <t>64卷，0426发2256,0428发6804</t>
    <phoneticPr fontId="1" type="noConversion"/>
  </si>
  <si>
    <t>10支 0427发3支0428发2支</t>
    <phoneticPr fontId="1" type="noConversion"/>
  </si>
  <si>
    <t>10支 0427发3支,0428发2支</t>
    <phoneticPr fontId="1" type="noConversion"/>
  </si>
  <si>
    <t>10-3-2-3支 0427发3支,0427发2支,0429发3支</t>
    <phoneticPr fontId="1" type="noConversion"/>
  </si>
  <si>
    <t>10支 0427发3支0428发2支，0429发3支</t>
    <phoneticPr fontId="1" type="noConversion"/>
  </si>
  <si>
    <t>16-6-8支 ，0421发6套，0430发8套</t>
    <phoneticPr fontId="1" type="noConversion"/>
  </si>
  <si>
    <t>48卷，实物到货703，0430日微信语音取消订单</t>
    <phoneticPr fontId="1" type="noConversion"/>
  </si>
  <si>
    <t>36套，1230发3136KG，0104日发11760,0228日发12544，0304日发12544，0314发12544，0430日微信语音取消订单</t>
    <phoneticPr fontId="1" type="noConversion"/>
  </si>
  <si>
    <t>128卷，实物到货703,0430发1560</t>
    <phoneticPr fontId="1" type="noConversion"/>
  </si>
  <si>
    <t>16-10-1支 ，0421发10套，0430发1套</t>
    <phoneticPr fontId="1" type="noConversion"/>
  </si>
  <si>
    <t>18-12-6套，0320发8套80米，20套75米，0430发6套</t>
    <phoneticPr fontId="1" type="noConversion"/>
  </si>
  <si>
    <t>14-7-7支 ，0413日发7套，0430发7套</t>
    <phoneticPr fontId="1" type="noConversion"/>
  </si>
  <si>
    <t>244卷，0328日发12544，0411发9266，0422发9360，0430发15358</t>
    <phoneticPr fontId="1" type="noConversion"/>
  </si>
  <si>
    <t>18-8-4-5套,0421日发8套，0426发4套,0502发5套</t>
    <phoneticPr fontId="1" type="noConversion"/>
  </si>
  <si>
    <t>16-6-8支 ，0421发6套，0430发8套，0502发2套</t>
    <phoneticPr fontId="1" type="noConversion"/>
  </si>
  <si>
    <t>0502发1512</t>
    <phoneticPr fontId="1" type="noConversion"/>
  </si>
  <si>
    <t>图纸见附件，首批加工4套，要求最晚4.15到货张家口基地，根据试用情况反馈第二批到货时间.0503日发4套</t>
    <phoneticPr fontId="1" type="noConversion"/>
  </si>
  <si>
    <t>螺栓加强层；2.5-SR140Ⅲ23；海装</t>
    <phoneticPr fontId="1" type="noConversion"/>
  </si>
  <si>
    <t>60-8-6-14-6支 ,0420发8套,0422发6套,0428发14套，0503发6套</t>
    <phoneticPr fontId="1" type="noConversion"/>
  </si>
  <si>
    <t>60-6-6-4-2支，0420发6套,0422发6套,0428发4套，0503发2套</t>
    <phoneticPr fontId="1" type="noConversion"/>
  </si>
  <si>
    <t>39-6-3-4-7-7-4支，0314日发6套,0330发3套，0331发4套，0418发7套，0427发7套,0503发4套</t>
    <phoneticPr fontId="1" type="noConversion"/>
  </si>
  <si>
    <t>39-8-6-2-2-8-8-4支，0308日发8套，0314发6套，0330发2套，0331发2套，0418日发8套，0427日发8套，0503发4套</t>
    <phoneticPr fontId="1" type="noConversion"/>
  </si>
  <si>
    <t>12-4套,0503发4套</t>
    <phoneticPr fontId="1" type="noConversion"/>
  </si>
  <si>
    <t>64卷，0426发2256,0428发6804,0505发3132</t>
    <phoneticPr fontId="1" type="noConversion"/>
  </si>
  <si>
    <t>96卷12支，0407发4332，0415发5640，0417发6768,0505发1548</t>
    <phoneticPr fontId="1" type="noConversion"/>
  </si>
  <si>
    <t>64卷，0505发5100</t>
    <phoneticPr fontId="1" type="noConversion"/>
  </si>
  <si>
    <t>10-3-2-3-1支 0427发3支0428发2支，0429发3支，0505发1支</t>
    <phoneticPr fontId="1" type="noConversion"/>
  </si>
  <si>
    <t>采购四卷长度分别为100m，宽度为230mm的UD卷布，0506发4卷</t>
    <phoneticPr fontId="1" type="noConversion"/>
  </si>
  <si>
    <t>4卷，长度分别为：54.6米，56.4米，50.3米，52.5米，0506发4点</t>
    <phoneticPr fontId="1" type="noConversion"/>
  </si>
  <si>
    <t>8-5支，0506发5套</t>
    <phoneticPr fontId="1" type="noConversion"/>
  </si>
  <si>
    <t>1118937 &amp;1106543</t>
    <phoneticPr fontId="1" type="noConversion"/>
  </si>
  <si>
    <t>1106543</t>
    <phoneticPr fontId="1" type="noConversion"/>
  </si>
  <si>
    <t>0.5只要SS面裁片，0506发0.5套</t>
    <phoneticPr fontId="1" type="noConversion"/>
  </si>
  <si>
    <t>12-4-4套,0503发4套，0506发4套</t>
    <phoneticPr fontId="1" type="noConversion"/>
  </si>
  <si>
    <t>60-6-6-4-2-8支，0420发6套,0422发6套,0428发4套，0503发2套，0506发8套</t>
    <phoneticPr fontId="1" type="noConversion"/>
  </si>
  <si>
    <t>60-8-6-14-6-4支 ,0420发8套,0422发6套,0428发14套，0503发6套，0506发4套</t>
    <phoneticPr fontId="1" type="noConversion"/>
  </si>
  <si>
    <t>8支 ，0506发3套</t>
    <phoneticPr fontId="1" type="noConversion"/>
  </si>
  <si>
    <t>8支 ，0506发3支</t>
    <phoneticPr fontId="1" type="noConversion"/>
  </si>
  <si>
    <t>16-10支 ，0506发10套</t>
    <phoneticPr fontId="1" type="noConversion"/>
  </si>
  <si>
    <t>16支 0506发11套</t>
    <phoneticPr fontId="1" type="noConversion"/>
  </si>
  <si>
    <t>781781 &amp;781782</t>
    <phoneticPr fontId="1" type="noConversion"/>
  </si>
  <si>
    <t>纱线；WS2000；-；-</t>
  </si>
  <si>
    <t>张家口</t>
    <phoneticPr fontId="1" type="noConversion"/>
  </si>
  <si>
    <t>4500058829</t>
    <phoneticPr fontId="1" type="noConversion"/>
  </si>
  <si>
    <t>4500058830</t>
    <phoneticPr fontId="1" type="noConversion"/>
  </si>
  <si>
    <t>128卷，实物到货703,0430发1560,00507发18816</t>
    <phoneticPr fontId="1" type="noConversion"/>
  </si>
  <si>
    <t>简称</t>
    <phoneticPr fontId="1" type="noConversion"/>
  </si>
  <si>
    <t>描述</t>
    <phoneticPr fontId="1" type="noConversion"/>
  </si>
  <si>
    <t>单轴玻纤；SR171Ⅲ36后缘；UDH-1215-230；-</t>
    <phoneticPr fontId="1" type="noConversion"/>
  </si>
  <si>
    <t>单轴玻纤；UDE-1200-170；SR120Ⅲ23后缘；-</t>
    <phoneticPr fontId="1" type="noConversion"/>
  </si>
  <si>
    <t>SR120Ⅲ后缘</t>
    <phoneticPr fontId="1" type="noConversion"/>
  </si>
  <si>
    <t>SR171Ⅲ后缘</t>
    <phoneticPr fontId="1" type="noConversion"/>
  </si>
  <si>
    <t>单轴玻纤；UDE-1200-170；SR120后缘；-</t>
    <phoneticPr fontId="1" type="noConversion"/>
  </si>
  <si>
    <t>SR120后缘</t>
    <phoneticPr fontId="1" type="noConversion"/>
  </si>
  <si>
    <t>单轴玻纤；UDH-1215-230；SR146Ⅰ28后缘；-</t>
    <phoneticPr fontId="1" type="noConversion"/>
  </si>
  <si>
    <t>SR146Ⅰ后缘</t>
    <phoneticPr fontId="1" type="noConversion"/>
  </si>
  <si>
    <t>单轴玻纤；UDH-1215-230；SR146Ⅱ28后缘；-</t>
    <phoneticPr fontId="1" type="noConversion"/>
  </si>
  <si>
    <t>SR146Ⅱ后缘</t>
    <phoneticPr fontId="1" type="noConversion"/>
  </si>
  <si>
    <t>单轴玻纤；UDH-1215-230；SR152Ⅱ36后缘；-</t>
    <phoneticPr fontId="1" type="noConversion"/>
  </si>
  <si>
    <t>SR152Ⅱ后缘</t>
    <phoneticPr fontId="1" type="noConversion"/>
  </si>
  <si>
    <t>单轴玻纤；UDH-1215-230；SR152Ⅳ32后缘；-</t>
    <phoneticPr fontId="1" type="noConversion"/>
  </si>
  <si>
    <t>SR152Ⅳ后缘</t>
    <phoneticPr fontId="1" type="noConversion"/>
  </si>
  <si>
    <t>单轴玻纤；UDH-1215-230；WB171Ⅰ36后缘；-</t>
    <phoneticPr fontId="1" type="noConversion"/>
  </si>
  <si>
    <t>单轴玻纤；UDH-1215-630；SR146Ⅰ28大梁；-</t>
    <phoneticPr fontId="1" type="noConversion"/>
  </si>
  <si>
    <t>SR146Ⅰ大梁</t>
    <phoneticPr fontId="1" type="noConversion"/>
  </si>
  <si>
    <t>单轴玻纤；UDH-1215-630；SR146Ⅱ28大梁；-</t>
    <phoneticPr fontId="1" type="noConversion"/>
  </si>
  <si>
    <t>SR146Ⅱ大梁</t>
    <phoneticPr fontId="1" type="noConversion"/>
  </si>
  <si>
    <t>单轴玻纤；UDH-1215-700；SR152Ⅳ32大梁；-</t>
    <phoneticPr fontId="1" type="noConversion"/>
  </si>
  <si>
    <t>SR152Ⅳ大梁</t>
    <phoneticPr fontId="1" type="noConversion"/>
  </si>
  <si>
    <t>单轴玻纤；UDH-1250-230；SR140Ⅲ23后缘；-</t>
    <phoneticPr fontId="1" type="noConversion"/>
  </si>
  <si>
    <t>SR140后缘</t>
    <phoneticPr fontId="1" type="noConversion"/>
  </si>
  <si>
    <t>单轴玻纤；UDH-1250-550；SR120Ⅲ23大梁；-</t>
    <phoneticPr fontId="1" type="noConversion"/>
  </si>
  <si>
    <t>SR120Ⅲ大梁</t>
    <phoneticPr fontId="1" type="noConversion"/>
  </si>
  <si>
    <t>单轴玻纤；UDH-1250-550；SR120大梁；-</t>
    <phoneticPr fontId="1" type="noConversion"/>
  </si>
  <si>
    <t>SR120大梁</t>
    <phoneticPr fontId="1" type="noConversion"/>
  </si>
  <si>
    <t>单轴玻纤；UDH-1250-550；SR140Ⅲ23大梁；-</t>
    <phoneticPr fontId="1" type="noConversion"/>
  </si>
  <si>
    <t>单轴玻纤；UDH-1250-630；SR113大梁；-</t>
    <phoneticPr fontId="1" type="noConversion"/>
  </si>
  <si>
    <t>SR113大梁</t>
    <phoneticPr fontId="1" type="noConversion"/>
  </si>
  <si>
    <t>TTX1500</t>
  </si>
  <si>
    <t>WS2000</t>
    <phoneticPr fontId="1" type="noConversion"/>
  </si>
  <si>
    <t>39-6-3-4-7-7-4-1支，0314日发6套,0330发3套，0331发4套，0418发7套，0427发7套,0503发4套,0508发1套</t>
    <phoneticPr fontId="1" type="noConversion"/>
  </si>
  <si>
    <t>60-6-6-4-2-8-8支，0420发6套,0422发6套,0428发4套，0503发2套，0506发8套，0508发8套</t>
    <phoneticPr fontId="1" type="noConversion"/>
  </si>
  <si>
    <t>单轴玻纤；UDH-1250-315；SR113后缘；-</t>
    <phoneticPr fontId="1" type="noConversion"/>
  </si>
  <si>
    <t>SR113后缘</t>
    <phoneticPr fontId="1" type="noConversion"/>
  </si>
  <si>
    <t>6-5支，0509发5支</t>
    <phoneticPr fontId="1" type="noConversion"/>
  </si>
  <si>
    <t>60-8-6-14-6-4-8支 ,0420发8套,0422发6套,0428发14套，0503发6套，0506发4套，0509发8套</t>
    <phoneticPr fontId="1" type="noConversion"/>
  </si>
  <si>
    <t>60-6-6-4-2-8-8-7支，0420发6套,0422发6套,0428发4套，0503发2套，0506发8套，0508发8套，0509发7套</t>
    <phoneticPr fontId="1" type="noConversion"/>
  </si>
  <si>
    <t>18-8-4-5套,0421日发8套，0426发4套,0502发5套,0509发1套</t>
    <phoneticPr fontId="1" type="noConversion"/>
  </si>
  <si>
    <t>113大梁SS第一卷布DA124KG，第二卷布122KG，0509发246KG</t>
    <phoneticPr fontId="1" type="noConversion"/>
  </si>
  <si>
    <t>16-10-6支 ，0506发10套，0509发6套</t>
    <phoneticPr fontId="1" type="noConversion"/>
  </si>
  <si>
    <t>20-6支 ， 0509发6套</t>
    <phoneticPr fontId="1" type="noConversion"/>
  </si>
  <si>
    <t>12-4-4-4套,0503发4套，0506发4套，0511日发4套</t>
    <phoneticPr fontId="1" type="noConversion"/>
  </si>
  <si>
    <t>8-8支,0512发8支</t>
    <phoneticPr fontId="1" type="noConversion"/>
  </si>
  <si>
    <t>3-3支，0512发3支</t>
    <phoneticPr fontId="1" type="noConversion"/>
  </si>
  <si>
    <t>39-8-6-2-2-8-8-4-1支，0308日发8套，0314发6套，0330发2套，0331发2套，0418日发8套，0427日发8套，0503发4套，0512发1支</t>
    <phoneticPr fontId="1" type="noConversion"/>
  </si>
  <si>
    <t>39-6-3-4-7-7-4-1-1支，0314日发6套,0330发3套，0331发4套，0418发7套，0427发7套,0503发4套,0508发1套，0512发1套</t>
    <phoneticPr fontId="1" type="noConversion"/>
  </si>
  <si>
    <t>8-3-1支 ，0506发3支，0512发1套</t>
    <phoneticPr fontId="1" type="noConversion"/>
  </si>
  <si>
    <t>10-3-2-3-1支 0427发3支0428发2支，0429发3支，0505发1支，0512发1套</t>
    <phoneticPr fontId="1" type="noConversion"/>
  </si>
  <si>
    <t>10-3-2-3支 0427发3支,0427发2支,0429发3支。0512发2套</t>
    <phoneticPr fontId="1" type="noConversion"/>
  </si>
  <si>
    <t>64卷，0505发5100，0512发6804</t>
    <phoneticPr fontId="1" type="noConversion"/>
  </si>
  <si>
    <t>12-4支，0513发4套</t>
    <phoneticPr fontId="1" type="noConversion"/>
  </si>
  <si>
    <t>0514发200</t>
    <phoneticPr fontId="1" type="noConversion"/>
  </si>
  <si>
    <t>8-3-3支 ，0506发3套，，0514发3套</t>
    <phoneticPr fontId="1" type="noConversion"/>
  </si>
  <si>
    <t>8-3-1支 ，0506发3支，0512发1套，0514发3套</t>
    <phoneticPr fontId="1" type="noConversion"/>
  </si>
  <si>
    <t>39-6-3-4-7-7-4-1-1-4支，0314日发6套,0330发3套，0331发4套，0418发7套，0427发7套,0503发4套,0508发1套，0512发1套，0515日发4套</t>
    <phoneticPr fontId="1" type="noConversion"/>
  </si>
  <si>
    <t>60-6-6-4-2-8-8-7-4支，0420发6套,0422发6套,0428发4套，0503发2套，0506发8套，0508发8套，0509发7套，0515发4套</t>
    <phoneticPr fontId="1" type="noConversion"/>
  </si>
  <si>
    <t>14卷，0515发2954</t>
    <phoneticPr fontId="1" type="noConversion"/>
  </si>
  <si>
    <t>915173</t>
    <phoneticPr fontId="1" type="noConversion"/>
  </si>
  <si>
    <t>SR140大梁</t>
    <phoneticPr fontId="1" type="noConversion"/>
  </si>
  <si>
    <t>12-4-4支，0513发4套，0518日发4套</t>
    <phoneticPr fontId="1" type="noConversion"/>
  </si>
  <si>
    <t>10-2支，0518日发2套</t>
    <phoneticPr fontId="1" type="noConversion"/>
  </si>
  <si>
    <t>60-8-6-14-6-4-8-14支 ,0420发8套,0422发6套,0428发14套，0503发6套，0506发4套，0509发8套，0518发14套</t>
    <phoneticPr fontId="1" type="noConversion"/>
  </si>
  <si>
    <t>60-6-6-4-2-8-8-7-4-7支，0420发6套,0422发6套,0428发4套，0503发2套，0506发8套，0508发8套，0509发7套，0515发4套，0518日发7套</t>
    <phoneticPr fontId="1" type="noConversion"/>
  </si>
  <si>
    <t>39-6-3-4-7-7-4-1-1-4-2支，0314日发6套,0330发3套，0331发4套，0418发7套，0427发7套,0503发4套,0508发1套，0512发1套，0515日发4套，0518发2套</t>
    <phoneticPr fontId="1" type="noConversion"/>
  </si>
  <si>
    <t>8-5支，0518日发5套</t>
    <phoneticPr fontId="1" type="noConversion"/>
  </si>
  <si>
    <t>32卷，0518发5670</t>
    <phoneticPr fontId="1" type="noConversion"/>
  </si>
  <si>
    <t>8-3-3-2支，0506发3套，0514发3套，0518日发2套</t>
    <phoneticPr fontId="1" type="noConversion"/>
  </si>
  <si>
    <t>8-3-1-3-1支 ，0506发3支，0512发1套，0514发3套,0519日发1套</t>
    <phoneticPr fontId="1" type="noConversion"/>
  </si>
  <si>
    <t>10-2-3支，0518日发2套，0519日发3套</t>
    <phoneticPr fontId="1" type="noConversion"/>
  </si>
  <si>
    <t>只需要SS面一套</t>
  </si>
  <si>
    <t>大连</t>
    <phoneticPr fontId="1" type="noConversion"/>
  </si>
  <si>
    <t>60-6-6-4-2-8-8-7-4-7-8支，0420发6套,0422发6套,0428发4套，0503发2套，0506发8套，0508发8套，0509发7套，0515发4套，0518日发7套，0520日发8套</t>
    <phoneticPr fontId="1" type="noConversion"/>
  </si>
  <si>
    <t>64卷，实物到货703，0520发18720</t>
    <phoneticPr fontId="1" type="noConversion"/>
  </si>
  <si>
    <t>10-5支 ，0520发5套</t>
    <phoneticPr fontId="1" type="noConversion"/>
  </si>
  <si>
    <t>10-2-3支，0518日发2套，0519日发3套，0520日发2套</t>
    <phoneticPr fontId="1" type="noConversion"/>
  </si>
  <si>
    <t>63卷，0520发1128</t>
    <phoneticPr fontId="1" type="noConversion"/>
  </si>
  <si>
    <t>12-4-4-4支，0513发4套，0518日发4套，0521日发4套</t>
    <phoneticPr fontId="1" type="noConversion"/>
  </si>
  <si>
    <t>10-5-4支 ，0520发5套，0521发4套</t>
    <phoneticPr fontId="1" type="noConversion"/>
  </si>
  <si>
    <t>10-2-3-2-1支，0518日发2套，0519日发3套，0520日发2套，0521发1套</t>
    <phoneticPr fontId="1" type="noConversion"/>
  </si>
  <si>
    <t>63卷，0520发1128，0521发6804</t>
    <phoneticPr fontId="1" type="noConversion"/>
  </si>
  <si>
    <t>10-1支，0518日发1套,0522日发5套</t>
    <phoneticPr fontId="1" type="noConversion"/>
  </si>
  <si>
    <t>8支.0522发4套</t>
    <phoneticPr fontId="1" type="noConversion"/>
  </si>
  <si>
    <t>20支，0522发10套</t>
    <phoneticPr fontId="1" type="noConversion"/>
  </si>
  <si>
    <t>16-11支 0506发11套， 0522发5套</t>
    <phoneticPr fontId="1" type="noConversion"/>
  </si>
  <si>
    <t>20-6支 ， 0509发6套， 0522发4套</t>
    <phoneticPr fontId="1" type="noConversion"/>
  </si>
  <si>
    <t>8支 0522发4套</t>
    <phoneticPr fontId="1" type="noConversion"/>
  </si>
  <si>
    <t>螺栓加强层套裁；2.5-SR140Ⅲ23；海装</t>
  </si>
  <si>
    <t>螺栓加强层套裁；2.2-SR136Ⅲ23；海装</t>
  </si>
  <si>
    <t>1120002825</t>
  </si>
  <si>
    <t>螺栓加强层套裁；2.5-SR140Ⅲ23；海装</t>
    <phoneticPr fontId="1" type="noConversion"/>
  </si>
  <si>
    <t>主模具螺栓加强层套裁补布，单卷214.3米</t>
  </si>
  <si>
    <t>单轴玻纤；UDH-1215-230；</t>
  </si>
  <si>
    <t>8支，0524日发3套</t>
    <phoneticPr fontId="1" type="noConversion"/>
  </si>
  <si>
    <t>65卷，0524发6804</t>
    <phoneticPr fontId="1" type="noConversion"/>
  </si>
  <si>
    <t>8支，0526发10681.6</t>
    <phoneticPr fontId="1" type="noConversion"/>
  </si>
  <si>
    <t>8-8套，0526发8套</t>
    <phoneticPr fontId="1" type="noConversion"/>
  </si>
  <si>
    <t>10-4支 ，0526发4套</t>
    <phoneticPr fontId="1" type="noConversion"/>
  </si>
  <si>
    <t>10-5支，0526发5套</t>
    <phoneticPr fontId="1" type="noConversion"/>
  </si>
  <si>
    <t>3-1-2套，0520日发1套，0526发2套</t>
    <phoneticPr fontId="1" type="noConversion"/>
  </si>
  <si>
    <t>8-6支，0526日发6套</t>
    <phoneticPr fontId="1" type="noConversion"/>
  </si>
  <si>
    <t>8支，0526发8套</t>
    <phoneticPr fontId="1" type="noConversion"/>
  </si>
  <si>
    <t>8-4-4支.0522发4套，0526发4套</t>
    <phoneticPr fontId="1" type="noConversion"/>
  </si>
  <si>
    <t>32-4支，0526发4套</t>
    <phoneticPr fontId="1" type="noConversion"/>
  </si>
  <si>
    <t>8支 ，0526发5套</t>
    <phoneticPr fontId="1" type="noConversion"/>
  </si>
  <si>
    <t>10-2-3-2-1-2支，0518日发2套，0519日发3套，0520日发2套，0521发1套，0526发2套</t>
    <phoneticPr fontId="1" type="noConversion"/>
  </si>
  <si>
    <t>纱线：WS2000</t>
  </si>
  <si>
    <t>63卷，0520发1128，0521发6804，0527发1128</t>
    <phoneticPr fontId="1" type="noConversion"/>
  </si>
  <si>
    <t>65卷，0524发6804，0527发5640</t>
    <phoneticPr fontId="1" type="noConversion"/>
  </si>
  <si>
    <t>8-3-2支，0524日发3套,0527发2套</t>
    <phoneticPr fontId="1" type="noConversion"/>
  </si>
  <si>
    <t>10-5-4-1支 ，0520发5套，0521发4套，0527发1套</t>
    <phoneticPr fontId="1" type="noConversion"/>
  </si>
  <si>
    <t>8-5-1支 ，0526发5套，0527发1套</t>
    <phoneticPr fontId="1" type="noConversion"/>
  </si>
  <si>
    <t>4500060860</t>
    <phoneticPr fontId="1" type="noConversion"/>
  </si>
  <si>
    <t>128卷，实物到货703,0430发1560,00507发18816，0528发3120</t>
    <phoneticPr fontId="1" type="noConversion"/>
  </si>
  <si>
    <t>64卷，实物到货703，0520发18720，0528发4680</t>
    <phoneticPr fontId="1" type="noConversion"/>
  </si>
  <si>
    <t>0528发4680</t>
    <phoneticPr fontId="1" type="noConversion"/>
  </si>
  <si>
    <t>12-4支，0528发4套</t>
    <phoneticPr fontId="1" type="noConversion"/>
  </si>
  <si>
    <t>10-4-6支 ，0526发4套，0528发6套</t>
    <phoneticPr fontId="1" type="noConversion"/>
  </si>
  <si>
    <t>10-5-5支，0526发5套，0528发5套</t>
    <phoneticPr fontId="1" type="noConversion"/>
  </si>
  <si>
    <t>12-1支 ，0528发1套</t>
    <phoneticPr fontId="1" type="noConversion"/>
  </si>
  <si>
    <t>0528发200</t>
    <phoneticPr fontId="1" type="noConversion"/>
  </si>
  <si>
    <t>0528发4680，0529发6272</t>
    <phoneticPr fontId="1" type="noConversion"/>
  </si>
  <si>
    <t>8-5-3支，0518日发5套，，0529日发3套</t>
    <phoneticPr fontId="1" type="noConversion"/>
  </si>
  <si>
    <t>8-4支，0529发4套</t>
    <phoneticPr fontId="1" type="noConversion"/>
  </si>
  <si>
    <t>12-4-4支，0528发4套，0529发4套</t>
    <phoneticPr fontId="1" type="noConversion"/>
  </si>
  <si>
    <t>12-1-4支，0528发1套，0529发4套</t>
    <phoneticPr fontId="1" type="noConversion"/>
  </si>
  <si>
    <t>16-10-1-2支 ，0421发10套，0430发1套，0529发2套</t>
    <phoneticPr fontId="1" type="noConversion"/>
  </si>
  <si>
    <t>20-10-10支，0522发10套，0529发10套</t>
    <phoneticPr fontId="1" type="noConversion"/>
  </si>
  <si>
    <t>20-6-4-8支 ，0509发6套， 0522发4套， 0529发8套</t>
    <phoneticPr fontId="1" type="noConversion"/>
  </si>
  <si>
    <t>18-6支 0529发6套</t>
    <phoneticPr fontId="1" type="noConversion"/>
  </si>
  <si>
    <t>8-4-4支 0522发4套 0529发4套</t>
    <phoneticPr fontId="1" type="noConversion"/>
  </si>
  <si>
    <t>28-8套，0601发8套</t>
    <phoneticPr fontId="1" type="noConversion"/>
  </si>
  <si>
    <t>8-5-1-2支 ，0526发5套，0527发1套，0601发2套</t>
    <phoneticPr fontId="1" type="noConversion"/>
  </si>
  <si>
    <t>8-3-2-2支，0524日发3套,0526发2套,0601发2套</t>
    <phoneticPr fontId="1" type="noConversion"/>
  </si>
  <si>
    <t xml:space="preserve">12-12支，0601发12套 </t>
    <phoneticPr fontId="1" type="noConversion"/>
  </si>
  <si>
    <t>18-6-4支 0529发6套， 0601发4套</t>
    <phoneticPr fontId="1" type="noConversion"/>
  </si>
  <si>
    <t>8-5支 0601发5套</t>
    <phoneticPr fontId="1" type="noConversion"/>
  </si>
  <si>
    <t>98卷，0601发6804</t>
    <phoneticPr fontId="1" type="noConversion"/>
  </si>
  <si>
    <t>1029670/1029671</t>
    <phoneticPr fontId="1" type="noConversion"/>
  </si>
  <si>
    <t>0528发4680，0529发6272，0602发7800</t>
    <phoneticPr fontId="1" type="noConversion"/>
  </si>
  <si>
    <t>0602发4680</t>
    <phoneticPr fontId="1" type="noConversion"/>
  </si>
  <si>
    <t>8-7支 0602发7套</t>
    <phoneticPr fontId="1" type="noConversion"/>
  </si>
  <si>
    <t>8-3-2-2-1支，0524日发3套,0526发2套,0601发2套,0601发1套</t>
    <phoneticPr fontId="1" type="noConversion"/>
  </si>
  <si>
    <t>单轴玻纤；UDH-1215-230；GW171Ⅰ36后缘；-</t>
  </si>
  <si>
    <t>GW171后缘</t>
    <phoneticPr fontId="1" type="noConversion"/>
  </si>
  <si>
    <t>8-2支 0603发2套</t>
    <phoneticPr fontId="1" type="noConversion"/>
  </si>
  <si>
    <t>98卷，0601发6804，0603发11340</t>
    <phoneticPr fontId="1" type="noConversion"/>
  </si>
  <si>
    <t>8-6-2支，0526日发6套，0603日发2套</t>
    <phoneticPr fontId="1" type="noConversion"/>
  </si>
  <si>
    <t>8-2-6支 0603发2套，0604日发6套</t>
    <phoneticPr fontId="1" type="noConversion"/>
  </si>
  <si>
    <t>12-4-4-4支，0528发4套，0529发4套，0604发4套</t>
    <phoneticPr fontId="1" type="noConversion"/>
  </si>
  <si>
    <t>12-4支，0604发4套</t>
    <phoneticPr fontId="1" type="noConversion"/>
  </si>
  <si>
    <t>8-4支，0604发4套</t>
    <phoneticPr fontId="1" type="noConversion"/>
  </si>
  <si>
    <t>12-1-4-6支，0528发1套，0529发4套，0604发6套</t>
    <phoneticPr fontId="1" type="noConversion"/>
  </si>
  <si>
    <t>18-5支,0605发5套</t>
    <phoneticPr fontId="1" type="noConversion"/>
  </si>
  <si>
    <t>18-6-4-8支 0529发6套， 0601发4套，0605发8套</t>
    <phoneticPr fontId="1" type="noConversion"/>
  </si>
  <si>
    <t>12-8支，0605发8套</t>
    <phoneticPr fontId="1" type="noConversion"/>
  </si>
  <si>
    <t>螺栓加强层套裁；2.2-SR136Ⅱ23；海装</t>
  </si>
  <si>
    <t>螺栓加强层套裁；2.2-SR136Ⅱ23；海装</t>
    <phoneticPr fontId="1" type="noConversion"/>
  </si>
  <si>
    <t>SR136Ⅱ螺栓加强层</t>
    <phoneticPr fontId="1" type="noConversion"/>
  </si>
  <si>
    <t>12-1支，0605日发1支</t>
  </si>
  <si>
    <t>8-7-1支 0602发7套，0604日发1套</t>
    <phoneticPr fontId="1" type="noConversion"/>
  </si>
  <si>
    <t>10-1-5-4支，0518日发1套,0522日发5套，0605发4套</t>
    <phoneticPr fontId="1" type="noConversion"/>
  </si>
  <si>
    <t>12-4支，0606日发4支</t>
    <phoneticPr fontId="1" type="noConversion"/>
  </si>
  <si>
    <t>12-4-4支，0606日发4支，0607发4支</t>
    <phoneticPr fontId="1" type="noConversion"/>
  </si>
  <si>
    <t>12-1-5支，0605日发1支，0608日发5支</t>
    <phoneticPr fontId="1" type="noConversion"/>
  </si>
  <si>
    <t>12-4-8支，0604发4套,0608发8套</t>
    <phoneticPr fontId="1" type="noConversion"/>
  </si>
  <si>
    <t>16-10支，0608发10套</t>
    <phoneticPr fontId="1" type="noConversion"/>
  </si>
  <si>
    <t>12-1-4-6-1支，0528发1套，0529发4套，0604发6套，0608发1套</t>
    <phoneticPr fontId="1" type="noConversion"/>
  </si>
  <si>
    <t>12-1支，0608发1套</t>
    <phoneticPr fontId="1" type="noConversion"/>
  </si>
  <si>
    <t>8-4-2支，0604发4套，0608发2套</t>
    <phoneticPr fontId="1" type="noConversion"/>
  </si>
  <si>
    <t>20-6-4-8-2支 ，0509发6套， 0522发4套， 0529发8套，0608发2套</t>
    <phoneticPr fontId="1" type="noConversion"/>
  </si>
  <si>
    <t>8-5支 0601发5套，0608发3套</t>
    <phoneticPr fontId="1" type="noConversion"/>
  </si>
  <si>
    <t>12+5-17支,0608日增加5套以够当天发货使用，0608日发17支</t>
    <phoneticPr fontId="1" type="noConversion"/>
  </si>
  <si>
    <t>32-4-8支，0526发4套,0608发8套</t>
    <phoneticPr fontId="1" type="noConversion"/>
  </si>
  <si>
    <t>12-3支，0608发3套</t>
    <phoneticPr fontId="1" type="noConversion"/>
  </si>
  <si>
    <t>12-1-5支，0605日发1支，0608日发5支，0609发5支</t>
    <phoneticPr fontId="1" type="noConversion"/>
  </si>
  <si>
    <t>12-3-2支，0608发3套，0609发2套</t>
    <phoneticPr fontId="1" type="noConversion"/>
  </si>
  <si>
    <t>325卷，0609发6804</t>
    <phoneticPr fontId="1" type="noConversion"/>
  </si>
  <si>
    <t>8-4-2-2支，0604发4套，0608发2套，0609发2套</t>
    <phoneticPr fontId="1" type="noConversion"/>
  </si>
  <si>
    <t>12-1-7支，0608发1套，0609发7套</t>
    <phoneticPr fontId="1" type="noConversion"/>
  </si>
  <si>
    <t>18-5-3支,0605发5套，0610日发3套</t>
    <phoneticPr fontId="1" type="noConversion"/>
  </si>
  <si>
    <t>12-5支 ，0610日发5套</t>
    <phoneticPr fontId="1" type="noConversion"/>
  </si>
  <si>
    <t>0610日发2898</t>
    <phoneticPr fontId="1" type="noConversion"/>
  </si>
  <si>
    <t>12-3-2-3支，0608发3套，0609发2套,0610发3套</t>
    <phoneticPr fontId="1" type="noConversion"/>
  </si>
  <si>
    <t>12-1-7-4支，0608发1套，0609发7套，0611日发4套</t>
    <phoneticPr fontId="1" type="noConversion"/>
  </si>
  <si>
    <t>30-14支 ，0611发14套</t>
    <phoneticPr fontId="1" type="noConversion"/>
  </si>
  <si>
    <t>12-3-2-3-2支，0608发3套，0609发2套,0610发3套，0611发2套</t>
    <phoneticPr fontId="1" type="noConversion"/>
  </si>
  <si>
    <t>325卷，0609发6804，0611发6804</t>
    <phoneticPr fontId="1" type="noConversion"/>
  </si>
  <si>
    <t>双轴玻纤；2AX-0600-0330；2540mm×100m；-</t>
  </si>
  <si>
    <t>12-4-4-4支，0606日发4支，0607发4支，0612发4支</t>
    <phoneticPr fontId="1" type="noConversion"/>
  </si>
  <si>
    <t>30-4支 ，0613日发4套</t>
    <phoneticPr fontId="1" type="noConversion"/>
  </si>
  <si>
    <t>30-14-14支 ，0611发14套，0613发14套</t>
    <phoneticPr fontId="1" type="noConversion"/>
  </si>
  <si>
    <t>60-3套，0613发3套</t>
    <phoneticPr fontId="1" type="noConversion"/>
  </si>
  <si>
    <t>12-5-4支 ，0610日发5套，0614日发4套</t>
    <phoneticPr fontId="1" type="noConversion"/>
  </si>
  <si>
    <t>物料代码</t>
  </si>
  <si>
    <t>计量单位</t>
  </si>
  <si>
    <t>KG</t>
  </si>
  <si>
    <t>28-8套，0601发8套，0615日发8套</t>
    <phoneticPr fontId="1" type="noConversion"/>
  </si>
  <si>
    <t>30-4-4支 ，0613日发4套，0615日发4套</t>
    <phoneticPr fontId="1" type="noConversion"/>
  </si>
  <si>
    <t>325卷，0609发6804，0611发6804，0615发6804</t>
    <phoneticPr fontId="1" type="noConversion"/>
  </si>
  <si>
    <t>12-3-2-3-2支，0608发3套，0609发2套,0610发3套，0611发2套，0615日发2套</t>
    <phoneticPr fontId="1" type="noConversion"/>
  </si>
  <si>
    <t>12-5-4-3支 ，0610日发5套，0614日发4套，0616日发3套</t>
    <phoneticPr fontId="1" type="noConversion"/>
  </si>
  <si>
    <t>12-1支 ,0616日发1套</t>
    <phoneticPr fontId="1" type="noConversion"/>
  </si>
  <si>
    <t>32-4-8-4支，0526发4套,0608发8套，0616日发4套</t>
    <phoneticPr fontId="1" type="noConversion"/>
  </si>
  <si>
    <t>60-3-3套，0613发3套，0616日发3套</t>
    <phoneticPr fontId="1" type="noConversion"/>
  </si>
  <si>
    <t>60-3-3-3套，0613发3套，0616日发3套，0617发3套</t>
    <phoneticPr fontId="1" type="noConversion"/>
  </si>
  <si>
    <t>32-4-8-4-4支，0526发4套,0608发8套，0616日发4套，0617日发4套</t>
    <phoneticPr fontId="1" type="noConversion"/>
  </si>
  <si>
    <t>30-4-4-4支 ，0613日发4套，0615日发4套,0617发4套</t>
    <phoneticPr fontId="1" type="noConversion"/>
  </si>
  <si>
    <t>16-10支，0608发10套，0617发6套</t>
    <phoneticPr fontId="1" type="noConversion"/>
  </si>
  <si>
    <t>8-6支，0617发6套</t>
    <phoneticPr fontId="1" type="noConversion"/>
  </si>
  <si>
    <t>8支，0617发8套</t>
    <phoneticPr fontId="1" type="noConversion"/>
  </si>
  <si>
    <t>12-1-8支 ,0616日发1套，0618日发8套</t>
    <phoneticPr fontId="1" type="noConversion"/>
  </si>
  <si>
    <t>28-8-8-8套，0601发8套，0615日发8套，0618日发8套</t>
    <phoneticPr fontId="1" type="noConversion"/>
  </si>
  <si>
    <t>325卷，0609发6804，0611发6804，0615发6804，0618发6804</t>
    <phoneticPr fontId="1" type="noConversion"/>
  </si>
  <si>
    <t>60-3-3-3-2套，0613发3套，0616日发3套，0617发3套，0618发2套</t>
    <phoneticPr fontId="1" type="noConversion"/>
  </si>
  <si>
    <t>60-3-3-3-2套，0613发3套，0616日发3套，0617发3套.0618发2套</t>
    <phoneticPr fontId="1" type="noConversion"/>
  </si>
  <si>
    <t>30-4-4-4-4支 ，0613日发4套，0615日发4套,0617发4套,0619发4套</t>
    <phoneticPr fontId="1" type="noConversion"/>
  </si>
  <si>
    <t>8-5支，0619发5套</t>
    <phoneticPr fontId="1" type="noConversion"/>
  </si>
  <si>
    <t>32-4-8-4-4-4支，0526发4套,0608发8套，0616日发4套，0617日发4套，0619日发4套</t>
    <phoneticPr fontId="1" type="noConversion"/>
  </si>
  <si>
    <t>双轴玻纤；2AX-600-0330；2540mm×100m；-</t>
  </si>
  <si>
    <t>30-4-4-4-4-4支 ，0613日发4套，0615日发4套,0617发4套,0619发4套,0620发4套</t>
    <phoneticPr fontId="1" type="noConversion"/>
  </si>
  <si>
    <t>60-3-3-3-2-3套，0613发3套，0616日发3套，0617发3套，0618发2套,0620发3套</t>
    <phoneticPr fontId="1" type="noConversion"/>
  </si>
  <si>
    <t>60-3-3-3-2-3套，0613发3套，0616日发3套，0617发3套.0618发2套,0620发3套</t>
    <phoneticPr fontId="1" type="noConversion"/>
  </si>
  <si>
    <t>12-8支，0622日发8套</t>
    <phoneticPr fontId="1" type="noConversion"/>
  </si>
  <si>
    <t>30-4-4-4-4-4-8支 ，0613日发4套，0615日发4套,0617发4套,0619发4套,0620发4套，0622发8套</t>
    <phoneticPr fontId="1" type="noConversion"/>
  </si>
  <si>
    <t>32-4-8-4-4-4支，0526发4套,0608发8套，0616日发4套，0617日发4套，0619日发4套，0622发8套</t>
    <phoneticPr fontId="1" type="noConversion"/>
  </si>
  <si>
    <t>60-3-3-3-2-3-2套，0613发3套，0616日发3套，0617发3套，0618发2套,0620发3套，0622发2套</t>
    <phoneticPr fontId="1" type="noConversion"/>
  </si>
  <si>
    <t>60-3-3-3-2-3-2套，0613发3套，0616日发3套，0617发3套.0618发2套,0620发3套，0622发2套</t>
    <phoneticPr fontId="1" type="noConversion"/>
  </si>
  <si>
    <t>单轴玻纤；UDH-1215-130-67m；SR146Ⅱ28前缘；-</t>
    <phoneticPr fontId="1" type="noConversion"/>
  </si>
  <si>
    <t>SR146Ⅱ前缘</t>
    <phoneticPr fontId="1" type="noConversion"/>
  </si>
  <si>
    <t>8-5支，0623日发5套</t>
    <phoneticPr fontId="1" type="noConversion"/>
  </si>
  <si>
    <t>20支 ，0623发20支</t>
    <phoneticPr fontId="1" type="noConversion"/>
  </si>
  <si>
    <t>16-4支，0623发4支</t>
    <phoneticPr fontId="1" type="noConversion"/>
  </si>
  <si>
    <t>8-4支，0529发4套，0623发4套</t>
    <phoneticPr fontId="1" type="noConversion"/>
  </si>
  <si>
    <t>8-6支，0617发6套，0623发2套</t>
    <phoneticPr fontId="1" type="noConversion"/>
  </si>
  <si>
    <t>325卷，0609发6804，0611发6804，0615发6804，0618发6804，0622发6804</t>
    <phoneticPr fontId="1" type="noConversion"/>
  </si>
  <si>
    <t>60-3-3-3-2-3-2套，0613发3套，0616日发3套，0617发3套，0618发2套,0620发3套，0622发2套，0623发3套</t>
    <phoneticPr fontId="1" type="noConversion"/>
  </si>
  <si>
    <t>60-3-3-3-2-3-2套，0613发3套，0616日发3套，0617发3套.0618发2套,0620发3套，0622发2套，0623发3套</t>
    <phoneticPr fontId="1" type="noConversion"/>
  </si>
  <si>
    <t>4+4支，0623发8套,程明微信增加4套</t>
    <phoneticPr fontId="1" type="noConversion"/>
  </si>
  <si>
    <t>12-8支，0622日发8套,0624日发4套</t>
    <phoneticPr fontId="1" type="noConversion"/>
  </si>
  <si>
    <t>12支 ，0624发12套</t>
    <phoneticPr fontId="1" type="noConversion"/>
  </si>
  <si>
    <t>13-8支，0624日发8套</t>
    <phoneticPr fontId="1" type="noConversion"/>
  </si>
  <si>
    <t>16-4-4支，0623发4支,0626发4套</t>
    <phoneticPr fontId="1" type="noConversion"/>
  </si>
  <si>
    <t>8-5-3支，0619发5套，0626发3套</t>
    <phoneticPr fontId="1" type="noConversion"/>
  </si>
  <si>
    <t>325卷，0609发6804，0611发6804，0615发6804，0618发6804，0622发6804,0626发6804</t>
    <phoneticPr fontId="1" type="noConversion"/>
  </si>
  <si>
    <t>60-3-3-3-2-3-2-3-2套，0613发3套，0616日发3套，0617发3套，0618发2套,0620发3套，0622发2套，0623发3套，0626发2套</t>
    <phoneticPr fontId="1" type="noConversion"/>
  </si>
  <si>
    <t>60-3-3-3-2-3-2-3-2套，0613发3套，0616日发3套，0617发3套.0618发2套,0620发3套，0622发2套，0623发3套，0626发2套</t>
    <phoneticPr fontId="1" type="noConversion"/>
  </si>
  <si>
    <t>12-1-8支 ,0616日发1套，0618日发8套，0627日发8套，超量发货，等待双瑞增加订单</t>
    <phoneticPr fontId="1" type="noConversion"/>
  </si>
  <si>
    <t>24-6套，0628发6套</t>
    <phoneticPr fontId="1" type="noConversion"/>
  </si>
  <si>
    <t>16-4-4-8支，0623发4支,0626发4套，0628日发8套</t>
    <phoneticPr fontId="1" type="noConversion"/>
  </si>
  <si>
    <t>4500063415</t>
    <phoneticPr fontId="1" type="noConversion"/>
  </si>
  <si>
    <t>24-8支，0629日发8套</t>
    <phoneticPr fontId="1" type="noConversion"/>
  </si>
  <si>
    <t>325卷，0609发6804，0611发6804，0615发6804，0618发6804，0622发6804,0626发6804，0630发13608</t>
    <phoneticPr fontId="1" type="noConversion"/>
  </si>
  <si>
    <t>60-3-3-3-2-3-2-3-2-1套，0613发3套，0616日发3套，0617发3套，0618发2套,0620发3套，0622发2套，0623发3套，0626发2套，0630发1套</t>
    <phoneticPr fontId="1" type="noConversion"/>
  </si>
  <si>
    <t>60-3-3-3-2-3-2-3-2-1套，0613发3套，0616日发3套，0617发3套.0618发2套,0620发3套，0622发2套，0623发3套，0626发2套，0630发1套</t>
    <phoneticPr fontId="1" type="noConversion"/>
  </si>
  <si>
    <t>图纸见附件，首批加工4套，要求最晚4.15到货张家口基地，根据试用情况反馈第二批到货时间.0503日发4套，0630发4套</t>
    <phoneticPr fontId="1" type="noConversion"/>
  </si>
  <si>
    <t>28-8-8-8套，0601发8套，0615日发8套，0618日发8套，0630发4套</t>
    <phoneticPr fontId="1" type="noConversion"/>
  </si>
  <si>
    <t>0630发567KG</t>
    <phoneticPr fontId="1" type="noConversion"/>
  </si>
  <si>
    <t>8-5支，0623日发5套,0630发3套</t>
    <phoneticPr fontId="1" type="noConversion"/>
  </si>
  <si>
    <t>30-4-4-4-4-4-8支 ，0613日发4套，0615日发4套,0617发4套,0619发4套,0620发4套，0622发8套，0630发2套</t>
    <phoneticPr fontId="1" type="noConversion"/>
  </si>
  <si>
    <t>20-4支 ，0630发4套</t>
    <phoneticPr fontId="1" type="noConversion"/>
  </si>
  <si>
    <t>24-2支,0702发2套</t>
    <phoneticPr fontId="1" type="noConversion"/>
  </si>
  <si>
    <t>24-8支，0702发8支</t>
    <phoneticPr fontId="1" type="noConversion"/>
  </si>
  <si>
    <t>16-8支，0703发8支</t>
    <phoneticPr fontId="1" type="noConversion"/>
  </si>
  <si>
    <t>24-8支，0629日发8套，0704发14套</t>
    <phoneticPr fontId="1" type="noConversion"/>
  </si>
  <si>
    <t>60-3-3-3-2-3-2-3-2-1-3套，0613发3套，0616日发3套，0617发3套，0618发2套,0620发3套，0622发2套，0623发3套，0626发2套，0630发1套，0704发3套</t>
    <phoneticPr fontId="1" type="noConversion"/>
  </si>
  <si>
    <t>60-3-3-3-2-3-2-3-2-1-3套，0613发3套，0616日发3套，0617发3套.0618发2套,0620发3套，0622发2套，0623发3套，0626发2套，0630发1套，0704发3套</t>
    <phoneticPr fontId="1" type="noConversion"/>
  </si>
  <si>
    <t>20-4支 ，0630发4套，0704发9套</t>
    <phoneticPr fontId="1" type="noConversion"/>
  </si>
  <si>
    <t>16-9支，0706日发9支</t>
    <phoneticPr fontId="1" type="noConversion"/>
  </si>
  <si>
    <t>60-3-3-3-2-3-2-3-2-1-3-3套，0613发3套，0616日发3套，0617发3套，0618发2套,0620发3套，0622发2套，0623发3套，0626发2套，0630发1套，0704发3套，0706发3套</t>
    <phoneticPr fontId="1" type="noConversion"/>
  </si>
  <si>
    <t>60-3-3-3-2-3-2-3-2-1-3-3套，0613发3套，0616日发3套，0617发3套.0618发2套,0620发3套，0622发2套，0623发3套，0626发2套，0630发1套，0704发3套，0706发3套</t>
    <phoneticPr fontId="1" type="noConversion"/>
  </si>
  <si>
    <t>24-6-5套，0628发6套,0706发5套</t>
    <phoneticPr fontId="1" type="noConversion"/>
  </si>
  <si>
    <t>4支，0707发4套</t>
    <phoneticPr fontId="1" type="noConversion"/>
  </si>
  <si>
    <t>8-2支，0707发2套</t>
    <phoneticPr fontId="1" type="noConversion"/>
  </si>
  <si>
    <t>20-4-9支 ，0630发4套，0704发9套，0707发4套</t>
    <phoneticPr fontId="1" type="noConversion"/>
  </si>
  <si>
    <t>16-8支，0703发8支,0707发8支</t>
    <phoneticPr fontId="1" type="noConversion"/>
  </si>
  <si>
    <t>60-3-3-3-2-3-2-3-2-1-3-3-3套，0613发3套，0616日发3套，0617发3套，0618发2套,0620发3套，0622发2套，0623发3套，0626发2套，0630发1套，0704发3套，0706发3套，0708发3套</t>
    <phoneticPr fontId="1" type="noConversion"/>
  </si>
  <si>
    <t>60-3-3-3-2-3-2-3-2-1-3-3-3套，0613发3套，0616日发3套，0617发3套.0618发2套,0620发3套，0622发2套，0623发3套，0626发2套，0630发1套，0704发3套，0706发3套，0708发3套</t>
    <phoneticPr fontId="1" type="noConversion"/>
  </si>
  <si>
    <t>325卷，0609发6804，0611发6804，0615发6804，0618发6804，0622发6804,0626发6804，0630发13608，0709发6804</t>
    <phoneticPr fontId="1" type="noConversion"/>
  </si>
  <si>
    <t>60-3-3-3-2-3-2-3-2-1-3-3-3-2套，0613发3套，0616日发3套，0617发3套，0618发2套,0620发3套，0622发2套，0623发3套，0626发2套，0630发1套，0704发3套，0706发3套，0708发3套，0709发2套</t>
    <phoneticPr fontId="1" type="noConversion"/>
  </si>
  <si>
    <t>60-3-3-3-2-3-2-3-2-1-3-3-3-2套，0613发3套，0616日发3套，0617发3套.0618发2套,0620发3套，0622发2套，0623发3套，0626发2套，0630发1套，0704发3套，0706发3套，0708发3套，0709发2套</t>
    <phoneticPr fontId="1" type="noConversion"/>
  </si>
  <si>
    <t>16-4支，0709发4支</t>
    <phoneticPr fontId="1" type="noConversion"/>
  </si>
  <si>
    <t>18-5-3-2支,0605发5套，0610日发3套，0709发2套</t>
    <phoneticPr fontId="1" type="noConversion"/>
  </si>
  <si>
    <t>20-7支，0709发7支</t>
    <phoneticPr fontId="1" type="noConversion"/>
  </si>
  <si>
    <t>根据程铭0709日反馈，取消订单，库存发往大丰基地消耗</t>
    <phoneticPr fontId="1" type="noConversion"/>
  </si>
  <si>
    <t>0602发4680根据程铭0709日反馈，取消订单，库存发往大丰基地消耗</t>
    <phoneticPr fontId="1" type="noConversion"/>
  </si>
  <si>
    <t>81卷根据程铭0709日反馈，取消订单，库存发往大丰基地消耗</t>
    <phoneticPr fontId="1" type="noConversion"/>
  </si>
  <si>
    <t>16-9支，0706日发9支，0710发7支</t>
    <phoneticPr fontId="1" type="noConversion"/>
  </si>
  <si>
    <t>19卷，0710发3021</t>
    <phoneticPr fontId="1" type="noConversion"/>
  </si>
  <si>
    <t>10-2支，0711发2支</t>
    <phoneticPr fontId="1" type="noConversion"/>
  </si>
  <si>
    <t>65卷 ，0711发6804</t>
    <phoneticPr fontId="1" type="noConversion"/>
  </si>
  <si>
    <t>65卷，0711发6804</t>
    <phoneticPr fontId="1" type="noConversion"/>
  </si>
  <si>
    <t>24-8-7支，0702发8支，0712发7支</t>
    <phoneticPr fontId="1" type="noConversion"/>
  </si>
  <si>
    <t>24-2-8支,0702发2套，0712发8支</t>
    <phoneticPr fontId="1" type="noConversion"/>
  </si>
  <si>
    <t>18-5-3-2-6支,0605发5套，0610日发3套，0709发2套，0712发6套</t>
    <phoneticPr fontId="1" type="noConversion"/>
  </si>
  <si>
    <t>16-4-4支，0709发4支,0713发4套</t>
    <phoneticPr fontId="1" type="noConversion"/>
  </si>
  <si>
    <t>60-3-3-3-2-3-2-3-2-1-3-3-3-2-3套，0613发3套，0616日发3套，0617发3套，0618发2套,0620发3套，0622发2套，0623发3套，0626发2套，0630发1套，0704发3套，0706发3套，0708发3套，0709发2套,0713发3套</t>
    <phoneticPr fontId="1" type="noConversion"/>
  </si>
  <si>
    <t>60-3-3-3-2-3-2-3-2-1-3-3-3-2-3套，0613发3套，0616日发3套，0617发3套.0618发2套,0620发3套，0622发2套，0623发3套，0626发2套，0630发1套，0704发3套，0706发3套，0708发3套，0709发2套，0713发3套</t>
    <phoneticPr fontId="1" type="noConversion"/>
  </si>
  <si>
    <t>24-2-8-12支,0702发2套，0712发8支,0713发12套</t>
    <phoneticPr fontId="1" type="noConversion"/>
  </si>
  <si>
    <t>16-4-4-4支，0709发4支,0713发4套,0714发4套</t>
    <phoneticPr fontId="1" type="noConversion"/>
  </si>
  <si>
    <t>20-1-6支，客户总共做75支，订单未76支，减少一支量，0714发6套</t>
    <phoneticPr fontId="1" type="noConversion"/>
  </si>
  <si>
    <t>10-2支，0711发2支，0714发2支</t>
    <phoneticPr fontId="1" type="noConversion"/>
  </si>
  <si>
    <t>49卷，0714发1224</t>
    <phoneticPr fontId="1" type="noConversion"/>
  </si>
  <si>
    <t>大连</t>
    <phoneticPr fontId="1" type="noConversion"/>
  </si>
  <si>
    <t>单轴玻纤；UDH-1215-630；SR136Ⅰ28大梁；-</t>
  </si>
  <si>
    <t>单轴玻纤；UDH-1215-230；SR136Ⅰ28后缘；-</t>
  </si>
  <si>
    <t>乌兰察布</t>
    <phoneticPr fontId="1" type="noConversion"/>
  </si>
  <si>
    <t>单轴玻纤；UDH-1215-630；SR136Ⅰ28大梁；-</t>
    <phoneticPr fontId="1" type="noConversion"/>
  </si>
  <si>
    <t>单轴玻纤；UDH-1215-230；SR136Ⅰ28后缘；-</t>
    <phoneticPr fontId="1" type="noConversion"/>
  </si>
  <si>
    <t>SR136Ⅰ大梁</t>
    <phoneticPr fontId="1" type="noConversion"/>
  </si>
  <si>
    <t>SR136Ⅰ后缘</t>
    <phoneticPr fontId="1" type="noConversion"/>
  </si>
  <si>
    <t>60-3-3-3-2-3-2-3-2-1-3-3-3-2-3-2套，0613发3套，0616日发3套，0617发3套，0618发2套,0620发3套，0622发2套，0623发3套，0626发2套，0630发1套，0704发3套，0706发3套，0708发3套，0709发2套,0713发3套,0715发2套</t>
    <phoneticPr fontId="1" type="noConversion"/>
  </si>
  <si>
    <t>60-3-3-3-2-3-2-3-2-1-3-3-3-2-3-2套，0613发3套，0616日发3套，0617发3套.0618发2套,0620发3套，0622发2套，0623发3套，0626发2套，0630发1套，0704发3套，0706发3套，0708发3套，0709发2套，0713发3套，0715发2套</t>
    <phoneticPr fontId="1" type="noConversion"/>
  </si>
  <si>
    <t>163卷，0715发6804</t>
    <phoneticPr fontId="1" type="noConversion"/>
  </si>
  <si>
    <t>单轴玻纤；UDH-1250-800；-</t>
  </si>
  <si>
    <t>洛阳</t>
    <phoneticPr fontId="1" type="noConversion"/>
  </si>
  <si>
    <t>L1250</t>
    <phoneticPr fontId="1" type="noConversion"/>
  </si>
  <si>
    <t>60-3-3-3-2-3-2-3-2-1-3-3-3-2-3-2-3套，0613发3套，0616日发3套，0617发3套，0618发2套,0620发3套，0622发2套，0623发3套，0626发2套，0630发1套，0704发3套，0706发3套，0708发3套，0709发2套,0713发3套,0715发2套，0716发3套</t>
    <phoneticPr fontId="1" type="noConversion"/>
  </si>
  <si>
    <t>60-3-3-3-2-3-2-3-2-1-3-3-3-2-3-2-3套，0613发3套，0616日发3套，0617发3套.0618发2套,0620发3套，0622发2套，0623发3套，0626发2套，0630发1套，0704发3套，0706发3套，0708发3套，0709发2套，0713发3套，0715发2套，0716发3套</t>
    <phoneticPr fontId="1" type="noConversion"/>
  </si>
  <si>
    <t>60-8支，0717日发8支</t>
    <phoneticPr fontId="1" type="noConversion"/>
  </si>
  <si>
    <t>8-4支,0718发4支</t>
    <phoneticPr fontId="1" type="noConversion"/>
  </si>
  <si>
    <t>24-8-7-6支，0702发8支，0712发7支，0718发6支</t>
    <phoneticPr fontId="1" type="noConversion"/>
  </si>
  <si>
    <t>20-1-6-6支，客户总共做75支，订单未76支，减少一支量，0714发6套,0718发6支</t>
    <phoneticPr fontId="1" type="noConversion"/>
  </si>
  <si>
    <t>10-2-2-3支，0711发2支，0714发2支，0720发3支</t>
    <phoneticPr fontId="1" type="noConversion"/>
  </si>
  <si>
    <t>24支，0720发24支</t>
    <phoneticPr fontId="1" type="noConversion"/>
  </si>
  <si>
    <t>0717发</t>
    <phoneticPr fontId="1" type="noConversion"/>
  </si>
  <si>
    <t>8支，0720发8支</t>
    <phoneticPr fontId="1" type="noConversion"/>
  </si>
  <si>
    <t>24-2-8-12支,0702发2套，0712发8支,0713发12套，0720发2套</t>
    <phoneticPr fontId="1" type="noConversion"/>
  </si>
  <si>
    <t>24-10支 ，0720发10套</t>
    <phoneticPr fontId="1" type="noConversion"/>
  </si>
  <si>
    <t>叶型</t>
  </si>
  <si>
    <t>短文本</t>
  </si>
  <si>
    <t>单支叶片定额数量</t>
  </si>
  <si>
    <t>GW171叶型</t>
  </si>
  <si>
    <t>60-8-8支，0717日发8支,0721发8支</t>
    <phoneticPr fontId="1" type="noConversion"/>
  </si>
  <si>
    <t>8支，0721发8支</t>
    <phoneticPr fontId="1" type="noConversion"/>
  </si>
  <si>
    <t>60-3-3-3-2-3-2-3-2-1-3-3-3-2-3-2-3-2套，0613发3套，0616日发3套，0617发3套，0618发2套,0620发3套，0622发2套，0623发3套，0626发2套，0630发1套，0704发3套，0706发3套，0708发3套，0709发2套,0713发3套,0715发2套，0716发3套,0721发2支</t>
    <phoneticPr fontId="1" type="noConversion"/>
  </si>
  <si>
    <t>60-3-3-3-2-3-2-3-2-1-3-3-3-2-3-2-3-2套，0613发3套，0616日发3套，0617发3套.0618发2套,0620发3套，0622发2套，0623发3套，0626发2套，0630发1套，0704发3套，0706发3套，0708发3套，0709发2套，0713发3套，0715发2套，0716发3套，0721发2支</t>
    <phoneticPr fontId="1" type="noConversion"/>
  </si>
  <si>
    <t>163卷，0715发6804，0721发6804</t>
    <phoneticPr fontId="1" type="noConversion"/>
  </si>
  <si>
    <t>20-4-9-4-3支 ，0630发4套，0704发9套，0707发4套，0720日发3套</t>
    <phoneticPr fontId="1" type="noConversion"/>
  </si>
  <si>
    <t>24-8-7-6-1支，0702发8支，0712发7支，0718发6支，0720发1支</t>
    <phoneticPr fontId="1" type="noConversion"/>
  </si>
  <si>
    <t>10-2-2-3支，0711发2支，0714发2支，0720发3支，0722发3支</t>
    <phoneticPr fontId="1" type="noConversion"/>
  </si>
  <si>
    <t>8-4-3支,0718发4支，0722发3套</t>
    <phoneticPr fontId="1" type="noConversion"/>
  </si>
  <si>
    <t>24-7支，0722发7套</t>
    <phoneticPr fontId="1" type="noConversion"/>
  </si>
  <si>
    <t>60-3-3-3-2-3-2-3-2-1-3-3-3-2-3-2-3-2-2套，0613发3套，0616日发3套，0617发3套，0618发2套,0620发3套，0622发2套，0623发3套，0626发2套，0630发1套，0704发3套，0706发3套，0708发3套，0709发2套,0713发3套,0715发2套，0716发3套,0721发2支，0723发2支</t>
    <phoneticPr fontId="1" type="noConversion"/>
  </si>
  <si>
    <t>60-3-3-3-2-3-2-3-2-1-3-3-3-2-3-2-3-2-2套，0613发3套，0616日发3套，0617发3套.0618发2套,0620发3套，0622发2套，0623发3套，0626发2套，0630发1套，0704发3套，0706发3套，0708发3套，0709发2套，0713发3套，0715发2套，0716发3套，0721发2支，0723发2支</t>
    <phoneticPr fontId="1" type="noConversion"/>
  </si>
  <si>
    <t>163卷，0715发6804，0721发6804，0723发5670</t>
    <phoneticPr fontId="1" type="noConversion"/>
  </si>
  <si>
    <t>60-3-3-3-2-3-2-3-2-1-3-3-3-2-3-2-3-2-2-3套，0613发3套，0616日发3套，0617发3套，0618发2套,0620发3套，0622发2套，0623发3套，0626发2套，0630发1套，0704发3套，0706发3套，0708发3套，0709发2套,0713发3套,0715发2套，0716发3套,0721发2支，0723发2支，0724发3支</t>
    <phoneticPr fontId="1" type="noConversion"/>
  </si>
  <si>
    <t>60-3-3-3-2-3-2-3-2-1-3-3-3-2-3-2-3-2-2-3套，0613发3套，0616日发3套，0617发3套.0618发2套,0620发3套，0622发2套，0623发3套，0626发2套，0630发1套，0704发3套，0706发3套，0708发3套，0709发2套，0713发3套，0715发2套，0716发3套，0721发2支，0723发2支，0724发3支</t>
    <phoneticPr fontId="1" type="noConversion"/>
  </si>
  <si>
    <t>60-8-8-12支，0717日发8支,0721发8支，0724发12支</t>
    <phoneticPr fontId="1" type="noConversion"/>
  </si>
  <si>
    <t>20-7-1支，0709发7支，客户总共做75支，订单未76支，减少一支量，另客户要求增加2卷80米发货，0724日发12支</t>
    <phoneticPr fontId="1" type="noConversion"/>
  </si>
  <si>
    <t>24-8-14支，0629日发8套，0704发14套，0724日发2支</t>
    <phoneticPr fontId="1" type="noConversion"/>
  </si>
  <si>
    <t>12-8支，0724发8支</t>
    <phoneticPr fontId="1" type="noConversion"/>
  </si>
  <si>
    <t>60-3-3-3-2-3-2-3-2-1-3-3-3-2-3-2-3-2-2-3-3套，0613发3套，0616日发3套，0617发3套，0618发2套,0620发3套，0622发2套，0623发3套，0626发2套，0630发1套，0704发3套，0706发3套，0708发3套，0709发2套,0713发3套,0715发2套，0716发3套,0721发2支，0723发2支，0724发3支,0725发3支</t>
    <phoneticPr fontId="1" type="noConversion"/>
  </si>
  <si>
    <t>60-3-3-3-2-3-2-3-2-1-3-3-3-2-3-2-3-2-2-3-3套，0613发3套，0616日发3套，0617发3套.0618发2套,0620发3套，0622发2套，0623发3套，0626发2套，0630发1套，0704发3套，0706发3套，0708发3套，0709发2套，0713发3套，0715发2套，0716发3套，0721发2支，0723发2支，0724发3支，0725发3支</t>
    <phoneticPr fontId="1" type="noConversion"/>
  </si>
  <si>
    <t>24-10-12支 ，0720发10套，0725发12支</t>
    <phoneticPr fontId="1" type="noConversion"/>
  </si>
  <si>
    <t>24-7-6支，0722发7套，0725发6支</t>
    <phoneticPr fontId="1" type="noConversion"/>
  </si>
  <si>
    <t>60-3-3-3-2-3-2-3-2-1-3-3-3-2-3-2-3-2-2-3-3-3套，0613发3套，0616日发3套，0617发3套，0618发2套,0620发3套，0622发2套，0623发3套，0626发2套，0630发1套，0704发3套，0706发3套，0708发3套，0709发2套,0713发3套,0715发2套，0716发3套,0721发2支，0723发2支，0724发3支,0725发3支，0727发3支</t>
    <phoneticPr fontId="1" type="noConversion"/>
  </si>
  <si>
    <t>60-3-3-3-2-3-2-3-2-1-3-3-3-2-3-2-3-2-2-3-3-3套，0613发3套，0616日发3套，0617发3套.0618发2套,0620发3套，0622发2套，0623发3套，0626发2套，0630发1套，0704发3套，0706发3套，0708发3套，0709发2套，0713发3套，0715发2套，0716发3套，0721发2支，0723发2支，0724发3支，0725发3支，0727发3支</t>
    <phoneticPr fontId="1" type="noConversion"/>
  </si>
  <si>
    <t>24-8支，0727发8支</t>
    <phoneticPr fontId="1" type="noConversion"/>
  </si>
  <si>
    <t>24-7-6-4支，0722发7套，0725发6支，0727发4支</t>
    <phoneticPr fontId="1" type="noConversion"/>
  </si>
  <si>
    <t>8-4支,0727发4支</t>
    <phoneticPr fontId="1" type="noConversion"/>
  </si>
  <si>
    <t>8-2支，0727发2支</t>
    <phoneticPr fontId="1" type="noConversion"/>
  </si>
  <si>
    <t>6-5支,0728发5支</t>
    <phoneticPr fontId="1" type="noConversion"/>
  </si>
  <si>
    <t>60-3-3-3-2-3-2-3-2-1-3-3-3-2-3-2-3-2-2-3-3-3-2套，0613发3套，0616日发3套，0617发3套.0618发2套,0620发3套，0622发2套，0623发3套，0626发2套，0630发1套，0704发3套，0706发3套，0708发3套，0709发2套，0713发3套，0715发2套，0716发3套，0721发2支，0723发2支，0724发3支，0725发3支，0727发3支,0728日发2支</t>
    <phoneticPr fontId="1" type="noConversion"/>
  </si>
  <si>
    <t>60-3-3-3-2-3-2-3-2-1-3-3-3-2-3-2-3-2-2-3-3-3-2套，0613发3套，0616日发3套，0617发3套，0618发2套,0620发3套，0622发2套，0623发3套，0626发2套，0630发1套，0704发3套，0706发3套，0708发3套，0709发2套,0713发3套,0715发2套，0716发3套,0721发2支，0723发2支，0724发3支,0725发3支，0727发3支，0728日发2支</t>
    <phoneticPr fontId="1" type="noConversion"/>
  </si>
  <si>
    <t>60-8-8-12-4支，0717日发8支,0721发8支，0724发12支,0728发4支</t>
    <phoneticPr fontId="1" type="noConversion"/>
  </si>
  <si>
    <t>163卷，0715发6804，0721发6804，0723发5670,728发5700</t>
    <phoneticPr fontId="1" type="noConversion"/>
  </si>
  <si>
    <t>18-3支，0729发3支</t>
    <phoneticPr fontId="1" type="noConversion"/>
  </si>
  <si>
    <t>163卷，0715发6804，0721发6804，0723发5670，0728发5700，0729发3420</t>
    <phoneticPr fontId="1" type="noConversion"/>
  </si>
  <si>
    <t>24-7-6-4-4支，0722发7套，0725发6支，0727发4支,0729发4支</t>
    <phoneticPr fontId="1" type="noConversion"/>
  </si>
  <si>
    <t>24-8支，0727发8支，0729发4支</t>
    <phoneticPr fontId="1" type="noConversion"/>
  </si>
  <si>
    <t>8-4支,0727发4支，0729发4支</t>
    <phoneticPr fontId="1" type="noConversion"/>
  </si>
  <si>
    <t>8-2-3支，0727发2支，0729发3支</t>
    <phoneticPr fontId="1" type="noConversion"/>
  </si>
  <si>
    <t>65卷，0730发9120</t>
    <phoneticPr fontId="1" type="noConversion"/>
  </si>
  <si>
    <t>60-3-3-3-2-3-2-3-2-1-3-3-3-2-3-2-3-2-2-3-3-3-2-2套，0613发3套，0616日发3套，0617发3套，0618发2套,0620发3套，0622发2套，0623发3套，0626发2套，0630发1套，0704发3套，0706发3套，0708发3套，0709发2套,0713发3套,0715发2套，0716发3套,0721发2支，0723发2支，0724发3支,0725发3支，0727发3支，0728日发2支，0730发2支</t>
    <phoneticPr fontId="1" type="noConversion"/>
  </si>
  <si>
    <t>60-3-3-3-2-3-2-3-2-1-3-3-3-2-3-2-3-2-2-3-3-3-2-2套，0613发3套，0616日发3套，0617发3套.0618发2套,0620发3套，0622发2套，0623发3套，0626发2套，0630发1套，0704发3套，0706发3套，0708发3套，0709发2套，0713发3套，0715发2套，0716发3套，0721发2支，0723发2支，0724发3支，0725发3支，0727发3支,0728日发2支，0730发2支</t>
    <phoneticPr fontId="1" type="noConversion"/>
  </si>
  <si>
    <t>5卷</t>
  </si>
  <si>
    <t>哈密</t>
    <phoneticPr fontId="1" type="noConversion"/>
  </si>
  <si>
    <t>张家口</t>
    <phoneticPr fontId="1" type="noConversion"/>
  </si>
  <si>
    <t>16-8支，0801发8支</t>
    <phoneticPr fontId="1" type="noConversion"/>
  </si>
  <si>
    <t>8-2-3支，0727发2支，0729发3支，0801发3支</t>
    <phoneticPr fontId="1" type="noConversion"/>
  </si>
  <si>
    <t>8-4支，0801日发4支</t>
    <phoneticPr fontId="1" type="noConversion"/>
  </si>
  <si>
    <t>24-8-4-4支，0727发8支，0729发4支，0801发4支</t>
    <phoneticPr fontId="1" type="noConversion"/>
  </si>
  <si>
    <t>24-4支，0801发4支</t>
    <phoneticPr fontId="1" type="noConversion"/>
  </si>
  <si>
    <t>60-3-3-3-2-3-2-3-2-1-3-3-3-2-3-2-3-2-2-3-3-3-2-2套，0613发3套，0616日发3套，0617发3套.0618发2套,0620发3套，0622发2套，0623发3套，0626发2套，0630发1套，0704发3套，0706发3套，0708发3套，0709发2套，0713发3套，0715发2套，0716发3套，0721发2支，0723发2支，0724发3支，0725发3支，0727发3支,0728日发2支，0730发2支，0802发2支</t>
    <phoneticPr fontId="1" type="noConversion"/>
  </si>
  <si>
    <t>49卷，0714发1224，0802发6840</t>
    <phoneticPr fontId="1" type="noConversion"/>
  </si>
  <si>
    <t>60-3-3-3-2-3-2-3-2-1-3-3-3-2-3-2-3-2-2-3-3-3-2-2套，0613发3套，0616日发3套，0617发3套，0618发2套,0620发3套，0622发2套，0623发3套，0626发2套，0630发1套，0704发3套，0706发3套，0708发3套，0709发2套,0713发3套,0715发2套，0716发3套,0721发2支，0723发2支，0724发3支,0725发3支，0727发3支，0728日发2支，0730发2支，0802发2支</t>
    <phoneticPr fontId="1" type="noConversion"/>
  </si>
  <si>
    <t>56-8支,0802发8支</t>
    <phoneticPr fontId="1" type="noConversion"/>
  </si>
  <si>
    <t>0802发957KG</t>
    <phoneticPr fontId="1" type="noConversion"/>
  </si>
  <si>
    <t>60卷，可以分批次发货，0802发2949.1</t>
    <phoneticPr fontId="1" type="noConversion"/>
  </si>
  <si>
    <t>18-3-2支，0729发3支，0803发2支</t>
    <phoneticPr fontId="1" type="noConversion"/>
  </si>
  <si>
    <t>163卷，0715发6804，0721发6804，0723发5670，0728发5700，0729发3420,0803发2280</t>
    <phoneticPr fontId="1" type="noConversion"/>
  </si>
  <si>
    <t>49卷，0714发1224，0802发6840，0803发1140</t>
    <phoneticPr fontId="1" type="noConversion"/>
  </si>
  <si>
    <t>65卷，0730发9120，0803发3420</t>
    <phoneticPr fontId="1" type="noConversion"/>
  </si>
  <si>
    <t>24-8-7-6-1支，0702发8支，0712发7支，0718发6支，0720发1支，0803发2支</t>
    <phoneticPr fontId="1" type="noConversion"/>
  </si>
  <si>
    <t>8-4-3支,0718发4支，0722发3套，0803发1支</t>
    <phoneticPr fontId="1" type="noConversion"/>
  </si>
  <si>
    <t>24-10-12支 ，0720发10套，0725发12支，0803发2支</t>
    <phoneticPr fontId="1" type="noConversion"/>
  </si>
  <si>
    <t>24-4-2支，0801发4支，0803发2支</t>
    <phoneticPr fontId="1" type="noConversion"/>
  </si>
  <si>
    <t>28-3支，0803发3支</t>
    <phoneticPr fontId="1" type="noConversion"/>
  </si>
  <si>
    <t>24-8-4-4-2支，0727发8支，0729发4支，0801发4支，0803发2支</t>
    <phoneticPr fontId="1" type="noConversion"/>
  </si>
  <si>
    <t>三轴玻纤；3AX-1215-7220；1270mm×60m；-</t>
  </si>
  <si>
    <t>9套</t>
  </si>
  <si>
    <t>18-3-2-2支，0729发3支，0803发2支,0804发2支</t>
    <phoneticPr fontId="1" type="noConversion"/>
  </si>
  <si>
    <t>18-3-2-2支，0729发3支，0803发2支，0804发2支</t>
    <phoneticPr fontId="1" type="noConversion"/>
  </si>
  <si>
    <t>114卷，0804发2280</t>
    <phoneticPr fontId="1" type="noConversion"/>
  </si>
  <si>
    <t>20-1-6-6-4支，客户总共做75支，订单未76支，减少一支量，0714发6套,0718发6支，0804发4支</t>
    <phoneticPr fontId="1" type="noConversion"/>
  </si>
  <si>
    <t>54-6支，0804发6支</t>
    <phoneticPr fontId="1" type="noConversion"/>
  </si>
  <si>
    <t>德州</t>
    <phoneticPr fontId="1" type="noConversion"/>
  </si>
  <si>
    <t>鄂尔多斯</t>
    <phoneticPr fontId="1" type="noConversion"/>
  </si>
  <si>
    <t>0805发5544</t>
    <phoneticPr fontId="1" type="noConversion"/>
  </si>
  <si>
    <t>24-7-6-4-4支，0722发7套，0725发6支，0727发4支,0729发4支,0805发3支</t>
    <phoneticPr fontId="1" type="noConversion"/>
  </si>
  <si>
    <t>24-8-4-4-2支，0727发8支，0729发4支，0801发4支，0803发2支，0805发6支</t>
    <phoneticPr fontId="1" type="noConversion"/>
  </si>
  <si>
    <t>24-4-2-3支，0801发4支，0803发2支,0805发3支</t>
    <phoneticPr fontId="1" type="noConversion"/>
  </si>
  <si>
    <t>80-2支，0805发2支</t>
    <phoneticPr fontId="1" type="noConversion"/>
  </si>
  <si>
    <t>8-4支，0801日发4支,0805发4支</t>
    <phoneticPr fontId="1" type="noConversion"/>
  </si>
  <si>
    <t>16-8支，0801发8支，0805发8支</t>
    <phoneticPr fontId="1" type="noConversion"/>
  </si>
  <si>
    <t>0805发5901KG</t>
    <phoneticPr fontId="1" type="noConversion"/>
  </si>
  <si>
    <t>大连</t>
    <phoneticPr fontId="1" type="noConversion"/>
  </si>
  <si>
    <t>0805发5544，0806发7392</t>
    <phoneticPr fontId="1" type="noConversion"/>
  </si>
  <si>
    <t>24-4-2-3-5支，0801发4支，0803发2支,0805发3支，0806发5支</t>
    <phoneticPr fontId="1" type="noConversion"/>
  </si>
  <si>
    <t>18-3-2-2-3支，0729发3支，0803发2支,0804发2支，0806发3支</t>
    <phoneticPr fontId="1" type="noConversion"/>
  </si>
  <si>
    <t>18-3-2-2-3支，0729发3支，0803发2支，0804发2支，0806发3支</t>
    <phoneticPr fontId="1" type="noConversion"/>
  </si>
  <si>
    <t>114卷，0804发2280，0806发4608</t>
    <phoneticPr fontId="1" type="noConversion"/>
  </si>
  <si>
    <t>0805发5544，0806发7392，0807发5544</t>
    <phoneticPr fontId="1" type="noConversion"/>
  </si>
  <si>
    <t>0807发957</t>
    <phoneticPr fontId="1" type="noConversion"/>
  </si>
  <si>
    <t>80-2-12支，0805发2支，0807发12支</t>
    <phoneticPr fontId="1" type="noConversion"/>
  </si>
  <si>
    <t>28-10支，0807发10套</t>
    <phoneticPr fontId="1" type="noConversion"/>
  </si>
  <si>
    <t>60-8-8-12-4-8支，0717日发8支,0721发8支，0724发12支,0728发4支，0807发8支</t>
    <phoneticPr fontId="1" type="noConversion"/>
  </si>
  <si>
    <t>18-3-2-2-3-2支，0729发3支，0803发2支,0804发2支，0806发3支，0808发2支</t>
    <phoneticPr fontId="1" type="noConversion"/>
  </si>
  <si>
    <t>18-3-2-2-3支，0729发3支，0803发2支，0804发2支，0806发3支，0808发2支</t>
    <phoneticPr fontId="1" type="noConversion"/>
  </si>
  <si>
    <t>114卷，0804发2280，0806发4608，0808发6912</t>
    <phoneticPr fontId="1" type="noConversion"/>
  </si>
  <si>
    <t>24-4-2-3-5-6支，0801发4支，0803发2支,0805发3支，0806发5支,0808发6支</t>
    <phoneticPr fontId="1" type="noConversion"/>
  </si>
  <si>
    <t>0805发5544，0806发7392，0807发5544，0808发5544</t>
    <phoneticPr fontId="1" type="noConversion"/>
  </si>
  <si>
    <t>18-5-3-2-6支,0605发5套，0610日发3套，0709发2套，0712发6套，0809发2支</t>
    <phoneticPr fontId="1" type="noConversion"/>
  </si>
  <si>
    <t>20-1-6-6-4支，客户总共做75支，订单未76支，减少一支量，0714发6套,0718发6支，0804发4支，0809发2支</t>
    <phoneticPr fontId="1" type="noConversion"/>
  </si>
  <si>
    <t>12-6支，0720发6支</t>
    <phoneticPr fontId="1" type="noConversion"/>
  </si>
  <si>
    <t>12-6支，0720发6支，0809发6支</t>
    <phoneticPr fontId="1" type="noConversion"/>
  </si>
  <si>
    <t>54-10支，0809发10支</t>
    <phoneticPr fontId="1" type="noConversion"/>
  </si>
  <si>
    <t>28-3支，0803发3支，0809发6支</t>
    <phoneticPr fontId="1" type="noConversion"/>
  </si>
  <si>
    <t>0805发5544，0806发7392，0807发5544，0808发5544，0809发5544</t>
    <phoneticPr fontId="1" type="noConversion"/>
  </si>
  <si>
    <t>16-4-4-4支，0709发4支,0713发4套,0714发4套，0809发4支</t>
    <phoneticPr fontId="1" type="noConversion"/>
  </si>
  <si>
    <t>52-4支，0809发4支</t>
    <phoneticPr fontId="1" type="noConversion"/>
  </si>
  <si>
    <t>18-3-2-2-3-2-2支，0729发3支，0803发2支,0804发2支，0806发3支，0808发2支，0810发2支</t>
    <phoneticPr fontId="1" type="noConversion"/>
  </si>
  <si>
    <t>18-3-2-2-3支，0729发3支，0803发2支，0804发2支，0806发3支，0808发2支，0810发2支</t>
    <phoneticPr fontId="1" type="noConversion"/>
  </si>
  <si>
    <t>114卷，0804发2280，0806发4608，0808发6912，0810发6912</t>
    <phoneticPr fontId="1" type="noConversion"/>
  </si>
  <si>
    <t>0805发5544，0806发7392，0807发5544，0808发5544，0809发5544，0810发5544</t>
    <phoneticPr fontId="1" type="noConversion"/>
  </si>
  <si>
    <t>80-6支，0810发6支</t>
    <phoneticPr fontId="1" type="noConversion"/>
  </si>
  <si>
    <t>48-3支，0811发3支</t>
    <phoneticPr fontId="1" type="noConversion"/>
  </si>
  <si>
    <t>0805发5544，0806发7392，0807发5544，0808发5544，0809发5544，0810发5544，0811发13860</t>
    <phoneticPr fontId="1" type="noConversion"/>
  </si>
  <si>
    <t>SS面C1,C3,C8共计3卷197M长</t>
  </si>
  <si>
    <t>20200799</t>
  </si>
  <si>
    <t>390卷，0812发6912</t>
    <phoneticPr fontId="1" type="noConversion"/>
  </si>
  <si>
    <t>18-3-2-2-3-2支，0729发3支，0803发2支，0804发2支，0806发3支，0808发2支，0810发2支，0812发2支</t>
    <phoneticPr fontId="1" type="noConversion"/>
  </si>
  <si>
    <t>18-3-2-2-3-2-2-2支，0729发3支，0803发2支,0804发2支，0806发3支，0808发2支，0810发2支，0812发2支</t>
    <phoneticPr fontId="1" type="noConversion"/>
  </si>
  <si>
    <t>PS面2套，0812发1套PS面</t>
    <phoneticPr fontId="1" type="noConversion"/>
  </si>
  <si>
    <t>52-4-8支，0808发4支，0813发8支</t>
    <phoneticPr fontId="1" type="noConversion"/>
  </si>
  <si>
    <t>54-6支，0804发6支,0813发7支</t>
    <phoneticPr fontId="1" type="noConversion"/>
  </si>
  <si>
    <t>54-10-16支，0809发10支，0813发16支</t>
    <phoneticPr fontId="1" type="noConversion"/>
  </si>
  <si>
    <t>80-6-6支，0810发6支,0813发6支</t>
    <phoneticPr fontId="1" type="noConversion"/>
  </si>
  <si>
    <t>0805发5544，0806发7392，0807发5544，0808发5544，0809发5544，0810发5544，0811发13860，0813发5544</t>
    <phoneticPr fontId="1" type="noConversion"/>
  </si>
  <si>
    <t>0813发3696</t>
    <phoneticPr fontId="1" type="noConversion"/>
  </si>
  <si>
    <t>0813发1472.1</t>
    <phoneticPr fontId="1" type="noConversion"/>
  </si>
  <si>
    <t>江苏双瑞叶片风电有限公司</t>
    <phoneticPr fontId="1" type="noConversion"/>
  </si>
  <si>
    <t>乌兰察布</t>
    <phoneticPr fontId="1" type="noConversion"/>
  </si>
  <si>
    <t>洛阳双瑞风电叶片有限公司乌兰察布分公司</t>
    <phoneticPr fontId="2" type="noConversion"/>
  </si>
  <si>
    <t>9-6套，0814发6支</t>
    <phoneticPr fontId="1" type="noConversion"/>
  </si>
  <si>
    <t>54-6-7-10支，0804发6支,0813发7支，0814发10支</t>
    <phoneticPr fontId="1" type="noConversion"/>
  </si>
  <si>
    <t>12-8支，0724发8支，0814发4支</t>
    <phoneticPr fontId="1" type="noConversion"/>
  </si>
  <si>
    <t>0805发5544，0806发7392，0807发5544，0808发5544，0809发5544，0810发5544，0811发13860，0813发5544，0814发5544</t>
    <phoneticPr fontId="1" type="noConversion"/>
  </si>
  <si>
    <t>80-6-6-6支，0810发6支,0813发6支，0814发6支</t>
    <phoneticPr fontId="1" type="noConversion"/>
  </si>
  <si>
    <t>0805发5544，0806发7392，0807发5544，0808发5544，0809发5544，0810发5544，0811发13860，0813发5544，0814发5544，0815发12012</t>
    <phoneticPr fontId="1" type="noConversion"/>
  </si>
  <si>
    <t>大连</t>
    <phoneticPr fontId="1" type="noConversion"/>
  </si>
  <si>
    <t>每卷100米,需求3卷，0815日发294KG</t>
    <phoneticPr fontId="1" type="noConversion"/>
  </si>
  <si>
    <t>18-3-2-2-3-2-2-2支，0729发3支，0803发2支,0804发2支，0806发3支，0808发2支，0810发2支，0812发2支，0815发2支</t>
    <phoneticPr fontId="1" type="noConversion"/>
  </si>
  <si>
    <t>18-3-2-2-3-2支，0729发3支，0803发2支，0804发2支，0806发3支，0808发2支，0810发2支，0812发2支，0815发2支</t>
    <phoneticPr fontId="1" type="noConversion"/>
  </si>
  <si>
    <t>390卷，0812发6912，0815发6912</t>
    <phoneticPr fontId="1" type="noConversion"/>
  </si>
  <si>
    <t>48-3-3支，0811发3支，0817发3支</t>
    <phoneticPr fontId="1" type="noConversion"/>
  </si>
  <si>
    <t>9-6-3套，0814发6支，0817发3支</t>
    <phoneticPr fontId="1" type="noConversion"/>
  </si>
  <si>
    <t>60-8-8-12-4-8-8支，0717日发8支,0721发8支，0724发12支,0728发4支，0807发8支，0815发8支</t>
    <phoneticPr fontId="1" type="noConversion"/>
  </si>
  <si>
    <t>52-4-8-8支，0808发4支，0813发8支，0817发8支</t>
    <phoneticPr fontId="1" type="noConversion"/>
  </si>
  <si>
    <t>0805发5544，0806发7392，0807发5544，0808发5544，0809发5544，0810发5544，0811发13860，0813发5544，0814发5544，0815发12012，0817发5544</t>
    <phoneticPr fontId="1" type="noConversion"/>
  </si>
  <si>
    <t>80-6-6-6-6支，0810发6支,0813发6支，0814发6支，0817发6支</t>
    <phoneticPr fontId="1" type="noConversion"/>
  </si>
  <si>
    <t>4500067892</t>
    <phoneticPr fontId="1" type="noConversion"/>
  </si>
  <si>
    <t>390卷，0812发6912，0815发6912,0818发5760</t>
    <phoneticPr fontId="1" type="noConversion"/>
  </si>
  <si>
    <t>48-3-3-2支，0811发3支，0817发3支，0818发2支</t>
    <phoneticPr fontId="1" type="noConversion"/>
  </si>
  <si>
    <t>54-6-7-10-10支，0804发6支,0813发7支，0814发10支，0818发10支</t>
    <phoneticPr fontId="1" type="noConversion"/>
  </si>
  <si>
    <t>54-10-16-10支，0809发10支，0813发16支，0818发10支</t>
    <phoneticPr fontId="1" type="noConversion"/>
  </si>
  <si>
    <t>单轴玻纤；SR146II28后缘；UDH-1215-230；-</t>
  </si>
  <si>
    <t>9支，0818日发9支</t>
    <phoneticPr fontId="1" type="noConversion"/>
  </si>
  <si>
    <t>60-8-8-12-4-8-8-8支，0717日发8支,0721发8支，0724发12支,0728发4支，0807发8支，0817发8支，0818发8支</t>
    <phoneticPr fontId="1" type="noConversion"/>
  </si>
  <si>
    <t>9-3套，0818发3支</t>
    <phoneticPr fontId="1" type="noConversion"/>
  </si>
  <si>
    <t>80-6-6-6-6-3支，0810发6支,0813发6支，0814发6支，0817发6支，0818发3支</t>
    <phoneticPr fontId="1" type="noConversion"/>
  </si>
  <si>
    <t>80-2-12-12支，0805发2支，0807发12支，0818发12支</t>
    <phoneticPr fontId="1" type="noConversion"/>
  </si>
  <si>
    <t>0805发5544，0806发7392，0807发5544，0808发5544，0809发5544，0810发5544，0811发13860，0813发5544，0814发5544，0815发12012，0817发5544，0818发5544</t>
    <phoneticPr fontId="1" type="noConversion"/>
  </si>
  <si>
    <t>48-3-3-2-3支，0811发3支，0817发3支，0818发2支，0819发3支</t>
    <phoneticPr fontId="1" type="noConversion"/>
  </si>
  <si>
    <t>28-3-6-6支，0803发3支，0809发6支，0819发6支</t>
    <phoneticPr fontId="1" type="noConversion"/>
  </si>
  <si>
    <t>0805发5544，0806发7392，0807发5544，0808发5544，0809发5544，0810发5544，0811发13860，0813发5544，0814发5544，0815发12012，0817发5544，0818发5544，0818发5544</t>
    <phoneticPr fontId="1" type="noConversion"/>
  </si>
  <si>
    <t>单轴玻纤；UDH-1215-700；SR152Ⅳ32大梁；-</t>
  </si>
  <si>
    <t>0820发10120</t>
    <phoneticPr fontId="1" type="noConversion"/>
  </si>
  <si>
    <t>15-5支，技术要求见附件，0820发5支</t>
    <phoneticPr fontId="1" type="noConversion"/>
  </si>
  <si>
    <t>三轴玻纤；3AX-1215-7220；1270mm×60m；-</t>
    <phoneticPr fontId="1" type="noConversion"/>
  </si>
  <si>
    <t>螺栓加强层套裁；-；SR146Ⅰ28；-</t>
  </si>
  <si>
    <t>螺栓加强层套裁；-；SR146Ⅰ28；-</t>
    <phoneticPr fontId="1" type="noConversion"/>
  </si>
  <si>
    <t>16-8支，0821日发8支</t>
    <phoneticPr fontId="1" type="noConversion"/>
  </si>
  <si>
    <t>80-2-12-12支，0805发2支，0807发12支，0818发12支，0821发12支</t>
    <phoneticPr fontId="1" type="noConversion"/>
  </si>
  <si>
    <t>28-10-6支，0807发10套，0821发6支</t>
    <phoneticPr fontId="1" type="noConversion"/>
  </si>
  <si>
    <t>24-4-2-3-5-6-2支，0801发4支，0803发2支,0805发3支，0806发5支,0808发6支，0821发2支</t>
    <phoneticPr fontId="1" type="noConversion"/>
  </si>
  <si>
    <t>80-6-6-6-6-3-7支，0810发6支,0813发6支，0814发6支，0817发6支，0818发3支，0822发7支</t>
    <phoneticPr fontId="1" type="noConversion"/>
  </si>
  <si>
    <t>9-3-4套，0818发3支,0822发4支</t>
    <phoneticPr fontId="1" type="noConversion"/>
  </si>
  <si>
    <t>52-4-8-8-8支，0808发4支，0813发8支，0817发8支,0822发8支</t>
    <phoneticPr fontId="1" type="noConversion"/>
  </si>
  <si>
    <t>三轴玻纤；3AX-1215-7220；1270mm×100m；-</t>
    <phoneticPr fontId="1" type="noConversion"/>
  </si>
  <si>
    <t>80-6-6-6-6-3-7-6支，0810发6支,0813发6支，0814发6支，0817发6支，0818发3支，0822发7支，0823发6支</t>
    <phoneticPr fontId="1" type="noConversion"/>
  </si>
  <si>
    <t>鄂尔多斯</t>
    <phoneticPr fontId="1" type="noConversion"/>
  </si>
  <si>
    <t>48-8分批次到货，8月底至少到货12套,0824发4套</t>
    <phoneticPr fontId="1" type="noConversion"/>
  </si>
  <si>
    <t>15-4支，技术要求见附件，0824发4支</t>
    <phoneticPr fontId="1" type="noConversion"/>
  </si>
  <si>
    <t>54-6-7-10-10-14支，0804发6支,0813发7支，0814发10支，0818发10支,0824发14</t>
    <phoneticPr fontId="1" type="noConversion"/>
  </si>
  <si>
    <t>20200884</t>
  </si>
  <si>
    <t>哈密</t>
    <phoneticPr fontId="1" type="noConversion"/>
  </si>
  <si>
    <t>50-8，0825日发8套</t>
    <phoneticPr fontId="1" type="noConversion"/>
  </si>
  <si>
    <t>36-5支，0730发5支</t>
    <phoneticPr fontId="1" type="noConversion"/>
  </si>
  <si>
    <t>36-5-5支，0730发5支，0731发5支</t>
    <phoneticPr fontId="1" type="noConversion"/>
  </si>
  <si>
    <t>36-5-5-5支，0730发5支，0731发5支，0812发5支</t>
    <phoneticPr fontId="1" type="noConversion"/>
  </si>
  <si>
    <t>28-3-6-6支，0803发3支，0809发6支，0819发6支,0826发6支</t>
    <phoneticPr fontId="1" type="noConversion"/>
  </si>
  <si>
    <t>4500066685</t>
    <phoneticPr fontId="1" type="noConversion"/>
  </si>
  <si>
    <t>15-4-4支，技术要求见附件，0824发4支,0826发4支</t>
    <phoneticPr fontId="1" type="noConversion"/>
  </si>
  <si>
    <t>15-4-4支，技术要求见附件，0824发4支，0826发4支</t>
    <phoneticPr fontId="1" type="noConversion"/>
  </si>
  <si>
    <t>88-4套，0826日发4支</t>
  </si>
  <si>
    <t>65-3套，0826发3支</t>
  </si>
  <si>
    <t>30-2套，0826日发2支</t>
  </si>
  <si>
    <t>0820发10120，0827发2024</t>
    <phoneticPr fontId="1" type="noConversion"/>
  </si>
  <si>
    <t>28-10-6-8支，0807发10套，0821发6支，0827发8支</t>
    <phoneticPr fontId="1" type="noConversion"/>
  </si>
  <si>
    <t>48-4-4分批次到货，8月底至少到货12套,0824发4套，0827发4套</t>
    <phoneticPr fontId="1" type="noConversion"/>
  </si>
  <si>
    <t>22-5套，0827日发5支</t>
    <phoneticPr fontId="1" type="noConversion"/>
  </si>
  <si>
    <t>88-4-6套，0826日发4支，0827发6支</t>
    <phoneticPr fontId="1" type="noConversion"/>
  </si>
  <si>
    <t>30-2-2套，0826日发2支，0827发2支</t>
    <phoneticPr fontId="1" type="noConversion"/>
  </si>
  <si>
    <t>65-3-3套，0826发3支，0827发3支</t>
    <phoneticPr fontId="1" type="noConversion"/>
  </si>
  <si>
    <t>0827发15200</t>
    <phoneticPr fontId="1" type="noConversion"/>
  </si>
  <si>
    <t>65-3-3-1套，0826发3支，0827发3支，0828发3504</t>
    <phoneticPr fontId="1" type="noConversion"/>
  </si>
  <si>
    <t>88-4-6-5套，0826日发4支，0827发6支，0828发2930</t>
    <phoneticPr fontId="1" type="noConversion"/>
  </si>
  <si>
    <t>30-2套，0828发2支</t>
    <phoneticPr fontId="1" type="noConversion"/>
  </si>
  <si>
    <t>30-2-2-1套，0826日发2支，0827发2支，0828发1支</t>
    <phoneticPr fontId="1" type="noConversion"/>
  </si>
  <si>
    <t>80-2-12-12-12-12支，0805发2支，0807发12支，0818发12支，0821发12支，0828发5240</t>
    <phoneticPr fontId="1" type="noConversion"/>
  </si>
  <si>
    <t>0820发10120，0827发2024，0827发6072</t>
    <phoneticPr fontId="1" type="noConversion"/>
  </si>
  <si>
    <t>0829发3210</t>
    <phoneticPr fontId="1" type="noConversion"/>
  </si>
  <si>
    <t>0830发3060</t>
    <phoneticPr fontId="1" type="noConversion"/>
  </si>
  <si>
    <t>GW171后缘</t>
  </si>
  <si>
    <t>SR146Ⅱ大梁</t>
  </si>
  <si>
    <t>SR146Ⅱ后缘</t>
  </si>
  <si>
    <t>SR152Ⅳ大梁</t>
  </si>
  <si>
    <t>SR152Ⅳ后缘</t>
  </si>
  <si>
    <t>SR136Ⅰ大梁</t>
  </si>
  <si>
    <t>SR136Ⅰ后缘</t>
  </si>
  <si>
    <t>简称</t>
  </si>
  <si>
    <t>取消订单0831</t>
  </si>
  <si>
    <t>取消订单0831</t>
    <phoneticPr fontId="1" type="noConversion"/>
  </si>
  <si>
    <t>56-8支,0802发8支,0831发8支</t>
    <phoneticPr fontId="1" type="noConversion"/>
  </si>
  <si>
    <t>60卷，可以分批次发货，0802发2949.1，0831发2907.8</t>
    <phoneticPr fontId="1" type="noConversion"/>
  </si>
  <si>
    <t>0827发15200，0831发15176</t>
    <phoneticPr fontId="1" type="noConversion"/>
  </si>
  <si>
    <t>0829发3210，0831发6420</t>
    <phoneticPr fontId="1" type="noConversion"/>
  </si>
  <si>
    <t>0830发3060，0831发9180</t>
    <phoneticPr fontId="1" type="noConversion"/>
  </si>
  <si>
    <t>80-2-12-12-12-12-14支，0805发2支，0807发12支，0818发12支，0821发12支，0828发5240，0901发14支</t>
    <phoneticPr fontId="1" type="noConversion"/>
  </si>
  <si>
    <t>0820发10120，0827发2024，0827发6072，0901发1932</t>
    <phoneticPr fontId="1" type="noConversion"/>
  </si>
  <si>
    <t>0829发3210，0831发6420，0901发6420</t>
    <phoneticPr fontId="1" type="noConversion"/>
  </si>
  <si>
    <t>330卷  50支，0901发6420</t>
    <phoneticPr fontId="1" type="noConversion"/>
  </si>
  <si>
    <t>50-16支，0902发16支</t>
    <phoneticPr fontId="1" type="noConversion"/>
  </si>
  <si>
    <t>50-8-9支，0825日发8套，0902发9支</t>
    <phoneticPr fontId="1" type="noConversion"/>
  </si>
  <si>
    <t>52-4-8-8-8-8支，0808发4支，0813发8支，0817发8支,0822发8支，0902发8支</t>
    <phoneticPr fontId="1" type="noConversion"/>
  </si>
  <si>
    <t>330卷  50支，0901发6420，0902发6420</t>
    <phoneticPr fontId="1" type="noConversion"/>
  </si>
  <si>
    <t>0827发15200，0831发15176，0902发4976</t>
    <phoneticPr fontId="1" type="noConversion"/>
  </si>
  <si>
    <t>28-3-6-6支，0803发3支，0809发6支，0819发6支,0826发6支，0903发7支</t>
    <phoneticPr fontId="1" type="noConversion"/>
  </si>
  <si>
    <t>26-6支，0903发6支</t>
    <phoneticPr fontId="1" type="noConversion"/>
  </si>
  <si>
    <t>80-2-12-12-12-12-14-2支，0805发2支，0807发12支，0818发12支，0821发12支，0828发5240，0901发14支，0903发2支</t>
    <phoneticPr fontId="1" type="noConversion"/>
  </si>
  <si>
    <t>0827发15200，0831发15176，0902发4976，0903发4560</t>
    <phoneticPr fontId="1" type="noConversion"/>
  </si>
  <si>
    <t>0830发3060，0831发9180，0903发7650</t>
    <phoneticPr fontId="1" type="noConversion"/>
  </si>
  <si>
    <t>75-16支，0904发16支</t>
    <phoneticPr fontId="1" type="noConversion"/>
  </si>
  <si>
    <t>56-8-8-8支,0802发8支,0831发8支，0904发8支</t>
    <phoneticPr fontId="1" type="noConversion"/>
  </si>
  <si>
    <t>22-5-5套，0827日发5支，0904发5支</t>
    <phoneticPr fontId="1" type="noConversion"/>
  </si>
  <si>
    <t>330卷  50支，0901发6420，0902发6420，0904发3210</t>
    <phoneticPr fontId="1" type="noConversion"/>
  </si>
  <si>
    <t>0905日发4424.7KG</t>
    <phoneticPr fontId="1" type="noConversion"/>
  </si>
  <si>
    <t>0827发4360.3,0831发4363.1,0901发2908.5，0902发7375.9，0903发7340.9，0905发8780.1</t>
    <phoneticPr fontId="1" type="noConversion"/>
  </si>
  <si>
    <t>0827发15200，0831发15176，0902发4976，0903发4560，0905发9120</t>
    <phoneticPr fontId="1" type="noConversion"/>
  </si>
  <si>
    <t>乌兰察布</t>
    <phoneticPr fontId="1" type="noConversion"/>
  </si>
  <si>
    <t>54-6-7-10-10-14-7支，0804发6支,0813发7支，0814发10支，0818发10支,0824发14，0827发7支</t>
    <phoneticPr fontId="1" type="noConversion"/>
  </si>
  <si>
    <t>113大梁布SS面2套，0827发2套SS面</t>
    <phoneticPr fontId="1" type="noConversion"/>
  </si>
  <si>
    <t>0825发320KG</t>
    <phoneticPr fontId="1" type="noConversion"/>
  </si>
  <si>
    <t>0805发5544，0806发7392，0807发5544，0808发5544，0809发5544，0810发5544，0811发13860，0813发5544，0814发5544，0815发12012，0817发5544，0818发5544，0819发4620,0820发924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</si>
  <si>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</si>
  <si>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</si>
  <si>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</si>
  <si>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</t>
    <phoneticPr fontId="1" type="noConversion"/>
  </si>
  <si>
    <t>52-4-8-8-8-8-8支，0808发4支，0813发8支，0817发8支,0822发8支，0902发8支，0907发8支</t>
    <phoneticPr fontId="1" type="noConversion"/>
  </si>
  <si>
    <t>50-8-9-10支，0825日发8套，0902发9支，0907发10支</t>
    <phoneticPr fontId="1" type="noConversion"/>
  </si>
  <si>
    <t>50-16-10支，0902发16支，0907发10支</t>
    <phoneticPr fontId="1" type="noConversion"/>
  </si>
  <si>
    <t>48-3-3-2-3-2-3-2-3-2-3-4-3-3-2支，0811发3支，0817发3支，0818发2支，0819发3支，0825发2支,0826发3支,0827发2支，0828发3支，0829发2支，0831发3支，0902发4支，0905发3支,0906发3支，0907发2支</t>
  </si>
  <si>
    <t>48-3-3-2-3-2-3-2-3-2-3-4-3-3-2支，0811发3支，0817发3支，0818发2支，0819发3支，0825发2支，0826发3支，0827发2支，0828发3支，0829发2支，0831发3支，0902发4支，0905发3支，0906发3支，0907发2支</t>
  </si>
  <si>
    <t>0908发3050</t>
    <phoneticPr fontId="1" type="noConversion"/>
  </si>
  <si>
    <t>0830发3060，0831发9180，0903发7650，0908发3060</t>
    <phoneticPr fontId="1" type="noConversion"/>
  </si>
  <si>
    <t>0827发15200，0831发15176，0902发4976，0903发4560，0905发9120，0908发7600</t>
    <phoneticPr fontId="1" type="noConversion"/>
  </si>
  <si>
    <t>24-6-5-6-5套，0628发6套,0706发5套，0717发5套，0724发5套，0909发3支</t>
    <phoneticPr fontId="1" type="noConversion"/>
  </si>
  <si>
    <t>6-5支,0728发5支，0909发1支</t>
    <phoneticPr fontId="1" type="noConversion"/>
  </si>
  <si>
    <t>SR171Ⅴ36后缘UD</t>
  </si>
  <si>
    <t>大连</t>
    <phoneticPr fontId="1" type="noConversion"/>
  </si>
  <si>
    <t>SR171Ⅴ后缘</t>
    <phoneticPr fontId="1" type="noConversion"/>
  </si>
  <si>
    <t>0827发15200，0831发15176，0902发4976，0903发4560，0905发9120，0908发7600，0910发9120</t>
    <phoneticPr fontId="1" type="noConversion"/>
  </si>
  <si>
    <t>0908发3050，0910发1545</t>
    <phoneticPr fontId="1" type="noConversion"/>
  </si>
  <si>
    <t>0830发3060，0831发9180，0903发7650，0908发3060，0910发3060</t>
    <phoneticPr fontId="1" type="noConversion"/>
  </si>
  <si>
    <t>4500067613</t>
    <phoneticPr fontId="1" type="noConversion"/>
  </si>
  <si>
    <t>50-16-10-10支，0902发16支，0907发10支，0911发10支</t>
    <phoneticPr fontId="1" type="noConversion"/>
  </si>
  <si>
    <t>50-8-9-10支，0825日发8套，0902发9支，0907发10支，0911发10支</t>
    <phoneticPr fontId="1" type="noConversion"/>
  </si>
  <si>
    <t>10支，0911日发10支</t>
    <phoneticPr fontId="1" type="noConversion"/>
  </si>
  <si>
    <t>75-16-18支，0904发16支，0911发18支</t>
    <phoneticPr fontId="1" type="noConversion"/>
  </si>
  <si>
    <t>0911发8316</t>
    <phoneticPr fontId="1" type="noConversion"/>
  </si>
  <si>
    <t xml:space="preserve">22-6支，0911发6支 </t>
    <phoneticPr fontId="1" type="noConversion"/>
  </si>
  <si>
    <t>330卷  50支，0901发6420，0902发6420，0904发3210，0911发7925</t>
    <phoneticPr fontId="1" type="noConversion"/>
  </si>
  <si>
    <t>52-4-8-8-8-8-8支，0808发4支，0813发8支，0817发8支,0822发8支，0902发8支，0907发8支，0912发8支</t>
    <phoneticPr fontId="1" type="noConversion"/>
  </si>
  <si>
    <t>0912发5866KG</t>
    <phoneticPr fontId="1" type="noConversion"/>
  </si>
  <si>
    <t>390卷，0812发6912，0815发6912,0818发5760，0825发6840，0827发6840，0829发6840，0907发6927，0912发6478</t>
    <phoneticPr fontId="1" type="noConversion"/>
  </si>
  <si>
    <t>56-8-8-8-8支,0802发8支,0831发8支，0904发8支，0912发8支</t>
    <phoneticPr fontId="1" type="noConversion"/>
  </si>
  <si>
    <t>22-2支，0912日发2支</t>
    <phoneticPr fontId="1" type="noConversion"/>
  </si>
  <si>
    <t>0912发15200</t>
    <phoneticPr fontId="1" type="noConversion"/>
  </si>
  <si>
    <t>0908发3050，0910发1545，0912发3090</t>
    <phoneticPr fontId="1" type="noConversion"/>
  </si>
  <si>
    <t>单轴玻纤;SR146Ⅱ28后缘；230mm*63m</t>
  </si>
  <si>
    <t>26-6支，0914发6支</t>
    <phoneticPr fontId="1" type="noConversion"/>
  </si>
  <si>
    <t>26-6-8支，0903发6支，0914发8支</t>
    <phoneticPr fontId="1" type="noConversion"/>
  </si>
  <si>
    <t>0911发8316，0914发1848</t>
    <phoneticPr fontId="1" type="noConversion"/>
  </si>
  <si>
    <t>22-5-5-5套，0827日发5支，0904发5支，0914发5支</t>
    <phoneticPr fontId="1" type="noConversion"/>
  </si>
  <si>
    <t>22-6-2支，0911发6支 ，0914发2支</t>
    <phoneticPr fontId="1" type="noConversion"/>
  </si>
  <si>
    <t>0912发15200，0914发4680</t>
    <phoneticPr fontId="1" type="noConversion"/>
  </si>
  <si>
    <t>330卷  50支，0901发6420，0902发6420，0904发3210，0911发7925，0914发6340</t>
    <phoneticPr fontId="1" type="noConversion"/>
  </si>
  <si>
    <t>56-8-8-8-8-8支,0802发8支,0831发8支，0904发8支，0912发8支，0915发8支</t>
    <phoneticPr fontId="1" type="noConversion"/>
  </si>
  <si>
    <t>75-6支，0915日发6支</t>
    <phoneticPr fontId="1" type="noConversion"/>
  </si>
  <si>
    <t>80-2-12-12-12-12-14-2-6支，0805发2支，0807发12支，0818发12支，0821发12支，0828发5240，0901发14支，0903发2支，0915日发6支</t>
    <phoneticPr fontId="1" type="noConversion"/>
  </si>
  <si>
    <t>0915发2805</t>
    <phoneticPr fontId="1" type="noConversion"/>
  </si>
  <si>
    <t>15-4-4-3支，技术要求见附件，0824发4支,0826发4支，0915发3支</t>
    <phoneticPr fontId="1" type="noConversion"/>
  </si>
  <si>
    <t>15-4-4-3支，技术要求见附件，0824发4支，0826发4支，0915发3支</t>
    <phoneticPr fontId="1" type="noConversion"/>
  </si>
  <si>
    <t>0915发935</t>
    <phoneticPr fontId="1" type="noConversion"/>
  </si>
  <si>
    <t>22-6-2-2支，0911发6支 ，0914发2支，0915发2支</t>
    <phoneticPr fontId="1" type="noConversion"/>
  </si>
  <si>
    <t>0827发15200，0831发15176，0902发4976，0903发4560，0905发9120，0908发7600，0910发9120，0915发3040</t>
    <phoneticPr fontId="1" type="noConversion"/>
  </si>
  <si>
    <t>24-4-2-3-5-6-2支，0801发4支，0803发2支,0805发3支，0806发5支,0808发6支，0821发2支，0916发2支</t>
    <phoneticPr fontId="1" type="noConversion"/>
  </si>
  <si>
    <t>75-16-18-6支，0904发16支，0911发18支，0916发6支</t>
    <phoneticPr fontId="1" type="noConversion"/>
  </si>
  <si>
    <t>0915发2805，0916发5610</t>
    <phoneticPr fontId="1" type="noConversion"/>
  </si>
  <si>
    <t>390卷，0812发6912，0815发6912,0818发5760，0825发6840，0827发6840，0829发6840，0907发6927，0912发6478，0916发6840</t>
    <phoneticPr fontId="1" type="noConversion"/>
  </si>
  <si>
    <t>50-8-9-10-4支，0825日发8套，0902发9支，0907发10支，0911发10支，0916发4支</t>
    <phoneticPr fontId="1" type="noConversion"/>
  </si>
  <si>
    <t>0916日发货6套补货，潮湿补货，责任界定为公司</t>
    <phoneticPr fontId="1" type="noConversion"/>
  </si>
  <si>
    <t>0829发3210，0831发6420，0901发6420，0916发8025</t>
    <phoneticPr fontId="1" type="noConversion"/>
  </si>
  <si>
    <t>22-6-2-2支，0911发6支 ，0914发2支，0915发2支，0916发2支</t>
    <phoneticPr fontId="1" type="noConversion"/>
  </si>
  <si>
    <t>330卷  50支，0901发6420，0902发6420，0904发3210，0911发7925，0914发6340，0916发3170</t>
    <phoneticPr fontId="1" type="noConversion"/>
  </si>
  <si>
    <t>0912发15200，0914发4680，0916发3040</t>
    <phoneticPr fontId="1" type="noConversion"/>
  </si>
  <si>
    <t>4500070315</t>
  </si>
  <si>
    <t>10支</t>
    <phoneticPr fontId="1" type="noConversion"/>
  </si>
  <si>
    <t>1支</t>
    <phoneticPr fontId="1" type="noConversion"/>
  </si>
  <si>
    <t>单轴玻纤；UDH-1215-230；WB171Ⅰ36后缘；-</t>
    <phoneticPr fontId="1" type="noConversion"/>
  </si>
  <si>
    <t>75-6-4支，0915日发6支，0917发4支</t>
    <phoneticPr fontId="1" type="noConversion"/>
  </si>
  <si>
    <t>75-16-18-6-6支，0904发16支，0911发18支，0916发6支，0917发6支</t>
    <phoneticPr fontId="1" type="noConversion"/>
  </si>
  <si>
    <t>0915发2805，0916发5610，0917发6540</t>
    <phoneticPr fontId="1" type="noConversion"/>
  </si>
  <si>
    <t>22-6-2-2-2支，0911发6支 ，0914发2支，0915发2支，0916发2支,0917发2支</t>
    <phoneticPr fontId="1" type="noConversion"/>
  </si>
  <si>
    <t>0912发15200，0914发4680，0916发3040，0917发6080</t>
    <phoneticPr fontId="1" type="noConversion"/>
  </si>
  <si>
    <t>9-3套，0818发3支,结项取消6支订单</t>
    <phoneticPr fontId="1" type="noConversion"/>
  </si>
  <si>
    <t>9-3-4套，0818发3支,0822发4支，结项取消2支订单</t>
    <phoneticPr fontId="1" type="noConversion"/>
  </si>
  <si>
    <t>28-10-6-8支，0807发10套，0821发6支，0827发8支，0918日结项减少4套</t>
    <phoneticPr fontId="1" type="noConversion"/>
  </si>
  <si>
    <t>26-6-8-7支，0903发6支，0914发8支，0918结项减少7支</t>
    <phoneticPr fontId="1" type="noConversion"/>
  </si>
  <si>
    <t>80-2-12-12-12-12-14-2-6-4支，0805发2支，0807发12支，0818发12支，0821发12支，0828发5240，0901发14支，0903发2支，0915日发6支，0918发4支</t>
    <phoneticPr fontId="1" type="noConversion"/>
  </si>
  <si>
    <t>0918日调整订单至50吨，0915发2805，0916发5610，0917发6540，0918发14960</t>
    <phoneticPr fontId="1" type="noConversion"/>
  </si>
  <si>
    <t>0911发8316，0914发1848，0918取消订单</t>
    <phoneticPr fontId="1" type="noConversion"/>
  </si>
  <si>
    <t>乌兰察布</t>
  </si>
  <si>
    <t>PS面第70卷,米长45米，0918发13KG</t>
    <phoneticPr fontId="1" type="noConversion"/>
  </si>
  <si>
    <t>22-6-2-2-2-6支，0911发6支 ，0914发2支，0915发2支，0916发2支,0917发2支，0918发6支</t>
    <phoneticPr fontId="1" type="noConversion"/>
  </si>
  <si>
    <t>0918发3090</t>
    <phoneticPr fontId="1" type="noConversion"/>
  </si>
  <si>
    <t>0912发15200，0914发4680，0916发3040，0917发6080，0918发6080</t>
    <phoneticPr fontId="1" type="noConversion"/>
  </si>
  <si>
    <t>18-3支.0919发3支</t>
    <phoneticPr fontId="1" type="noConversion"/>
  </si>
  <si>
    <t>每卷长度63米，需求18卷（布卷编号：PS-A2)，0919发320KG</t>
    <phoneticPr fontId="1" type="noConversion"/>
  </si>
  <si>
    <t>56-8-8-8-8-8-8支,0802发8支,0831发8支，0904发8支，0912发8支，0915发8支，0919发8支</t>
    <phoneticPr fontId="1" type="noConversion"/>
  </si>
  <si>
    <t>60-8-8-12-4-8-8-8支，0717日发8支,0721发8支，0724发12支,0728发4支，0807发8支，0817发8支，0818发8支,0919日取消订单，客户结项</t>
    <phoneticPr fontId="1" type="noConversion"/>
  </si>
  <si>
    <t>56-8-8-8-8-8-8支,0802发8支,0831发8支，0904发8支，0912发8支，0915发8支，0919发8支，0919日取消订单，客户结项</t>
    <phoneticPr fontId="1" type="noConversion"/>
  </si>
  <si>
    <t>60卷，可以分批次发货，0802发2949.1，0831发2907.8，0919日取消订单</t>
    <phoneticPr fontId="1" type="noConversion"/>
  </si>
  <si>
    <t>390卷，0812发6912，0815发6912,0818发5760，0825发6840，0827发6840，0829发6840，0907发6927，0912发6478，0916发6840，0919日取消订单12050KG，客户即将结项</t>
    <phoneticPr fontId="1" type="noConversion"/>
  </si>
  <si>
    <t>46-12-3支，0919日结项通知还需要交34套+ss1+ss2+ps1，0919日发3支</t>
    <phoneticPr fontId="1" type="noConversion"/>
  </si>
  <si>
    <t>46-12-3支，0919日结项通知还需要交34套，0919发3支</t>
    <phoneticPr fontId="1" type="noConversion"/>
  </si>
  <si>
    <t>0912发15200，0914发4680，0916发3040，0917发6080，0918发6080，0919发12160</t>
    <phoneticPr fontId="1" type="noConversion"/>
  </si>
  <si>
    <t>330卷  50支，0901发6420，0902发6420，0904发3210，0911发7925，0914发6340，0916发3170，0919发12680</t>
    <phoneticPr fontId="1" type="noConversion"/>
  </si>
  <si>
    <t>75-6-4-3支，0915日发6支，0917发4支,0919发3支</t>
    <phoneticPr fontId="1" type="noConversion"/>
  </si>
  <si>
    <t>15-4-4-3支，技术要求见附件，0824发4支,0826发4支，0915发3支，该叶型乌兰察布停止生产，取消订单</t>
    <phoneticPr fontId="1" type="noConversion"/>
  </si>
  <si>
    <t>15-4-4-3支，技术要求见附件，0824发4支，0826发4支，0915发3支，该叶型乌兰察布停止生产，取消订单</t>
    <phoneticPr fontId="1" type="noConversion"/>
  </si>
  <si>
    <t>18-4支.0919发4支</t>
    <phoneticPr fontId="1" type="noConversion"/>
  </si>
  <si>
    <t>492卷，0919发12374.4</t>
    <phoneticPr fontId="1" type="noConversion"/>
  </si>
  <si>
    <t>330卷  50支，0901发6420，0902发6420，0904发3210，0911发7925，0914发6340，0916发3170，0919发12680，0920发3170</t>
    <phoneticPr fontId="1" type="noConversion"/>
  </si>
  <si>
    <t>4500067613</t>
    <phoneticPr fontId="1" type="noConversion"/>
  </si>
  <si>
    <t>31-3支，消耗张家口库存，0921日发3套</t>
    <phoneticPr fontId="1" type="noConversion"/>
  </si>
  <si>
    <t>46-12-3-2支，0919日结项通知还需要交34套+ss1+ss2+ps1，0919发3支，0921发2支</t>
    <phoneticPr fontId="1" type="noConversion"/>
  </si>
  <si>
    <t>46-12-3-2支，0919日结项通知还需要交34套，0919日发3支，0921发2支</t>
    <phoneticPr fontId="1" type="noConversion"/>
  </si>
  <si>
    <t>22-6-2-2-2-6支，0911发6支 ，0914发2支，0915发2支，0916发2支,0917发2支，0918发6支，0921发2支</t>
    <phoneticPr fontId="1" type="noConversion"/>
  </si>
  <si>
    <t>0829发3210，0831发6420，0901发6420，0916发8025，0921发1605</t>
    <phoneticPr fontId="1" type="noConversion"/>
  </si>
  <si>
    <t>75-16-18-6-6-10支，0904发16支，0911发18支，0916发6支，0917发6支，0921发10支</t>
    <phoneticPr fontId="1" type="noConversion"/>
  </si>
  <si>
    <t>75-6-4-3-4支，0915日发6支，0917发4支,0919发3支，0921发4支</t>
    <phoneticPr fontId="1" type="noConversion"/>
  </si>
  <si>
    <t>0918日调整订单至50吨，0915发2805，0916发5610，0917发6540，0918发14960，0921发4675</t>
    <phoneticPr fontId="1" type="noConversion"/>
  </si>
  <si>
    <t>31-3支，消耗张家口库存，0921日发3套,0922日发9套</t>
    <phoneticPr fontId="1" type="noConversion"/>
  </si>
  <si>
    <t>Location</t>
  </si>
  <si>
    <t>大丰</t>
  </si>
  <si>
    <t>75-6-4-3-4-3支，0915日发6支，0917发4支,0919发3支，0921发4支，0922发3支</t>
    <phoneticPr fontId="1" type="noConversion"/>
  </si>
  <si>
    <t>26-6-7-6支，0914发6支，0918日结项减少7套，0922日发6支</t>
    <phoneticPr fontId="1" type="noConversion"/>
  </si>
  <si>
    <t>单轴玻纤；UDH-1250-550；SR120Ⅲ23大梁；-</t>
    <phoneticPr fontId="1" type="noConversion"/>
  </si>
  <si>
    <t>30-2支，0922发2支</t>
    <phoneticPr fontId="1" type="noConversion"/>
  </si>
  <si>
    <t>0912发15200，0914发4680，0916发3040，0917发6080，0918发6080，0919发12160，0922发9120</t>
    <phoneticPr fontId="1" type="noConversion"/>
  </si>
  <si>
    <t>0829发3210，0831发6420，0901发6420，0916发8025，0921发1605，0922发4815</t>
    <phoneticPr fontId="1" type="noConversion"/>
  </si>
  <si>
    <t>0918发3090，0922发1545</t>
    <phoneticPr fontId="1" type="noConversion"/>
  </si>
  <si>
    <t>75-6-4-3-4-3-3支，0915日发6支，0917发4支,0919发3支，0921发4支，0922发3支，0923发3支</t>
    <phoneticPr fontId="1" type="noConversion"/>
  </si>
  <si>
    <t>30-2-2支，0922发2支，0923发2支</t>
    <phoneticPr fontId="1" type="noConversion"/>
  </si>
  <si>
    <t>30-2支，0923日发2支</t>
    <phoneticPr fontId="1" type="noConversion"/>
  </si>
  <si>
    <t>304卷  50支，0923发10640</t>
    <phoneticPr fontId="1" type="noConversion"/>
  </si>
  <si>
    <t>0829发3210，0831发6420，0901发6420，0916发8025，0921发1605，0922发4815，0923发4815</t>
    <phoneticPr fontId="1" type="noConversion"/>
  </si>
  <si>
    <t>330卷  50支，0901发6420，0902发6420，0904发3210，0911发7925，0914发6340，0916发3170，0919发12680，0920发3170，0923发7925</t>
    <phoneticPr fontId="1" type="noConversion"/>
  </si>
  <si>
    <t>492卷，0919发12374.4，0923发11343.2</t>
    <phoneticPr fontId="1" type="noConversion"/>
  </si>
  <si>
    <t>46-12-3-2-3支，0919日结项通知还需要交34套，0919日发3支，0921发2支，0923发3支</t>
    <phoneticPr fontId="1" type="noConversion"/>
  </si>
  <si>
    <t>46-12-3-2-3支，0919日结项通知还需要交34套+ss1+ss2+ps1，0919发3支，0921发2支，0923发3支</t>
    <phoneticPr fontId="1" type="noConversion"/>
  </si>
  <si>
    <t>46-12-3-2-3-4支，0919日结项通知还需要交34套，0919日发3支，0921发2支，0923发3支,0924发4支</t>
    <phoneticPr fontId="1" type="noConversion"/>
  </si>
  <si>
    <t>46-12-3-2-3-4支，0919日结项通知还需要交34套+ss1+ss2+ps1，0919发3支，0921发2支，0923发3支，0924发4支</t>
    <phoneticPr fontId="1" type="noConversion"/>
  </si>
  <si>
    <t>15-5支，技术要求见附件，0820发5支，0924日电话取消订单</t>
    <phoneticPr fontId="1" type="noConversion"/>
  </si>
  <si>
    <t>12支，0924日电话取消订单</t>
    <phoneticPr fontId="1" type="noConversion"/>
  </si>
  <si>
    <t>33支，0924日电话取消订单</t>
    <phoneticPr fontId="1" type="noConversion"/>
  </si>
  <si>
    <t>48-4-4分批次到货，8月底至少到货12套,0824发4套，0827发4套，0924日电话取消订单</t>
    <phoneticPr fontId="1" type="noConversion"/>
  </si>
  <si>
    <t>22-5-5-5-5套，0827日发5支，0904发5支，0914发5支，0924发5支</t>
    <phoneticPr fontId="1" type="noConversion"/>
  </si>
  <si>
    <t>30-2-2支，0923日发2支，0924发2支</t>
    <phoneticPr fontId="1" type="noConversion"/>
  </si>
  <si>
    <t>304卷  50支，0923发10640，0924发6080</t>
    <phoneticPr fontId="1" type="noConversion"/>
  </si>
  <si>
    <t>单轴玻纤；UDH-1250-600；GW140Ⅰ28（68.6D）大梁；-</t>
  </si>
  <si>
    <t>腹板套裁；-；2.5-SR146Ⅱ28；-</t>
  </si>
  <si>
    <t>壳体套裁；-；2.5-SR146Ⅱ28；-</t>
  </si>
  <si>
    <t>单轴玻纤；UDH-1215-230；GW171Ⅰ36后缘；-</t>
    <phoneticPr fontId="1" type="noConversion"/>
  </si>
  <si>
    <t>4支</t>
    <phoneticPr fontId="1" type="noConversion"/>
  </si>
  <si>
    <t>腹板套裁；-；2.5-SR146Ⅱ28；-</t>
    <phoneticPr fontId="1" type="noConversion"/>
  </si>
  <si>
    <t>SR146Ⅱ腹板套裁</t>
    <phoneticPr fontId="1" type="noConversion"/>
  </si>
  <si>
    <t>SR146Ⅱ壳体套裁</t>
    <phoneticPr fontId="1" type="noConversion"/>
  </si>
  <si>
    <t>304卷  50支，0923发10640，0924发6080，0925发9120</t>
    <phoneticPr fontId="1" type="noConversion"/>
  </si>
  <si>
    <t>一共5卷，每卷长度100米，0925日发货</t>
    <phoneticPr fontId="1" type="noConversion"/>
  </si>
  <si>
    <t>18-13支 ,0926发13支</t>
    <phoneticPr fontId="1" type="noConversion"/>
  </si>
  <si>
    <t>18-4-4支.0919发4支,0926发4支</t>
    <phoneticPr fontId="1" type="noConversion"/>
  </si>
  <si>
    <t>18-3-4支.0919发3支，0926发4支</t>
    <phoneticPr fontId="1" type="noConversion"/>
  </si>
  <si>
    <t>492卷，0919发12374.4，0923发11343.2，0926发12374.4</t>
    <phoneticPr fontId="1" type="noConversion"/>
  </si>
  <si>
    <t>75-6-4-3-4-3-3-3支，0915日发6支，0917发4支,0919发3支，0921发4支，0922发3支，0923发3支,0926发3支</t>
    <phoneticPr fontId="1" type="noConversion"/>
  </si>
  <si>
    <t>46-12-3-2-3-4-2支，0919日结项通知还需要交34套，0919日发3支，0921发2支，0923发3支,0924发4支，0926发2支</t>
    <phoneticPr fontId="1" type="noConversion"/>
  </si>
  <si>
    <t>46-12-3-2-3-4-2支，0919日结项通知还需要交34套+ss1+ss2+ps1，0919发3支，0921发2支，0923发3支，0924发4支，0926发2支</t>
    <phoneticPr fontId="1" type="noConversion"/>
  </si>
  <si>
    <t>31-3-9-2支，消耗张家口库存，0921日发3套,0922日发9套,0926发2支</t>
    <phoneticPr fontId="1" type="noConversion"/>
  </si>
  <si>
    <t>390卷，0812发6912，0815发6912,0818发5760，0825发6840，0827发6840，0829发6840，0907发6927，0912发6478，0916发6840，0919日取消订单12050KG，客户即将结项,还需要交10卷，0926交10卷</t>
    <phoneticPr fontId="1" type="noConversion"/>
  </si>
  <si>
    <t>330卷  50支，0901发6420，0902发6420，0904发3210，0911发7925，0914发6340，0916发3170，0919发12680，0920发3170，0923发7925，0926发11095</t>
    <phoneticPr fontId="1" type="noConversion"/>
  </si>
  <si>
    <t>24-3套，0926发3支</t>
    <phoneticPr fontId="1" type="noConversion"/>
  </si>
  <si>
    <t>46-12-3-2-3-4-2-2支，0919日结项通知还需要交34套，0919日发3支，0921发2支，0923发3支,0924发4支，0926发2支,0927发2支</t>
    <phoneticPr fontId="1" type="noConversion"/>
  </si>
  <si>
    <t>46-12-3-2-3-4-2-2支，0919日结项通知还需要交34套+ss1+ss2+ps1，0919发3支，0921发2支，0923发3支，0924发4支，0926发2支，0927发2支</t>
    <phoneticPr fontId="1" type="noConversion"/>
  </si>
  <si>
    <t>31-3-9-2-3支，消耗张家口库存，0921日发3套,0922日发9套,0926发2支，0927发3支</t>
    <phoneticPr fontId="1" type="noConversion"/>
  </si>
  <si>
    <t>26-6-7-6+6-6支，0914发6支，0918日结项减少7套，0922日发6支，0924日微信群增加6套，0926发6支</t>
    <phoneticPr fontId="1" type="noConversion"/>
  </si>
  <si>
    <t>75-6-4-3-4-3-3-3-3支，0915日发6支，0917发4支,0919发3支，0921发4支，0922发3支，0923发3支,0926发3支，0927发3支</t>
    <phoneticPr fontId="1" type="noConversion"/>
  </si>
  <si>
    <t>1套，布卷组合见附件，0927日发货1支</t>
    <phoneticPr fontId="1" type="noConversion"/>
  </si>
  <si>
    <t>24-3-4套，0926发3支,0927发4支</t>
    <phoneticPr fontId="1" type="noConversion"/>
  </si>
  <si>
    <t>24-3-4套，0926发3支，0927发4支</t>
    <phoneticPr fontId="1" type="noConversion"/>
  </si>
  <si>
    <t>0927发3135</t>
    <phoneticPr fontId="1" type="noConversion"/>
  </si>
  <si>
    <t>0918发3090，0922发1545，0927发4635</t>
    <phoneticPr fontId="1" type="noConversion"/>
  </si>
  <si>
    <t>0829发3210，0831发6420，0901发6420，0916发8025，0921发1605，0922发4815，0923发4815，0927发9630</t>
    <phoneticPr fontId="1" type="noConversion"/>
  </si>
  <si>
    <t>80-2-12-12-12-12-14-2-6-4支，0805发2支，0807发12支，0818发12支，0821发12支，0828发5240，0901发14支，0903发2支，0915日发6支，0918发4支，0928发4支</t>
    <phoneticPr fontId="1" type="noConversion"/>
  </si>
  <si>
    <t>26-6-8-7+6支，0903发6支，0914发8支，0918结项减少7支，0924微信群增加6套，0928发11支</t>
    <phoneticPr fontId="1" type="noConversion"/>
  </si>
  <si>
    <t>75-16-18-6-6-10-10支，0904发16支，0911发18支，0916发6支，0917发6支，0921发10支，0928发10支</t>
    <phoneticPr fontId="1" type="noConversion"/>
  </si>
  <si>
    <t>75-6-4-3-4-3-3-3-3-2支，0915日发6支，0917发4支,0919发3支，0921发4支，0922发3支，0923发3支,0926发3支，0927发3支，0928发2支</t>
    <phoneticPr fontId="1" type="noConversion"/>
  </si>
  <si>
    <t>31-3-9-2-3-1支，消耗张家口库存，0921日发3套,0922日发9套,0926发2支，0927发3支，0928发1支</t>
    <phoneticPr fontId="1" type="noConversion"/>
  </si>
  <si>
    <t>46-12-3-2-3-4-2-2-6支，0919日结项通知还需要交34套+ss1+ss2+ps1，0919发3支，0921发2支，0923发3支，0924发4支，0926发2支，0927发2支，0928发6支</t>
    <phoneticPr fontId="1" type="noConversion"/>
  </si>
  <si>
    <t>18-4-4-4支.0919发4支,0926发4支，0928发4支</t>
    <phoneticPr fontId="1" type="noConversion"/>
  </si>
  <si>
    <t>18-3-4-5支.0919发3支，0926发4支，0928发5支</t>
    <phoneticPr fontId="1" type="noConversion"/>
  </si>
  <si>
    <t>0927发3135，0928发6120</t>
    <phoneticPr fontId="1" type="noConversion"/>
  </si>
  <si>
    <t>0829发3210，0831发6420，0901发6420，0916发8025，0921发1605，0922发4815，0923发4815，0927发9630，0928发6420</t>
    <phoneticPr fontId="1" type="noConversion"/>
  </si>
  <si>
    <t>24-3-4-4套，0926发3支,0927发4支,0928发4支</t>
    <phoneticPr fontId="1" type="noConversion"/>
  </si>
  <si>
    <t>24-3-4-4套，0926发3支，0927发4支，0928发4支</t>
    <phoneticPr fontId="1" type="noConversion"/>
  </si>
  <si>
    <t>30-2-2-2支，0922发2支，0923发2支，0929发2支</t>
    <phoneticPr fontId="1" type="noConversion"/>
  </si>
  <si>
    <t>30-2-2-3支，0923日发2支，0924发2支，0929发3支</t>
    <phoneticPr fontId="1" type="noConversion"/>
  </si>
  <si>
    <t>0927发3135，0928发6120，0929发6120</t>
    <phoneticPr fontId="1" type="noConversion"/>
  </si>
  <si>
    <t>0829发3210，0831发6420，0901发6420，0916发8025，0921发1605，0922发4815，0923发4815，0927发9630，0928发6420，0929发8025</t>
    <phoneticPr fontId="1" type="noConversion"/>
  </si>
  <si>
    <t>24-3-4-4-1套，0926发3支,0927发4支,0928发4支，0929发1支</t>
    <phoneticPr fontId="1" type="noConversion"/>
  </si>
  <si>
    <t>24-3-4-4-1套，0926发3支，0927发4支，0928发4支，0929发1支</t>
    <phoneticPr fontId="1" type="noConversion"/>
  </si>
  <si>
    <t>56-50支，取消订单50支，0929日发6支</t>
    <phoneticPr fontId="1" type="noConversion"/>
  </si>
  <si>
    <t>46-12-3-2-3-4-2-2-8支，0919日结项通知还需要交34套，0919日发3支，0921发2支，0923发3支,0924发4支，0926发2支,0927发2支,0929发8支</t>
    <phoneticPr fontId="1" type="noConversion"/>
  </si>
  <si>
    <t>46-12-3-2-3-4-2-2-6-2支，0919日结项通知还需要交34套+ss1+ss2+ps1，0919发3支，0921发2支，0923发3支，0924发4支，0926发2支，0927发2支，0928发6支，0929发2支</t>
    <phoneticPr fontId="1" type="noConversion"/>
  </si>
  <si>
    <t>31-3-9-2-3-1-2支，消耗张家口库存，0921日发3套,0922日发9套,0926发2支，0927发3支，0928发1支，0929发2支</t>
    <phoneticPr fontId="1" type="noConversion"/>
  </si>
  <si>
    <t>50-8-9-10-4支，0825日发8套，0902发9支，0907发10支，0911发10支，0916发4支，0930发9套</t>
    <phoneticPr fontId="1" type="noConversion"/>
  </si>
  <si>
    <t>18-13-1支 ,0926发13支，0930发1支</t>
    <phoneticPr fontId="1" type="noConversion"/>
  </si>
  <si>
    <t>50-16-10-10支，0902发16支，0907发10支，0911发10支，0916发8支，0930发6支</t>
    <phoneticPr fontId="1" type="noConversion"/>
  </si>
  <si>
    <t>18-8支，0930发8支</t>
    <phoneticPr fontId="1" type="noConversion"/>
  </si>
  <si>
    <t>30-2-2-3-2支，0923日发2支，0924发2支，0929发3支，1003发2支</t>
    <phoneticPr fontId="1" type="noConversion"/>
  </si>
  <si>
    <t>0918发3090，0922发1545，0927发4635.1003发4665</t>
    <phoneticPr fontId="1" type="noConversion"/>
  </si>
  <si>
    <t>10-5套.1003发5支</t>
    <phoneticPr fontId="1" type="noConversion"/>
  </si>
  <si>
    <t>30-2-2-2-4支，0922发2支，0923发2支，0929发2支，1003发4支</t>
    <phoneticPr fontId="1" type="noConversion"/>
  </si>
  <si>
    <t>0829发3210，0831发6420，0901发6420，0916发8025，0921发1605，0922发4815，0923发4815，0927发9630，0928发6420，0929发8025，1003发2889</t>
    <phoneticPr fontId="1" type="noConversion"/>
  </si>
  <si>
    <t>SR146-Ⅱ套裁</t>
    <phoneticPr fontId="1" type="noConversion"/>
  </si>
  <si>
    <t>SR146-Ⅰ叶型</t>
  </si>
  <si>
    <t>SR146-Ⅰ叶型</t>
    <phoneticPr fontId="1" type="noConversion"/>
  </si>
  <si>
    <t>三轴玻纤；3AX9060-1500-0339-H；2540mm×100m；-</t>
    <phoneticPr fontId="1" type="noConversion"/>
  </si>
  <si>
    <t>简称</t>
    <phoneticPr fontId="1" type="noConversion"/>
  </si>
  <si>
    <t>BX600-2.54-100</t>
  </si>
  <si>
    <t>BX600-2.54-100</t>
    <phoneticPr fontId="1" type="noConversion"/>
  </si>
  <si>
    <t>BX800-2.54-100</t>
  </si>
  <si>
    <t>BX800-2.54-100</t>
    <phoneticPr fontId="1" type="noConversion"/>
  </si>
  <si>
    <t>TLX1215-2.54-100</t>
  </si>
  <si>
    <t>TLX1215-2.54-100</t>
    <phoneticPr fontId="1" type="noConversion"/>
  </si>
  <si>
    <t>TTX1250(60)-2.54-100</t>
  </si>
  <si>
    <t>TTX1250(60)-2.54-100</t>
    <phoneticPr fontId="1" type="noConversion"/>
  </si>
  <si>
    <t>TTX1215(45)-2.54-100</t>
  </si>
  <si>
    <t>TTX1215(45)-2.54-100</t>
    <phoneticPr fontId="1" type="noConversion"/>
  </si>
  <si>
    <t>TXL1215-2.54-100</t>
    <phoneticPr fontId="1" type="noConversion"/>
  </si>
  <si>
    <t>TTX1250(45)-2.54-100</t>
  </si>
  <si>
    <t>TTX1250(45)-2.54-100</t>
    <phoneticPr fontId="1" type="noConversion"/>
  </si>
  <si>
    <t>TLX1250-2.54-100</t>
  </si>
  <si>
    <t>TLX1250-2.54-100</t>
    <phoneticPr fontId="1" type="noConversion"/>
  </si>
  <si>
    <t>TTX1500H-2.54-100</t>
  </si>
  <si>
    <t>TTX1500H-2.54-100</t>
    <phoneticPr fontId="1" type="noConversion"/>
  </si>
  <si>
    <t>SR146-II叶型</t>
    <phoneticPr fontId="1" type="noConversion"/>
  </si>
  <si>
    <t>求和项:单支叶片定额数量</t>
  </si>
  <si>
    <t>30-2-2-3-2-2支，0923日发2支，0924发2支，0929发3支，1003发2支，1004发2支</t>
    <phoneticPr fontId="1" type="noConversion"/>
  </si>
  <si>
    <t>0927发3135，0928发6120，0929发6120，1004发7650</t>
    <phoneticPr fontId="1" type="noConversion"/>
  </si>
  <si>
    <t>330卷  50支，0901发6420，0902发6420，0904发3210，0911发7925，0914发6340，0916发3170，0919发12680，0920发3170，0923发7925，0926发11095，1004发7925</t>
    <phoneticPr fontId="1" type="noConversion"/>
  </si>
  <si>
    <t>0829发3210，0831发6420，0901发6420，0916发8025，0921发1605，0922发4815，0923发4815，0927发9630，0928发6420，0929发8025，1003发2889，1004发3220</t>
    <phoneticPr fontId="1" type="noConversion"/>
  </si>
  <si>
    <t>65-3-3-1-5-2-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</t>
    <phoneticPr fontId="1" type="noConversion"/>
  </si>
  <si>
    <t>88-4-6-5-2-2-2-2-2-2-2-2-2-6-2-2-2-2-2-2-2-2-2-2-4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</t>
    <phoneticPr fontId="1" type="noConversion"/>
  </si>
  <si>
    <t>27-10支，1005发10支</t>
    <phoneticPr fontId="1" type="noConversion"/>
  </si>
  <si>
    <t>75-6-4-3-4-3-3-3-3-2-10支，0915日发6支，0917发4支,0919发3支，0921发4支，0922发3支，0923发3支,0926发3支，0927发3支，0928发2支,1005发10支</t>
    <phoneticPr fontId="1" type="noConversion"/>
  </si>
  <si>
    <t>26-6-7-6+6-6-2支，0914发6支，0918日结项减少7套，0922日发6支，0924日微信群增加6套，0926发6支，1005发2支</t>
    <phoneticPr fontId="1" type="noConversion"/>
  </si>
  <si>
    <t>492卷，0919发12374.4，0923发11343.2，0926发12374.4，1005发12372</t>
    <phoneticPr fontId="1" type="noConversion"/>
  </si>
  <si>
    <t>304卷  50支，0923发10640，0924发6080，0925发9120，1005发4560</t>
    <phoneticPr fontId="1" type="noConversion"/>
  </si>
  <si>
    <t>30-2-2-2-4-4支，0922发2支，0923发2支，0929发2支，1003发4支，1005发4支</t>
    <phoneticPr fontId="1" type="noConversion"/>
  </si>
  <si>
    <t>88-4-6-5-2-2-2-2-2-2-2-2-2-6-2-2-2-2-2-2-2-2-2-2-4-4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</t>
    <phoneticPr fontId="1" type="noConversion"/>
  </si>
  <si>
    <t>30-2-2-3-2-2-2支，0923日发2支，0924发2支，0929发3支，1003发2支，1004发2支，1005发2支</t>
    <phoneticPr fontId="1" type="noConversion"/>
  </si>
  <si>
    <t>65-3-3-1-5-2-2-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</t>
    <phoneticPr fontId="1" type="noConversion"/>
  </si>
  <si>
    <t>16-8支，0821日发8支，0825发8支</t>
    <phoneticPr fontId="1" type="noConversion"/>
  </si>
  <si>
    <t>54-10-16-10-16支，0809发10支，0813发16支，0818发10支，0825发16支</t>
    <phoneticPr fontId="1" type="noConversion"/>
  </si>
  <si>
    <t>54-10-16-10-16支，0809发10支，0813发16支，0818发10支，0825发16支,0911日发2支</t>
    <phoneticPr fontId="1" type="noConversion"/>
  </si>
  <si>
    <t>48-3-3-2-3-2支，0811发3支，0817发3支，0818发2支，0819发3支，0825发2支</t>
    <phoneticPr fontId="1" type="noConversion"/>
  </si>
  <si>
    <t>48-3-3-2-3支，0811发3支，0817发3支，0818发2支，0819发3支，0825发2支</t>
    <phoneticPr fontId="1" type="noConversion"/>
  </si>
  <si>
    <t>390卷，0812发6912，0815发6912,0818发5760，0825发6840</t>
    <phoneticPr fontId="1" type="noConversion"/>
  </si>
  <si>
    <t>48-3-3-2-3-2-3支，0811发3支，0817发3支，0818发2支，0819发3支，0825发2支,0826发3支</t>
    <phoneticPr fontId="1" type="noConversion"/>
  </si>
  <si>
    <t>48-3-3-2-3-3支，0811发3支，0817发3支，0818发2支，0819发3支，0825发2支，0826发3支</t>
    <phoneticPr fontId="1" type="noConversion"/>
  </si>
  <si>
    <t>48-3-3-2-3-2-3-2支，0811发3支，0817发3支，0818发2支，0819发3支，0825发2支,0826发3支,0827发2支</t>
    <phoneticPr fontId="1" type="noConversion"/>
  </si>
  <si>
    <t>48-3-3-2-3-2-3-2支，0811发3支，0817发3支，0818发2支，0819发3支，0825发2支，0826发3支，0827发2支</t>
    <phoneticPr fontId="1" type="noConversion"/>
  </si>
  <si>
    <t>390卷，0812发6912，0815发6912,0818发5760，0825发6840，0827发6840</t>
    <phoneticPr fontId="1" type="noConversion"/>
  </si>
  <si>
    <t>48-3-3-2-3-2-3-2-3支，0811发3支，0817发3支，0818发2支，0819发3支，0825发2支,0826发3支,0827发2支，0828发3支</t>
    <phoneticPr fontId="1" type="noConversion"/>
  </si>
  <si>
    <t>48-3-3-2-3-2-3-2-3支，0811发3支，0817发3支，0818发2支，0819发3支，0825发2支，0826发3支，0827发2支，0828发3支</t>
    <phoneticPr fontId="1" type="noConversion"/>
  </si>
  <si>
    <t>48-3-3-2-3-2-3-2-3-2支，0811发3支，0817发3支，0818发2支，0819发3支，0825发2支,0826发3支,0827发2支，0828发3支，0829发2支</t>
    <phoneticPr fontId="1" type="noConversion"/>
  </si>
  <si>
    <t>48-3-3-2-3-2-3-2-3支，0811发3支，0817发3支，0818发2支，0819发3支，0825发2支，0826发3支，0827发2支，0828发3支，0829发2支</t>
    <phoneticPr fontId="1" type="noConversion"/>
  </si>
  <si>
    <t>390卷，0812发6912，0815发6912,0818发5760，0825发6840，0827发6840，0829发6840</t>
    <phoneticPr fontId="1" type="noConversion"/>
  </si>
  <si>
    <t>48-3-3-2-3-2-3-2-3-2-3支，0811发3支，0817发3支，0818发2支，0819发3支，0825发2支,0826发3支,0827发2支，0828发3支，0829发2支，0831发3支</t>
    <phoneticPr fontId="1" type="noConversion"/>
  </si>
  <si>
    <t>48-3-3-2-3-2-3-2-3-2-3支，0811发3支，0817发3支，0818发2支，0819发3支，0825发2支，0826发3支，0827发2支，0828发3支，0829发2支，0831发3支</t>
    <phoneticPr fontId="1" type="noConversion"/>
  </si>
  <si>
    <t>48-3-3-2-3-2-3-2-3-2-3-4支，0811发3支，0817发3支，0818发2支，0819发3支，0825发2支,0826发3支,0827发2支，0828发3支，0829发2支，0831发3支，0902发4支</t>
    <phoneticPr fontId="1" type="noConversion"/>
  </si>
  <si>
    <t>48-3-3-2-3-2-3-2-3-2-3-4支，0811发3支，0817发3支，0818发2支，0819发3支，0825发2支，0826发3支，0827发2支，0828发3支，0829发2支，0831发3支，0902发4支</t>
    <phoneticPr fontId="1" type="noConversion"/>
  </si>
  <si>
    <t>48-3-3-2-3-2-3-2-3-2-3-4-3支，0811发3支，0817发3支，0818发2支，0819发3支，0825发2支,0826发3支,0827发2支，0828发3支，0829发2支，0831发3支，0902发4支，0905发3支</t>
    <phoneticPr fontId="1" type="noConversion"/>
  </si>
  <si>
    <t>48-3-3-2-3-2-3-2-3-2-3-4-3支，0811发3支，0817发3支，0818发2支，0819发3支，0825发2支，0826发3支，0827发2支，0828发3支，0829发2支，0831发3支，0902发4支，0905发3支</t>
    <phoneticPr fontId="1" type="noConversion"/>
  </si>
  <si>
    <t>48-3-3-2-3-2-3-2-3-2-3-4-3-3支，0811发3支，0817发3支，0818发2支，0819发3支，0825发2支,0826发3支,0827发2支，0828发3支，0829发2支，0831发3支，0902发4支，0905发3支,0906发3支</t>
    <phoneticPr fontId="1" type="noConversion"/>
  </si>
  <si>
    <t>48-3-3-2-3-2-3-2-3-2-3-4-3-3支，0811发3支，0817发3支，0818发2支，0819发3支，0825发2支，0826发3支，0827发2支，0828发3支，0829发2支，0831发3支，0902发4支，0905发3支，0906发3支</t>
    <phoneticPr fontId="1" type="noConversion"/>
  </si>
  <si>
    <t>390卷，0812发6912，0815发6912,0818发5760，0825发6840，0827发6840，0829发6840，0907发6927</t>
    <phoneticPr fontId="1" type="noConversion"/>
  </si>
  <si>
    <t>48-3-3-2-3-2-3-2-3-2-3-4-3-3-2-2支，0811发3支，0817发3支，0818发2支，0819发3支，0825发2支,0826发3支,0827发2支，0828发3支，0829发2支，0831发3支，0902发4支，0905发3支,0906发3支，0907发2支，0912发2支</t>
    <phoneticPr fontId="1" type="noConversion"/>
  </si>
  <si>
    <t>48-3-3-2-3-2-3-2-3-2-3-4-3-3-2-2支，0811发3支，0817发3支，0818发2支，0819发3支，0825发2支，0826发3支，0827发2支，0828发3支，0829发2支，0831发3支，0902发4支，0905发3支，0906发3支，0907发2支，0912发2支</t>
    <phoneticPr fontId="1" type="noConversion"/>
  </si>
  <si>
    <t>48-3-3-2-3-2-3-2-3-2-3-4-3-3-2-2-3支，0811发3支，0817发3支，0818发2支，0819发3支，0825发2支,0826发3支,0827发2支，0828发3支，0829发2支，0831发3支，0902发4支，0905发3支,0906发3支，0907发2支，0912发2支，0915发3支</t>
    <phoneticPr fontId="1" type="noConversion"/>
  </si>
  <si>
    <t>48-3-3-2-3-2-3-2-3-2-3-4-3-3-2-2-3支，0811发3支，0817发3支，0818发2支，0819发3支，0825发2支，0826发3支，0827发2支，0828发3支，0829发2支，0831发3支，0902发4支，0905发3支，0906发3支，0907发2支，0912发2支，0915发3支</t>
    <phoneticPr fontId="1" type="noConversion"/>
  </si>
  <si>
    <t>48-3-3-2-3-2-3-2-3-2-3-4-3-3-2-2-3支，0811发3支，0817发3支，0818发2支，0819发3支，0825发2支,0826发3支,0827发2支，0828发3支，0829发2支，0831发3支，0902发4支，0905发3支,0906发3支，0907发2支，0912发2支，0915发3支，0916发5支</t>
    <phoneticPr fontId="1" type="noConversion"/>
  </si>
  <si>
    <t>48-3-3-2-3-2-3-2-3-2-3-4-3-3-2-2-3支，0811发3支，0817发3支，0818发2支，0819发3支，0825发2支，0826发3支，0827发2支，0828发3支，0829发2支，0831发3支，0902发4支，0905发3支，0906发3支，0907发2支，0912发2支，0915发3支，0916发5支</t>
    <phoneticPr fontId="1" type="noConversion"/>
  </si>
  <si>
    <t>12-1-5支，0605日发1支，0608日发5支，0609发5支，0628日发1支</t>
    <phoneticPr fontId="1" type="noConversion"/>
  </si>
  <si>
    <t>24-6-5-5套，0628发6套,0706发5套，0717发5套</t>
    <phoneticPr fontId="1" type="noConversion"/>
  </si>
  <si>
    <t>24-6-5-5-5套，0628发6套,0706发5套，0717发5套，0724发5套</t>
    <phoneticPr fontId="1" type="noConversion"/>
  </si>
  <si>
    <t>36-5-5-5-5支，0730发5支，0731发5支，0812发5支,0821发5支</t>
    <phoneticPr fontId="1" type="noConversion"/>
  </si>
  <si>
    <t>36-5-5-5-5-5支，0730发5支，0731发5支，0812发5支,0821发5支，0826日发5支，该订单客户原先下单50支</t>
    <phoneticPr fontId="1" type="noConversion"/>
  </si>
  <si>
    <t>36-5-5-5-5-5-5支，0730发5支，0731发5支，0812发5支,0821发5支，0826日发5支，该订单客户原先下单50支,0903发5支</t>
    <phoneticPr fontId="1" type="noConversion"/>
  </si>
  <si>
    <t>36-5-5-5-5-5-5支，0730发5支，0731发5支，0812发5支,0821发5支，0826日发5支，该订单客户原先下单50支,0903发5支，0918发6支</t>
    <phoneticPr fontId="1" type="noConversion"/>
  </si>
  <si>
    <r>
      <t>8-5-3支，0506发5套，0518发3套,</t>
    </r>
    <r>
      <rPr>
        <sz val="8"/>
        <color rgb="FFFF0000"/>
        <rFont val="Microsoft YaHei UI"/>
        <family val="2"/>
        <charset val="134"/>
      </rPr>
      <t>该批布因淋湿被退货，补货于6-2日发出</t>
    </r>
    <phoneticPr fontId="1" type="noConversion"/>
  </si>
  <si>
    <r>
      <t>6-5-1支，0509发5支，0518发1套,</t>
    </r>
    <r>
      <rPr>
        <sz val="8"/>
        <color rgb="FFFF0000"/>
        <rFont val="Microsoft YaHei UI"/>
        <family val="2"/>
        <charset val="134"/>
      </rPr>
      <t>该批布因淋湿被退货，补货于6-2日发出</t>
    </r>
    <phoneticPr fontId="1" type="noConversion"/>
  </si>
  <si>
    <r>
      <t>10-1支，0518日发1套</t>
    </r>
    <r>
      <rPr>
        <sz val="8"/>
        <color rgb="FFFF0000"/>
        <rFont val="Microsoft YaHei UI"/>
        <family val="2"/>
        <charset val="134"/>
      </rPr>
      <t>,该批布因淋湿被退货，补货于6-2日发出</t>
    </r>
    <phoneticPr fontId="1" type="noConversion"/>
  </si>
  <si>
    <r>
      <t>PS面2套，0812发1套PS面，0925日发货</t>
    </r>
    <r>
      <rPr>
        <sz val="8"/>
        <color rgb="FFFF0000"/>
        <rFont val="Microsoft YaHei UI"/>
        <family val="2"/>
        <charset val="134"/>
      </rPr>
      <t>，本次随货发出一拖受潮sr171-3后缘补货</t>
    </r>
    <phoneticPr fontId="1" type="noConversion"/>
  </si>
  <si>
    <t>3-1套，0520日发1套</t>
    <phoneticPr fontId="1" type="noConversion"/>
  </si>
  <si>
    <t>80-6-6-6-6-3-7-6-6支，0810发6支,0813发6支，0814发6支，0817发6支，0818发3支，0822发7支，0823发6支,0825发6支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</si>
  <si>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0805发5544，0806发7392，0807发5544，0808发5544，0809发5544，0810发5544，0811发13860，0813发5544，0814发5544，0815发12012，0817发5544，0818发5544，0819发4620,0820发924，0821发4620，0822发4620，0823发7392,0824发6468，0825发4620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</si>
  <si>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0805发5544，0806发7392，0807发5544，0808发5544，0809发5544，0810发5544，0811发13860，0813发5544，0814发5544，0815发12012，0817发5544，0818发5544，0819发4620,0820发924，0821发4620，0822发4620，0823发7392,0824发6468，0825发4620，0826发5544</t>
    <phoneticPr fontId="1" type="noConversion"/>
  </si>
  <si>
    <t>80-6-6-6-6-3-7-6-6-4支，0810发6支,0813发6支，0814发6支，0817发6支，0818发3支，0822发7支，0823发6支,0825发6支，0827发4支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</si>
  <si>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，0825发4620，0826发5544，0827发3696</t>
    <phoneticPr fontId="1" type="noConversion"/>
  </si>
  <si>
    <t>80-6-6-6-6-3-7-6-6-4-3支，0810发6支,0813发6支，0814发6支，0817发6支，0818发3支，0822发7支，0823发6支,0825发6支，0827发4支，0828发3支</t>
    <phoneticPr fontId="1" type="noConversion"/>
  </si>
  <si>
    <t>80-6-6-6-6-3-7-6-6-4-3-4支，0810发6支,0813发6支，0814发6支，0817发6支，0818发3支，0822发7支，0823发6支,0825发6支，0827发4支，0828发3支，0901发8956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</si>
  <si>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，0825发4620，0826发5544，0827发3696，0901发924</t>
    <phoneticPr fontId="1" type="noConversion"/>
  </si>
  <si>
    <t>80-6-6-6-6-3-7-6-6-4-3-4-5支，0810发6支,0813发6支，0814发6支，0817发6支，0818发3支，0822发7支，0823发6支,0825发6支，0827发4支，0828发3支，0901发8956，0904发5支</t>
    <phoneticPr fontId="1" type="noConversion"/>
  </si>
  <si>
    <t>80-6-6-6-6-3-7-6-6-4-3-4-5-10支，0810发6支,0813发6支，0814发6支，0817发6支，0818发3支，0822发7支，0823发6支,0825发6支，0827发4支，0828发3支，0901发4支，0904发5支，0905发10支</t>
    <phoneticPr fontId="1" type="noConversion"/>
  </si>
  <si>
    <t>80-6-6-6-6-3-7-6-6-4-3-4-5-10-7支，0810发6支,0813发6支，0814发6支，0817发6支，0818发3支，0822发7支，0823发6支,0825发6支，0827发4支，0828发3支，0901发4支，0904发5支，0905发1支，0911发7支</t>
    <phoneticPr fontId="1" type="noConversion"/>
  </si>
  <si>
    <t>80-6-6-6-6-3-7-6-6-4-3-4-5-10-7支，0810发6支,0813发6支，0814发6支，0817发6支，0818发3支，0822发7支，0823发6支,0825发6支，0827发4支，0828发3支，0901发4支，0904发5支，0905发1支，0911发7支，0916发1支</t>
    <phoneticPr fontId="1" type="noConversion"/>
  </si>
  <si>
    <t>0805发5544，0806发7392，0807发5544，0808发5544，0809发5544，0810发5544，0811发13860，0813发5544，0814发5544，0815发12012，0817发5544，0818发5544，0819发4620,0820发924，0821发4620，0822发4620，0823发7392,0824发6468，0825发4620，0826发5544，0827发3696，0901发924，0918日取消订单</t>
    <phoneticPr fontId="1" type="noConversion"/>
  </si>
  <si>
    <t>65-3-3-1-5套，0826发3支，0827发3支，0828发1支，0829发5支</t>
    <phoneticPr fontId="1" type="noConversion"/>
  </si>
  <si>
    <t>30-2套，0828发2支，0829发2支</t>
    <phoneticPr fontId="1" type="noConversion"/>
  </si>
  <si>
    <t>88-4-6-5-2套，0826日发4支，0827发6支，0828发5支，0829发2支</t>
    <phoneticPr fontId="1" type="noConversion"/>
  </si>
  <si>
    <t>30-2-2-1-4套，0826日发2支，0827发2支，0828发1支，0829发4支</t>
    <phoneticPr fontId="1" type="noConversion"/>
  </si>
  <si>
    <t>65-3-3-1-5-2套，0826发3支，0827发3支，0828发1支，0829发5支，0830发2支</t>
    <phoneticPr fontId="1" type="noConversion"/>
  </si>
  <si>
    <t>30-2-2-2套，0828发2支，0829发2支，0830发2支</t>
    <phoneticPr fontId="1" type="noConversion"/>
  </si>
  <si>
    <t>30-2-2-1-4-2-2套，0826日发2支，0827发2支，0828发1支，0829发4支,0831发2支</t>
    <phoneticPr fontId="1" type="noConversion"/>
  </si>
  <si>
    <t>30-2-2-2-2套，0828发2支，0829发2支，0830发2支，0831发2支</t>
    <phoneticPr fontId="1" type="noConversion"/>
  </si>
  <si>
    <t>88-4-6-5-2-2套，0826日发4支，0827发6支，0828发5支，0829发2支，0831发2支</t>
    <phoneticPr fontId="1" type="noConversion"/>
  </si>
  <si>
    <t>65-3-3-1-5-2-2套，0826发3支，0827发3支，0828发1支，0829发5支，0830发2支,0901发2支</t>
    <phoneticPr fontId="1" type="noConversion"/>
  </si>
  <si>
    <t>88-4-6-5-2-2-2套，0826日发4支，0827发6支，0828发5支，0829发2支，0831发2支，0901发2支</t>
    <phoneticPr fontId="1" type="noConversion"/>
  </si>
  <si>
    <t>30-2-2-1-4-2-2-2套，0826日发2支，0827发2支，0828发1支，0829发4支,0831发2支，0901发2支</t>
    <phoneticPr fontId="1" type="noConversion"/>
  </si>
  <si>
    <t>30-2-2-2-2-2套，0828发2支，0829发2支，0830发2支，0831发2支，0901发2支</t>
    <phoneticPr fontId="1" type="noConversion"/>
  </si>
  <si>
    <t>88-4-6-5-2-2-2-2套，0826日发4支，0827发6支，0828发5支，0829发2支，0831发2支，0901发2支，0902发2支</t>
    <phoneticPr fontId="1" type="noConversion"/>
  </si>
  <si>
    <t>30-2-2-1-4-2-2-2-2套，0826日发2支，0827发2支，0828发1支，0829发4支,0831发2支，0901发2支，0902发2支</t>
    <phoneticPr fontId="1" type="noConversion"/>
  </si>
  <si>
    <t>30-2-2-2-2-2-2套，0828发2支，0829发2支，0830发2支，0831发2支，0901发2支，0902发2支</t>
    <phoneticPr fontId="1" type="noConversion"/>
  </si>
  <si>
    <t>30-2-2-1-4-2-2-2-2-2套，0826日发2支，0827发2支，0828发1支，0829发4支,0831发2支，0901发2支，0902发2支.0903发2支</t>
    <phoneticPr fontId="1" type="noConversion"/>
  </si>
  <si>
    <t>30-2-2-2-2-2-2套，0828发2支，0829发2支，0830发2支，0831发2支，0901发2支，0902发2支，09003发2支</t>
    <phoneticPr fontId="1" type="noConversion"/>
  </si>
  <si>
    <t>88-4-6-5-2-2-2-2-2套，0826日发4支，0827发6支，0828发5支，0829发2支，0831发2支，0901发2支，0902发2支，0903发2支</t>
    <phoneticPr fontId="1" type="noConversion"/>
  </si>
  <si>
    <t>30-2-2-1-4-2-2-2-2-2-6套，0826日发2支，0827发2支，0828发1支，0829发4支,0831发2支，0901发2支，0902发2支.0903发2支，0904发6支</t>
    <phoneticPr fontId="1" type="noConversion"/>
  </si>
  <si>
    <t>30-2-2-2-2-2-2-2套，0828发2支，0829发2支，0830发2支，0831发2支，0901发2支，0902发2支，0903发2支，0904发2支</t>
    <phoneticPr fontId="1" type="noConversion"/>
  </si>
  <si>
    <t>65-3-3-1-5-2-2-2套，0826发3支，0827发3支，0828发1支，0829发5支，0830发2支,0901发2支，0904发2支</t>
    <phoneticPr fontId="1" type="noConversion"/>
  </si>
  <si>
    <t>65-3-3-1-5-2-2-2-2-2套，0826发3支，0827发3支，0828发1支，0829发5支，0830发2支,0901发2支，0904发2支，0905发2支</t>
    <phoneticPr fontId="1" type="noConversion"/>
  </si>
  <si>
    <t>30-2-2-2-2-2-2-2-2套，0828发2支，0829发2支，0830发2支，0831发2支，0901发2支，0902发2支，0903发2支，0904发2支，0905发2支</t>
    <phoneticPr fontId="1" type="noConversion"/>
  </si>
  <si>
    <t>30-2-2-2-2-2-2-2-2-2-2套，0828发2支，0829发2支，0830发2支，0831发2支，0901发2支，0902发2支，0903发2支，0904发2支，0905发2支，0906发2支</t>
    <phoneticPr fontId="1" type="noConversion"/>
  </si>
  <si>
    <t>65-3-3-1-5-2-2-2-2-2-2套，0826发3支，0827发3支，0828发1支，0829发5支，0830发2支,0901发2支，0904发2支，0905发2支，0906发2支</t>
    <phoneticPr fontId="1" type="noConversion"/>
  </si>
  <si>
    <t>30-2-2-2-2-2-2-2-2-2-2-2套，0828发2支，0829发2支，0830发2支，0831发2支，0901发2支，0902发2支，0903发2支，0904发2支，0905发2支，0906发2支，0907发2支</t>
    <phoneticPr fontId="1" type="noConversion"/>
  </si>
  <si>
    <t>65-3-3-1-5-2-2-2-2-2-2-2套，0826发3支，0827发3支，0828发1支，0829发5支，0830发2支,0901发2支，0904发2支，0905发2支，0906发2支，0907发2支</t>
    <phoneticPr fontId="1" type="noConversion"/>
  </si>
  <si>
    <t>88-4-6-5-2-2-2-2-2-2套，0826日发4支，0827发6支，0828发5支，0829发2支，0831发2支，0901发2支，0902发2支，0903发2支，0907发2支</t>
    <phoneticPr fontId="1" type="noConversion"/>
  </si>
  <si>
    <t>30-2-2-1-4-2-2-2-2-2-6-2套，0826日发2支，0827发2支，0828发1支，0829发4支,0831发2支，0901发2支，0902发2支.0903发2支，0904发6支，0908发2支</t>
    <phoneticPr fontId="1" type="noConversion"/>
  </si>
  <si>
    <t>88-4-6-5-2-2-2-2-2-2-2套，0826日发4支，0827发6支，0828发5支，0829发2支，0831发2支，0901发2支，0902发2支，0903发2支，0907发2支，0908发2支</t>
    <phoneticPr fontId="1" type="noConversion"/>
  </si>
  <si>
    <t>30-2-2-2-2-2-2-2-2-2-2-2-2套，0828发2支，0829发2支，0830发2支，0831发2支，0901发2支，0902发2支，0903发2支，0904发2支，0905发2支，0906发2支，0907发2支，0908发2支</t>
    <phoneticPr fontId="1" type="noConversion"/>
  </si>
  <si>
    <t>30-2-2-1-4-2-2-2-2-2-6-2-2套，0826日发2支，0827发2支，0828发1支，0829发4支,0831发2支，0901发2支，0902发2支.0903发2支，0904发6支，0908发2支，0909发2支</t>
    <phoneticPr fontId="1" type="noConversion"/>
  </si>
  <si>
    <t>88-4-6-5-2-2-2-2-2-2-2-2套，0826日发4支，0827发6支，0828发5支，0829发2支，0831发2支，0901发2支，0902发2支，0903发2支，0907发2支，0908发2支，0909发2支</t>
    <phoneticPr fontId="1" type="noConversion"/>
  </si>
  <si>
    <t>30-2-2-2-2-2-2-2-2-2-2-2-2-2套，0828发2支，0829发2支，0830发2支，0831发2支，0901发2支，0902发2支，0903发2支，0904发2支，0905发2支，0906发2支，0907发2支，0908发2支，0909发2支</t>
    <phoneticPr fontId="1" type="noConversion"/>
  </si>
  <si>
    <t>65-3-3-1-5-2-2-2-2-2-2-2-2套，0826发3支，0827发3支，0828发1支，0829发5支，0830发2支,0901发2支，0904发2支，0905发2支，0906发2支，0907发2支，0908发2支，0909发2支</t>
    <phoneticPr fontId="1" type="noConversion"/>
  </si>
  <si>
    <t>30-2-2-1-4-2-2-2-2-2-6-2-2-2套，0826日发2支，0827发2支，0828发1支，0829发4支,0831发2支，0901发2支，0902发2支.0903发2支，0904发6支，0908发2支，0909发2支，0910发2支</t>
    <phoneticPr fontId="1" type="noConversion"/>
  </si>
  <si>
    <t>88-4-6-5-2-2-2-2-2-2-2-2-2套，0826日发4支，0827发6支，0828发5支，0829发2支，0831发2支，0901发2支，0902发2支，0903发2支，0907发2支，0908发2支，0909发2支，0910发2支</t>
    <phoneticPr fontId="1" type="noConversion"/>
  </si>
  <si>
    <t>30-2-2-2-2-2-2-2-2-2-2-2-2-2-2套，0828发2支，0829发2支，0830发2支，0831发2支，0901发2支，0902发2支，0903发2支，0904发2支，0905发2支，0906发2支，0907发2支，0908发2支，0909发2支，0910发2支</t>
    <phoneticPr fontId="1" type="noConversion"/>
  </si>
  <si>
    <t>65-3-3-1-5-2-2-2-2-2-2-2-2-2套，0826发3支，0827发3支，0828发1支，0829发5支，0830发2支,0901发2支，0904发2支，0905发2支，0906发2支，0907发2支，0908发2支，0909发2支，0910发2支</t>
    <phoneticPr fontId="1" type="noConversion"/>
  </si>
  <si>
    <t>88-4-6-5-2-2-2-2-2-2-2-2-2-6套，0826日发4支，0827发6支，0828发5支，0829发2支，0831发2支，0901发2支，0902发2支，0903发2支，0907发2支，0908发2支，0909发2支，0910发2支t,0911发6支</t>
    <phoneticPr fontId="1" type="noConversion"/>
  </si>
  <si>
    <t>30-2-2-2-2-2-2-2-2-2-2-2-2-2-2套，0828发2支，0829发2支，0830发2支，0831发2支，0901发2支，0902发2支，0903发2支，0904发2支，0905发2支，0906发2支，0907发2支，0908发2支，0909发2支，0910发2支，0911发2支</t>
    <phoneticPr fontId="1" type="noConversion"/>
  </si>
  <si>
    <t>65-3-3-1-5-2-2-2-2-2-2-2-2-2-2套，0826发3支，0827发3支，0828发1支，0829发5支，0830发2支,0901发2支，0904发2支，0905发2支，0906发2支，0907发2支，0908发2支，0909发2支，0910发2支，0911发2支</t>
    <phoneticPr fontId="1" type="noConversion"/>
  </si>
  <si>
    <t>65-3-3-1-5-2-2-2-2-2-2-2-2-2-2-2套，0826发3支，0827发3支，0828发1支，0829发5支，0830发2支,0901发2支，0904发2支，0905发2支，0906发2支，0907发2支，0908发2支，0909发2支，0910发2支，0911发2支，0912发2支</t>
    <phoneticPr fontId="1" type="noConversion"/>
  </si>
  <si>
    <t>22-2-2支，0912日发2支，0913发2支</t>
    <phoneticPr fontId="1" type="noConversion"/>
  </si>
  <si>
    <t>65-3-3-1-5-2-2-2-2-2-2-2-2-2-2-2-2套，0826发3支，0827发3支，0828发1支，0829发5支，0830发2支,0901发2支，0904发2支，0905发2支，0906发2支，0907发2支，0908发2支，0909发2支，0910发2支，0911发2支，0912发2支，0913发2支</t>
    <phoneticPr fontId="1" type="noConversion"/>
  </si>
  <si>
    <t>0830发3060，0831发9180，0903发7650，0908发3060，0910发3060，0913发3060</t>
    <phoneticPr fontId="1" type="noConversion"/>
  </si>
  <si>
    <t>88-4-6-5-2-2-2-2-2-2-2-2-2-6-2套，0826日发4支，0827发6支，0828发5支，0829发2支，0831发2支，0901发2支，0902发2支，0903发2支，0907发2支，0908发2支，0909发2支，0910发2支t,0911发6支，0914发2支</t>
    <phoneticPr fontId="1" type="noConversion"/>
  </si>
  <si>
    <t>22-2-2-2支，0912日发2支，0913发2支，0914发2支</t>
    <phoneticPr fontId="1" type="noConversion"/>
  </si>
  <si>
    <t>88-4-6-5-2-2-2-2-2-2-2-2-2-6-2-2套，0826日发4支，0827发6支，0828发5支，0829发2支，0831发2支，0901发2支，0902发2支，0903发2支，0907发2支，0908发2支，0909发2支，0910发2支t,0911发6支，0914发2支，0915发2支</t>
    <phoneticPr fontId="1" type="noConversion"/>
  </si>
  <si>
    <t>22-2-2-2-2支，0912日发2支，0913发2支，0914发2支，0915发2支</t>
    <phoneticPr fontId="1" type="noConversion"/>
  </si>
  <si>
    <t>65-3-3-1-5-2-2-2-2-2-2-2-2-2-2-2-2-2套，0826发3支，0827发3支，0828发1支，0829发5支，0830发2支,0901发2支，0904发2支，0905发2支，0906发2支，0907发2支，0908发2支，0909发2支，0910发2支，0911发2支，0912发2支，0913发2支，0915发2支</t>
    <phoneticPr fontId="1" type="noConversion"/>
  </si>
  <si>
    <t>22-2-2-2-2-2支，0912日发2支，0913发2支，0914发2支，0915发2支，0916发2支</t>
    <phoneticPr fontId="1" type="noConversion"/>
  </si>
  <si>
    <t>88-4-6-5-2-2-2-2-2-2-2-2-2-6-2-2-2套，0826日发4支，0827发6支，0828发5支，0829发2支，0831发2支，0901发2支，0902发2支，0903发2支，0907发2支，0908发2支，0909发2支，0910发2支t,0911发6支，0914发2支，0915发2支，0916发2支</t>
    <phoneticPr fontId="1" type="noConversion"/>
  </si>
  <si>
    <t>65-3-3-1-5-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</t>
    <phoneticPr fontId="1" type="noConversion"/>
  </si>
  <si>
    <t>22-2-2-2-2-2-2支，0912日发2支，0913发2支，0914发2支，0915发2支，0916发2支，0917发2支</t>
    <phoneticPr fontId="1" type="noConversion"/>
  </si>
  <si>
    <t>88-4-6-5-2-2-2-2-2-2-2-2-2-6-2-2-2-2-2套，0826日发4支，0827发6支，0828发5支，0829发2支，0831发2支，0901发2支，0902发2支，0903发2支，0907发2支，0908发2支，0909发2支，0910发2支t,0911发6支，0914发2支，0915发2支，0916发2支，0917发2支</t>
    <phoneticPr fontId="1" type="noConversion"/>
  </si>
  <si>
    <t>65-3-3-1-5-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</t>
    <phoneticPr fontId="1" type="noConversion"/>
  </si>
  <si>
    <t>22-2-2-2-2-2-2-2支，0912日发2支，0913发2支，0914发2支，0915发2支，0916发2支，0917发2支，0918发2支</t>
    <phoneticPr fontId="1" type="noConversion"/>
  </si>
  <si>
    <t>88-4-6-5-2-2-2-2-2-2-2-2-2-6-2-2-2-2-2-2套，0826日发4支，0827发6支，0828发5支，0829发2支，0831发2支，0901发2支，0902发2支，0903发2支，0907发2支，0908发2支，0909发2支，0910发2支t,0911发6支，0914发2支，0915发2支，0916发2支，0917发2支，0918发2支</t>
    <phoneticPr fontId="1" type="noConversion"/>
  </si>
  <si>
    <t>0830发3060，0831发9180，0903发7650，0908发3060，0910发3060，0913发3060，0918发7650</t>
    <phoneticPr fontId="1" type="noConversion"/>
  </si>
  <si>
    <t>22-2-2-2-2-2-2-2-2支，0912日发2支，0913发2支，0914发2支，0915发2支，0916发2支，0917发2支，0918发2支，0919发2支</t>
    <phoneticPr fontId="1" type="noConversion"/>
  </si>
  <si>
    <t>22-2-2-2-2-2-2-2-2-2支，0912日发2支，0913发2支，0914发2支，0915发2支，0916发2支，0917发2支，0918发2支，0919发2支，0920发10494</t>
    <phoneticPr fontId="1" type="noConversion"/>
  </si>
  <si>
    <t>65-3-3-1-5-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</t>
    <phoneticPr fontId="1" type="noConversion"/>
  </si>
  <si>
    <t>22-2-2-2-2-2-2-2-2-2-2支，0912日发2支，0913发2支，0914发2支，0915发2支，0916发2支，0917发2支，0918发2支，0919发2支，0920发2支，0921发2支</t>
    <phoneticPr fontId="1" type="noConversion"/>
  </si>
  <si>
    <t>65-3-3-1-5-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</t>
    <phoneticPr fontId="1" type="noConversion"/>
  </si>
  <si>
    <t>88-4-6-5-2-2-2-2-2-2-2-2-2-6-2-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</t>
    <phoneticPr fontId="1" type="noConversion"/>
  </si>
  <si>
    <t>65-3-3-1-5-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</t>
    <phoneticPr fontId="1" type="noConversion"/>
  </si>
  <si>
    <t>88-4-6-5-2-2-2-2-2-2-2-2-2-6-2-2-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</t>
    <phoneticPr fontId="1" type="noConversion"/>
  </si>
  <si>
    <t>22-2-2-2-2-2-2-2-2-2-2支，0912日发2支，0913发2支，0914发2支，0915发2支，0916发2支，0917发2支，0918发2支，0919发2支，0920发2支，0921发2支，0922发2支</t>
    <phoneticPr fontId="1" type="noConversion"/>
  </si>
  <si>
    <t>0830发3060，0831发9180，0903发7650，0908发3060，0910发3060，0913发3060，0918发7650，0922发13770</t>
    <phoneticPr fontId="1" type="noConversion"/>
  </si>
  <si>
    <t>65-3-3-1-5-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</t>
    <phoneticPr fontId="1" type="noConversion"/>
  </si>
  <si>
    <t>88-4-6-5-2-2-2-2-2-2-2-2-2-6-2-2-2-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</t>
    <phoneticPr fontId="1" type="noConversion"/>
  </si>
  <si>
    <t>88-4-6-5-2-2-2-2-2-2-2-2-2-6-2-2-2-2-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</t>
    <phoneticPr fontId="1" type="noConversion"/>
  </si>
  <si>
    <t>0830发3060，0831发9180，0903发7650，0908发3060，0910发3060，0913发3060，0918发7650，0922发13770，0927发4515</t>
    <phoneticPr fontId="1" type="noConversion"/>
  </si>
  <si>
    <t>30-2-2-1-4-2-2-2-2-2-6-2-2-2套，0826日发2支，0827发2支，0828发1支，0829发4支,0831发2支，0901发2支，0902发2支.0903发2支，0904发6支，0908发2支，0909发2支，0910发2支，0929发1支</t>
    <phoneticPr fontId="1" type="noConversion"/>
  </si>
  <si>
    <t>65-3-3-1-5-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</t>
    <phoneticPr fontId="1" type="noConversion"/>
  </si>
  <si>
    <t>30-2-2-3-2-2-2-2支，0923日发2支，0924发2支，0929发3支，1003发2支，1004发2支，1005发2支，1006发2支</t>
    <phoneticPr fontId="1" type="noConversion"/>
  </si>
  <si>
    <t>65-3-3-1-5-2-2-2-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，1006发2支</t>
    <phoneticPr fontId="1" type="noConversion"/>
  </si>
  <si>
    <t>0918发3090，0922发1545，0927发4635.1003发4665，1006发4665</t>
    <phoneticPr fontId="1" type="noConversion"/>
  </si>
  <si>
    <t>0829发3210，0831发6420，0901发6420，0916发8025，0921发1605，0922发4815，0923发4815，0927发9630，0928发6420，0929发8025，1003发2889，1004发3220，1006发6440</t>
    <phoneticPr fontId="1" type="noConversion"/>
  </si>
  <si>
    <t>304卷  50支，0923发10640，0924发6080，0925发9120，1005发4560，1006发3040</t>
    <phoneticPr fontId="1" type="noConversion"/>
  </si>
  <si>
    <t>0829发3210，0831发6420，0901发6420，0916发8025，0921发1605，0922发4815，0923发4815，0927发9630，0928发6420，0929发8025，1003发2889，1004发3220，1006发6440,1008发12880</t>
    <phoneticPr fontId="1" type="noConversion"/>
  </si>
  <si>
    <t>18卷 ，1008发6080</t>
    <phoneticPr fontId="1" type="noConversion"/>
  </si>
  <si>
    <t>26-6-7-6+6-6-2支，0914发6支，0918日结项减少7套，0922日发6支，0924日微信群增加6套，0926发6支，1005发2支，1007发5支</t>
    <phoneticPr fontId="1" type="noConversion"/>
  </si>
  <si>
    <t>1个PS面，1007发1个PS面</t>
    <phoneticPr fontId="1" type="noConversion"/>
  </si>
  <si>
    <t>75-6-4-3-4-3-3-3-3-2-10-3支，0915日发6支，0917发4支,0919发3支，0921发4支，0922发3支，0923发3支,0926发3支，0927发3支，0928发2支,1005发10支，1007发3支</t>
    <phoneticPr fontId="1" type="noConversion"/>
  </si>
  <si>
    <t>18-3-4-5支.0919发3支，0926发4支，0928发5支，1007发6支</t>
    <phoneticPr fontId="1" type="noConversion"/>
  </si>
  <si>
    <t>18-4-4-4-4支.0919发4支,0926发4支，0928发4支，1007发4支</t>
    <phoneticPr fontId="1" type="noConversion"/>
  </si>
  <si>
    <t>18-8支，0930发8支,1007发10支</t>
    <phoneticPr fontId="1" type="noConversion"/>
  </si>
  <si>
    <t>18-13-1支 ,0926发13支，0930发1支，1007发4支</t>
    <phoneticPr fontId="1" type="noConversion"/>
  </si>
  <si>
    <t>30-2-2-3-2-2-2-2-2支，0923日发2支，0924发2支，0929发3支，1003发2支，1004发2支，1005发2支，1006发2支，1007发2支</t>
    <phoneticPr fontId="1" type="noConversion"/>
  </si>
  <si>
    <t>65-3-3-1-5-2-2-2-2-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，1006发2支，1007发2支</t>
    <phoneticPr fontId="1" type="noConversion"/>
  </si>
  <si>
    <t>0927发3135，0928发6120，0929发6120，1004发7650，1007发6220</t>
    <phoneticPr fontId="1" type="noConversion"/>
  </si>
  <si>
    <t>0829发3210，0831发6420，0901发6420，0916发8025，0921发1605，0922发4815，0923发4815，0927发9630，0928发6420，0929发8025，1003发2889，1004发3220，1006发6440,1008发12880，1007发6440</t>
    <phoneticPr fontId="1" type="noConversion"/>
  </si>
  <si>
    <t>0829发3210，0831发6420，0901发6420，0916发8025，0921发1605，0922发4815，0923发4815，0927发9630，0928发6420，0929发8025，1003发2889，1004发3220，1006发6440,1008发12880，1007发6440，1009发8050</t>
    <phoneticPr fontId="1" type="noConversion"/>
  </si>
  <si>
    <t>304卷  50支，0923发10640，0924发6080，0925发9120，1005发4560，1006发3040，1009发4560</t>
    <phoneticPr fontId="1" type="noConversion"/>
  </si>
  <si>
    <t>88-4-6-5-2-2-2-2-2-2-2-2-2-6-2-2-2-2-2-2-2-2-2-2-4-4-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</t>
    <phoneticPr fontId="1" type="noConversion"/>
  </si>
  <si>
    <t>30-2-2-2-4-4-2支，0922发2支，0923发2支，0929发2支，1003发4支，1005发4支，1009发2支</t>
    <phoneticPr fontId="1" type="noConversion"/>
  </si>
  <si>
    <t>30-2-2-3-2-2-2-2-2-2支，0923日发2支，0924发2支，0929发3支，1003发2支，1004发2支，1005发2支，1006发2支，1007发2支，1009发2支</t>
    <phoneticPr fontId="1" type="noConversion"/>
  </si>
  <si>
    <t>24-3-4-4-1套，0926发3支,0927发4支,0928发4支，0929发1支，1009发4支</t>
    <phoneticPr fontId="1" type="noConversion"/>
  </si>
  <si>
    <t>24-3-4-4-1套，0926发3支，0927发4支，0928发4支，0929发1支，1009发4支</t>
    <phoneticPr fontId="1" type="noConversion"/>
  </si>
  <si>
    <t>492卷，0919发12374.4，0923发11343.2，0926发12374.4，1005发12372，1010发1031</t>
    <phoneticPr fontId="1" type="noConversion"/>
  </si>
  <si>
    <t>75-16-18-6-6-10-10-4支，0904发16支，0911发18支，0916发6支，0917发6支，0921发10支，0928发10支，1010发4支</t>
    <phoneticPr fontId="1" type="noConversion"/>
  </si>
  <si>
    <t>75-6-4-3-4-3-3-3-3-2-10-3-7支，0915日发6支，0917发4支,0919发3支，0921发4支，0922发3支，0923发3支,0926发3支，0927发3支，0928发2支,1005发10支，1007发3支，1010发7支</t>
    <phoneticPr fontId="1" type="noConversion"/>
  </si>
  <si>
    <t>304卷  50支，0923发10640，0924发6080，0925发9120，1005发4560，1006发3040，1009发4560，1010发7600</t>
    <phoneticPr fontId="1" type="noConversion"/>
  </si>
  <si>
    <t>10-5套.1003发5支，1010发5套</t>
    <phoneticPr fontId="1" type="noConversion"/>
  </si>
  <si>
    <t>30-2-2-2-4-4-2-2支，0922发2支，0923发2支，0929发2支，1003发4支，1005发4支，1009发2支，1010发2支</t>
    <phoneticPr fontId="1" type="noConversion"/>
  </si>
  <si>
    <t>88-4-6-5-2-2-2-2-2-2-2-2-2-6-2-2-2-2-2-2-2-2-2-2-4-4-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</t>
    <phoneticPr fontId="1" type="noConversion"/>
  </si>
  <si>
    <t>30-2-2-3-2-2-2-2-2-2-2支，0923日发2支，0924发2支，0929发3支，1003发2支，1004发2支，1005发2支，1006发2支，1007发2支，1009发2支，1010发2支</t>
    <phoneticPr fontId="1" type="noConversion"/>
  </si>
  <si>
    <t>65-3-3-1-5-2-2-2-2-2-2-2-2-2-2-2-2-2-2-2-2-2-2-2-2-2-2-2-2-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，1006发2支，1007发2支，1010发2支</t>
    <phoneticPr fontId="1" type="noConversion"/>
  </si>
  <si>
    <t>56-50支，取消订单50支，后客户又需求30支了</t>
    <phoneticPr fontId="1" type="noConversion"/>
  </si>
  <si>
    <t>75-16-18-6-6-10-10-4支，0904发16支，0911发18支，0916发6支，0917发6支，0921发10支，0928发10支，1010发4支，剩余订单取消</t>
    <phoneticPr fontId="1" type="noConversion"/>
  </si>
  <si>
    <t>75-6-4-3-4-3-3-3-3-2-10-3-7支，0915日发6支，0917发4支,0919发3支，0921发4支，0922发3支，0923发3支,0926发3支，0927发3支，0928发2支,1005发10支，1007发3支，1010发7支，剩余订单取消</t>
    <phoneticPr fontId="1" type="noConversion"/>
  </si>
  <si>
    <t>11支，剩余订单取消</t>
    <phoneticPr fontId="1" type="noConversion"/>
  </si>
  <si>
    <t>2支 ，剩余订单取消</t>
    <phoneticPr fontId="1" type="noConversion"/>
  </si>
  <si>
    <t>0918日调整订单至50吨，0915发2805，0916发5610，0917发6540，0918发14960，0921发4675，剩余订单等待确认</t>
    <phoneticPr fontId="1" type="noConversion"/>
  </si>
  <si>
    <t>30-9支，重新需要订单30支,1011发9支</t>
    <phoneticPr fontId="1" type="noConversion"/>
  </si>
  <si>
    <t>25-13支,1011发13支</t>
    <phoneticPr fontId="1" type="noConversion"/>
  </si>
  <si>
    <t>24-3-4-4-1-4-4套，0926发3支，0927发4支，0928发4支，0929发1支，1009发4支，1011发4支</t>
    <phoneticPr fontId="1" type="noConversion"/>
  </si>
  <si>
    <t>24-3-4-4-1-4-4套，0926发3支,，0927发4支，0928发4支，0929发1支，1009发4支,1011发4支</t>
    <phoneticPr fontId="1" type="noConversion"/>
  </si>
  <si>
    <t>65-3-3-1-5-2-2-2-2-2-2-2-2-2-2-2-2-2-2-2-2-2-2-2-2-2-2-2-2-2-1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，1006发2支，1007发2支，1010发2支,1011发1支</t>
    <phoneticPr fontId="1" type="noConversion"/>
  </si>
  <si>
    <t>30-2-2-3-2-2-2-2-2-2-2-2支，0923日发2支，0924发2支，0929发3支，1003发2支，1004发2支，1005发2支，1006发2支，1007发2支，1009发2支，1010发2支，1011发2支</t>
    <phoneticPr fontId="1" type="noConversion"/>
  </si>
  <si>
    <t>304卷  50支，0923发10640，0924发6080，0925发9120，1005发4560，1006发3040，1009发4560，1010发7600，1011发4560</t>
    <phoneticPr fontId="1" type="noConversion"/>
  </si>
  <si>
    <t>30-9-13支，重新需要订单30支,1011发9支,1012发13</t>
    <phoneticPr fontId="1" type="noConversion"/>
  </si>
  <si>
    <t>12-4套,1012发4支</t>
    <phoneticPr fontId="1" type="noConversion"/>
  </si>
  <si>
    <t>0927发3135，0928发6120，0929发6120，1004发7650，1007发6220，1012发7775</t>
    <phoneticPr fontId="1" type="noConversion"/>
  </si>
  <si>
    <t>88-4-6-5-2-2-2-2-2-2-2-2-2-6-2-2-2-2-2-2-2-2-2-2-4-4-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</t>
    <phoneticPr fontId="1" type="noConversion"/>
  </si>
  <si>
    <t>30-2-2-2-4-4-2-2-2支，0922发2支，0923发2支，0929发2支，1003发4支，1005发4支，1009发2支，1010发2支，1012发2支</t>
    <phoneticPr fontId="1" type="noConversion"/>
  </si>
  <si>
    <t>30-2-2-3-2-2-2-2-2-2-2-2-3支，0923日发2支，0924发2支，0929发3支，1003发2支，1004发2支，1005发2支，1006发2支，1007发2支，1009发2支，1010发2支，1011发2支，1012发3支</t>
    <phoneticPr fontId="1" type="noConversion"/>
  </si>
  <si>
    <t>85-3套，1012发3支</t>
    <phoneticPr fontId="1" type="noConversion"/>
  </si>
  <si>
    <t>0918发3090，0922发1545，0927发4635.1003发4665，1006发4665，1012发3110</t>
    <phoneticPr fontId="1" type="noConversion"/>
  </si>
  <si>
    <t>31-3-9-2-3-1-2支，消耗张家口库存，0921日发3套,0922日发9套,0926发2支，0927发3支，0928发1支，0929发2支，剩余订单取消，张家口继续增加30支</t>
    <phoneticPr fontId="1" type="noConversion"/>
  </si>
  <si>
    <t>14支，1012发14支</t>
    <phoneticPr fontId="1" type="noConversion"/>
  </si>
  <si>
    <t>25-13-8支,1011发13支，1012发8支</t>
    <phoneticPr fontId="1" type="noConversion"/>
  </si>
  <si>
    <t>27-10-6支，1005发10支，1013发6支</t>
    <phoneticPr fontId="1" type="noConversion"/>
  </si>
  <si>
    <t>9支，暂时取消</t>
    <phoneticPr fontId="1" type="noConversion"/>
  </si>
  <si>
    <t>33支，暂定乌兰察布取消</t>
    <phoneticPr fontId="1" type="noConversion"/>
  </si>
  <si>
    <t>30-2-2-3-2-2-2-2-2-2-2-2-3-2支，0923日发2支，0924发2支，0929发3支，1003发2支，1004发2支，1005发2支，1006发2支，1007发2支，1009发2支，1010发2支，1011发2支，1012发3支，1013发2支</t>
    <phoneticPr fontId="1" type="noConversion"/>
  </si>
  <si>
    <t>65-3-3-1-5-2-2-2-2-2-2-2-2-2-2-2-2-2-2-2-2-2-2-2-2-2-2-2-2-2-1-2套，0826发3支，0827发3支，0828发1支，0829发5支，0830发2支,0901发2支，0904发2支，0905发2支，0906发2支，0907发2支，0908发2支，0909发2支，0910发2支，0911发2支，0912发2支，0913发2支，0915发2支，0916发2支，0917发2支，0920发2支，0921发2支,0922发2支，0923发2支,1003发2支,1004发2支，1005发2支，1006发2支，1007发2支，1010发2支,1011发1支，1013发2支</t>
    <phoneticPr fontId="1" type="noConversion"/>
  </si>
  <si>
    <t>30-2-2-2-4-4-2-2-2-2支，0922发2支，0923发2支，0929发2支，1003发4支，1005发4支，1009发2支，1010发2支，1012发2支，1013发2支</t>
    <phoneticPr fontId="1" type="noConversion"/>
  </si>
  <si>
    <t>88-4-6-5-2-2-2-2-2-2-2-2-2-6-2-2-2-2-2-2-2-2-2-2-4-4-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</t>
    <phoneticPr fontId="1" type="noConversion"/>
  </si>
  <si>
    <t>330卷  50支，0901发6420，0902发6420，0904发3210，0911发7925，0914发6340，0916发3170，0919发12680，0920发3170，0923发7925，0926发11095，1004发7925，1013发6340</t>
    <phoneticPr fontId="1" type="noConversion"/>
  </si>
  <si>
    <t>304卷  50支，0923发10640，0924发6080，0925发9120，1005发4560，1006发3040，1009发4560，1010发7600，1011发4560，1013发7600</t>
    <phoneticPr fontId="1" type="noConversion"/>
  </si>
  <si>
    <t>24-3-4-4-1-4-4套，0926发3支,，0927发4支，0928发4支，0929发1支，1009发4支,1011发4支,1013发4支</t>
    <phoneticPr fontId="1" type="noConversion"/>
  </si>
  <si>
    <t>24-3-4-4-1-4-4套，0926发3支，0927发4支，0928发4支，0929发1支，1009发4支，1011发4支，1013发4支</t>
    <phoneticPr fontId="1" type="noConversion"/>
  </si>
  <si>
    <t>30-2-2-2-4-4-2-2-2-2-2支，0922发2支，0923发2支，0929发2支，1003发4支，1005发4支，1009发2支，1010发2支，1012发2支，1013发2支，1014发2支</t>
    <phoneticPr fontId="1" type="noConversion"/>
  </si>
  <si>
    <t>88-4-6-5-2-2-2-2-2-2-2-2-2-6-2-2-2-2-2-2-2-2-2-2-4-4-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</t>
    <phoneticPr fontId="1" type="noConversion"/>
  </si>
  <si>
    <t>85-3-2套，1012发3支，1014发2支</t>
    <phoneticPr fontId="1" type="noConversion"/>
  </si>
  <si>
    <t>0829发3210，0831发6420，0901发6420，0916发8025，0921发1605，0922发4815，0923发4815，0927发9630，0928发6420，0929发8025，1003发2889，1004发3220，1006发6440,1008发12880，1007发6440，1009发8050，1014发8050</t>
    <phoneticPr fontId="1" type="noConversion"/>
  </si>
  <si>
    <t>0918发3090，0922发1545，0927发4635.1003发4665，1006发4665，1012发3110，1014发1555</t>
    <phoneticPr fontId="1" type="noConversion"/>
  </si>
  <si>
    <t>330卷  50支，0901发6420，0902发6420，0904发3210，0911发7925，0914发6340，0916发3170，0919发12680，0920发3170，0923发7925，0926发11095，1004发7925，1013发6340，1014发3170</t>
    <phoneticPr fontId="1" type="noConversion"/>
  </si>
  <si>
    <t>46-12-3-2-3-4-2-2-8支，0919日结项通知还需要交34套，0919日发3支，0921发2支，0923发3支,0924发4支，0926发2支,0927发2支,0929发8支，剩余10套取消订单</t>
    <phoneticPr fontId="1" type="noConversion"/>
  </si>
  <si>
    <t>0919日取消订单，客户结项新增88卷，按整托先交14托</t>
    <phoneticPr fontId="1" type="noConversion"/>
  </si>
  <si>
    <t>30-2-2-2-4-4-2-2-2-2-2支，0922发2支，0923发2支，0929发2支，1003发4支，1005发4支，1009发2支，1010发2支，1012发2支，1013发2支，1014发2支，1015发2支</t>
    <phoneticPr fontId="1" type="noConversion"/>
  </si>
  <si>
    <t>88-4-6-5-2-2-2-2-2-2-2-2-2-6-2-2-2-2-2-2-2-2-2-2-4-4-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</t>
    <phoneticPr fontId="1" type="noConversion"/>
  </si>
  <si>
    <t>30-2-2-3-2-2-2-2-2-2-2-2-3-2支，0923日发2支，0924发2支，0929发3支，1003发2支，1004发2支，1005发2支，1006发2支，1007发2支，1009发2支，1010发2支，1011发2支，1012发3支，1013发2支，1015发2支</t>
    <phoneticPr fontId="1" type="noConversion"/>
  </si>
  <si>
    <t>0829发3210，0831发6420，0901发6420，0916发8025，0921发1605，0922发4815，0923发4815，0927发9630，0928发6420，0929发8025，1003发2889，1004发3220，1006发6440,1008发12880，1007发6440，1009发8050，1014发8050，1015发12880</t>
    <phoneticPr fontId="1" type="noConversion"/>
  </si>
  <si>
    <t>52卷，1015发2842</t>
    <phoneticPr fontId="1" type="noConversion"/>
  </si>
  <si>
    <t>0927发3135，0928发6120，0929发6120，1004发7650，1007发6220，1012发7775，1015发7775</t>
    <phoneticPr fontId="1" type="noConversion"/>
  </si>
  <si>
    <t>单卷长度66.5米     需求5卷</t>
  </si>
  <si>
    <t>手铺前后缘，一共20卷，布卷长度如下</t>
  </si>
  <si>
    <t>单轴玻纤；UDH-1215-230；GW171Ⅰ36后缘；-</t>
    <phoneticPr fontId="1" type="noConversion"/>
  </si>
  <si>
    <t>18-4支，1016发4支</t>
    <phoneticPr fontId="1" type="noConversion"/>
  </si>
  <si>
    <t>1016发2060</t>
    <phoneticPr fontId="1" type="noConversion"/>
  </si>
  <si>
    <t>1016发10439</t>
    <phoneticPr fontId="1" type="noConversion"/>
  </si>
  <si>
    <t>0829发3210，0831发6420，0901发6420，0916发8025，0921发1605，0922发4815，0923发4815，0927发9630，0928发6420，0929发8025，1003发2889，1004发3220，1006发6440,1008发12880，1007发6440，1009发8050，1014发8050，1015发12880，1016发831</t>
    <phoneticPr fontId="1" type="noConversion"/>
  </si>
  <si>
    <t>0927发3135，0928发6120，0929发6120，1004发7650，1007发6220，1012发7775，1015发7775，1016发9330</t>
    <phoneticPr fontId="1" type="noConversion"/>
  </si>
  <si>
    <t>88-4-6-5-2-2-2-2-2-2-2-2-2-6-2-2-2-2-2-2-2-2-2-2-4-4-2-2-2-2-2-2-2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，1016发2支</t>
    <phoneticPr fontId="1" type="noConversion"/>
  </si>
  <si>
    <t>50-4支，1016发6支</t>
    <phoneticPr fontId="1" type="noConversion"/>
  </si>
  <si>
    <t>50-2支 ，1016发2支</t>
    <phoneticPr fontId="1" type="noConversion"/>
  </si>
  <si>
    <t>22-5-5-5-5-1套，0827日发5支，0904发5支，0914发5支，0924发5支，1016发1支</t>
    <phoneticPr fontId="1" type="noConversion"/>
  </si>
  <si>
    <t>18-4-4支，1016发4支,1017发4支</t>
    <phoneticPr fontId="1" type="noConversion"/>
  </si>
  <si>
    <t>1016发2060，1017发2060</t>
    <phoneticPr fontId="1" type="noConversion"/>
  </si>
  <si>
    <t>18-4-4-4-4支.0919发4支,0926发4支，0928发4支，1007发4支，1017发2支</t>
    <phoneticPr fontId="1" type="noConversion"/>
  </si>
  <si>
    <t>1017发1585KG</t>
    <phoneticPr fontId="1" type="noConversion"/>
  </si>
  <si>
    <t>50-2-2支 ，1016发2支，1017发2支</t>
    <phoneticPr fontId="1" type="noConversion"/>
  </si>
  <si>
    <t>85-3-2-2套，1012发3支，1014发2支，1017发2支</t>
    <phoneticPr fontId="1" type="noConversion"/>
  </si>
  <si>
    <t>330卷  50支，0901发6420，0902发6420，0904发3210，0911发7925，0914发6340，0916发3170，0919发12680，0920发3170，0923发7925，0926发11095，1004发7925，1013发6340，1014发3170，1017发9510</t>
    <phoneticPr fontId="1" type="noConversion"/>
  </si>
  <si>
    <t>17-3套,1018发3支</t>
    <phoneticPr fontId="1" type="noConversion"/>
  </si>
  <si>
    <t>20-3套，1018发3支</t>
    <phoneticPr fontId="1" type="noConversion"/>
  </si>
  <si>
    <t>46-12-3-2-3-4-2-2-6-2-9-1支，0919日结项通知还需要交34套+3SS+1PS1，0919发3支，0921发2支，0923发3支，0924发4支，0926发2支，0927发2支，0928发6支，0929发2支，取消9套订单,1018发1支</t>
    <phoneticPr fontId="1" type="noConversion"/>
  </si>
  <si>
    <t>0919日取消订单，客户结项新增88卷，按整托先交14托，1018发15960</t>
    <phoneticPr fontId="1" type="noConversion"/>
  </si>
  <si>
    <t>85-3-2-2-2套，1012发3支，1014发2支，1017发2支,1018发2支</t>
    <phoneticPr fontId="1" type="noConversion"/>
  </si>
  <si>
    <t>50-2-2-2支 ，1016发2支，1017发2支，1018发2支</t>
    <phoneticPr fontId="1" type="noConversion"/>
  </si>
  <si>
    <t>304卷  50支，0923发10640，0924发6080，0925发9120，1005发4560，1006发3040，1009发4560，1010发7600，1011发4560，1013发7600，1018发3040</t>
    <phoneticPr fontId="1" type="noConversion"/>
  </si>
  <si>
    <t>17-3-3套,1018发3支，1019发3支</t>
    <phoneticPr fontId="1" type="noConversion"/>
  </si>
  <si>
    <t>20-3-3套，1018发3支，1019发3支</t>
    <phoneticPr fontId="1" type="noConversion"/>
  </si>
  <si>
    <t>88-4-6-5-2-2-2-2-2-2-2-2-2-6-2-2-2-2-2-2-2-2-2-2-4-4-2-2-2-2-2-2-2-4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，1016发2支，1019发4支</t>
    <phoneticPr fontId="1" type="noConversion"/>
  </si>
  <si>
    <t>50-2-2-2-2支 ，1016发2支，1017发2支，1018发2支，1019发2支</t>
    <phoneticPr fontId="1" type="noConversion"/>
  </si>
  <si>
    <t>85-3-2-2-2-2套，1012发3支，1014发2支，1017发2支,1018发2支，1019发2支</t>
    <phoneticPr fontId="1" type="noConversion"/>
  </si>
  <si>
    <t>304卷  50支，0923发10640，0924发6080，0925发9120，1005发4560，1006发3040，1009发4560，1010发7600，1011发4560，1013发7600，1018发3040，1019发10640</t>
    <phoneticPr fontId="1" type="noConversion"/>
  </si>
  <si>
    <t>0927发3135，0928发6120，0929发6120，1004发7650，1007发6220，1012发7775，1015发7775，1016发9330，1019发12200</t>
    <phoneticPr fontId="1" type="noConversion"/>
  </si>
  <si>
    <t>单轴玻纤；UDH-1215-230；WB171Ⅰ36后缘；-</t>
    <phoneticPr fontId="1" type="noConversion"/>
  </si>
  <si>
    <t>46-12-3-2-3-4-2-2-6-2-9-1支，0919日结项通知还需要交34套+3SS+1PS1，0919发3支，0921发2支，0923发3支，0924发4支，0926发2支，0927发2支，0928发6支，0929发2支，取消9套订单,1018发1支，1020发3SS+1PS-1</t>
    <phoneticPr fontId="1" type="noConversion"/>
  </si>
  <si>
    <t>18-4-4-1支，1016发4支,1017发4支,1020发1支</t>
    <phoneticPr fontId="1" type="noConversion"/>
  </si>
  <si>
    <t>1016发2060，1017发2060，1020发7270</t>
    <phoneticPr fontId="1" type="noConversion"/>
  </si>
  <si>
    <t>30-2-2-2-4-4-2-2-2-2-2-1支，0922发2支，0923发2支，0929发2支，1003发4支，1005发4支，1009发2支，1010发2支，1012发2支，1013发2支，1014发2支，1015发2支,1020发1支</t>
    <phoneticPr fontId="1" type="noConversion"/>
  </si>
  <si>
    <t>88-4-6-5-2-2-2-2-2-2-2-2-2-6-2-2-2-2-2-2-2-2-2-2-4-4-2-2-2-2-2-2-2-4-3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，1016发2支，1019发4支，1020发3支</t>
    <phoneticPr fontId="1" type="noConversion"/>
  </si>
  <si>
    <t>85-3-2-2-2-2-2套，1012发3支，1014发2支，1017发2支,1018发2支，1019发2支，1020发2支</t>
    <phoneticPr fontId="1" type="noConversion"/>
  </si>
  <si>
    <t>304卷  50支，0923发10640，0924发6080，0925发9120，1005发4560，1006发3040，1009发4560，1010发7600，1011发4560，1013发7600，1018发3040，1019发10640，1020发3040</t>
    <phoneticPr fontId="1" type="noConversion"/>
  </si>
  <si>
    <t>52卷，1015发2842，1020发1555</t>
    <phoneticPr fontId="1" type="noConversion"/>
  </si>
  <si>
    <t>KG/EA</t>
    <phoneticPr fontId="1" type="noConversion"/>
  </si>
  <si>
    <t>TTX1500H-1.27-100</t>
    <phoneticPr fontId="1" type="noConversion"/>
  </si>
  <si>
    <t>TLX1215-1.27-100</t>
    <phoneticPr fontId="1" type="noConversion"/>
  </si>
  <si>
    <t>TLX1215-1.27-60</t>
    <phoneticPr fontId="1" type="noConversion"/>
  </si>
  <si>
    <t>BX800-1.27-100</t>
    <phoneticPr fontId="1" type="noConversion"/>
  </si>
  <si>
    <t>求和项:KG/EA</t>
  </si>
  <si>
    <t>KG/EA</t>
  </si>
  <si>
    <t>17-3-3-3套,1018发3支，1019发3支，1021发3支</t>
    <phoneticPr fontId="1" type="noConversion"/>
  </si>
  <si>
    <t>20-3-3-3套，1018发3支，1019发3支，1021发3支</t>
    <phoneticPr fontId="1" type="noConversion"/>
  </si>
  <si>
    <t>50-2-2-2-2-2支 ，1016发2支，1017发2支，1018发2支，1019发2支,1021发2支</t>
    <phoneticPr fontId="1" type="noConversion"/>
  </si>
  <si>
    <t>85-3-2-2-2-2-2-2套，1012发3支，1014发2支，1017发2支,1018发2支，1019发2支，1020发2支，1021发2支</t>
    <phoneticPr fontId="1" type="noConversion"/>
  </si>
  <si>
    <t>88-4-6-5-2-2-2-2-2-2-2-2-2-6-2-2-2-2-2-2-2-2-2-2-4-4-2-2-2-2-2-2-2-4-3-1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，1016发2支，1019发4支，1020发3支，1021发1支</t>
    <phoneticPr fontId="1" type="noConversion"/>
  </si>
  <si>
    <t>304卷  50支，0923发10640，0924发6080，0925发9120，1005发4560，1006发3040，1009发4560，1010发7600，1011发4560，1013发7600，1018发3040，1019发10640，1020发3040，1021发7600</t>
    <phoneticPr fontId="1" type="noConversion"/>
  </si>
  <si>
    <t>330卷  50支，0901发6420，0902发6420，0904发3210，0911发7925，0914发6340，0916发3170，0919发12680，0920发3170，0923发7925，0926发11095，1004发7925，1013发6340，1014发3170，1017发9510，1021发6340</t>
    <phoneticPr fontId="1" type="noConversion"/>
  </si>
  <si>
    <t>1016发10439，1021发3210</t>
    <phoneticPr fontId="1" type="noConversion"/>
  </si>
  <si>
    <t>16卷  每卷37米，1022日发166KG</t>
    <phoneticPr fontId="1" type="noConversion"/>
  </si>
  <si>
    <t>17-3-3-3-3套,1018发3支，1019发3支，1021发3支，1022日发3支</t>
    <phoneticPr fontId="1" type="noConversion"/>
  </si>
  <si>
    <t>20-3-3-3-3套，1018发3支，1019发3支，1021发3支，1022发3支</t>
    <phoneticPr fontId="1" type="noConversion"/>
  </si>
  <si>
    <t>18-4-4-1-2支，1016发4支,1017发4支,1020发1支，1022发2支</t>
    <phoneticPr fontId="1" type="noConversion"/>
  </si>
  <si>
    <t>1016发2060，1017发2060，1020发7270，1022发8320</t>
    <phoneticPr fontId="1" type="noConversion"/>
  </si>
  <si>
    <t>30-2-2-2-4-4-2-2-2-2-2-1支，0922发2支，0923发2支，0929发2支，1003发4支，1005发4支，1009发2支，1010发2支，1012发2支，1013发2支，1014发2支，1015发2支,1020发1支,1022发3支</t>
    <phoneticPr fontId="1" type="noConversion"/>
  </si>
  <si>
    <t>50-4-2支，1016发6支，1022发2支</t>
    <phoneticPr fontId="1" type="noConversion"/>
  </si>
  <si>
    <t>88-4-6-5-2-2-2-2-2-2-2-2-2-6-2-2-2-2-2-2-2-2-2-2-4-4-2-2-2-2-2-2-2-4-3-1套，0826日发4支，0827发6支，0828发5支，0829发2支，0831发2支，0901发2支，0902发2支，0903发2支，0907发2支，0908发2支，0909发2支，0910发2支t,0911发6支，0914发2支，0915发2支，0916发2支，0917发2支，0918发2支，0921发2支，0922发2支，0923发2支，0924发2支，0925发4支，1005发4支，1009发2支，1010发2支，1012发2支，1013发2支，1014发2支，1015发2支，1016发2支，1019发4支，1020发3支，1021发1支，1022发1支</t>
    <phoneticPr fontId="1" type="noConversion"/>
  </si>
  <si>
    <t>72-4套，1022发4支</t>
    <phoneticPr fontId="1" type="noConversion"/>
  </si>
  <si>
    <t>50-2-2-2-2-2-4支 ，1016发2支，1017发2支，1018发2支，1019发2支,1021发2支，1022发4支</t>
    <phoneticPr fontId="1" type="noConversion"/>
  </si>
  <si>
    <t>85-3-2-2-2-2-2-2-2套，1012发3支，1014发2支，1017发2支,1018发2支，1019发2支，1020发2支，1021发2支，1022发2支</t>
    <phoneticPr fontId="1" type="noConversion"/>
  </si>
  <si>
    <t>1016发10439，1021发3210，1022发1605</t>
    <phoneticPr fontId="1" type="noConversion"/>
  </si>
  <si>
    <t>20-2-8支，结项减少2套,1023发8支</t>
    <phoneticPr fontId="1" type="noConversion"/>
  </si>
  <si>
    <t>17-3-3-3-3-3套,1018发3支，1019发3支，1021发3支，1022日发3支,1023发3支</t>
    <phoneticPr fontId="1" type="noConversion"/>
  </si>
  <si>
    <t>20-3-3-3-3-3套，1018发3支，1019发3支，1021发3支，1022发3支，1023发3支</t>
    <phoneticPr fontId="1" type="noConversion"/>
  </si>
  <si>
    <t>TXL1215-2.54-100</t>
  </si>
  <si>
    <t>50-2-2-2-2-2-4-2支 ，1016发2支，1017发2支，1018发2支，1019发2支,1021发2支，1022发4支,1023发2支</t>
    <phoneticPr fontId="1" type="noConversion"/>
  </si>
  <si>
    <t>85-3-2-2-2-2-2-2-2-2套，1012发3支，1014发2支，1017发2支,1018发2支，1019发2支，1020发2支，1021发2支，1022发2支，1023发2支</t>
    <phoneticPr fontId="1" type="noConversion"/>
  </si>
  <si>
    <t>72-4-5套，1022发4支，1023发5支</t>
    <phoneticPr fontId="1" type="noConversion"/>
  </si>
  <si>
    <t>18-5套，1023发5支</t>
    <phoneticPr fontId="1" type="noConversion"/>
  </si>
  <si>
    <t>182卷 ，1023发4755</t>
    <phoneticPr fontId="1" type="noConversion"/>
  </si>
  <si>
    <t>GW68.6D大梁</t>
    <phoneticPr fontId="1" type="noConversion"/>
  </si>
  <si>
    <t>单轴玻纤；UDH-1215-230-67m；SR146Ⅱ28前缘；-</t>
  </si>
  <si>
    <t>单轴玻纤；UDH-1215-230；SR152Ⅲ36后缘；-</t>
  </si>
  <si>
    <t>单轴玻纤；UDH-1215-700；SR152Ⅲ36大梁；-</t>
  </si>
  <si>
    <t>单轴玻纤；UDH-1215-230；WB171Ⅰ36后缘；-</t>
    <phoneticPr fontId="1" type="noConversion"/>
  </si>
  <si>
    <t>单轴玻纤；UDH-1215-230-67m；SR146Ⅱ28前缘；-</t>
    <phoneticPr fontId="1" type="noConversion"/>
  </si>
  <si>
    <t>单轴玻纤；UDH-1215-230；SR152Ⅲ36后缘；-</t>
    <phoneticPr fontId="1" type="noConversion"/>
  </si>
  <si>
    <t>单轴玻纤；UDH-1215-700；SR152Ⅲ36大梁；-</t>
    <phoneticPr fontId="1" type="noConversion"/>
  </si>
  <si>
    <t>SR146Ⅱ前缘</t>
    <phoneticPr fontId="1" type="noConversion"/>
  </si>
  <si>
    <t>SR152Ⅲ后缘</t>
    <phoneticPr fontId="1" type="noConversion"/>
  </si>
  <si>
    <t>SR152Ⅲ大梁</t>
  </si>
  <si>
    <t>SR152Ⅲ大梁</t>
    <phoneticPr fontId="1" type="noConversion"/>
  </si>
  <si>
    <t>17-3-3-3-3-3套,1018发3支，1019发3支，1021发3支，1022日发3支,1023发3支，1024发2支</t>
    <phoneticPr fontId="1" type="noConversion"/>
  </si>
  <si>
    <t>20-3-3-3-3-3-3套，1018发3支，1019发3支，1021发3支，1022发3支，1023发3支，1024发3支</t>
    <phoneticPr fontId="1" type="noConversion"/>
  </si>
  <si>
    <t>34卷   50支,1024发642</t>
    <phoneticPr fontId="1" type="noConversion"/>
  </si>
  <si>
    <t>304卷  50支，0923发10640，0924发6080，0925发9120，1005发4560，1006发3040，1009发4560，1010发7600，1011发4560，1013发7600，1018发3040，1019发10640，1020发3040，1021发7600，1024发9120</t>
    <phoneticPr fontId="1" type="noConversion"/>
  </si>
  <si>
    <t>330卷  50支，0901发6420，0902发6420，0904发3210，0911发7925，0914发6340，0916发3170，0919发12680，0920发3170，0923发7925，0926发11095，1004发7925，1013发6340，1014发3170，1017发9510，1021发6340，1024发3175</t>
    <phoneticPr fontId="1" type="noConversion"/>
  </si>
  <si>
    <t>182卷 ，1023发4755，1024发6335</t>
    <phoneticPr fontId="1" type="noConversion"/>
  </si>
  <si>
    <t>77卷 ，1024发381</t>
    <phoneticPr fontId="1" type="noConversion"/>
  </si>
  <si>
    <t>0927发3135，0928发6120，0929发6120，1004发7650，1007发6220，1012发7775，1015发7775，1016发9330，1019发12200，1024发2669</t>
    <phoneticPr fontId="1" type="noConversion"/>
  </si>
  <si>
    <t>1016发10439，1021发3210，1022发1605，1024发6420</t>
    <phoneticPr fontId="1" type="noConversion"/>
  </si>
  <si>
    <t>50-2-2-2-2-2-4-2-2支 ，1016发2支，1017发2支，1018发2支，1019发2支,1021发2支，1022发4支,1023发2支，1024发2支</t>
    <phoneticPr fontId="1" type="noConversion"/>
  </si>
  <si>
    <t>50-4-2-5支，1016发6支，1022发2支，1024发5支</t>
    <phoneticPr fontId="1" type="noConversion"/>
  </si>
  <si>
    <t>85-3-2-2-2-2-2-2-2-2-3套，1012发3支，1014发2支，1017发2支,1018发2支，1019发2支，1020发2支，1021发2支，1022发2支，1023发2支，1024发3支</t>
    <phoneticPr fontId="1" type="noConversion"/>
  </si>
  <si>
    <t>4500071166</t>
    <phoneticPr fontId="1" type="noConversion"/>
  </si>
  <si>
    <t>10-2套+12卷100米，取消了100米的12卷，1025发2支</t>
    <phoneticPr fontId="1" type="noConversion"/>
  </si>
  <si>
    <t>20-3-3-3-3-3-3套，1018发3支，1019发3支，1021发3支，1022发3支，1023发3支，1024发3支，1025发2支</t>
    <phoneticPr fontId="1" type="noConversion"/>
  </si>
  <si>
    <t>0919日取消订单，客户结项新增88卷，按整托先交14托，1018发15960，1025发1140</t>
    <phoneticPr fontId="1" type="noConversion"/>
  </si>
  <si>
    <t>18-4-4-1-2-4支，1016发4支,1017发4支,1020发1支，1022发2支，1025发4支</t>
    <phoneticPr fontId="1" type="noConversion"/>
  </si>
  <si>
    <t>85-3-2-2-2-2-2-2-2-2-3-1套，1012发3支，1014发2支，1017发2支,1018发2支，1019发2支，1020发2支，1021发2支，1022发2支，1023发2支，1024发3支，1025发1支</t>
    <phoneticPr fontId="1" type="noConversion"/>
  </si>
  <si>
    <t>50-2-2-2-2-2-4-2-2-2支 ，1016发2支，1017发2支，1018发2支，1019发2支,1021发2支，1022发4支,1023发2支，1024发2支，1025发2支</t>
    <phoneticPr fontId="1" type="noConversion"/>
  </si>
  <si>
    <t>52卷，1015发2842，1020发1555，1025发5592</t>
    <phoneticPr fontId="1" type="noConversion"/>
  </si>
  <si>
    <t>304卷  50支，0923发10640，0924发6080，0925发9120，1005发4560，1006发3040，1009发4560，1010发7600，1011发4560，1013发7600，1018发3040，1019发10640，1020发3040，1021发7600，1024发9120，1025发7600</t>
    <phoneticPr fontId="1" type="noConversion"/>
  </si>
  <si>
    <t>182卷 ，1023发4755，1024发6335，1025发9510</t>
    <phoneticPr fontId="1" type="noConversion"/>
  </si>
  <si>
    <t>77卷 ，1024发381，1025发3050</t>
    <phoneticPr fontId="1" type="noConversion"/>
  </si>
  <si>
    <t>10-2-3套+12卷100米，取消了100米的12卷，1025发2支,1016日取消了3支，1026发5支</t>
    <phoneticPr fontId="1" type="noConversion"/>
  </si>
  <si>
    <t>18-4-4-1-2-4支，1016发4支,1017发4支,1020发1支，1022发2支，1025发4支，1026发3支</t>
    <phoneticPr fontId="1" type="noConversion"/>
  </si>
  <si>
    <t>结项增加一支叶片，1026发1支</t>
    <phoneticPr fontId="1" type="noConversion"/>
  </si>
  <si>
    <t>12-4套,1012发4支，1026发8支</t>
    <phoneticPr fontId="1" type="noConversion"/>
  </si>
  <si>
    <t>16-5支，1026发5支</t>
    <phoneticPr fontId="1" type="noConversion"/>
  </si>
  <si>
    <t>50-4-2-5-2支，1016发6支，1022发2支，1024发5支，1026发2支</t>
    <phoneticPr fontId="1" type="noConversion"/>
  </si>
  <si>
    <t>50-2-2-2-2-2-4-2-2-2-2支 ，1016发2支，1017发2支，1018发2支，1019发2支,1021发2支，1022发4支,1023发2支，1024发2支，1025发2支，1026发2支</t>
    <phoneticPr fontId="1" type="noConversion"/>
  </si>
  <si>
    <t>34卷   50支,1024发642，1026发3210</t>
    <phoneticPr fontId="1" type="noConversion"/>
  </si>
  <si>
    <t>182卷 ，1023发4755，1024发6335，1025发9510，1026发9510</t>
    <phoneticPr fontId="1" type="noConversion"/>
  </si>
  <si>
    <t>77卷 ，1024发381，1025发3050，1026发6100</t>
    <phoneticPr fontId="1" type="noConversion"/>
  </si>
  <si>
    <t>1016发10439，1021发3210，1022发1605，1024发6420，1026发3210</t>
    <phoneticPr fontId="1" type="noConversion"/>
  </si>
  <si>
    <t>10卷，100m修补备用,SR136/SR146用，10卷鄂尔多斯使用发走</t>
    <phoneticPr fontId="1" type="noConversion"/>
  </si>
  <si>
    <t>套裁数量</t>
  </si>
  <si>
    <t>72-4-5-4套，1022发4支，1023发5支,1027发4支</t>
    <phoneticPr fontId="1" type="noConversion"/>
  </si>
  <si>
    <t>50-4-2-5-2-2支，1016发6支，1022发2支，1024发5支，1026发2支，1027发2支</t>
    <phoneticPr fontId="1" type="noConversion"/>
  </si>
  <si>
    <t>50-2-2-2-2-2-4-2-2-2-2-2支 ，1016发2支，1017发2支，1018发2支，1019发2支,1021发2支，1022发4支,1023发2支，1024发2支，1025发2支，1026发2支，1027发2支</t>
    <phoneticPr fontId="1" type="noConversion"/>
  </si>
  <si>
    <t>182卷 ，1023发4755，1024发6335，1025发9510，1026发9510，1027发9510</t>
    <phoneticPr fontId="1" type="noConversion"/>
  </si>
  <si>
    <t>304卷  50支，0923发10640，0924发6080，0925发9120，1005发4560，1006发3040，1009发4560，1010发7600，1011发4560，1013发7600，1018发3040，1019发10640，1020发3040，1021发7600，1024发9120，1025发7600，1027发13680</t>
    <phoneticPr fontId="1" type="noConversion"/>
  </si>
  <si>
    <t>34卷   50支,1024发642，1026发3210，1027发3210</t>
    <phoneticPr fontId="1" type="noConversion"/>
  </si>
  <si>
    <t>10卷，100m修补备用,SR136/SR146用，取消订单了。</t>
    <phoneticPr fontId="1" type="noConversion"/>
  </si>
  <si>
    <t>50-4-2-5-2-2-6支，1016发6支，1022发2支，1024发5支，1026发2支，1027发2支，1028发6支</t>
    <phoneticPr fontId="1" type="noConversion"/>
  </si>
  <si>
    <t>34卷   50支,1024发642，1026发3210，1027发3210，1028发3210</t>
    <phoneticPr fontId="1" type="noConversion"/>
  </si>
  <si>
    <t>182卷 ，1023发4755，1024发6335，1025发9510，1026发9510，1027发9510，1028发9510</t>
    <phoneticPr fontId="1" type="noConversion"/>
  </si>
  <si>
    <t>304卷  50支，0923发10640，0924发6080，0925发9120，1005发4560，1006发3040，1009发4560，1010发7600，1011发4560，1013发7600，1018发3040，1019发10640，1020发3040，1021发7600，1024发9120，1025发7600，1027发13680，1028发3040</t>
    <phoneticPr fontId="1" type="noConversion"/>
  </si>
  <si>
    <t>27-10-6-5支，1005发10支，1013发6支，1028发5支</t>
    <phoneticPr fontId="1" type="noConversion"/>
  </si>
  <si>
    <t>25-13-8支,1011发13支，1012发8支，1028发4支</t>
    <phoneticPr fontId="1" type="noConversion"/>
  </si>
  <si>
    <t>9+4支，结项需要13套，1028发13支</t>
    <phoneticPr fontId="1" type="noConversion"/>
  </si>
  <si>
    <t>20-2-8-4支，结项减少2套,1023发8支，1028发4支</t>
    <phoneticPr fontId="1" type="noConversion"/>
  </si>
  <si>
    <t>与SR136I28后缘玻纤规格、原纱一致规格为230mm*222.4m需求数量：10卷，1028发700KG</t>
    <phoneticPr fontId="1" type="noConversion"/>
  </si>
  <si>
    <t>50-4-2-5-2-2-6-1-4支，1016发6支，1022发2支，1024发5支，1026发2支，1027发2支，1028发6支，结项减少1支，1029发4支</t>
    <phoneticPr fontId="1" type="noConversion"/>
  </si>
  <si>
    <t>50-2-2-2-2-2-4-2-2-2-2-2+1-4支 ，1016发2支，1017发2支，1018发2支，1019发2支,1021发2支，1022发4支,1023发2支，1024发2支，1025发2支，1026发2支，1027发2支，结项增加1支，1029发4支</t>
    <phoneticPr fontId="1" type="noConversion"/>
  </si>
  <si>
    <t>结项8卷，，1029发3040</t>
    <phoneticPr fontId="1" type="noConversion"/>
  </si>
  <si>
    <t>双轴玻纤；2AX-1000-0550；1270mm×100m；-</t>
  </si>
  <si>
    <t>BX1000-1.27-100</t>
  </si>
  <si>
    <t>BX1000-1.27-100</t>
    <phoneticPr fontId="1" type="noConversion"/>
  </si>
  <si>
    <t>TLX1215-1.27-100</t>
  </si>
  <si>
    <t>GW68.6D大梁</t>
  </si>
  <si>
    <t>BX800-1.27-100</t>
  </si>
  <si>
    <t>SR152-Ⅲ叶型</t>
  </si>
  <si>
    <t>SR152-Ⅲ叶型</t>
    <phoneticPr fontId="1" type="noConversion"/>
  </si>
  <si>
    <t>SR146-Ⅱ套裁</t>
  </si>
  <si>
    <t>SR146-II叶型</t>
  </si>
  <si>
    <t>SR140大梁</t>
  </si>
  <si>
    <t>50-2-2-2-2-2-4-2-2-2-2-2+1-4-2支 ，1016发2支，1017发2支，1018发2支，1019发2支,1021发2支，1022发4支,1023发2支，1024发2支，1025发2支，1026发2支，1027发2支，结项增加1支，1029发4支，1030发2支</t>
    <phoneticPr fontId="1" type="noConversion"/>
  </si>
  <si>
    <t>50-6-2-5-2-2-6-1-4-11支，1016发6支，1022发2支，1024发5支，1026发2支，1027发2支，1028发6支，结项减少1支，1029发4支，1030发11支</t>
    <phoneticPr fontId="1" type="noConversion"/>
  </si>
  <si>
    <t>16-5-5支，1026发5支，1030发5支</t>
    <phoneticPr fontId="1" type="noConversion"/>
  </si>
  <si>
    <t>48卷,1030发9120</t>
    <phoneticPr fontId="1" type="noConversion"/>
  </si>
  <si>
    <t>50-2-2-2-2-2-4-2-2-2-2-2+1-4-2-2支 ，1016发2支，1017发2支，1018发2支，1019发2支,1021发2支，1022发4支,1023发2支，1024发2支，1025发2支，1026发2支，1027发2支，结项增加1支，1029发4支，1030发2支，1031发2支</t>
    <phoneticPr fontId="1" type="noConversion"/>
  </si>
  <si>
    <t>3支，1031发3支</t>
    <phoneticPr fontId="1" type="noConversion"/>
  </si>
  <si>
    <t>30-9-13支，重新需要订单30支,1011发9支,1012发13,1031发8支</t>
    <phoneticPr fontId="1" type="noConversion"/>
  </si>
  <si>
    <t>33-4支，1031发4支</t>
    <phoneticPr fontId="1" type="noConversion"/>
  </si>
  <si>
    <t>三轴玻纤；3AX-1250-6330；1270mm×100m；-</t>
  </si>
  <si>
    <t>单轴玻纤；UDH-1250-250；GW140Ⅰ28（68.6D）后缘；-</t>
  </si>
  <si>
    <t>双轴玻纤；2AX-0600-0330；1270mm×100m；-</t>
  </si>
  <si>
    <t/>
  </si>
  <si>
    <t>GW68.6D后缘</t>
  </si>
  <si>
    <t>GW68.6D后缘</t>
    <phoneticPr fontId="1" type="noConversion"/>
  </si>
  <si>
    <t>BX600-1.27-100</t>
  </si>
  <si>
    <t>BX600-1.27-100</t>
    <phoneticPr fontId="1" type="noConversion"/>
  </si>
  <si>
    <t>TLX1250-1.27-100</t>
    <phoneticPr fontId="1" type="noConversion"/>
  </si>
  <si>
    <t>8套，1031发8支</t>
    <phoneticPr fontId="1" type="noConversion"/>
  </si>
  <si>
    <t>1031日发3850</t>
    <phoneticPr fontId="1" type="noConversion"/>
  </si>
  <si>
    <t>GW68.6D叶型</t>
  </si>
  <si>
    <t>GW68.6D叶型</t>
    <phoneticPr fontId="1" type="noConversion"/>
  </si>
  <si>
    <t>BX800-1.27-100</t>
    <phoneticPr fontId="1" type="noConversion"/>
  </si>
  <si>
    <t>BX1000-1.27-100</t>
    <phoneticPr fontId="1" type="noConversion"/>
  </si>
  <si>
    <t>TLX1215-1.27-100</t>
    <phoneticPr fontId="1" type="noConversion"/>
  </si>
  <si>
    <t>50-2-2-2-2-2-4-2-2-2-2-2+1-4-2-2支 ，1016发2支，1017发2支，1018发2支，1019发2支,1021发2支，1022发4支,1023发2支，1024发2支，1025发2支，1026发2支，1027发2支，结项增加1支，1029发4支，1030发2支，1031发2支，1101发1支加6支PS</t>
    <phoneticPr fontId="1" type="noConversion"/>
  </si>
  <si>
    <t>1101发16610KG</t>
    <phoneticPr fontId="1" type="noConversion"/>
  </si>
  <si>
    <t>1101发102</t>
    <phoneticPr fontId="1" type="noConversion"/>
  </si>
  <si>
    <t>1101发477</t>
    <phoneticPr fontId="1" type="noConversion"/>
  </si>
  <si>
    <t>1101发470</t>
    <phoneticPr fontId="1" type="noConversion"/>
  </si>
  <si>
    <t>1101发623</t>
    <phoneticPr fontId="1" type="noConversion"/>
  </si>
  <si>
    <t>50-2-2-2-2-2-4-2-2-2-2-2+1-4-2-2支 ，1016发2支，1017发2支，1018发2支，1019发2支,1021发2支，1022发4支,1023发2支，1024发2支，1025发2支，1026发2支，1027发2支，结项增加1支，1029发4支，1030发2支，1031发2支，1101发1支加6支PS，1102发2支加2支SS</t>
    <phoneticPr fontId="1" type="noConversion"/>
  </si>
  <si>
    <t>50-6-2-5-2-2-6-1-4-11-5支，1016发6支，1022发2支，1024发5支，1026发2支，1027发2支，1028发6支，结项减少1支，1029发4支，1030发11支，1102发5支</t>
    <phoneticPr fontId="1" type="noConversion"/>
  </si>
  <si>
    <t>27-10-6-5-5支，1005发10支，1013发6支，1028发5支，1102发5支</t>
    <phoneticPr fontId="1" type="noConversion"/>
  </si>
  <si>
    <t>1101发16610KG，1103发4160</t>
    <phoneticPr fontId="1" type="noConversion"/>
  </si>
  <si>
    <t>1103发7464</t>
    <phoneticPr fontId="1" type="noConversion"/>
  </si>
  <si>
    <t>96卷，1103发6840</t>
    <phoneticPr fontId="1" type="noConversion"/>
  </si>
  <si>
    <t>45卷 SR146-1卷布结项需求，1103发9510</t>
    <phoneticPr fontId="1" type="noConversion"/>
  </si>
  <si>
    <t>73卷   SR146-1卷布结项需求，1103发13680</t>
    <phoneticPr fontId="1" type="noConversion"/>
  </si>
  <si>
    <t>50-2-2-2-2-2-4-2-2-2-2-2+1-4-2-2-1-6-2支 ，1016发2支，1017发2支，1018发2支，1019发2支,1021发2支，1022发4支,1023发2支，1024发2支，1025发2支，1026发2支，1027发2支，结项增加1支，1029发4支，1030发2支，1031发2支，1101发1支加6支PS，1102发2支加2支SS，1103发4支SS</t>
    <phoneticPr fontId="1" type="noConversion"/>
  </si>
  <si>
    <t>50-6-2-5-2-2-6-1-4-11-5-5支，1016发6支，1022发2支，1024发5支，1026发2支，1027发2支，1028发6支，结项减少1支，1029发4支，1030发11支，1102发5支，1103发5支</t>
    <phoneticPr fontId="1" type="noConversion"/>
  </si>
  <si>
    <t>2套，1104发2支</t>
    <phoneticPr fontId="1" type="noConversion"/>
  </si>
  <si>
    <t>1103发7464，1104发5598</t>
    <phoneticPr fontId="1" type="noConversion"/>
  </si>
  <si>
    <t>1101发16610KG，1103发4160，1104发4160</t>
    <phoneticPr fontId="1" type="noConversion"/>
  </si>
  <si>
    <t>73卷   SR146-1卷布结项需求，1103发13680，1104发10640</t>
    <phoneticPr fontId="1" type="noConversion"/>
  </si>
  <si>
    <t>45卷 SR146-1卷布结项需求，1103发9510，1104发4755</t>
    <phoneticPr fontId="1" type="noConversion"/>
  </si>
  <si>
    <t>1030发970KG</t>
    <phoneticPr fontId="1" type="noConversion"/>
  </si>
  <si>
    <t>36-2支,1105发2支</t>
    <phoneticPr fontId="1" type="noConversion"/>
  </si>
  <si>
    <t>1103发7464，1104发5598，1105发3732</t>
    <phoneticPr fontId="1" type="noConversion"/>
  </si>
  <si>
    <t>1101发16610KG，1103发4160，1104发4160，1105发2080</t>
    <phoneticPr fontId="1" type="noConversion"/>
  </si>
  <si>
    <t>96卷，1103发6840，1105发4560</t>
    <phoneticPr fontId="1" type="noConversion"/>
  </si>
  <si>
    <t>50-2-2-2-2-2-4-2-2-2-2-2+1-4-2-2-1-6-2-4支 ，1016发2支，1017发2支，1018发2支，1019发2支,1021发2支，1022发4支,1023发2支，1024发2支，1025发2支，1026发2支，1027发2支，结项增加1支，1029发4支，1030发2支，1031发2支，1101发1支加6支PS，1102发2支加2支SS，1103发4支SS，1105发4支</t>
    <phoneticPr fontId="1" type="noConversion"/>
  </si>
  <si>
    <t>研发实验使用，1105发1585</t>
    <phoneticPr fontId="1" type="noConversion"/>
  </si>
  <si>
    <t>73卷   SR146-1卷布结项需求，1103发13680，1104发10640，1105发3493</t>
    <phoneticPr fontId="1" type="noConversion"/>
  </si>
  <si>
    <t>研发实验使用，1105发2587</t>
    <phoneticPr fontId="1" type="noConversion"/>
  </si>
  <si>
    <t>8-5支，1106发5支</t>
    <phoneticPr fontId="1" type="noConversion"/>
  </si>
  <si>
    <t>36-2-2支,1105发2支,1106发2支</t>
    <phoneticPr fontId="1" type="noConversion"/>
  </si>
  <si>
    <t>1103发7464，1104发5598，1105发3732，1106发4665</t>
    <phoneticPr fontId="1" type="noConversion"/>
  </si>
  <si>
    <t>96卷，1103发6840，1105发4560，1106发3420</t>
    <phoneticPr fontId="1" type="noConversion"/>
  </si>
  <si>
    <t>130卷，1106发1872</t>
    <phoneticPr fontId="1" type="noConversion"/>
  </si>
  <si>
    <t>50-6-2-5-2-2-6-1-4-11-5-5支，1016发6支，1022发2支，1024发5支，1026发2支，1027发2支，1028发6支，结项减少1支，1029发4支，1030发11支，1102发5支，1103发5支,1106发1支</t>
    <phoneticPr fontId="1" type="noConversion"/>
  </si>
  <si>
    <t>50-2-2-2-2-2-4-2-2-2-2-2+1-4-2-2-1-6-2-4支 ，1016发2支，1017发2支，1018发2支，1019发2支,1021发2支，1022发4支,1023发2支，1024发2支，1025发2支，1026发2支，1027发2支，结项增加1支，1029发4支，1030发2支，1031发2支，1101发1支加6支PS，1102发2支加2支SS，1103发4支SS，1105发4支，1106发1支</t>
    <phoneticPr fontId="1" type="noConversion"/>
  </si>
  <si>
    <t>单轴玻纤；UDH-1215-230；WB171Ⅰ36后缘；-</t>
    <phoneticPr fontId="1" type="noConversion"/>
  </si>
  <si>
    <t>36-2-2-2支,1105发2支,1106发2支,1107发2支</t>
    <phoneticPr fontId="1" type="noConversion"/>
  </si>
  <si>
    <t>1101发16610KG，1103发4160，1104发4160，1105发2080，1107发3110</t>
    <phoneticPr fontId="1" type="noConversion"/>
  </si>
  <si>
    <t>1103发7464，1104发5598，1105发3732，1106发4665，1107发4665</t>
    <phoneticPr fontId="1" type="noConversion"/>
  </si>
  <si>
    <t>130卷，1106发1872，1107发2080</t>
    <phoneticPr fontId="1" type="noConversion"/>
  </si>
  <si>
    <t>1107发1540</t>
    <phoneticPr fontId="1" type="noConversion"/>
  </si>
  <si>
    <t>182卷 ，1023发4755，1024发6335，1025发9510，1026发9510，1027发9510，1028发9510，1107发4755</t>
    <phoneticPr fontId="1" type="noConversion"/>
  </si>
  <si>
    <t>36-2-2-2-2支,1105发2支,1106发2支,1107发2支,1108发2支</t>
    <phoneticPr fontId="1" type="noConversion"/>
  </si>
  <si>
    <t>1101发16610KG，1103发4160，1104发4160，1105发2080，1107发3110，1108发2080</t>
    <phoneticPr fontId="1" type="noConversion"/>
  </si>
  <si>
    <t>96卷，1103发6840，1105发4560，1106发3420，1108发3420</t>
    <phoneticPr fontId="1" type="noConversion"/>
  </si>
  <si>
    <t>1103发7464，1104发5598，1105发3732，1106发4665，1107发4665，1108发4665</t>
    <phoneticPr fontId="1" type="noConversion"/>
  </si>
  <si>
    <t>130卷，1106发1872，1107发2080，1108发2288</t>
    <phoneticPr fontId="1" type="noConversion"/>
  </si>
  <si>
    <t>16-5-5-5支，1026发5支，1030发5支，1109发5支</t>
    <phoneticPr fontId="1" type="noConversion"/>
  </si>
  <si>
    <t>72-4-5-4-2套，1022发4支，1023发5支,1027发4支，1109发2支</t>
    <phoneticPr fontId="1" type="noConversion"/>
  </si>
  <si>
    <t>85-3-2-2-2-2-2-2-2-2-3-1-1套，1012发3支，1014发2支，1017发2支,1018发2支，1019发2支，1020发2支，1021发2支，1022发2支，1023发2支，1024发3支，1025发1支，1109发1支</t>
    <phoneticPr fontId="1" type="noConversion"/>
  </si>
  <si>
    <t>36-2-2-2-2-2支,1105发2支,1106发2支,1107发2支,1108发2支，1109发2支</t>
    <phoneticPr fontId="1" type="noConversion"/>
  </si>
  <si>
    <t>7+12-4支,结项，1109发4支</t>
    <phoneticPr fontId="1" type="noConversion"/>
  </si>
  <si>
    <t>130卷，1106发1872，1107发2080，1108发2288，1109发1754</t>
    <phoneticPr fontId="1" type="noConversion"/>
  </si>
  <si>
    <t>1103发7464，1104发5598，1105发3732，1106发4665，1107发4665，1108发4665，1109发5598</t>
    <phoneticPr fontId="1" type="noConversion"/>
  </si>
  <si>
    <t>单轴玻纤；UDH-1250-250；SR210Ⅰ48 大梁尖部；-</t>
  </si>
  <si>
    <t>单轴玻纤；UDH-1215-250；SR210Ⅰ48 辅梁；-</t>
  </si>
  <si>
    <t>单轴玻纤；UDH-1215-250；SR210Ⅰ48 后缘；-</t>
  </si>
  <si>
    <t>单轴玻纤；UDH-1250-800；SR210Ⅰ48大梁SS面；-</t>
  </si>
  <si>
    <t>单轴玻纤；UDH-1250-250；SR210Ⅰ48 大梁尖部；-</t>
    <phoneticPr fontId="1" type="noConversion"/>
  </si>
  <si>
    <t>SR210大梁尖部</t>
    <phoneticPr fontId="1" type="noConversion"/>
  </si>
  <si>
    <t>单轴玻纤；UDH-1215-250；SR210Ⅰ48 辅梁；-</t>
    <phoneticPr fontId="1" type="noConversion"/>
  </si>
  <si>
    <t>SR210辅梁</t>
    <phoneticPr fontId="1" type="noConversion"/>
  </si>
  <si>
    <t>单轴玻纤；UDH-1215-250；SR210Ⅰ48 后缘；-</t>
    <phoneticPr fontId="1" type="noConversion"/>
  </si>
  <si>
    <t>SR210后缘</t>
    <phoneticPr fontId="1" type="noConversion"/>
  </si>
  <si>
    <t>单轴玻纤；UDH-1250-800；SR210Ⅰ48大梁SS面；-</t>
    <phoneticPr fontId="1" type="noConversion"/>
  </si>
  <si>
    <t>SR210大梁SS</t>
    <phoneticPr fontId="1" type="noConversion"/>
  </si>
  <si>
    <t>1103发7464，1104发5598，1105发3732，1106发4665，1107发4665，1108发4665，1109发5598，1110发9330</t>
    <phoneticPr fontId="1" type="noConversion"/>
  </si>
  <si>
    <t>10-4套，1110发4支</t>
    <phoneticPr fontId="1" type="noConversion"/>
  </si>
  <si>
    <t>130卷，1106发1872，1107发2080，1108发2288，1109发1754，1110发2288</t>
    <phoneticPr fontId="1" type="noConversion"/>
  </si>
  <si>
    <t>PS面1套，1110发0.5支</t>
    <phoneticPr fontId="1" type="noConversion"/>
  </si>
  <si>
    <t>85-3-2-2-2-2-2-2-2-2-3-1-1-3套，1012发3支，1014发2支，1017发2支,1018发2支，1019发2支，1020发2支，1021发2支，1022发2支，1023发2支，1024发3支，1025发1支，1109发1支，1110发3支</t>
    <phoneticPr fontId="1" type="noConversion"/>
  </si>
  <si>
    <t>72-4-5-4-2套，1022发4支，1023发5支,1027发4支，1109发2支，1110发4支</t>
    <phoneticPr fontId="1" type="noConversion"/>
  </si>
  <si>
    <t>1101发16610KG，1103发4160，1104发4160，1105发2080，1107发3110，1108发2080,1111发10370</t>
    <phoneticPr fontId="1" type="noConversion"/>
  </si>
  <si>
    <t>7+12-4-4支,结项，1109发4支，1111发4支</t>
    <phoneticPr fontId="1" type="noConversion"/>
  </si>
  <si>
    <t>10-4-4套，1110发4支，1111发4支</t>
    <phoneticPr fontId="1" type="noConversion"/>
  </si>
  <si>
    <t>130卷，1106发1872，1107发2080，1108发2288，1109发1754，1110发2288，1111发2288</t>
    <phoneticPr fontId="1" type="noConversion"/>
  </si>
  <si>
    <t>8-5支，1112发5支</t>
    <phoneticPr fontId="1" type="noConversion"/>
  </si>
  <si>
    <t>12支，结项增加.1112发4支</t>
    <phoneticPr fontId="1" type="noConversion"/>
  </si>
  <si>
    <t>7+12-4-4-2支,结项，1109发4支，1111发4支，1112发2支</t>
    <phoneticPr fontId="1" type="noConversion"/>
  </si>
  <si>
    <t>10-4-4套，1110发4支，1111发4支，1112发2支</t>
    <phoneticPr fontId="1" type="noConversion"/>
  </si>
  <si>
    <t>1103发7464，1104发5598，1105发3732，1106发4665，1107发4665，1108发4665，1109发5598，1110发9330，1112发4354</t>
    <phoneticPr fontId="1" type="noConversion"/>
  </si>
  <si>
    <t>1101发16610KG，1103发4160，1104发4160，1105发2080，1107发3110，1108发2080,1111发10370，1112发5190</t>
    <phoneticPr fontId="1" type="noConversion"/>
  </si>
  <si>
    <t>85-3-2-2-2-2-2-2-2-2-3-1-1-3-3套，1012发3支，1014发2支，1017发2支,1018发2支，1019发2支，1020发2支，1021发2支，1022发2支，1023发2支，1024发3支，1025发1支，1109发1支，1110发3支，1113发3支</t>
    <phoneticPr fontId="1" type="noConversion"/>
  </si>
  <si>
    <t>72-4-5-4-2-9套，1022发4支，1023发5支,1027发4支，1109发2支，1110发4支，1113发9支</t>
    <phoneticPr fontId="1" type="noConversion"/>
  </si>
  <si>
    <t>27卷 18支152-3叶型卷布，1113发2568</t>
    <phoneticPr fontId="1" type="noConversion"/>
  </si>
  <si>
    <t>182卷 ，1023发4755，1024发6335，1025发9510，1026发9510，1027发9510，1028发9510，1107发4755，1113发3835</t>
    <phoneticPr fontId="1" type="noConversion"/>
  </si>
  <si>
    <t>140卷  18支152-3叶型卷布，1113发5675，1113发5675</t>
    <phoneticPr fontId="1" type="noConversion"/>
  </si>
  <si>
    <t>单轴玻纤；UDH-1215-230；WB171Ⅰ36后缘；-</t>
    <phoneticPr fontId="1" type="noConversion"/>
  </si>
  <si>
    <t>7+12-4-4-2-2支,结项，1109发4支，1111发4支，1112发2支,1113发2支</t>
    <phoneticPr fontId="1" type="noConversion"/>
  </si>
  <si>
    <t>36-2-2-2-2-2-4支,1105发2支,1106发2支,1107发2支,1108发2支，1109发2支，1113发4支</t>
    <phoneticPr fontId="1" type="noConversion"/>
  </si>
  <si>
    <t>1113发4000</t>
    <phoneticPr fontId="1" type="noConversion"/>
  </si>
  <si>
    <t>1113发1300</t>
    <phoneticPr fontId="1" type="noConversion"/>
  </si>
  <si>
    <t>1113发4000,1114发4160</t>
    <phoneticPr fontId="1" type="noConversion"/>
  </si>
  <si>
    <t>1107发1540,1114发1060</t>
    <phoneticPr fontId="1" type="noConversion"/>
  </si>
  <si>
    <t>1031日发3850，1114发864</t>
    <phoneticPr fontId="1" type="noConversion"/>
  </si>
  <si>
    <t>1113发1300，增加228KG补足发货量，1114发676</t>
    <phoneticPr fontId="1" type="noConversion"/>
  </si>
  <si>
    <t>12-4-2支，结项增加.1112发4支，1113发2支</t>
    <phoneticPr fontId="1" type="noConversion"/>
  </si>
  <si>
    <t>7+12-4-4-2-2-2支,结项，1109发4支，1111发4支，1112发2支,1113发2支，1114发2支</t>
    <phoneticPr fontId="1" type="noConversion"/>
  </si>
  <si>
    <t>单轴玻纤；UDH-1215-230；WB171Ⅰ36后缘；-</t>
    <phoneticPr fontId="1" type="noConversion"/>
  </si>
  <si>
    <t>140卷  18支152-3叶型卷布，1113发5675，1115发4755</t>
    <phoneticPr fontId="1" type="noConversion"/>
  </si>
  <si>
    <t>1016发10439，1021发3210，1022发1605，1024发6420，1026发3210,1115发9630</t>
    <phoneticPr fontId="1" type="noConversion"/>
  </si>
  <si>
    <t>33-4-4支，1031发4支，1115发4支</t>
    <phoneticPr fontId="1" type="noConversion"/>
  </si>
  <si>
    <t>1113发4000,1114发4160,1115发6210</t>
    <phoneticPr fontId="1" type="noConversion"/>
  </si>
  <si>
    <t>12-4-2-2支，结项增加.1112发4支，1113发2支，1115发2支</t>
    <phoneticPr fontId="1" type="noConversion"/>
  </si>
  <si>
    <t>7+12-4-4-2-2-2-2支,结项，1109发4支，1111发4支，1112发2支,1113发2支，1114发2支，1115发2支</t>
    <phoneticPr fontId="1" type="noConversion"/>
  </si>
  <si>
    <t>36-2-2-2-2-2-4-4支,1105发2支,1106发2支,1107发2支,1108发2支，1109发2支，1113发4支，1115发4支</t>
    <phoneticPr fontId="1" type="noConversion"/>
  </si>
  <si>
    <t>13-5套,1116发5支</t>
    <phoneticPr fontId="1" type="noConversion"/>
  </si>
  <si>
    <t>27卷 18支152-3叶型卷布，1113发2568,1116发3210</t>
    <phoneticPr fontId="1" type="noConversion"/>
  </si>
  <si>
    <t>1016发10439，1021发3210，1022发1605，1024发6420，1026发3210,1115发9630，1116发6420</t>
    <phoneticPr fontId="1" type="noConversion"/>
  </si>
  <si>
    <t>85-3-2-2-2-2-2-2-2-2-3-1-1-3-3-1套，1012发3支，1014发2支，1017发2支,1018发2支，1019发2支，1020发2支，1021发2支，1022发2支，1023发2支，1024发3支，1025发1支，1109发1支，1110发3支，1113发3支，1116发1支</t>
    <phoneticPr fontId="1" type="noConversion"/>
  </si>
  <si>
    <t>每次至少到货10吨,1116发2351</t>
    <phoneticPr fontId="1" type="noConversion"/>
  </si>
  <si>
    <t>1103发7464，1104发5598，1105发3732，1106发4665，1107发4665，1108发4665，1109发5598，1110发9330，1112发4354，1116发1381</t>
    <phoneticPr fontId="1" type="noConversion"/>
  </si>
  <si>
    <t>1113发4000,1114发4160,1115发6210从，1116发6230</t>
    <phoneticPr fontId="1" type="noConversion"/>
  </si>
  <si>
    <t>12-4-2-2-3支，结项增加.1112发4支，1113发2支，1115发2支，1116发3支</t>
    <phoneticPr fontId="1" type="noConversion"/>
  </si>
  <si>
    <t>7+12-4-4-2-2-2-2支,结项，1109发4支，1111发4支，1112发2支,1113发2支，1114发2支，1115发2支，1116发3支</t>
    <phoneticPr fontId="1" type="noConversion"/>
  </si>
  <si>
    <t>SS面1套，1117日发0.5套</t>
    <phoneticPr fontId="1" type="noConversion"/>
  </si>
  <si>
    <t>1016发10439，1021发3210，1022发1605，1024发6420，1026发3210,1115发9630，1116发6420，1117发4815</t>
    <phoneticPr fontId="1" type="noConversion"/>
  </si>
  <si>
    <t>140卷  18支152-3叶型卷布，1113发5675，1115发4755，1117发3170</t>
    <phoneticPr fontId="1" type="noConversion"/>
  </si>
  <si>
    <t>33支,1117发33支</t>
    <phoneticPr fontId="1" type="noConversion"/>
  </si>
  <si>
    <t>33-4-4-3支，1031发4支，1115发4支，1117发3支</t>
    <phoneticPr fontId="1" type="noConversion"/>
  </si>
  <si>
    <t>12-4-2-2-3支，结项增加.1112发4支，1113发2支，1115发2支，1116发3支，1117发1支</t>
    <phoneticPr fontId="1" type="noConversion"/>
  </si>
  <si>
    <t>每次至少到货10吨,1116发2351，1117发5598</t>
    <phoneticPr fontId="1" type="noConversion"/>
  </si>
  <si>
    <t>1113发4000,1114发4160,1115发6210从，1116发6230，1117发6984</t>
    <phoneticPr fontId="1" type="noConversion"/>
  </si>
  <si>
    <t>130卷，1106发1872，1107发2080，1108发2288，1109发1754，1110发2288，1111发2288，1117发1144</t>
    <phoneticPr fontId="1" type="noConversion"/>
  </si>
  <si>
    <t>12-7支 ，1118发7支</t>
    <phoneticPr fontId="1" type="noConversion"/>
  </si>
  <si>
    <t>18-2支  技术要求见附件，1118发2支</t>
    <phoneticPr fontId="1" type="noConversion"/>
  </si>
  <si>
    <t>1016发10439，1021发3210，1022发1605，1024发6420，1026发3210,1115发9630，1116发6420，1117发4815，1118发1605</t>
    <phoneticPr fontId="1" type="noConversion"/>
  </si>
  <si>
    <t>140卷  18支152-3叶型卷布，1113发5675，1115发4755，1117发3170，1118发1585</t>
    <phoneticPr fontId="1" type="noConversion"/>
  </si>
  <si>
    <t>每次至少到货10吨,1116发2351，1117发5598，1118发7434</t>
    <phoneticPr fontId="1" type="noConversion"/>
  </si>
  <si>
    <t>1113发4000,1114发4160,1115发6210从，1116发6230，1117发6984，1118发8200</t>
    <phoneticPr fontId="1" type="noConversion"/>
  </si>
  <si>
    <t>20-2-8-4支，结项减少2套,1023发8支，1028发4支，1119发6支</t>
    <phoneticPr fontId="1" type="noConversion"/>
  </si>
  <si>
    <t>报废，需要补充2整套+2套SS面，1119发2支+2SS</t>
    <phoneticPr fontId="1" type="noConversion"/>
  </si>
  <si>
    <t>6套，1119发6支</t>
    <phoneticPr fontId="1" type="noConversion"/>
  </si>
  <si>
    <t>SS面1套，1119发1SS</t>
    <phoneticPr fontId="1" type="noConversion"/>
  </si>
  <si>
    <t>140卷  18支152-3叶型卷布，1113发5675，1115发4755，1117发3170，1118发1585，1119发1590</t>
    <phoneticPr fontId="1" type="noConversion"/>
  </si>
  <si>
    <t>132卷，1119发5348</t>
    <phoneticPr fontId="1" type="noConversion"/>
  </si>
  <si>
    <t>每次至少到货10吨,1116发2351，1117发5598，1118发7434,1119发7389</t>
    <phoneticPr fontId="1" type="noConversion"/>
  </si>
  <si>
    <t>1113发4000,1114发4160,1115发6210从，1116发6230，1117发6984，1118发8200，1119发6220</t>
    <phoneticPr fontId="1" type="noConversion"/>
  </si>
  <si>
    <t>36-2-2-2-2-2-4-4-1支,1105发2支,1106发2支,1107发2支,1108发2支，1109发2支，1113发4支，1115发4支，1119发1支</t>
    <phoneticPr fontId="1" type="noConversion"/>
  </si>
  <si>
    <t>36-2-2-2-2-2-4-4-1-1支,1105发2支,1106发2支,1107发2支,1108发2支，1109发2支，1113发4支，1115发4支，1119发1支,1120发1支</t>
    <phoneticPr fontId="1" type="noConversion"/>
  </si>
  <si>
    <t>1113发4000,1114发4160,1115发6210从，1116发6230，1117发6984，1118发8200，1119发6220，1120发11220</t>
    <phoneticPr fontId="1" type="noConversion"/>
  </si>
  <si>
    <t>每次至少到货10吨,1116发2351，1117发5598，1118发7434,1119发7389，1120发2754</t>
    <phoneticPr fontId="1" type="noConversion"/>
  </si>
  <si>
    <t>13-5-5套,1116发5支，1120发5支</t>
    <phoneticPr fontId="1" type="noConversion"/>
  </si>
  <si>
    <t>132卷，1119发5348，1120发7052</t>
    <phoneticPr fontId="1" type="noConversion"/>
  </si>
  <si>
    <t>140卷  18支152-3叶型卷布，1113发5675，1115发4755，1117发3170，1118发1585，1119发1590，1120发4770</t>
    <phoneticPr fontId="1" type="noConversion"/>
  </si>
  <si>
    <t>18-2-2支  技术要求见附件，1118发2支，1120发2支</t>
    <phoneticPr fontId="1" type="noConversion"/>
  </si>
  <si>
    <t>33-4-4-3-4支，1031发4支，1115发4支，1117发3支，1121发4支</t>
    <phoneticPr fontId="1" type="noConversion"/>
  </si>
  <si>
    <t>36-2-2-2-2-2-4-4-1-1-1支,1105发2支,1106发2支,1107发2支,1108发2支，1109发2支，1113发4支，1115发4支，1119发1支,1120发1支，1122发1支</t>
    <phoneticPr fontId="1" type="noConversion"/>
  </si>
  <si>
    <t>1113发4000,1114发4160,1115发6210从，1116发6230，1117发6984，1118发8200，1119发6220，1120发11220，1122发5140</t>
    <phoneticPr fontId="1" type="noConversion"/>
  </si>
  <si>
    <t>每次至少到货10吨,1116发2351，1117发5598，1118发7434,1119发7389，1120发2754，1122发8262</t>
    <phoneticPr fontId="1" type="noConversion"/>
  </si>
  <si>
    <t>140卷  18支152-3叶型卷布，1113发5675，1115发4755，1117发3170，1118发1585，1119发1590，1120发4770，1122发6360</t>
    <phoneticPr fontId="1" type="noConversion"/>
  </si>
  <si>
    <t>36-2-2-2-2-2-4-4-1-1-1-1支,1105发2支,1106发2支,1107发2支,1108发2支，1109发2支，1113发4支，1115发4支，1119发1支,1120发1支，1122发1支,1123发1支</t>
    <phoneticPr fontId="1" type="noConversion"/>
  </si>
  <si>
    <t>每次至少到货10吨,1116发2351，1117发5598，1118发7434,1119发7389，1120发2754，1122发8262，1123发10098</t>
    <phoneticPr fontId="1" type="noConversion"/>
  </si>
  <si>
    <t>1113发4000,1114发4160,1115发6210从，1116发6230，1117发6984，1118发8200，1119发6220，1120发11220，1122发5140，1123发3100</t>
    <phoneticPr fontId="1" type="noConversion"/>
  </si>
  <si>
    <t>140卷  18支152-3叶型卷布，1113发5675，1115发4755，1117发3170，1118发1585，1119发1590，1120发4770，1122发6360，1123发6360</t>
    <phoneticPr fontId="1" type="noConversion"/>
  </si>
  <si>
    <t>72-4-5-4-2-9-4套，1022发4支，1023发5支,1027发4支，1109发2支，1110发4支，1113发9支，1123发4支</t>
    <phoneticPr fontId="1" type="noConversion"/>
  </si>
  <si>
    <t>85-3-2-2-2-2-2-2-2-2-3-1-1-3-3-1-3套，1012发3支，1014发2支，1017发2支,1018发2支，1019发2支，1020发2支，1021发2支，1022发2支，1023发2支，1024发3支，1025发1支，1109发1支，1110发3支，1113发3支，1116发1支，1123发3支</t>
    <phoneticPr fontId="1" type="noConversion"/>
  </si>
  <si>
    <t>TTX1500H-1.27-100</t>
  </si>
  <si>
    <t>每次至少到货10吨,1116发2351，1117发5598，1118发7434,1119发7389，1120发2754，1122发8262，1123发10098,1124发7344</t>
    <phoneticPr fontId="1" type="noConversion"/>
  </si>
  <si>
    <t>36-2-2-2-2-2-4-4-1-1-1-1-1支,1105发2支,1106发2支,1107发2支,1108发2支，1109发2支，1113发4支，1115发4支，1119发1支,1120发1支，1122发1支,1123发1支，1124发1支</t>
    <phoneticPr fontId="1" type="noConversion"/>
  </si>
  <si>
    <t>1113发4000,1114发4160,1115发6210从，1116发6230，1117发6984，1118发8200，1119发6220，1120发11220，1122发5140，1123发3100，1124发1545</t>
    <phoneticPr fontId="1" type="noConversion"/>
  </si>
  <si>
    <t>12支 ，1124发535</t>
    <phoneticPr fontId="1" type="noConversion"/>
  </si>
  <si>
    <t>85-3-2-2-2-2-2-2-2-2-3-1-1-3-3-1-3-3套，1012发3支，1014发2支，1017发2支,1018发2支，1019发2支，1020发2支，1021发2支，1022发2支，1023发2支，1024发3支，1025发1支，1109发1支，1110发3支，1113发3支，1116发1支，1123发3支,1124发3支</t>
    <phoneticPr fontId="1" type="noConversion"/>
  </si>
  <si>
    <t>72-4-5-4-2-9-4-2套，1022发4支，1023发5支,1027发4支，1109发2支，1110发4支，1113发9支，1123发4支，1124发2支</t>
    <phoneticPr fontId="1" type="noConversion"/>
  </si>
  <si>
    <t>18-2-2-1支  技术要求见附件，1118发2支，1120发2支，1124发1支</t>
    <phoneticPr fontId="1" type="noConversion"/>
  </si>
  <si>
    <t>18-2-2-2支  技术要求见附件，1118发2支，1120发2支，1124发2支</t>
    <phoneticPr fontId="1" type="noConversion"/>
  </si>
  <si>
    <t>140卷  18支152-3叶型卷布，1113发5675，1115发4755，1117发3170，1118发1585，1119发1590，1120发4770，1122发6360，1123发6360，1124发4770</t>
    <phoneticPr fontId="1" type="noConversion"/>
  </si>
  <si>
    <t>36-2-2-2-2-2-4-4-1-1-1-1-1-1支,1105发2支,1106发2支,1107发2支,1108发2支，1109发2支，1113发4支，1115发4支，1119发1支,1120发1支，1122发1支,1123发1支，1124发1支，1125发1支</t>
    <phoneticPr fontId="1" type="noConversion"/>
  </si>
  <si>
    <t>每次至少到货10吨,1116发2351，1117发5598，1118发7434,1119发7389，1120发2754，1122发8262，1123发10098,1124发7344，1125发5508</t>
    <phoneticPr fontId="1" type="noConversion"/>
  </si>
  <si>
    <t>12支 ，1124发535，1125发8270</t>
    <phoneticPr fontId="1" type="noConversion"/>
  </si>
  <si>
    <t>85-3-2-2-2-2-2-2-2-2-3-1-1-3-3-1-3-3-4套，1012发3支，1014发2支，1017发2支,1018发2支，1019发2支，1020发2支，1021发2支，1022发2支，1023发2支，1024发3支，1025发1支，1109发1支，1110发3支，1113发3支，1116发1支，1123发3支,1124发3支，1125发4支</t>
    <phoneticPr fontId="1" type="noConversion"/>
  </si>
  <si>
    <t>72-4-5-4-2-9-4-2-5套，1022发4支，1023发5支,1027发4支，1109发2支，1110发4支，1113发9支，1123发4支，1124发2支，1125发5支</t>
    <phoneticPr fontId="1" type="noConversion"/>
  </si>
  <si>
    <t>18-2-2-1-2支  技术要求见附件，1118发2支，1120发2支，1124发1支，1125发2支</t>
    <phoneticPr fontId="1" type="noConversion"/>
  </si>
  <si>
    <t>18-2-2-2-1支  技术要求见附件，1118发2支，1120发2支，1124发2支，1125发1支</t>
    <phoneticPr fontId="1" type="noConversion"/>
  </si>
  <si>
    <t>18-2-2-1-2支  技术要求见附件，1118发2支，1120发2支，1124发1支，1125发2支，1126发1支</t>
    <phoneticPr fontId="1" type="noConversion"/>
  </si>
  <si>
    <t>85-3-2-2-2-2-2-2-2-2-3-1-1-3-3-1-3-3-4-4套，1012发3支，1014发2支，1017发2支,1018发2支，1019发2支，1020发2支，1021发2支，1022发2支，1023发2支，1024发3支，1025发1支，1109发1支，1110发3支，1113发3支，1116发1支，1123发3支,1124发3支，1125发4支，1126发4支</t>
    <phoneticPr fontId="1" type="noConversion"/>
  </si>
  <si>
    <t>13-5-5套,1116发5支，1120发5支，1126发3支</t>
    <phoneticPr fontId="1" type="noConversion"/>
  </si>
  <si>
    <t>8-5-2支，1112发5支，1126发2支</t>
    <phoneticPr fontId="1" type="noConversion"/>
  </si>
  <si>
    <t>36-2-2-2-2-2-4-4-1-1-1-1-1-1-1支,1105发2支,1106发2支,1107发2支,1108发2支，1109发2支，1113发4支，1115发4支，1119发1支,1120发1支，1122发1支,1123发1支，1124发1支，1125发1支,1126发1支</t>
    <phoneticPr fontId="1" type="noConversion"/>
  </si>
  <si>
    <t>每次至少到货10吨,1116发2351，1117发5598，1118发7434,1119发7389，1120发2754，1122发8262，1123发10098,1124发7344，1125发5508，1126发5508</t>
    <phoneticPr fontId="1" type="noConversion"/>
  </si>
  <si>
    <t>12支 ，1124发535，1125发8270，1126发5150</t>
    <phoneticPr fontId="1" type="noConversion"/>
  </si>
  <si>
    <t>30支140，1126发3420</t>
    <phoneticPr fontId="1" type="noConversion"/>
  </si>
  <si>
    <t>PS面一套</t>
  </si>
  <si>
    <t>30-2支140，1127日发2支</t>
    <phoneticPr fontId="1" type="noConversion"/>
  </si>
  <si>
    <t>30支140，1126发3420，1127发3420</t>
    <phoneticPr fontId="1" type="noConversion"/>
  </si>
  <si>
    <t>每次至少到货10吨,1116发2351，1117发5598，1118发7434,1119发7389，1120发2754，1122发8262，1123发10098,1124发7344，1125发5508，1126发5508，1127发4590</t>
    <phoneticPr fontId="1" type="noConversion"/>
  </si>
  <si>
    <t>12支 ，1124发535，1125发8270，1126发5150，1127发4140</t>
    <phoneticPr fontId="1" type="noConversion"/>
  </si>
  <si>
    <t>30支140，1127发1560</t>
    <phoneticPr fontId="1" type="noConversion"/>
  </si>
  <si>
    <t>36-2-2-2-2-2-4-4-1-1-1-1-1-1-1-1支,1105发2支,1106发2支,1107发2支,1108发2支，1109发2支，1113发4支，1115发4支，1119发1支,1120发1支，1122发1支,1123发1支，1124发1支，1125发1支,1126发1支,1128发1支</t>
    <phoneticPr fontId="1" type="noConversion"/>
  </si>
  <si>
    <t>每次至少到货10吨,1116发2351，1117发5598，1118发7434,1119发7389，1120发2754，1122发8262，1123发10098,1124发7344，1125发5508，1126发5508，1127发4590，1128发4590</t>
    <phoneticPr fontId="1" type="noConversion"/>
  </si>
  <si>
    <t>12支 ，1124发535，1125发8270，1126发5150，1127发4140，1128发6210</t>
    <phoneticPr fontId="1" type="noConversion"/>
  </si>
  <si>
    <t>30支140，1126发3420，1127发3420，1128发3420</t>
    <phoneticPr fontId="1" type="noConversion"/>
  </si>
  <si>
    <t>85-3-2-2-2-2-2-2-2-2-3-1-1-3-3-1-3-3-4-4-4套，1012发3支，1014发2支，1017发2支,1018发2支，1019发2支，1020发2支，1021发2支，1022发2支，1023发2支，1024发3支，1025发1支，1109发1支，1110发3支，1113发3支，1116发1支，1123发3支,1124发3支，1125发4支，1126发4支,1128发4支</t>
    <phoneticPr fontId="1" type="noConversion"/>
  </si>
  <si>
    <t>18-2-2-1-2-1支  技术要求见附件，1118发2支，1120发2支，1124发1支，1125发2支，1126发1支，1130发1支</t>
    <phoneticPr fontId="1" type="noConversion"/>
  </si>
  <si>
    <t>18-2-2-2-1-1支  技术要求见附件，1118发2支，1120发2支，1124发2支，1125发1支，1130发1支</t>
    <phoneticPr fontId="1" type="noConversion"/>
  </si>
  <si>
    <t>12-7支 ，1118发7支,1130日发5支</t>
    <phoneticPr fontId="1" type="noConversion"/>
  </si>
  <si>
    <t>85-3-2-2-2-2-2-2-2-2-3-1-1-3-3-1-3-3-4-4-4-2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</t>
    <phoneticPr fontId="1" type="noConversion"/>
  </si>
  <si>
    <t>36-2-2-2-2-2-4-4-1-1-1-1-1-1-1-1支,1105发2支,1106发2支,1107发2支,1108发2支，1109发2支，1113发4支，1115发4支，1119发1支,1120发1支，1122发1支,1123发1支，1124发1支，1125发1支,1126发1支,1128发1支，1130发1支</t>
    <phoneticPr fontId="1" type="noConversion"/>
  </si>
  <si>
    <t>20-3套，1130发3支</t>
    <phoneticPr fontId="1" type="noConversion"/>
  </si>
  <si>
    <t>30支140，1130发2支</t>
    <phoneticPr fontId="1" type="noConversion"/>
  </si>
  <si>
    <t>30-2支140，1127日发2支，1130发2支</t>
    <phoneticPr fontId="1" type="noConversion"/>
  </si>
  <si>
    <t>每次至少到货10吨,1116发2351，1117发5598，1118发7434,1119发7389，1120发2754，1122发8262，1123发10098,1124发7344，1125发5508，1126发5508，1127发4590，1128发4590，1130发4590</t>
    <phoneticPr fontId="1" type="noConversion"/>
  </si>
  <si>
    <t>12支 ，1124发535，1125发8270，1126发5150，1127发4140，1128发6210，1130发4130</t>
    <phoneticPr fontId="1" type="noConversion"/>
  </si>
  <si>
    <t>30支140，1126发3420，1127发3420，1128发3420，1130发3420</t>
    <phoneticPr fontId="1" type="noConversion"/>
  </si>
  <si>
    <t>30支140，1127发1560，1130发1560</t>
    <phoneticPr fontId="1" type="noConversion"/>
  </si>
  <si>
    <t>27-10-6-5-5支，1005发10支，1013发6支，1028发5支，1102发5支，1201发1支</t>
    <phoneticPr fontId="1" type="noConversion"/>
  </si>
  <si>
    <t>8-5支，1106发5支，1201发3支</t>
    <phoneticPr fontId="1" type="noConversion"/>
  </si>
  <si>
    <t>8-5-2支，1112发5支，1126发2支，1201发1支</t>
    <phoneticPr fontId="1" type="noConversion"/>
  </si>
  <si>
    <t>三拖，沟通最后发4托，1201发4130</t>
    <phoneticPr fontId="1" type="noConversion"/>
  </si>
  <si>
    <t>132卷，1119发5348，1120发7052，1201发4800</t>
    <phoneticPr fontId="1" type="noConversion"/>
  </si>
  <si>
    <t>140卷  18支152-3叶型卷布，1113发5675，1115发4755，1117发3170，1118发1585，1119发1590，1120发4770，1122发6360，1123发6360，1124发4770，1201发4770</t>
    <phoneticPr fontId="1" type="noConversion"/>
  </si>
  <si>
    <t>170卷  20支WB171叶型卷布，1201发388KG</t>
    <phoneticPr fontId="1" type="noConversion"/>
  </si>
  <si>
    <t>WB171I后缘</t>
  </si>
  <si>
    <t xml:space="preserve">3支 </t>
  </si>
  <si>
    <t>3支</t>
  </si>
  <si>
    <t>85-3-2-2-2-2-2-2-2-2-3-1-1-3-3-1-3-3-4-4-4-2-3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</t>
    <phoneticPr fontId="1" type="noConversion"/>
  </si>
  <si>
    <t>72-4-5-4-2-9-4-2-5-2套，1022发4支，1023发5支,1027发4支，1109发2支，1110发4支，1113发9支，1123发4支，1124发2支，1125发5支，1203发2支</t>
    <phoneticPr fontId="1" type="noConversion"/>
  </si>
  <si>
    <t>85-3-2-2-2-2-2-2-2-2-3-1-1-3-3-1-3-3-4-4-4-2-3-2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</t>
    <phoneticPr fontId="1" type="noConversion"/>
  </si>
  <si>
    <t>33-4-4-3-4-4支，1031发4支，1115发4支，1117发3支，1121发4支,1205发4支</t>
    <phoneticPr fontId="1" type="noConversion"/>
  </si>
  <si>
    <t>33-4-4-3-4-4支，1031发4支，1115发4支，1117发3支，1121发4支，1205发4支</t>
    <phoneticPr fontId="1" type="noConversion"/>
  </si>
  <si>
    <t>132卷，1119发5348，1120发7052，1201发4800,1204发4800</t>
    <phoneticPr fontId="1" type="noConversion"/>
  </si>
  <si>
    <t>170卷  20支WB171叶型卷布，1201发388KG，1204发3180</t>
    <phoneticPr fontId="1" type="noConversion"/>
  </si>
  <si>
    <t>客户代码</t>
    <phoneticPr fontId="1" type="noConversion"/>
  </si>
  <si>
    <t>OC物料</t>
    <phoneticPr fontId="1" type="noConversion"/>
  </si>
  <si>
    <t>YH物料号</t>
    <phoneticPr fontId="1" type="noConversion"/>
  </si>
  <si>
    <t>螺栓加强层套裁；2.2-SR136Ⅲ23；SR11190271110-072</t>
    <phoneticPr fontId="1" type="noConversion"/>
  </si>
  <si>
    <t>SR136Ⅲ螺栓加强层</t>
    <phoneticPr fontId="1" type="noConversion"/>
  </si>
  <si>
    <t>SR140Ⅲ螺栓加强层</t>
    <phoneticPr fontId="1" type="noConversion"/>
  </si>
  <si>
    <t>SR146Ⅰ螺栓加强层</t>
    <phoneticPr fontId="1" type="noConversion"/>
  </si>
  <si>
    <t>1132888/894/953/955</t>
  </si>
  <si>
    <t>1132869/882/884/896/909/913/932/939/958/959</t>
  </si>
  <si>
    <t>8-5支 ，1207发5支</t>
    <phoneticPr fontId="1" type="noConversion"/>
  </si>
  <si>
    <t>85-3-2-2-2-2-2-2-2-2-3-1-1-3-3-1-3-3-4-4-4-2-3-2-2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</t>
    <phoneticPr fontId="1" type="noConversion"/>
  </si>
  <si>
    <t>72-4-5-4-2-9-4-2-5-2-2套，1022发4支，1023发5支,1027发4支，1109发2支，1110发4支，1113发9支，1123发4支，1124发2支，1125发5支，1203发2支，1207发2支</t>
    <phoneticPr fontId="1" type="noConversion"/>
  </si>
  <si>
    <t>16-5套，1207发5支</t>
    <phoneticPr fontId="1" type="noConversion"/>
  </si>
  <si>
    <t>33-4-4-3-4-4-4支，1031发4支，1115发4支，1117发3支，1121发4支，1205发4支，1208发4支</t>
    <phoneticPr fontId="1" type="noConversion"/>
  </si>
  <si>
    <t>85-3-2-2-2-2-2-2-2-2-3-1-1-3-3-1-3-3-4-4-4-2-3-2-2-4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</t>
    <phoneticPr fontId="1" type="noConversion"/>
  </si>
  <si>
    <t>72-4-5-4-2-9-4-2-5-2-2-2套，1022发4支，1023发5支,1027发4支，1109发2支，1110发4支，1113发9支，1123发4支，1124发2支，1125发5支，1203发2支，1207发2支，1208发2支</t>
    <phoneticPr fontId="1" type="noConversion"/>
  </si>
  <si>
    <t>85-3-2-2-2-2-2-2-2-2-3-1-1-3-3-1-3-3-4-4-4-2-3-2-2-4-3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</t>
    <phoneticPr fontId="1" type="noConversion"/>
  </si>
  <si>
    <t>72-4-5-4-2-9-4-2-5-2-2-2-6套，1022发4支，1023发5支,1027发4支，1109发2支，1110发4支，1113发9支，1123发4支，1124发2支，1125发5支，1203发2支，1207发2支，1208发2支，1209发6支</t>
    <phoneticPr fontId="1" type="noConversion"/>
  </si>
  <si>
    <t>16-5-5套，1207发5支，1211发5支</t>
    <phoneticPr fontId="1" type="noConversion"/>
  </si>
  <si>
    <t>72-4-5-4-2-9-4-2-5-2-2-2-6-6套，1022发4支，1023发5支,1027发4支，1109发2支，1110发4支，1113发9支，1123发4支，1124发2支，1125发5支，1203发2支，1207发2支，1208发2支，1209发6支，1211发6支</t>
    <phoneticPr fontId="1" type="noConversion"/>
  </si>
  <si>
    <t>85-3-2-2-2-2-2-2-2-2-3-1-1-3-3-1-3-3-4-4-4-2-3-2-2-4-3-1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</t>
    <phoneticPr fontId="1" type="noConversion"/>
  </si>
  <si>
    <t>33-4-4-3-4-4-4-4支，1031发4支，1115发4支，1117发3支，1121发4支，1205发4支，1208发4支,1213发4支</t>
    <phoneticPr fontId="1" type="noConversion"/>
  </si>
  <si>
    <t>33-4-4-3-4-4-4-4支，1031发4支，1115发4支，1117发3支，1121发4支，1205发4支，1208发4支，1213发4支</t>
    <phoneticPr fontId="1" type="noConversion"/>
  </si>
  <si>
    <t>85-3-2-2-2-2-2-2-2-2-3-1-1-3-3-1-3-3-4-4-4-2-3-2-2-4-3-1-3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</t>
    <phoneticPr fontId="1" type="noConversion"/>
  </si>
  <si>
    <t>18-2-2-2-1-1-2支  技术要求见附件，1118发2支，1120发2支，1124发2支，1125发1支，1130发1支，1113发2支</t>
    <phoneticPr fontId="1" type="noConversion"/>
  </si>
  <si>
    <t>20-4支，1213发4支</t>
    <phoneticPr fontId="1" type="noConversion"/>
  </si>
  <si>
    <t>85-3-2-2-2-2-2-2-2-2-3-1-1-3-3-1-3-3-4-4-4-2-3-2-2-4-3-1-3-3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</t>
    <phoneticPr fontId="1" type="noConversion"/>
  </si>
  <si>
    <t>72-4-5-4-2-9-4-2-5-2-2-2-6-6-6套，1022发4支，1023发5支,1027发4支，1109发2支，1110发4支，1113发9支，1123发4支，1124发2支，1125发5支，1203发2支，1207发2支，1208发2支，1209发6支，1211发6支，1214发6支</t>
    <phoneticPr fontId="1" type="noConversion"/>
  </si>
  <si>
    <t>18-2-2-1-2-1-3支  技术要求见附件，1118发2支，1120发2支，1124发1支，1125发2支，1126发1支，1130发1支，1215日发3支</t>
    <phoneticPr fontId="1" type="noConversion"/>
  </si>
  <si>
    <t>85-3-2-2-2-2-2-2-2-2-3-1-1-3-3-1-3-3-4-4-4-2-3-2-2-4-3-1-3-3-1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，1215发1支</t>
    <phoneticPr fontId="1" type="noConversion"/>
  </si>
  <si>
    <t>132卷，1119发5348，1120发7052，1201发4800,1204发4800，1214发1600</t>
    <phoneticPr fontId="1" type="noConversion"/>
  </si>
  <si>
    <t>4卷，每卷69米，1216日发212KG</t>
    <phoneticPr fontId="1" type="noConversion"/>
  </si>
  <si>
    <t>1216日发 2898KG</t>
    <phoneticPr fontId="1" type="noConversion"/>
  </si>
  <si>
    <t>33-4-4-3-4-4-4-4-4支，1031发4支，1115发4支，1117发3支，1121发4支，1205发4支，1208发4支，1213发4支，1216发4支</t>
    <phoneticPr fontId="1" type="noConversion"/>
  </si>
  <si>
    <t>20-4-4支，1213发4支,1216发4支</t>
    <phoneticPr fontId="1" type="noConversion"/>
  </si>
  <si>
    <t>85-3-2-2-2-2-2-2-2-2-3-1-1-3-3-1-3-3-4-4-4-2-3-2-2-4-3-1-3-3-1-2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，1215发1支，1216发2支</t>
    <phoneticPr fontId="1" type="noConversion"/>
  </si>
  <si>
    <t>61-10支，1216发10支</t>
    <phoneticPr fontId="1" type="noConversion"/>
  </si>
  <si>
    <t>132卷，1119发5348，1120发7052，1201发4800,1204发4800，1214发1600，1216发1600</t>
    <phoneticPr fontId="1" type="noConversion"/>
  </si>
  <si>
    <t>18-2-2-2-1-1-2-1支  技术要求见附件，1118发2支，1120发2支，1124发2支，1125发1支，1130发1支，1113发2支，1217发1支</t>
    <phoneticPr fontId="1" type="noConversion"/>
  </si>
  <si>
    <t>85-3-2-2-2-2-2-2-2-2-3-1-1-3-3-1-3-3-4-4-4-2-3-2-2-4-3-1-3-3-1-2-3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，1215发1支，1216发2支，1217发3支</t>
    <phoneticPr fontId="1" type="noConversion"/>
  </si>
  <si>
    <t>85-3-2-2-2-2-2-2-2-2-3-1-1-3-3-1-3-3-4-4-4-2-3-2-2-4-3-1-3-3-1-2-3-4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，1215发1支，1216发2支，1217发3支，1219发4支</t>
    <phoneticPr fontId="1" type="noConversion"/>
  </si>
  <si>
    <t>16-5-5-5套，1207发5支，1211发5支，1221发6405</t>
    <phoneticPr fontId="1" type="noConversion"/>
  </si>
  <si>
    <t>72-4-5-4-2-9-4-2-5-2-2-2-6-6-6-4套，1022发4支，1023发5支,1027发4支，1109发2支，1110发4支，1113发9支，1123发4支，1124发2支，1125发5支，1203发2支，1207发2支，1208发2支，1209发6支，1211发6支，1214发6支，1221发4支</t>
    <phoneticPr fontId="1" type="noConversion"/>
  </si>
  <si>
    <t>70-4支，1221发4支</t>
    <phoneticPr fontId="1" type="noConversion"/>
  </si>
  <si>
    <t>20-4-4-4支，1213发4支,1216发4支，1222日发4支</t>
    <phoneticPr fontId="1" type="noConversion"/>
  </si>
  <si>
    <t>85-3-2-2-2-2-2-2-2-2-3-1-1-3-3-1-3-3-4-4-4-2-3-2-2-4-3-1-3-3-1-2-3-4套，1012发3支，1014发2支，1017发2支,1018发2支，1019发2支，1020发2支，1021发2支，1022发2支，1023发2支，1024发3支，1025发1支，1109发1支，1110发3支，1113发3支，1116发1支，1123发3支,1124发3支，1125发4支，1126发4支,1128发4支，1130发2支，1203发4支，1205发2支，1207发2支，1208发4支，1209发3支，1211发1支,1213发3支，1214发3支，1215发1支，1216发2支，1217发3支，1219发4支,1222发2支</t>
    <phoneticPr fontId="1" type="noConversion"/>
  </si>
  <si>
    <t>PS面1套，1223日发0.5支</t>
    <phoneticPr fontId="1" type="noConversion"/>
  </si>
  <si>
    <t>70-4-2支，1221发4支，1222发2支</t>
    <phoneticPr fontId="1" type="noConversion"/>
  </si>
  <si>
    <t>132卷，1119发5348，1120发7052，1201发4800,1204发4800，1214发1600，1216发1600，1223发16000</t>
    <phoneticPr fontId="1" type="noConversion"/>
  </si>
  <si>
    <t>146-2套裁配套卷布，1223日减少订单762KG</t>
    <phoneticPr fontId="1" type="noConversion"/>
  </si>
  <si>
    <t>146-2套裁配套卷布，1223调整订单减少1524KG</t>
    <phoneticPr fontId="1" type="noConversion"/>
  </si>
  <si>
    <t>52卷，1015发2842，1020发1555，1025发5592，1223调整订单减少6017KG</t>
    <phoneticPr fontId="1" type="noConversion"/>
  </si>
  <si>
    <t>20-4-4-4-4支，1213发4支,1216发4支，1222日发4支,1224发4支</t>
    <phoneticPr fontId="1" type="noConversion"/>
  </si>
  <si>
    <t>70-4-2-4支，1221发4支，1222发2支，1224发4支</t>
    <phoneticPr fontId="1" type="noConversion"/>
  </si>
  <si>
    <t>30-5支，1225日发5支</t>
    <phoneticPr fontId="1" type="noConversion"/>
  </si>
  <si>
    <t>70-4-2-4-1支，1221发4支，1222发2支，1224发4支，1225发1支</t>
    <phoneticPr fontId="1" type="noConversion"/>
  </si>
  <si>
    <t>61-10-1支，1216发10支，1225发1支</t>
    <phoneticPr fontId="1" type="noConversion"/>
  </si>
  <si>
    <t>72-4-5-4-2-9-4-2-5-2-2-2-6-6-6-4套，1022发4支，1023发5支,1027发4支，1109发2支，1110发4支，1113发9支，1123发4支，1124发2支，1125发5支，1203发2支，1207发2支，1208发2支，1209发6支，1211发6支，1214发6支，1221发4支，1225发5支</t>
    <phoneticPr fontId="1" type="noConversion"/>
  </si>
  <si>
    <t>单轴玻纤；UDH-1215-230；WB171Ⅰ36后缘；-</t>
    <phoneticPr fontId="1" type="noConversion"/>
  </si>
  <si>
    <t>10-5支 ,1227日发5支</t>
    <phoneticPr fontId="1" type="noConversion"/>
  </si>
  <si>
    <t>70-4-2-4-1-4支，1221发4支，1222发2支，1224发4支，1225发1支，1227发4支</t>
    <phoneticPr fontId="1" type="noConversion"/>
  </si>
  <si>
    <t>70-4-2-4-1-4-4支，1221发4支，1222发2支，1224发4支，1225发1支，1227发4支，1228发4支</t>
    <phoneticPr fontId="1" type="noConversion"/>
  </si>
  <si>
    <t>61-10-1-3支，1216发10支，1225发1支,1229发3支</t>
    <phoneticPr fontId="1" type="noConversion"/>
  </si>
  <si>
    <t>18-2-2-1-2-1-3-2支  技术要求见附件，1118发2支，1120发2支，1124发1支，1125发2支，1126发1支，1130发1支，1215日发3支，1229发2支</t>
    <phoneticPr fontId="1" type="noConversion"/>
  </si>
  <si>
    <t>技术要求见附件，共2套，其中含12卷100m长的试验布卷，需单独打包成托，1229发2支</t>
    <phoneticPr fontId="1" type="noConversion"/>
  </si>
  <si>
    <t>技术要求见附件，共2套，1229发2支</t>
    <phoneticPr fontId="1" type="noConversion"/>
  </si>
  <si>
    <t>技术要求见附件，共2套，其中含1000m试验布，分卷为4卷150m卷长和4卷100m卷长，试验布单独打包成托，具体见技术要求。，1229发2支</t>
    <phoneticPr fontId="1" type="noConversion"/>
  </si>
  <si>
    <t>单轴玻纤；UDH-1215-230；SR171Ⅴ36后缘；-</t>
  </si>
  <si>
    <t>单轴玻纤；UDH-1215-230；SR171Ⅴ36后缘；-</t>
    <phoneticPr fontId="1" type="noConversion"/>
  </si>
  <si>
    <t>SR171Ⅴ后缘</t>
  </si>
  <si>
    <t>SR171Ⅴ后缘</t>
    <phoneticPr fontId="1" type="noConversion"/>
  </si>
  <si>
    <t>30-5-5支，1225日发5支，1230发5支</t>
    <phoneticPr fontId="1" type="noConversion"/>
  </si>
  <si>
    <t>1231日发7836KG</t>
    <phoneticPr fontId="1" type="noConversion"/>
  </si>
  <si>
    <t>单轴玻纤；UDH-1215-230；WB171Ⅰ36后缘；-</t>
    <phoneticPr fontId="1" type="noConversion"/>
  </si>
  <si>
    <t>61-10-1-3-4支，1216发10支，1225发1支,1229发3支，0104发4支</t>
    <phoneticPr fontId="1" type="noConversion"/>
  </si>
  <si>
    <t>145卷 18支152-3叶型卷布,0105发8489</t>
    <phoneticPr fontId="1" type="noConversion"/>
  </si>
  <si>
    <t>132卷，1119发5348，1120发7052，1201发4800,1204发4800，1214发1600，1216发1600，1223发16000，0105发1111</t>
    <phoneticPr fontId="1" type="noConversion"/>
  </si>
  <si>
    <t>70-4-2-4-1-4-4-2支，1221发4支，1222发2支，1224发4支，1225发1支，1227发4支，1228发4支，0105发2支</t>
    <phoneticPr fontId="1" type="noConversion"/>
  </si>
  <si>
    <t>70-4-2-4-1-4-4-2-2支，1221发4支，1222发2支，1224发4支，1225发1支，1227发4支，1228发4支，0105发2支，0106发2支</t>
    <phoneticPr fontId="1" type="noConversion"/>
  </si>
  <si>
    <t>10-5支 ,1227日发5支，0106发5支</t>
    <phoneticPr fontId="1" type="noConversion"/>
  </si>
  <si>
    <t>145卷 18支152-3叶型卷布,0105发8489，0107发8000</t>
    <phoneticPr fontId="1" type="noConversion"/>
  </si>
  <si>
    <t>61-10-1-3-4-10支，1216发10支，1225发1支,1229发3支，0104发4支，0108发10支</t>
    <phoneticPr fontId="1" type="noConversion"/>
  </si>
  <si>
    <t>70-4-2-4-1-4-4-2-2-2支，1221发4支，1222发2支，1224发4支，1225发1支，1227发4支，1228发4支，0105发2支，0106发2支，0108发2支</t>
    <phoneticPr fontId="1" type="noConversion"/>
  </si>
  <si>
    <t>145卷 18支152-3叶型卷布,0105发8489，0107发8000，0109发6400</t>
    <phoneticPr fontId="1" type="noConversion"/>
  </si>
  <si>
    <t>8-5-1支 ，1207发5支，0109发1支</t>
    <phoneticPr fontId="1" type="noConversion"/>
  </si>
  <si>
    <t>4支，0109发4支</t>
    <phoneticPr fontId="1" type="noConversion"/>
  </si>
  <si>
    <t>2支，0111日发2支</t>
    <phoneticPr fontId="1" type="noConversion"/>
  </si>
  <si>
    <t>每卷长度100米  需求共计22卷，0111发616KG</t>
    <phoneticPr fontId="1" type="noConversion"/>
  </si>
  <si>
    <t>18-2-2-1-2-1-3-2-2支  技术要求见附件，1118发2支，1120发2支，1124发1支，1125发2支，1126发1支，1130发1支，1215日发3支，1229发2支，0111发2支</t>
    <phoneticPr fontId="1" type="noConversion"/>
  </si>
  <si>
    <t>61-10-1-3-4-10-1支，1216发10支，1225发1支,1229发3支，0104发4支，0108发10支，0111发1支</t>
    <phoneticPr fontId="1" type="noConversion"/>
  </si>
  <si>
    <t>170卷  20支WB171叶型卷布，1201发388KG，1204发3180，0111发15910</t>
    <phoneticPr fontId="1" type="noConversion"/>
  </si>
  <si>
    <t>70-4-2-4-1-4-4-2-2-2-2支，1221发4支，1222发2支，1224发4支，1225发1支，1227发4支，1228发4支，0105发2支，0106发2支，0108发2支，0111发2支</t>
    <phoneticPr fontId="1" type="noConversion"/>
  </si>
  <si>
    <t>145卷 18支152-3叶型卷布,0105发8489，0107发8000，0109发6400，0111发8000</t>
    <phoneticPr fontId="1" type="noConversion"/>
  </si>
  <si>
    <t>70-4-2-4-1-4-4-2-2-2-2-2支，1221发4支，1222发2支，1224发4支，1225发1支，1227发4支，1228发4支，0105发2支，0106发2支，0108发2支，0111发2支，0112发2支</t>
    <phoneticPr fontId="1" type="noConversion"/>
  </si>
  <si>
    <t>18-2-2-1-2-1-3-2-2支  技术要求见附件，1118发2支，1120发2支，1124发1支，1125发2支，1126发1支，1130发1支，1215日发3支，1229发2支，0111发2支，0112发2支</t>
    <phoneticPr fontId="1" type="noConversion"/>
  </si>
  <si>
    <t>61-10-1-3-4-10-1-4支，1216发10支，1225发1支,1229发3支，0104发4支，0108发10支，0111发1支，0112发4支</t>
    <phoneticPr fontId="1" type="noConversion"/>
  </si>
  <si>
    <t>30-2-2-3支140，1127日发2支，1130发2支，0112发3支</t>
    <phoneticPr fontId="1" type="noConversion"/>
  </si>
  <si>
    <t>30-2-3支140，1130发2支，0112发3支</t>
    <phoneticPr fontId="1" type="noConversion"/>
  </si>
  <si>
    <t>16-5-5-5支，1026发5支，1030发5支，1109发5支，0106日通知只要再交2支即可，取消了订单，0112日通知继续生产，0112日结项邮件取消1套</t>
    <phoneticPr fontId="1" type="noConversion"/>
  </si>
  <si>
    <t>16-5-5-5套，1207发5支，1211发5支，1221发5支，0106日通知只要再交2支即可，取消了订单，0112日通知继续生产，0112日结项邮件取消1套</t>
    <phoneticPr fontId="1" type="noConversion"/>
  </si>
  <si>
    <t>30-2-2-3支140，1127日发2支，1130发2支，0112发3支，0113发3支</t>
  </si>
  <si>
    <t>30-2-3支140，1130发2支，0112发3支，0113发2支</t>
  </si>
  <si>
    <t>15支，技术要求见附件,0113发5支</t>
  </si>
  <si>
    <t>每卷长度67米,0113发950</t>
  </si>
  <si>
    <t>145卷 18支152-3叶型卷布,0105发8489，0107发8000，0109发6400，0111发8000,0113发6400</t>
  </si>
  <si>
    <t>30支140，1127发1560，1130发1560，0113发2663（有457KG样品不算在订单内）</t>
    <phoneticPr fontId="1" type="noConversion"/>
  </si>
  <si>
    <t>总计</t>
  </si>
  <si>
    <t>18-2-2-2-1-1-2-1支  技术要求见附件，1118发2支，1120发2支，1124发2支，1125发1支，1130发1支，1113发2支，1217发1支,0114发2支</t>
  </si>
  <si>
    <t>170卷  20支WB171叶型卷布，1201发388KG，1204发3180，0111发15910，0114发16000</t>
  </si>
  <si>
    <t>145卷 18支152-3叶型卷布,0105发8489，0107发8000，0109发6400，0111发8000,0113发6400，0114发8000</t>
  </si>
  <si>
    <t xml:space="preserve">6支 </t>
  </si>
  <si>
    <t>单轴玻纤；UDH-1215-230；WB171Ⅰ36后缘；-</t>
    <phoneticPr fontId="1" type="noConversion"/>
  </si>
  <si>
    <t>145卷 18支152-3叶型卷布,0105发8489，0107发8000，0109发6400，0111发8000,0113发6400，0114发8000,0115发704</t>
  </si>
  <si>
    <t>170卷  20支WB171叶型卷布，1201发388KG，1204发3180，0111发15910，0114发16000,0115发18317</t>
  </si>
  <si>
    <t>164卷  20支WB171叶型卷布，0115发13696</t>
  </si>
  <si>
    <t>164卷  20支WB171叶型卷布，0115发13696,0116发3200</t>
  </si>
  <si>
    <t>18-2-2-2-1-1-2-1支  技术要求见附件，1118发2支，1120发2支，1124发2支，1125发1支，1130发1支，1113发2支，1217发1支,0114发2支,0116发2支</t>
  </si>
  <si>
    <t>70-4-2-4-1-4-4-2-2-2-2-2-1支，1221发4支，1222发2支，1224发4支，1225发1支，1227发4支，1228发4支，0105发2支，0106发2支，0108发2支，0111发2支，0112发2支，0117发1支</t>
    <phoneticPr fontId="1" type="noConversion"/>
  </si>
  <si>
    <t>27卷 18支152-3叶型卷布，1113发2568,1116发3210，0117发2795</t>
    <phoneticPr fontId="1" type="noConversion"/>
  </si>
  <si>
    <t>31卷 ，0117发3665</t>
    <phoneticPr fontId="1" type="noConversion"/>
  </si>
  <si>
    <t>504卷0115发4083</t>
    <phoneticPr fontId="1" type="noConversion"/>
  </si>
  <si>
    <t>30支140，1126发3420，1127发3420，1128发3420，1130发3420,0118发6840</t>
  </si>
  <si>
    <t>30-2-3支140，1130发2支，0112发3支，0113发2支,0118发5支</t>
  </si>
  <si>
    <t>30-2-2-3支140，1127日发2支，1130发2支，0112发3支，0113发3支，0118发2支</t>
  </si>
  <si>
    <t>30支140，1127发1560，1130发1560，0113发2663（有457kg样品）,0118发4680</t>
  </si>
  <si>
    <t>70-4-2-4-1-4-4-2-2-2-2-2-1支，1221发4支，1222发2支，1224发4支，1225发1支，1227发4支，1228发4支，0105发2支，0106发2支，0108发2支，0111发2支，0112发2支，0117发1支，0118发2支</t>
    <phoneticPr fontId="1" type="noConversion"/>
  </si>
  <si>
    <t>164卷  20支WB171叶型卷布，0115发13696,0116发3200，0118发11200</t>
    <phoneticPr fontId="1" type="noConversion"/>
  </si>
  <si>
    <t>30支140</t>
    <phoneticPr fontId="1" type="noConversion"/>
  </si>
  <si>
    <t>15支，技术要求见附件,0113发5支，0118发4支</t>
    <phoneticPr fontId="1" type="noConversion"/>
  </si>
  <si>
    <t>16支，0115发6支，0119发5支</t>
    <phoneticPr fontId="1" type="noConversion"/>
  </si>
  <si>
    <t>16支，0115发6支</t>
    <phoneticPr fontId="1" type="noConversion"/>
  </si>
  <si>
    <t>8-5-1支 ，1207发5支，0109发1支,0115发2支</t>
    <phoneticPr fontId="1" type="noConversion"/>
  </si>
  <si>
    <t>70-4-2-4-1-4-4-2-2-2-2-2-1支，1221发4支，1222发2支，1224发4支，1225发1支，1227发4支，1228发4支，0105发2支，0106发2支，0108发2支，0111发2支，0112发2支，0117发1支，0118发2支,0119发2支</t>
    <phoneticPr fontId="1" type="noConversion"/>
  </si>
  <si>
    <t>61-10-1-3-4-10-1-4支，1216发10支，1225发1支,1229发3支，0104发4支，0108发10支，0111发1支，0112发4支，0119发2支</t>
    <phoneticPr fontId="1" type="noConversion"/>
  </si>
  <si>
    <t>30支140，1127发1560，1130发1560，0113发2663（有457kg样品）,0118发4680，0119发5460</t>
    <phoneticPr fontId="1" type="noConversion"/>
  </si>
  <si>
    <t>30支140，1126发3420，1127发3420，1128发3420，1130发3420,0118发6840,0119发9120</t>
    <phoneticPr fontId="1" type="noConversion"/>
  </si>
  <si>
    <t>36-2-2-2-2-2-4-4-1-1-1-1-1-1-1-1支,1105发2支,1106发2支,1107发2支,1108发2支，1109发2支，1113发4支，1115发4支，1119发1支,1120发1支，1122发1支,1123发1支，1124发1支，1125发1支,1126发1支,1128发1支，1130发1支，0119发5支</t>
    <phoneticPr fontId="1" type="noConversion"/>
  </si>
  <si>
    <t>16支，0115发6支，0119发5支，0120发5支</t>
    <phoneticPr fontId="1" type="noConversion"/>
  </si>
  <si>
    <t>70-4-2-4-1-4-4-2-2-2-2-2-1-2-2-1支，1221发4支，1222发2支，1224发4支，1225发1支，1227发4支，1228发4支，0105发2支，0106发2支，0108发2支，0111发2支，0112发2支，0117发1支，0118发2支,0119发2支,0120发1支</t>
    <phoneticPr fontId="1" type="noConversion"/>
  </si>
  <si>
    <t>结项需求：30套，实际订单应为26套，0120发2支</t>
    <phoneticPr fontId="1" type="noConversion"/>
  </si>
  <si>
    <t>164卷  20支WB171叶型卷布，0115发13696,0116发3200，0118发11200，0121发6400</t>
    <phoneticPr fontId="1" type="noConversion"/>
  </si>
  <si>
    <t>70-4-2-4-1-4-4-2-2-2-2-2-1-2-2-1支，1221发4支，1222发2支，1224发4支，1225发1支，1227发4支，1228发4支，0105发2支，0106发2支，0108发2支，0111发2支，0112发2支，0117发1支，0118发2支,0119发2支,0120发1支，0121发3支</t>
    <phoneticPr fontId="1" type="noConversion"/>
  </si>
  <si>
    <t>15支，技术要求见附件,0113发5支，0118发4支，0121发2支</t>
    <phoneticPr fontId="1" type="noConversion"/>
  </si>
  <si>
    <t>61-10-1-3-4-10-1-4-2-2支，1216发10支，1225发1支,1229发3支，0104发4支，0108发10支，0111发1支，0112发4支，0119发2支，0121发2支</t>
    <phoneticPr fontId="1" type="noConversion"/>
  </si>
  <si>
    <t>结项需求：30套，实际订单应为26套，0120发2支，0121发2支</t>
    <phoneticPr fontId="1" type="noConversion"/>
  </si>
  <si>
    <t>164卷  20支WB171叶型卷布，0115发13696,0116发3200，0118发11200，0121发6400,0122发4800</t>
    <phoneticPr fontId="1" type="noConversion"/>
  </si>
  <si>
    <t>18-2-2-2-1-1-2-1-2-2-2支  技术要求见附件，1118发2支，1120发2支，1124发2支，1125发1支，1130发1支，1113发2支，1217发1支,0114发2支,0116发2支，0122发2支</t>
    <phoneticPr fontId="1" type="noConversion"/>
  </si>
  <si>
    <t>18-2-2-2-1-1-2-1-2-2-2-1支  技术要求见附件，1118发2支，1120发2支，1124发2支，1125发1支，1130发1支，1113发2支，1217发1支,0114发2支,0116发2支，0121发2支,0123发1支</t>
    <phoneticPr fontId="1" type="noConversion"/>
  </si>
  <si>
    <t>32.8-1结项需求：30套+2套PS面，实际订单应为23+2PS套，0123发1支</t>
    <phoneticPr fontId="1" type="noConversion"/>
  </si>
  <si>
    <t>164卷  20支WB171叶型卷布，0115发13696,0116发3200，0118发11200，0121发6400,0122发4800，0123发7360</t>
    <phoneticPr fontId="1" type="noConversion"/>
  </si>
  <si>
    <t>单轴玻纤；UDH-1215-230；SR171Ⅴ36后缘；-</t>
    <phoneticPr fontId="1" type="noConversion"/>
  </si>
  <si>
    <t>31卷 ，0117发3665，0123发3230</t>
    <phoneticPr fontId="1" type="noConversion"/>
  </si>
  <si>
    <t>20支，新版报价维护，0124发4</t>
    <phoneticPr fontId="1" type="noConversion"/>
  </si>
  <si>
    <t>70-4-2-4-1-4-4-2-2-2-2-2-1-2-2-1-4支，1221发4支，1222发2支，1224发4支，1225发1支，1227发4支，1228发4支，0105发2支，0106发2支，0108发2支，0111发2支，0112发2支，0117发1支，0118发2支,0119发2支,0120发1支，0121发3支,0124发4支</t>
    <phoneticPr fontId="1" type="noConversion"/>
  </si>
  <si>
    <t>504卷,0115发4083,0125发3270</t>
    <phoneticPr fontId="1" type="noConversion"/>
  </si>
  <si>
    <t>结项需求：30套，实际订单应为26套，0120发2支，0121发2支，0125发3支</t>
    <phoneticPr fontId="1" type="noConversion"/>
  </si>
  <si>
    <t>70-4-2-4-1-4-4-2-2-2-2-2-1-2-2-1-4支，1221发4支，1222发2支，1224发4支，1225发1支，1227发4支，1228发4支，0105发2支，0106发2支，0108发2支，0111发2支，0112发2支，0117发1支，0118发2支,0119发2支,0120发1支，0121发3支,0124发4支，0125发3支</t>
    <phoneticPr fontId="1" type="noConversion"/>
  </si>
  <si>
    <t>61-10-1-3-4-10-1-4-2-2支，1216发10支，1225发1支,1229发3支，0104发4支，0108发10支，0111发1支，0112发4支，0119发2支，0121发2支，0125发6套</t>
    <phoneticPr fontId="1" type="noConversion"/>
  </si>
  <si>
    <t>164卷  20支WB171叶型卷布，0115发13696,0116发3200，0118发11200，0121发6400,0122发4800，0123发7360,0126发4845</t>
    <phoneticPr fontId="1" type="noConversion"/>
  </si>
  <si>
    <t>32.8-1结项需求：30套+2套PS面，实际订单应为23+2PS套，0123发1支，0126发2支</t>
    <phoneticPr fontId="1" type="noConversion"/>
  </si>
  <si>
    <t>504卷,0115发4083,0125发3270，0126发4905</t>
    <phoneticPr fontId="1" type="noConversion"/>
  </si>
  <si>
    <t>结项需求：30套，实际订单应为26套，0120发2支，0121发2支，0125更新结项需求为14+2PS，订单减少7.3套，0125发3支,0127发3支</t>
    <phoneticPr fontId="1" type="noConversion"/>
  </si>
  <si>
    <t>70-4-2-4-1-4-4-2-2-2-2-2-1-2-2-1-4支，1221发4支，1222发2支，1224发4支，1225发1支，1227发4支，1228发4支，0105发2支，0106发2支，0108发2支，0111发2支，0112发2支，0117发1支，0118发2支,0119发2支,0120发1支，0121发3支,0124发4支，0125发3支,0127发2支</t>
    <phoneticPr fontId="1" type="noConversion"/>
  </si>
  <si>
    <t>61-10-1-3-4-10-1-4-2-2支，1216发10支，1225发1支,1229发3支，0104发4支，0108发10支，0111发1支，0112发4支，0119发2支，0121发2支，0125发6支，0127发4支</t>
    <phoneticPr fontId="1" type="noConversion"/>
  </si>
  <si>
    <t>164卷  20支WB171叶型卷布，0115发13696,0116发3200，0118发11200，0121发6400,0122发4800，0123发7360,0126发4845,0127发569</t>
    <phoneticPr fontId="1" type="noConversion"/>
  </si>
  <si>
    <t>146-2套裁配套卷布,0127发4276</t>
    <phoneticPr fontId="1" type="noConversion"/>
  </si>
  <si>
    <t>504卷,0115发4083,0125发3270，0126发4905，0127发4905</t>
    <phoneticPr fontId="1" type="noConversion"/>
  </si>
  <si>
    <t>12支 ，1124发535，1125发8270，1126发5150，1127发4140，1128发6210，1130发4130,0128发2336</t>
    <phoneticPr fontId="1" type="noConversion"/>
  </si>
  <si>
    <t>30支140,0128发3864</t>
    <phoneticPr fontId="1" type="noConversion"/>
  </si>
  <si>
    <t>36-2-2-2-2-2-4-4-1-1-1-1-1-1-1-1-5-4支,1105发2支,1106发2支,1107发2支,1108发2支，1109发2支，1113发4支，1115发4支，1119发1支,1120发1支，1122发1支,1123发1支，1124发1支，1125发1支,1126发1支,1128发1支，1130发1支，0119发5支，0128发4支</t>
    <phoneticPr fontId="1" type="noConversion"/>
  </si>
  <si>
    <t xml:space="preserve"> 40支，0128发1支</t>
    <phoneticPr fontId="1" type="noConversion"/>
  </si>
  <si>
    <t>20-3套，1130发3支，0128发5支</t>
    <phoneticPr fontId="1" type="noConversion"/>
  </si>
  <si>
    <t>32.8-1结项需求：30套+2套PS面，实际订单应为23+2PS套，0123发1支,0125日结项需求为13+1SS，订单减少9.3套，0126发2支，0128发2支</t>
    <phoneticPr fontId="1" type="noConversion"/>
  </si>
  <si>
    <t>70-4-2-4-1-4-4-2-2-2-2-2-1-2-2-1-4支，1221发4支，1222发2支，1224发4支，1225发1支，1227发4支，1228发4支，0105发2支，0106发2支，0108发2支，0111发2支，0112发2支，0117发1支，0118发2支,0119发2支,0120发1支，0121发3支,0124发4支，0125发3支,0127发2支，0128发4支</t>
    <phoneticPr fontId="1" type="noConversion"/>
  </si>
  <si>
    <t>61-10-1-3-4-10-1-4-2-2支，1216发10支，1225发1支,1229发3支，0104发4支，0108发10支，0111发1支，0112发4支，0119发2支，0121发2支，0125发6支，0127发4支,0128发6支</t>
    <phoneticPr fontId="1" type="noConversion"/>
  </si>
  <si>
    <t>146-2套裁配套卷布,0127发4276，0128发4845</t>
    <phoneticPr fontId="1" type="noConversion"/>
  </si>
  <si>
    <t>146-2套裁配套卷布,0127发4276，0128发4845,0129发8075</t>
    <phoneticPr fontId="1" type="noConversion"/>
  </si>
  <si>
    <t>63卷，0129发1555</t>
    <phoneticPr fontId="1" type="noConversion"/>
  </si>
  <si>
    <t>32.8-1结项需求：30套+2套PS面，实际订单应为23+2PS套，0123发1支,0125日结项需求为13+1SS，订单减少9.3套，0126发2支，0128发2支，0129发2支</t>
    <phoneticPr fontId="1" type="noConversion"/>
  </si>
  <si>
    <t>61-10-1-3-4-10-1-4-2-2支，1216发10支，1225发1支,1229发3支，0104发4支，0108发10支，0111发1支，0112发4支，0119发2支，0121发2支，0125发6支，0127发4支,0128发6支，0129发3支</t>
    <phoneticPr fontId="1" type="noConversion"/>
  </si>
  <si>
    <t>15支，技术要求见附件,0113发5支，0118发4支，0121发2支，0129发4支</t>
    <phoneticPr fontId="1" type="noConversion"/>
  </si>
  <si>
    <t>结项需求：30套，实际订单应为26套，0120发2支，0121发2支，0125更新结项需求为14+2PS，订单减少7.3套，0125发3支,0127发3支，0129发4支（补货PS面4套）</t>
    <phoneticPr fontId="1" type="noConversion"/>
  </si>
  <si>
    <t>0129发7210</t>
    <phoneticPr fontId="1" type="noConversion"/>
  </si>
  <si>
    <t>63卷，0129发1555，0130发1555</t>
    <phoneticPr fontId="1" type="noConversion"/>
  </si>
  <si>
    <t>504卷,0115发4083,0125发3270，0126发4905，0127发4905，0130发4840</t>
    <phoneticPr fontId="1" type="noConversion"/>
  </si>
  <si>
    <t>0129发7210，0130发4326</t>
    <phoneticPr fontId="1" type="noConversion"/>
  </si>
  <si>
    <t>189卷，0130发7625</t>
    <phoneticPr fontId="1" type="noConversion"/>
  </si>
  <si>
    <t>70-4-2-4-1-4-4-2-2-2-2-2-1-2-2-1-4-4支，1221发4支，1222发2支，1224发4支，1225发1支，1227发4支，1228发4支，0105发2支，0106发2支，0108发2支，0111发2支，0112发2支，0117发1支，0118发2支,0119发2支,0120发1支，0121发3支,0124发4支，0125发3支,0127发2支，0128发4支，0130发4支</t>
    <phoneticPr fontId="1" type="noConversion"/>
  </si>
  <si>
    <t>20-4-4支，新版报价维护，0124发4，0131发4</t>
    <phoneticPr fontId="1" type="noConversion"/>
  </si>
  <si>
    <t>504卷,0115发4083,0125发3270，0126发4905，0127发4905，0130发4840,0131发6500</t>
    <phoneticPr fontId="1" type="noConversion"/>
  </si>
  <si>
    <t>146-2套裁配套卷布,0127发4276，0128发4845,0129发8075,0201发9690</t>
    <phoneticPr fontId="1" type="noConversion"/>
  </si>
  <si>
    <t>504卷,0115发4083,0125发3270，0126发4905，0127发4905，0130发4840,0131发6500,0201发12790</t>
    <phoneticPr fontId="1" type="noConversion"/>
  </si>
  <si>
    <t>0129发7210，0130发4326，0201发8652</t>
    <phoneticPr fontId="1" type="noConversion"/>
  </si>
  <si>
    <t>30支140，1126发3420，1127发3420，1128发3420，1130发3420,0118发6840,0119发9120,0201发14204</t>
    <phoneticPr fontId="1" type="noConversion"/>
  </si>
  <si>
    <t>30支140，1127发1560，1130发1560，0113发2663（有457kg样品）,0118发4680，0119发5460,0202发7020</t>
    <phoneticPr fontId="1" type="noConversion"/>
  </si>
  <si>
    <t>30支140,0128发3864,0202发7260</t>
    <phoneticPr fontId="1" type="noConversion"/>
  </si>
  <si>
    <t>30-2-2-3-3-2支140，1127日发2支，1130发2支，0112发3支，0113发3支，0118发2支,0202发7支</t>
    <phoneticPr fontId="1" type="noConversion"/>
  </si>
  <si>
    <t>30-2-3-2-5支140，1130发2支，0112发3支，0113发2支,0118发5支，0202发5支</t>
    <phoneticPr fontId="1" type="noConversion"/>
  </si>
  <si>
    <t>每次至少到货10吨,1116发2351，1117发5598，1118发7434,1119发7389，1120发2754，1122发8262，1123发10098,1124发7344，1125发5508，1126发5508，1127发4590，1128发4590，1130发4590，0202发8262</t>
    <phoneticPr fontId="1" type="noConversion"/>
  </si>
  <si>
    <t>146-2套裁配套卷布,0127发4276，0128发4845,0129发8075,0201发9690，0202发5880</t>
    <phoneticPr fontId="1" type="noConversion"/>
  </si>
  <si>
    <t>99卷 大连套裁对应的卷布订单  盐城帮忙裁切发往大连，0202发580</t>
    <phoneticPr fontId="1" type="noConversion"/>
  </si>
  <si>
    <t>504卷,0115发4083,0125发3270，0126发4905，0127发4905，0130发4840,0131发6500,0201发12790，0202发9645</t>
    <phoneticPr fontId="1" type="noConversion"/>
  </si>
  <si>
    <t>99卷 大连套裁对应的卷布订单  盐城帮忙裁切发往大连,0202发580，0203发3230</t>
    <phoneticPr fontId="1" type="noConversion"/>
  </si>
  <si>
    <t>504卷,0115发4083,0125发3270，0126发4905，0127发4905，0130发4840,0131发6500,0201发12790,0202发9645，0203发4840</t>
    <phoneticPr fontId="1" type="noConversion"/>
  </si>
  <si>
    <t>0129发7210，0130发4326，0201发8652，0203发7210</t>
    <phoneticPr fontId="1" type="noConversion"/>
  </si>
  <si>
    <t>0129发7210，0130发4326，0201发8652，0203发7210,0204发7210</t>
    <phoneticPr fontId="1" type="noConversion"/>
  </si>
  <si>
    <t>504卷,0115发4083,0125发3270，0126发4905，0127发4905，0130发4840,0131发6500,0201发12790,0202发9645，0203发4840，0204发4770</t>
    <phoneticPr fontId="1" type="noConversion"/>
  </si>
  <si>
    <t>99卷 大连套裁对应的卷布订单  盐城帮忙裁切发往大连,0202发580，0203发3230，0204发3230</t>
    <phoneticPr fontId="1" type="noConversion"/>
  </si>
  <si>
    <t>99卷 大连套裁对应的卷布订单  盐城帮忙裁切发往大连,0202发580，0203发3230，0204发3230，0205发3230</t>
    <phoneticPr fontId="1" type="noConversion"/>
  </si>
  <si>
    <t>22-5-5-5-5-1-1套，0827日发5支，0904发5支，0914发5支，0924发5支，1016发1支，0205发1支</t>
    <phoneticPr fontId="1" type="noConversion"/>
  </si>
  <si>
    <t>18-5-4套，1023发5支，0205发4支</t>
    <phoneticPr fontId="1" type="noConversion"/>
  </si>
  <si>
    <t>10-2支,0205发2支</t>
    <phoneticPr fontId="1" type="noConversion"/>
  </si>
  <si>
    <t>单轴玻纤；UDH-1215-230；WB171Ⅰ36后缘；-</t>
    <phoneticPr fontId="1" type="noConversion"/>
  </si>
  <si>
    <t>单轴玻纤；UDH-1215-230；GW171Ⅰ36后缘；-</t>
    <phoneticPr fontId="1" type="noConversion"/>
  </si>
  <si>
    <t>0219发4665,</t>
    <phoneticPr fontId="1" type="noConversion"/>
  </si>
  <si>
    <t>0219发10675,</t>
    <phoneticPr fontId="1" type="noConversion"/>
  </si>
  <si>
    <t>三轴玻纤；3AX90-1215-0227；2540mm×100m；-</t>
    <phoneticPr fontId="1" type="noConversion"/>
  </si>
  <si>
    <t>三轴玻纤；3AX-1215-7220；2540mm×100m；-</t>
    <phoneticPr fontId="1" type="noConversion"/>
  </si>
  <si>
    <t>0219发10675,0220发12200</t>
    <phoneticPr fontId="1" type="noConversion"/>
  </si>
  <si>
    <t>0219发4665,0220发3110</t>
    <phoneticPr fontId="1" type="noConversion"/>
  </si>
  <si>
    <t>一共5卷，分别是SS面第7.8.9.10.11卷，0221发5卷</t>
    <phoneticPr fontId="1" type="noConversion"/>
  </si>
  <si>
    <t>30支140，1126发3420，1127发3420，1128发3420，1130发3420,0118发6840,0119发9120,0201发14204，0221发2304</t>
    <phoneticPr fontId="1" type="noConversion"/>
  </si>
  <si>
    <t>30支140，1127发1560，1130发1560，0113发2663（有457kg样品）,0118发4680，0119发5460,0202发7020,0221发2652</t>
    <phoneticPr fontId="1" type="noConversion"/>
  </si>
  <si>
    <t>20-3-5-2套，1130发3支，0128发5支，0221发2支</t>
    <phoneticPr fontId="1" type="noConversion"/>
  </si>
  <si>
    <t xml:space="preserve"> 40支，0128发1支,0221发2支</t>
    <phoneticPr fontId="1" type="noConversion"/>
  </si>
  <si>
    <t>0.5套为1套SS面，0222发2支</t>
    <phoneticPr fontId="1" type="noConversion"/>
  </si>
  <si>
    <t>0222发2884</t>
    <phoneticPr fontId="1" type="noConversion"/>
  </si>
  <si>
    <t>双轴玻纤；2AX-800-0440；2540mm×100m；-</t>
    <phoneticPr fontId="1" type="noConversion"/>
  </si>
  <si>
    <t>0223发5支</t>
    <phoneticPr fontId="1" type="noConversion"/>
  </si>
  <si>
    <t>0223发6460</t>
    <phoneticPr fontId="1" type="noConversion"/>
  </si>
  <si>
    <t>20-3-5-2-3套，1130发3支，0128发5支，0221发2支，0225发3支</t>
    <phoneticPr fontId="1" type="noConversion"/>
  </si>
  <si>
    <t xml:space="preserve"> 40-1-2-3支，0128发1支,0221发2支,0225发3支</t>
    <phoneticPr fontId="1" type="noConversion"/>
  </si>
  <si>
    <t>0222发2884，0225发14441</t>
    <phoneticPr fontId="1" type="noConversion"/>
  </si>
  <si>
    <t>0223发6460,0227发8075</t>
    <phoneticPr fontId="1" type="noConversion"/>
  </si>
  <si>
    <t>0227发8055</t>
    <phoneticPr fontId="1" type="noConversion"/>
  </si>
  <si>
    <t>三轴玻纤；3AX9060-1250-0336；2540mm×100m；-</t>
    <phoneticPr fontId="1" type="noConversion"/>
  </si>
  <si>
    <t>30-2-2-3-3-2-2支140，1127日发2支，1130发2支，0112发3支，0113发3支，0118发2支,0202发7支，0228发2支</t>
    <phoneticPr fontId="1" type="noConversion"/>
  </si>
  <si>
    <t>30-2-3-2-5-5-3支140，1130发2支，0112发3支，0113发2支,0118发5支，0202发5支,0228发3支</t>
    <phoneticPr fontId="1" type="noConversion"/>
  </si>
  <si>
    <t>30支140,0128发3864,0202发7260,0228发2060</t>
    <phoneticPr fontId="1" type="noConversion"/>
  </si>
  <si>
    <t>0.5套为1套SS面，0222发2支，0228发2支</t>
    <phoneticPr fontId="1" type="noConversion"/>
  </si>
  <si>
    <t>0223发6460,0227发8075，0228发3230</t>
    <phoneticPr fontId="1" type="noConversion"/>
  </si>
  <si>
    <t>0223发6460,0227发8075，0228发3230，0301发12920</t>
    <phoneticPr fontId="1" type="noConversion"/>
  </si>
  <si>
    <t>0.7套为2套PS面,0301发2支</t>
    <phoneticPr fontId="1" type="noConversion"/>
  </si>
  <si>
    <t>30支140,0128发3864,0202发7260,0228发2060,0301发3828</t>
    <phoneticPr fontId="1" type="noConversion"/>
  </si>
  <si>
    <t>30-2-2-3-3-2-2-3支140，1127日发2支，1130发2支，0112发3支，0113发3支，0118发2支,0202发7支，0228发2支，0301发3支</t>
    <phoneticPr fontId="1" type="noConversion"/>
  </si>
  <si>
    <t>30-2-3-2-5-5-3-2支140，1130发2支，0112发3支，0113发2支,0118发5支，0202发5支,0228发3支，0301发2支</t>
    <phoneticPr fontId="1" type="noConversion"/>
  </si>
  <si>
    <t>三轴玻纤；3AX-1250-6330；2540mm×100m；-</t>
    <phoneticPr fontId="1" type="noConversion"/>
  </si>
  <si>
    <t>三轴玻纤；3AX9060-1500-0339-H；1270mm×100m；-</t>
    <phoneticPr fontId="1" type="noConversion"/>
  </si>
  <si>
    <t>双轴玻纤；2AX-0600-0330；1270mm×100m；-</t>
    <phoneticPr fontId="1" type="noConversion"/>
  </si>
  <si>
    <t>21卷</t>
    <phoneticPr fontId="1" type="noConversion"/>
  </si>
  <si>
    <t>0223发5支,0302发5支</t>
    <phoneticPr fontId="1" type="noConversion"/>
  </si>
  <si>
    <t>0303发3支</t>
    <phoneticPr fontId="1" type="noConversion"/>
  </si>
  <si>
    <t>0223发6460,0227发8075，0228发3230，0301发12920,0302发8075</t>
    <phoneticPr fontId="1" type="noConversion"/>
  </si>
  <si>
    <t xml:space="preserve"> 40-1-2-3-2支，0128发1支,0221发2支,0225发3支，0302发2支</t>
    <phoneticPr fontId="1" type="noConversion"/>
  </si>
  <si>
    <t>20-3-5-2-3-3套，1130发3支，0128发5支，0221发2支，0225发3支,0302发3支</t>
    <phoneticPr fontId="1" type="noConversion"/>
  </si>
  <si>
    <t>30支140，1126发3420，1127发3420，1128发3420，1130发3420,0118发6840,0119发9120,0201发14204，0221发2304，0302发292</t>
    <phoneticPr fontId="1" type="noConversion"/>
  </si>
  <si>
    <t>61卷，0302发4316</t>
    <phoneticPr fontId="1" type="noConversion"/>
  </si>
  <si>
    <t>0222发2884，0225发14441，0302发1438.6</t>
    <phoneticPr fontId="1" type="noConversion"/>
  </si>
  <si>
    <t>175卷 ,0302发5762.4</t>
    <phoneticPr fontId="1" type="noConversion"/>
  </si>
  <si>
    <t>175卷 ,0302发5762.4，0303发4326</t>
    <phoneticPr fontId="1" type="noConversion"/>
  </si>
  <si>
    <t>0.7套为2套PS面,0301发2支,0303发2支+2套PS面</t>
    <phoneticPr fontId="1" type="noConversion"/>
  </si>
  <si>
    <t>0.5套为1套SS面，0222发2支,0228发2支,0303发1支</t>
    <phoneticPr fontId="1" type="noConversion"/>
  </si>
  <si>
    <t xml:space="preserve"> 40-1-2-3-2-1支，0128发1支,0221发2支,0225发3支，0302发2支，0303发1支</t>
    <phoneticPr fontId="1" type="noConversion"/>
  </si>
  <si>
    <t>30-2-3-2-5-5-3-2-2支140，1130发2支，0112发3支，0113发2支,0118发5支，0202发5支,0228发3支，0301发2支，0303发2支</t>
    <phoneticPr fontId="1" type="noConversion"/>
  </si>
  <si>
    <t>30-2-2-3-3-2-2-3-3支140，1127日发2支，1130发2支，0112发3支，0113发3支，0118发2支,0202发7支，0228发2支，0301发3支，0303发3支</t>
    <phoneticPr fontId="1" type="noConversion"/>
  </si>
  <si>
    <t>0219发10675,0220发12200,0304发10675</t>
    <phoneticPr fontId="1" type="noConversion"/>
  </si>
  <si>
    <t>0219发4665,0220发3110，0304发4665</t>
    <phoneticPr fontId="1" type="noConversion"/>
  </si>
  <si>
    <t>10支，0304发10支</t>
    <phoneticPr fontId="1" type="noConversion"/>
  </si>
  <si>
    <t>20-4-4支，新版报价维护，0124发4，0131发4</t>
  </si>
  <si>
    <t>SR146Ⅱ腹板套裁</t>
  </si>
  <si>
    <t>SR146Ⅱ壳体套裁</t>
  </si>
  <si>
    <t>0.5套为1套SS面，0222发2支,0228发2支,0302发1支，0305发2支</t>
    <phoneticPr fontId="1" type="noConversion"/>
  </si>
  <si>
    <t>0219发4665,0220发3110，0304发4665,0305发3110</t>
    <phoneticPr fontId="1" type="noConversion"/>
  </si>
  <si>
    <t>175卷 ,0302发5762.4，0303发4326,0306发8652</t>
    <phoneticPr fontId="1" type="noConversion"/>
  </si>
  <si>
    <t>0227发8055，0306发6430</t>
    <phoneticPr fontId="1" type="noConversion"/>
  </si>
  <si>
    <t>161卷 ，0306发8520</t>
    <phoneticPr fontId="1" type="noConversion"/>
  </si>
  <si>
    <t>30-2-3-2-5-5-3-2-2-2支140，1130发2支，0112发3支，0113发2支,0118发5支，0202发5支,0228发3支，0301发2支，0303发2支，0306发2支</t>
    <phoneticPr fontId="1" type="noConversion"/>
  </si>
  <si>
    <t>0.5套为1套SS面，0222发2支,0228发2支,0302发1支，0305发2支,0308发1支SS面</t>
    <phoneticPr fontId="1" type="noConversion"/>
  </si>
  <si>
    <t>临时加单，SS面一套，0308发1支SS面</t>
    <phoneticPr fontId="1" type="noConversion"/>
  </si>
  <si>
    <t>0303发3支，0308发3支</t>
    <phoneticPr fontId="1" type="noConversion"/>
  </si>
  <si>
    <t>175卷 ,0302发5762.4，0303发4326,0306发8652，0308发2884</t>
    <phoneticPr fontId="1" type="noConversion"/>
  </si>
  <si>
    <t>0223发6460,0227发8075，0228发3230，0301发12920,0302发8075,0309发3230</t>
    <phoneticPr fontId="1" type="noConversion"/>
  </si>
  <si>
    <t>临时加单，米长100米，共需18卷；米长61米，共需10卷。一共28卷</t>
    <phoneticPr fontId="1" type="noConversion"/>
  </si>
  <si>
    <t xml:space="preserve">6支 </t>
    <phoneticPr fontId="1" type="noConversion"/>
  </si>
  <si>
    <t>三轴玻纤；3AX90-1250-0336；2540mm×100m；-</t>
    <phoneticPr fontId="1" type="noConversion"/>
  </si>
  <si>
    <t>双轴玻纤；2AX-0600-0330；2540mm×100m；-</t>
    <phoneticPr fontId="1" type="noConversion"/>
  </si>
  <si>
    <t>50卷</t>
    <phoneticPr fontId="1" type="noConversion"/>
  </si>
  <si>
    <t>40卷</t>
    <phoneticPr fontId="1" type="noConversion"/>
  </si>
  <si>
    <t>0227发8055，0306发6430，0309发12790</t>
    <phoneticPr fontId="1" type="noConversion"/>
  </si>
  <si>
    <t>30-2-3-2-5-5-3-2-2-2-3支140，1130发2支，0112发3支，0113发2支,0118发5支，0202发5支,0228发3支，0301发2支，0303发2支，0306发2支,0309发3支</t>
    <phoneticPr fontId="1" type="noConversion"/>
  </si>
  <si>
    <t>30-2-2-3-3-2-2-3-3-3支140，1127日发2支，1130发2支，0112发3支，0113发3支，0118发2支,0202发7支，0228发2支，0301发3支，0303发3支，0309发3支</t>
    <phoneticPr fontId="1" type="noConversion"/>
  </si>
  <si>
    <t>0223发6460,0227发8075，0228发3230，0301发12920,0302发8075,0309发3230,0310发16150</t>
    <phoneticPr fontId="1" type="noConversion"/>
  </si>
  <si>
    <t xml:space="preserve"> 40-1-2-3-2-1支，0128发1支,0221发2支,0225发3支，0302发2支，0303发1支，0310发3支</t>
    <phoneticPr fontId="1" type="noConversion"/>
  </si>
  <si>
    <t>20-3-5-2-3-3套，1130发3支，0128发5支，0221发2支，0225发3支,0302发3支，0310发3支</t>
    <phoneticPr fontId="1" type="noConversion"/>
  </si>
  <si>
    <t>175卷 ,0302发5762.4，0303发4326,0306发8652，0308发2884,0311发13596</t>
    <phoneticPr fontId="1" type="noConversion"/>
  </si>
  <si>
    <t>0223发5支,0302发5支，0312发5支</t>
    <phoneticPr fontId="1" type="noConversion"/>
  </si>
  <si>
    <t>0219发10675,0220发12200,0304发10675，0312发6100</t>
    <phoneticPr fontId="1" type="noConversion"/>
  </si>
  <si>
    <t xml:space="preserve"> 40-1-2-3-2-1-3-3支，0128发1支,0221发2支,0225发3支，0302发2支，0303发1支，0310发3支,0313发3支</t>
    <phoneticPr fontId="1" type="noConversion"/>
  </si>
  <si>
    <t>20-3-5-2-3-3套，1130发3支，0128发5支，0221发2支，0225发3支,0302发3支，0310发3支，0313发1支</t>
    <phoneticPr fontId="1" type="noConversion"/>
  </si>
  <si>
    <t xml:space="preserve"> 40支，40-2套，0313发2支</t>
    <phoneticPr fontId="1" type="noConversion"/>
  </si>
  <si>
    <t>0219发10675,0220发12200,0304发10675，0312发6100,0314发10675</t>
    <phoneticPr fontId="1" type="noConversion"/>
  </si>
  <si>
    <t>0219发4665,0220发3110，0304发4665,0305发3110,0315发4033</t>
    <phoneticPr fontId="1" type="noConversion"/>
  </si>
  <si>
    <t xml:space="preserve"> 40支，40-2套，0313发2支，0315发3支</t>
    <phoneticPr fontId="1" type="noConversion"/>
  </si>
  <si>
    <t xml:space="preserve"> 40-1-2-3-2-1-3-3支，0128发1支,0221发2支,0225发3支，0302发2支，0303发1支，0310发3支,0313发3支，0315发3支</t>
    <phoneticPr fontId="1" type="noConversion"/>
  </si>
  <si>
    <t>0315发1442</t>
    <phoneticPr fontId="1" type="noConversion"/>
  </si>
  <si>
    <t>175卷 ,0302发5762.4，0303发4326,0306发8652，0308发2884,0311发13596，0315发8652</t>
    <phoneticPr fontId="1" type="noConversion"/>
  </si>
  <si>
    <t>12支，0315发10支</t>
    <phoneticPr fontId="1" type="noConversion"/>
  </si>
  <si>
    <t>6支</t>
  </si>
  <si>
    <t>0315发1422</t>
    <phoneticPr fontId="1" type="noConversion"/>
  </si>
  <si>
    <t>30支140,0128发3864,0202发7260,0228发2060,0301发3828,0316发14729</t>
    <phoneticPr fontId="1" type="noConversion"/>
  </si>
  <si>
    <t>61卷，0302发4316，0316发5760</t>
    <phoneticPr fontId="1" type="noConversion"/>
  </si>
  <si>
    <t>0316发7支</t>
    <phoneticPr fontId="1" type="noConversion"/>
  </si>
  <si>
    <t>0303发3支，0308发3支,0316发2支</t>
    <phoneticPr fontId="1" type="noConversion"/>
  </si>
  <si>
    <t>SR140后缘</t>
  </si>
  <si>
    <t>技术要求见附件</t>
  </si>
  <si>
    <t>SR152Ⅴ后缘</t>
  </si>
  <si>
    <t>SR152Ⅴ后缘</t>
    <phoneticPr fontId="1" type="noConversion"/>
  </si>
  <si>
    <t>单轴玻纤；UDH-1215-230；SR152Ⅴ32后缘；-</t>
    <phoneticPr fontId="1" type="noConversion"/>
  </si>
  <si>
    <t>单轴玻纤；UDH-1215-230；SR152Ⅴ32后缘；-</t>
    <phoneticPr fontId="1" type="noConversion"/>
  </si>
  <si>
    <t>双轴玻纤；2AX-800-0440；1270mm×100m；-</t>
    <phoneticPr fontId="1" type="noConversion"/>
  </si>
  <si>
    <t>30支140,0128发3864,0202发7260,0228发2060,0301发3828,0316发14729，0317发9064</t>
    <phoneticPr fontId="1" type="noConversion"/>
  </si>
  <si>
    <t>61卷，0302发4316，0316发5760,0317发1574</t>
    <phoneticPr fontId="1" type="noConversion"/>
  </si>
  <si>
    <t>49卷，0317发4762</t>
    <phoneticPr fontId="1" type="noConversion"/>
  </si>
  <si>
    <t>30支140，1127发1560，1130发1560，0113发2663（有457kg样品）,0118发4680，0119发5460,0202发7020,0221发2652,0317发541</t>
    <phoneticPr fontId="1" type="noConversion"/>
  </si>
  <si>
    <t>161卷 ，0306发8520，0317发2867</t>
    <phoneticPr fontId="1" type="noConversion"/>
  </si>
  <si>
    <t xml:space="preserve"> 40-1-2-3-2-1-3-3支，0128发1支,0221发2支,0225发3支，0302发2支，0303发1支，0310发3支,0313发3支，0315发3支，0317发3支</t>
    <phoneticPr fontId="1" type="noConversion"/>
  </si>
  <si>
    <t xml:space="preserve"> 40支，40-2-3-3套，0313发2支，0315发3支,0317发3支</t>
    <phoneticPr fontId="1" type="noConversion"/>
  </si>
  <si>
    <t>0227发8055，0306发6430，0309发12790，0315发4770</t>
  </si>
  <si>
    <t>0315发4173</t>
  </si>
  <si>
    <t>0315发4173</t>
    <phoneticPr fontId="1" type="noConversion"/>
  </si>
  <si>
    <t xml:space="preserve"> 40-1-2-3-2-1-3-3-3-3-3支，0128发1支,0221发2支,0225发3支，0302发2支，0303发1支，0310发3支,0313发3支，0315发3支，0317发3支，0318发3支</t>
    <phoneticPr fontId="1" type="noConversion"/>
  </si>
  <si>
    <t xml:space="preserve"> 40支，40-2-3-3套，0313发2支，0315发3支,0317发3支，0318发3支</t>
    <phoneticPr fontId="1" type="noConversion"/>
  </si>
  <si>
    <t>0318日邮件取消订单 34650.36</t>
    <phoneticPr fontId="1" type="noConversion"/>
  </si>
  <si>
    <t>0223发5支,0302发5支，0312发5支，0318日邮件取消4支</t>
    <phoneticPr fontId="1" type="noConversion"/>
  </si>
  <si>
    <t>27卷OC GW171结项需求 壳体裁片</t>
  </si>
  <si>
    <t>79卷OC GW171结项需求 壳体裁片</t>
  </si>
  <si>
    <t>12支，0315发10支，0319发2支</t>
    <phoneticPr fontId="1" type="noConversion"/>
  </si>
  <si>
    <t>8支，0319发8支</t>
    <phoneticPr fontId="1" type="noConversion"/>
  </si>
  <si>
    <t>0319发5支</t>
    <phoneticPr fontId="1" type="noConversion"/>
  </si>
  <si>
    <t>0315发8652，0319发1442</t>
    <phoneticPr fontId="1" type="noConversion"/>
  </si>
  <si>
    <t>0219发4665,0220发3110，0304发4665,0305发3110,0315发4033，0319发1550</t>
    <phoneticPr fontId="1" type="noConversion"/>
  </si>
  <si>
    <t>0219发10675,0220发12200,0304发10675，0312发6100,0314发10675，0319发9190</t>
    <phoneticPr fontId="1" type="noConversion"/>
  </si>
  <si>
    <t>0223发6460,0227发8075，0228发3230，0301发12920,0302发8075,0309发3230,0310发16150，0319发9690</t>
    <phoneticPr fontId="1" type="noConversion"/>
  </si>
  <si>
    <t>398卷 洛阳结项需求</t>
  </si>
  <si>
    <t>493卷 洛阳结项需求</t>
  </si>
  <si>
    <t xml:space="preserve">49支 洛阳结项需求 </t>
  </si>
  <si>
    <t xml:space="preserve">48支 洛阳结项需求 </t>
  </si>
  <si>
    <t xml:space="preserve">9支 686结项需求 </t>
  </si>
  <si>
    <t>162卷</t>
  </si>
  <si>
    <t xml:space="preserve"> 40支，40-2-3-3-3-3套，0313发2支，0315发3支,0317发3支，0318发3支，0322发3支</t>
    <phoneticPr fontId="1" type="noConversion"/>
  </si>
  <si>
    <t xml:space="preserve"> 40-1-2-3-2-1-3-3-3-3-3-3支，0128发1支,0221发2支,0225发3支，0302发2支，0303发1支，0310发3支,0313发3支，0315发3支，0317发3支，0318发3支,0322发3支</t>
    <phoneticPr fontId="1" type="noConversion"/>
  </si>
  <si>
    <t>12支，0322发3386</t>
    <phoneticPr fontId="1" type="noConversion"/>
  </si>
  <si>
    <t>每次至少到货10吨,1116发2351，1117发5598，1118发7434,1119发7389，1120发2754，1122发8262，1123发10098,1124发7344，1125发5508，1126发5508，1127发4590，1128发4590，1130发4590，0202发8262，0322发7344</t>
    <phoneticPr fontId="1" type="noConversion"/>
  </si>
  <si>
    <t>30支140,0128发3864,0202发7260,0228发2060,0301发3828,0316发14729，0317发9064,0322发6798</t>
    <phoneticPr fontId="1" type="noConversion"/>
  </si>
  <si>
    <t>49卷，0317发4762，0322发95</t>
    <phoneticPr fontId="1" type="noConversion"/>
  </si>
  <si>
    <t>0219发10675,0220发12200,0304发10675，0312发6100,0314发10675，0319发9190,0323发10745</t>
    <phoneticPr fontId="1" type="noConversion"/>
  </si>
  <si>
    <t>1120000145</t>
    <phoneticPr fontId="1" type="noConversion"/>
  </si>
  <si>
    <t>0219发4665,0220发3110，0304发4665,0305发3110,0315发4033，0319发1550,0323发4650</t>
    <phoneticPr fontId="1" type="noConversion"/>
  </si>
  <si>
    <t>0223发6460,0227发8075，0228发3230，0301发12920,0302发8075,0309发3230,0310发16150，0319发9690，0323发16150</t>
    <phoneticPr fontId="1" type="noConversion"/>
  </si>
  <si>
    <t>30支140,0128发3864,0202发7260,0228发2060,0301发3828,0316发14729，0317发9064,0322发6798,0324发2605</t>
  </si>
  <si>
    <t>594卷 洛阳结项需求,0324发794</t>
  </si>
  <si>
    <t>每次至少到货10吨,1116发2351，1117发5598，1118发7434,1119发7389，1120发2754，1122发8262，1123发10098,1124发7344，1125发5508，1126发5508，1127发4590，1128发4590，1130发4590，0202发8262，0322发7344,0324发2762</t>
  </si>
  <si>
    <t>12支,0324发8254</t>
  </si>
  <si>
    <t xml:space="preserve"> 40支，40-2-3-3-3-3套，0313发2支，0315发3支,0317发3支，0318发3支，0322发3支,0324发631,0324发1支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</si>
</sst>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_ 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8"/>
      <color theme="1"/>
      <name val="Microsoft YaHei UI"/>
      <family val="2"/>
      <charset val="134"/>
    </font>
    <font>
      <sz val="8"/>
      <name val="Microsoft YaHei UI"/>
      <family val="2"/>
      <charset val="134"/>
    </font>
    <font>
      <sz val="8"/>
      <color rgb="FFFF0000"/>
      <name val="Microsoft YaHei UI"/>
      <family val="2"/>
      <charset val="134"/>
    </font>
    <font>
      <b/>
      <sz val="8"/>
      <color theme="1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7" tint="0.3999755851924192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>
      <alignment vertical="center"/>
    </xf>
  </cellStyleXfs>
  <cellXfs count="115">
    <xf numFmtId="0" fontId="0" fillId="0" borderId="0" xfId="0"/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164" fontId="7" fillId="6" borderId="1" xfId="0" applyNumberFormat="1" applyFont="1" applyFill="1" applyBorder="1" applyAlignment="1">
      <alignment horizontal="left" vertical="center"/>
    </xf>
    <xf numFmtId="49" fontId="7" fillId="6" borderId="1" xfId="0" applyNumberFormat="1" applyFont="1" applyFill="1" applyBorder="1" applyAlignment="1">
      <alignment horizontal="left" vertical="center"/>
    </xf>
    <xf numFmtId="49" fontId="7" fillId="6" borderId="0" xfId="0" applyNumberFormat="1" applyFont="1" applyFill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4" borderId="1" xfId="0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14" fontId="7" fillId="0" borderId="0" xfId="0" applyNumberFormat="1" applyFont="1" applyAlignment="1">
      <alignment horizontal="left"/>
    </xf>
    <xf numFmtId="0" fontId="7" fillId="0" borderId="1" xfId="1" applyFont="1" applyFill="1" applyBorder="1" applyAlignment="1">
      <alignment horizontal="left" vertical="center"/>
    </xf>
    <xf numFmtId="14" fontId="7" fillId="0" borderId="1" xfId="1" applyNumberFormat="1" applyFont="1" applyFill="1" applyBorder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Alignment="1">
      <alignment horizontal="left"/>
    </xf>
    <xf numFmtId="3" fontId="7" fillId="0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8" fillId="0" borderId="0" xfId="0" applyNumberFormat="1" applyFont="1" applyAlignment="1">
      <alignment horizontal="left"/>
    </xf>
    <xf numFmtId="0" fontId="10" fillId="7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8" fillId="7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4" xfId="0" applyFont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7" borderId="0" xfId="0" applyFont="1" applyFill="1" applyBorder="1" applyAlignment="1">
      <alignment horizontal="left"/>
    </xf>
    <xf numFmtId="0" fontId="7" fillId="7" borderId="0" xfId="0" applyNumberFormat="1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NumberFormat="1" applyFont="1" applyAlignment="1">
      <alignment horizontal="left"/>
    </xf>
    <xf numFmtId="0" fontId="7" fillId="0" borderId="0" xfId="0" pivotButton="1" applyFont="1" applyAlignment="1">
      <alignment horizontal="left"/>
    </xf>
    <xf numFmtId="0" fontId="7" fillId="0" borderId="0" xfId="0" applyFont="1"/>
    <xf numFmtId="0" fontId="7" fillId="0" borderId="0" xfId="0" pivotButton="1" applyFont="1"/>
    <xf numFmtId="0" fontId="7" fillId="0" borderId="0" xfId="0" applyNumberFormat="1" applyFont="1"/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5" fontId="7" fillId="0" borderId="1" xfId="0" applyNumberFormat="1" applyFont="1" applyFill="1" applyBorder="1" applyAlignment="1">
      <alignment horizontal="left" vertical="center"/>
    </xf>
    <xf numFmtId="0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49" fontId="7" fillId="8" borderId="1" xfId="0" applyNumberFormat="1" applyFont="1" applyFill="1" applyBorder="1" applyAlignment="1">
      <alignment horizontal="left" vertical="center"/>
    </xf>
    <xf numFmtId="49" fontId="7" fillId="8" borderId="0" xfId="0" applyNumberFormat="1" applyFont="1" applyFill="1" applyAlignment="1">
      <alignment horizontal="left" vertical="center"/>
    </xf>
    <xf numFmtId="0" fontId="9" fillId="0" borderId="0" xfId="0" applyNumberFormat="1" applyFont="1" applyAlignment="1">
      <alignment horizontal="left"/>
    </xf>
    <xf numFmtId="0" fontId="7" fillId="9" borderId="1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49" fontId="7" fillId="9" borderId="1" xfId="0" applyNumberFormat="1" applyFont="1" applyFill="1" applyBorder="1" applyAlignment="1">
      <alignment horizontal="left" vertical="center"/>
    </xf>
    <xf numFmtId="49" fontId="7" fillId="9" borderId="0" xfId="0" applyNumberFormat="1" applyFont="1" applyFill="1" applyAlignment="1">
      <alignment horizontal="left" vertical="center"/>
    </xf>
    <xf numFmtId="0" fontId="9" fillId="4" borderId="0" xfId="0" applyNumberFormat="1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0" fontId="7" fillId="10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49" fontId="7" fillId="10" borderId="1" xfId="0" applyNumberFormat="1" applyFont="1" applyFill="1" applyBorder="1" applyAlignment="1">
      <alignment horizontal="left" vertical="center"/>
    </xf>
    <xf numFmtId="49" fontId="7" fillId="10" borderId="0" xfId="0" applyNumberFormat="1" applyFont="1" applyFill="1" applyAlignment="1">
      <alignment horizontal="left" vertical="center"/>
    </xf>
  </cellXfs>
  <cellStyles count="3">
    <cellStyle name="Normal" xfId="0" builtinId="0"/>
    <cellStyle name="常规 2" xfId="1"/>
    <cellStyle name="常规 32" xfId="2"/>
  </cellStyles>
  <dxfs count="53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&#21452;&#29790;Open%20order-03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&#21452;&#29790;Open%20order%20&#30340;&#21103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pen%20Order/01%20&#21452;&#29790;Open%20order01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15&#28165;&#21333;/01%20&#21452;&#29790;Open%20order1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&#21452;&#29790;Open%20order%20&#30340;&#21103;&#26412;0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Open order"/>
      <sheetName val="张家口"/>
      <sheetName val="哈密"/>
      <sheetName val="洛阳"/>
      <sheetName val="大连"/>
      <sheetName val="大丰"/>
      <sheetName val="鄂尔多斯"/>
      <sheetName val="703"/>
      <sheetName val="德州"/>
      <sheetName val="乌兰察布"/>
      <sheetName val="基础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工厂代码</v>
          </cell>
          <cell r="B1" t="str">
            <v>简称</v>
          </cell>
          <cell r="G1" t="str">
            <v>描述</v>
          </cell>
          <cell r="H1" t="str">
            <v>简称</v>
          </cell>
        </row>
        <row r="2">
          <cell r="A2">
            <v>1270</v>
          </cell>
          <cell r="B2" t="str">
            <v>洛阳</v>
          </cell>
          <cell r="G2" t="str">
            <v>单轴玻纤；SR171Ⅲ36后缘；UDH-1215-230；-</v>
          </cell>
          <cell r="H2" t="str">
            <v>SR171Ⅲ后缘</v>
          </cell>
        </row>
        <row r="3">
          <cell r="A3">
            <v>1530</v>
          </cell>
          <cell r="B3" t="str">
            <v>张家口</v>
          </cell>
          <cell r="G3" t="str">
            <v>单轴玻纤；UDE-1200-170；SR120Ⅲ23后缘；-</v>
          </cell>
          <cell r="H3" t="str">
            <v>SR120Ⅲ后缘</v>
          </cell>
        </row>
        <row r="4">
          <cell r="A4">
            <v>1570</v>
          </cell>
          <cell r="B4" t="str">
            <v>德州</v>
          </cell>
          <cell r="G4" t="str">
            <v>单轴玻纤；UDE-1200-170；SR120后缘；-</v>
          </cell>
          <cell r="H4" t="str">
            <v>SR120后缘</v>
          </cell>
        </row>
        <row r="5">
          <cell r="A5">
            <v>1580</v>
          </cell>
          <cell r="B5" t="str">
            <v>大连</v>
          </cell>
          <cell r="G5" t="str">
            <v>单轴玻纤；UDH-1215-230；SR146Ⅰ28后缘；-</v>
          </cell>
          <cell r="H5" t="str">
            <v>SR146Ⅰ后缘</v>
          </cell>
        </row>
        <row r="6">
          <cell r="A6">
            <v>1920</v>
          </cell>
          <cell r="B6" t="str">
            <v>鄂尔多斯</v>
          </cell>
          <cell r="G6" t="str">
            <v>单轴玻纤；UDH-1215-230；SR146Ⅱ28后缘；-</v>
          </cell>
          <cell r="H6" t="str">
            <v>SR146Ⅱ后缘</v>
          </cell>
        </row>
        <row r="7">
          <cell r="A7">
            <v>1930</v>
          </cell>
          <cell r="B7" t="str">
            <v>大丰</v>
          </cell>
          <cell r="G7" t="str">
            <v>单轴玻纤；UDH-1215-230；SR152Ⅱ36后缘；-</v>
          </cell>
          <cell r="H7" t="str">
            <v>SR152Ⅱ后缘</v>
          </cell>
        </row>
        <row r="8">
          <cell r="A8">
            <v>1390</v>
          </cell>
          <cell r="B8" t="str">
            <v>哈密</v>
          </cell>
          <cell r="G8" t="str">
            <v>单轴玻纤；UDH-1215-230；SR152Ⅳ32后缘；-</v>
          </cell>
          <cell r="H8" t="str">
            <v>SR152Ⅳ后缘</v>
          </cell>
        </row>
        <row r="9">
          <cell r="A9">
            <v>1350</v>
          </cell>
          <cell r="B9"/>
          <cell r="G9" t="str">
            <v>单轴玻纤；UDH-1215-230；WB171Ⅰ36后缘；-</v>
          </cell>
          <cell r="H9" t="str">
            <v>WB171I后缘</v>
          </cell>
        </row>
        <row r="10">
          <cell r="A10">
            <v>1390</v>
          </cell>
          <cell r="B10"/>
          <cell r="G10" t="str">
            <v>单轴玻纤；UDH-1215-630；SR146Ⅰ28大梁；-</v>
          </cell>
          <cell r="H10" t="str">
            <v>SR146Ⅰ大梁</v>
          </cell>
        </row>
        <row r="11">
          <cell r="A11">
            <v>1940</v>
          </cell>
          <cell r="B11" t="str">
            <v>乌兰察布</v>
          </cell>
          <cell r="G11" t="str">
            <v>单轴玻纤；UDH-1215-630；SR146Ⅱ28大梁；-</v>
          </cell>
          <cell r="H11" t="str">
            <v>SR146Ⅱ大梁</v>
          </cell>
        </row>
        <row r="12">
          <cell r="A12">
            <v>1260</v>
          </cell>
          <cell r="B12"/>
          <cell r="G12" t="str">
            <v>单轴玻纤；UDH-1215-700；SR152Ⅳ32大梁；-</v>
          </cell>
          <cell r="H12" t="str">
            <v>SR152Ⅳ大梁</v>
          </cell>
        </row>
        <row r="13">
          <cell r="A13">
            <v>1680</v>
          </cell>
          <cell r="B13" t="str">
            <v>大丰</v>
          </cell>
          <cell r="G13" t="str">
            <v>单轴玻纤；UDH-1250-230；SR140Ⅲ23后缘；-</v>
          </cell>
          <cell r="H13" t="str">
            <v>SR140后缘</v>
          </cell>
        </row>
        <row r="14">
          <cell r="A14"/>
          <cell r="B14"/>
          <cell r="G14" t="str">
            <v>单轴玻纤；UDH-1250-550；SR120Ⅲ23大梁；-</v>
          </cell>
          <cell r="H14" t="str">
            <v>SR120Ⅲ大梁</v>
          </cell>
        </row>
        <row r="15">
          <cell r="G15" t="str">
            <v>单轴玻纤；UDH-1250-550；SR120大梁；-</v>
          </cell>
          <cell r="H15" t="str">
            <v>SR120大梁</v>
          </cell>
        </row>
        <row r="16">
          <cell r="G16" t="str">
            <v>单轴玻纤；UDH-1250-550；SR140Ⅲ23大梁；-</v>
          </cell>
          <cell r="H16" t="str">
            <v>SR140大梁</v>
          </cell>
        </row>
        <row r="17">
          <cell r="G17" t="str">
            <v>单轴玻纤；UDH-1250-630；SR113大梁；-</v>
          </cell>
          <cell r="H17" t="str">
            <v>SR113大梁</v>
          </cell>
        </row>
        <row r="18">
          <cell r="G18" t="str">
            <v>螺栓加强层；2.5-SR140Ⅲ23；海装</v>
          </cell>
          <cell r="H18" t="str">
            <v>SR140Ⅲ螺栓加强层</v>
          </cell>
        </row>
        <row r="19">
          <cell r="G19" t="str">
            <v>螺栓加强层套裁；2.2-SR136Ⅲ23；SR11190271110-072</v>
          </cell>
          <cell r="H19" t="str">
            <v>SR136Ⅲ螺栓加强层</v>
          </cell>
        </row>
        <row r="20">
          <cell r="A20" t="str">
            <v>叶型</v>
          </cell>
          <cell r="B20" t="str">
            <v>简称</v>
          </cell>
          <cell r="G20" t="str">
            <v>三轴玻纤；3AX-1250-6330；2540mm×100m；-</v>
          </cell>
          <cell r="H20" t="str">
            <v>TLX1250-2.54-100</v>
          </cell>
        </row>
        <row r="21">
          <cell r="A21" t="str">
            <v>GW171叶型</v>
          </cell>
          <cell r="B21" t="str">
            <v>TTX1215(45)-2.54-100</v>
          </cell>
          <cell r="G21" t="str">
            <v>三轴玻纤；3AX90-1250-0336；2540mm×100m；-</v>
          </cell>
          <cell r="H21" t="str">
            <v>TTX1250(45)-2.54-100</v>
          </cell>
        </row>
        <row r="22">
          <cell r="A22"/>
          <cell r="B22" t="str">
            <v>TTX1250(60)-2.54-100</v>
          </cell>
          <cell r="G22" t="str">
            <v>三轴玻纤；3AX9060-1250-0336；2540mm×100m；-</v>
          </cell>
          <cell r="H22" t="str">
            <v>TTX1250(60)-2.54-100</v>
          </cell>
        </row>
        <row r="23">
          <cell r="A23"/>
          <cell r="B23" t="str">
            <v>TXL1215-2.54-100</v>
          </cell>
          <cell r="G23" t="str">
            <v>三轴玻纤；3AX9060-1500-0339-H；1270mm×100m；-</v>
          </cell>
          <cell r="H23" t="str">
            <v>TTX1500H-1.27-100</v>
          </cell>
        </row>
        <row r="24">
          <cell r="A24" t="str">
            <v>SR146-Ⅰ叶型</v>
          </cell>
          <cell r="B24" t="str">
            <v>BX800-2.54-100</v>
          </cell>
          <cell r="G24" t="str">
            <v>三轴玻纤；3AX9060-1500-0339-H；2540mm×100m；-</v>
          </cell>
          <cell r="H24" t="str">
            <v>TTX1500H-2.54-100</v>
          </cell>
        </row>
        <row r="25">
          <cell r="A25"/>
          <cell r="B25" t="str">
            <v>TLX1250-2.54-100</v>
          </cell>
          <cell r="G25" t="str">
            <v>双轴玻纤；2AX-800-0440；2540mm×100m；-</v>
          </cell>
          <cell r="H25" t="str">
            <v>BX800-2.54-100</v>
          </cell>
        </row>
        <row r="26">
          <cell r="A26"/>
          <cell r="B26" t="str">
            <v>TTX1250(45)-2.54-100</v>
          </cell>
          <cell r="G26" t="str">
            <v>单轴玻纤；UDH-1250-315；SR113后缘；-</v>
          </cell>
          <cell r="H26" t="str">
            <v>SR113后缘</v>
          </cell>
        </row>
        <row r="27">
          <cell r="A27"/>
          <cell r="B27" t="str">
            <v>TTX1500H-2.54-100</v>
          </cell>
          <cell r="G27" t="str">
            <v>单轴玻纤；UDH-1215-230；GW171Ⅰ36后缘；-</v>
          </cell>
          <cell r="H27" t="str">
            <v>GW171后缘</v>
          </cell>
        </row>
        <row r="28">
          <cell r="A28" t="str">
            <v>SR146-Ⅱ套裁</v>
          </cell>
          <cell r="B28" t="str">
            <v>BX800-2.54-100</v>
          </cell>
          <cell r="G28" t="str">
            <v>三轴玻纤；3AX90-1215-0227；2540mm×100m；-</v>
          </cell>
          <cell r="H28" t="str">
            <v>TTX1215(45)-2.54-100</v>
          </cell>
        </row>
        <row r="29">
          <cell r="A29"/>
          <cell r="B29" t="str">
            <v>TTX1215(45)-2.54-100</v>
          </cell>
          <cell r="G29" t="str">
            <v>三轴玻纤；3AX-1215-7220；2540mm×100m；-</v>
          </cell>
          <cell r="H29" t="str">
            <v>TLX1215-2.54-100</v>
          </cell>
        </row>
        <row r="30">
          <cell r="A30"/>
          <cell r="B30" t="str">
            <v>TTX1250(60)-2.54-100</v>
          </cell>
          <cell r="G30" t="str">
            <v>螺栓加强层套裁；2.2-SR136Ⅱ23；海装</v>
          </cell>
          <cell r="H30" t="str">
            <v>SR136Ⅱ螺栓加强层</v>
          </cell>
        </row>
        <row r="31">
          <cell r="A31"/>
          <cell r="B31" t="str">
            <v>TXL1215-2.54-100</v>
          </cell>
          <cell r="G31" t="str">
            <v>双轴玻纤；2AX-0600-0330；2540mm×100m；-</v>
          </cell>
          <cell r="H31" t="str">
            <v>BX600-2.54-100</v>
          </cell>
        </row>
        <row r="32">
          <cell r="A32" t="str">
            <v>SR146-II叶型</v>
          </cell>
          <cell r="B32" t="str">
            <v>BX600-2.54-100</v>
          </cell>
          <cell r="G32" t="str">
            <v>单轴玻纤；UDH-1215-130-67m；SR146Ⅱ28前缘；-</v>
          </cell>
          <cell r="H32" t="str">
            <v>SR146Ⅱ前缘</v>
          </cell>
        </row>
        <row r="33">
          <cell r="A33"/>
          <cell r="B33" t="str">
            <v>BX800-2.54-100</v>
          </cell>
          <cell r="G33" t="str">
            <v>单轴玻纤；UDH-1215-630；SR136Ⅰ28大梁；-</v>
          </cell>
          <cell r="H33" t="str">
            <v>SR136Ⅰ大梁</v>
          </cell>
        </row>
        <row r="34">
          <cell r="A34"/>
          <cell r="B34" t="str">
            <v>TLX1215-2.54-100</v>
          </cell>
          <cell r="G34" t="str">
            <v>单轴玻纤；UDH-1215-230；SR136Ⅰ28后缘；-</v>
          </cell>
          <cell r="H34" t="str">
            <v>SR136Ⅰ后缘</v>
          </cell>
        </row>
        <row r="35">
          <cell r="A35"/>
          <cell r="B35" t="str">
            <v>TTX1215(45)-2.54-100</v>
          </cell>
          <cell r="G35" t="str">
            <v>三轴玻纤；3AX-1215-7220；1270mm×100m；-</v>
          </cell>
          <cell r="H35" t="str">
            <v>TLX1215-1.27-100</v>
          </cell>
        </row>
        <row r="36">
          <cell r="A36"/>
          <cell r="B36" t="str">
            <v>TTX1250(60)-2.54-100</v>
          </cell>
          <cell r="G36" t="str">
            <v>三轴玻纤；3AX-1215-7220；1270mm×60m；-</v>
          </cell>
          <cell r="H36" t="str">
            <v>TLX1215-1.27-60</v>
          </cell>
        </row>
        <row r="37">
          <cell r="A37" t="str">
            <v>SR152-Ⅲ叶型</v>
          </cell>
          <cell r="B37" t="str">
            <v>BX800-2.54-100</v>
          </cell>
          <cell r="G37" t="str">
            <v>螺栓加强层套裁；-；SR146Ⅰ28；-</v>
          </cell>
          <cell r="H37" t="str">
            <v>SR146Ⅰ螺栓加强层</v>
          </cell>
        </row>
        <row r="38">
          <cell r="A38"/>
          <cell r="B38" t="str">
            <v>TLX1250-2.54-100</v>
          </cell>
          <cell r="G38" t="str">
            <v>双轴玻纤；2AX-800-0440；1270mm×100m；-</v>
          </cell>
          <cell r="H38" t="str">
            <v>BX800-1.27-100</v>
          </cell>
        </row>
        <row r="39">
          <cell r="A39"/>
          <cell r="B39" t="str">
            <v>TTX1250(45)-2.54-100</v>
          </cell>
          <cell r="G39" t="str">
            <v>单轴玻纤；UDH-1250-600；GW140Ⅰ28（68.6D）大梁；-</v>
          </cell>
          <cell r="H39" t="str">
            <v>GW68.6D大梁</v>
          </cell>
        </row>
        <row r="40">
          <cell r="A40"/>
          <cell r="B40" t="str">
            <v>TTX1250(60)-2.54-100</v>
          </cell>
          <cell r="G40" t="str">
            <v>腹板套裁；-；2.5-SR146Ⅱ28；-</v>
          </cell>
          <cell r="H40" t="str">
            <v>SR146Ⅱ腹板套裁</v>
          </cell>
        </row>
        <row r="41">
          <cell r="A41" t="str">
            <v>GW68.6D叶型</v>
          </cell>
          <cell r="B41" t="str">
            <v>BX800-1.27-100</v>
          </cell>
          <cell r="G41" t="str">
            <v>壳体套裁；-；2.5-SR146Ⅱ28；-</v>
          </cell>
          <cell r="H41" t="str">
            <v>SR146Ⅱ壳体套裁</v>
          </cell>
        </row>
        <row r="42">
          <cell r="A42"/>
          <cell r="B42" t="str">
            <v>BX1000-1.27-100</v>
          </cell>
          <cell r="G42" t="str">
            <v>单轴玻纤；UDH-1215-230-67m；SR146Ⅱ28前缘；-</v>
          </cell>
          <cell r="H42" t="str">
            <v>SR146Ⅱ前缘</v>
          </cell>
        </row>
        <row r="43">
          <cell r="A43"/>
          <cell r="B43" t="str">
            <v>TLX1215-1.27-100</v>
          </cell>
          <cell r="G43" t="str">
            <v>单轴玻纤；UDH-1215-230；SR152Ⅲ36后缘；-</v>
          </cell>
          <cell r="H43" t="str">
            <v>SR152Ⅲ后缘</v>
          </cell>
        </row>
        <row r="44">
          <cell r="A44" t="str">
            <v>总计</v>
          </cell>
          <cell r="B44"/>
          <cell r="G44" t="str">
            <v>单轴玻纤；UDH-1215-700；SR152Ⅲ36大梁；-</v>
          </cell>
          <cell r="H44" t="str">
            <v>SR152Ⅲ大梁</v>
          </cell>
        </row>
        <row r="45">
          <cell r="A45"/>
          <cell r="B45"/>
          <cell r="G45" t="str">
            <v>双轴玻纤；2AX-1000-0550；1270mm×100m；-</v>
          </cell>
          <cell r="H45" t="str">
            <v>BX1000-1.27-100</v>
          </cell>
        </row>
        <row r="46">
          <cell r="A46"/>
          <cell r="B46"/>
          <cell r="G46" t="str">
            <v>单轴玻纤；UDH-1250-250；GW140Ⅰ28（68.6D）后缘；-</v>
          </cell>
          <cell r="H46" t="str">
            <v>GW68.6D后缘</v>
          </cell>
        </row>
        <row r="47">
          <cell r="A47"/>
          <cell r="B47"/>
          <cell r="G47" t="str">
            <v>双轴玻纤；2AX-0600-0330；1270mm×100m；-</v>
          </cell>
          <cell r="H47" t="str">
            <v>BX600-1.27-100</v>
          </cell>
        </row>
        <row r="48">
          <cell r="A48"/>
          <cell r="B48"/>
          <cell r="G48" t="str">
            <v>三轴玻纤；3AX-1250-6330；1270mm×100m；-</v>
          </cell>
          <cell r="H48" t="str">
            <v>TLX1250-1.27-100</v>
          </cell>
        </row>
        <row r="49">
          <cell r="G49" t="str">
            <v>单轴玻纤；UDH-1250-250；SR210Ⅰ48 大梁尖部；-</v>
          </cell>
          <cell r="H49" t="str">
            <v>SR210大梁尖部</v>
          </cell>
        </row>
        <row r="50">
          <cell r="G50" t="str">
            <v>单轴玻纤；UDH-1215-250；SR210Ⅰ48 辅梁；-</v>
          </cell>
          <cell r="H50" t="str">
            <v>SR210辅梁</v>
          </cell>
        </row>
        <row r="51">
          <cell r="G51" t="str">
            <v>单轴玻纤；UDH-1215-250；SR210Ⅰ48 后缘；-</v>
          </cell>
          <cell r="H51" t="str">
            <v>SR210后缘</v>
          </cell>
        </row>
        <row r="52">
          <cell r="G52" t="str">
            <v>单轴玻纤；UDH-1250-800；SR210Ⅰ48大梁SS面；-</v>
          </cell>
          <cell r="H52" t="str">
            <v>SR210大梁SS</v>
          </cell>
        </row>
        <row r="53">
          <cell r="G53" t="str">
            <v>纱线；WS2000；-；-</v>
          </cell>
          <cell r="H53" t="str">
            <v>WS2000</v>
          </cell>
        </row>
        <row r="54">
          <cell r="G54" t="str">
            <v>单轴玻纤；UDH-1215-230；SR171Ⅴ36后缘；-</v>
          </cell>
          <cell r="H54" t="str">
            <v>SR171Ⅴ后缘</v>
          </cell>
        </row>
        <row r="55">
          <cell r="G55" t="str">
            <v>单轴玻纤；UDH-1215-230；SR152Ⅴ32后缘；-</v>
          </cell>
          <cell r="H55" t="str">
            <v>SR152Ⅴ后缘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Open order"/>
      <sheetName val="张家口"/>
      <sheetName val="哈密"/>
      <sheetName val="洛阳"/>
      <sheetName val="大连"/>
      <sheetName val="大丰"/>
      <sheetName val="鄂尔多斯"/>
      <sheetName val="703"/>
      <sheetName val="德州"/>
      <sheetName val="乌兰察布"/>
      <sheetName val="基础数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工厂代码</v>
          </cell>
          <cell r="B1" t="str">
            <v>简称</v>
          </cell>
          <cell r="G1" t="str">
            <v>描述</v>
          </cell>
          <cell r="H1" t="str">
            <v>简称</v>
          </cell>
        </row>
        <row r="2">
          <cell r="A2">
            <v>1270</v>
          </cell>
          <cell r="B2" t="str">
            <v>洛阳</v>
          </cell>
          <cell r="G2" t="str">
            <v>单轴玻纤；SR171Ⅲ36后缘；UDH-1215-230；-</v>
          </cell>
          <cell r="H2" t="str">
            <v>SR171Ⅲ后缘</v>
          </cell>
        </row>
        <row r="3">
          <cell r="A3">
            <v>1530</v>
          </cell>
          <cell r="B3" t="str">
            <v>张家口</v>
          </cell>
          <cell r="G3" t="str">
            <v>单轴玻纤；UDE-1200-170；SR120Ⅲ23后缘；-</v>
          </cell>
          <cell r="H3" t="str">
            <v>SR120Ⅲ后缘</v>
          </cell>
        </row>
        <row r="4">
          <cell r="A4">
            <v>1570</v>
          </cell>
          <cell r="B4" t="str">
            <v>德州</v>
          </cell>
          <cell r="G4" t="str">
            <v>单轴玻纤；UDE-1200-170；SR120后缘；-</v>
          </cell>
          <cell r="H4" t="str">
            <v>SR120后缘</v>
          </cell>
        </row>
        <row r="5">
          <cell r="A5">
            <v>1580</v>
          </cell>
          <cell r="B5" t="str">
            <v>大连</v>
          </cell>
          <cell r="G5" t="str">
            <v>单轴玻纤；UDH-1215-230；SR146Ⅰ28后缘；-</v>
          </cell>
          <cell r="H5" t="str">
            <v>SR146Ⅰ后缘</v>
          </cell>
        </row>
        <row r="6">
          <cell r="A6">
            <v>1920</v>
          </cell>
          <cell r="B6" t="str">
            <v>鄂尔多斯</v>
          </cell>
          <cell r="G6" t="str">
            <v>单轴玻纤；UDH-1215-230；SR146Ⅱ28后缘；-</v>
          </cell>
          <cell r="H6" t="str">
            <v>SR146Ⅱ后缘</v>
          </cell>
        </row>
        <row r="7">
          <cell r="A7">
            <v>1930</v>
          </cell>
          <cell r="B7" t="str">
            <v>大丰</v>
          </cell>
          <cell r="G7" t="str">
            <v>单轴玻纤；UDH-1215-230；SR152Ⅱ36后缘；-</v>
          </cell>
          <cell r="H7" t="str">
            <v>SR152Ⅱ后缘</v>
          </cell>
        </row>
        <row r="8">
          <cell r="A8">
            <v>1390</v>
          </cell>
          <cell r="B8" t="str">
            <v>哈密</v>
          </cell>
          <cell r="G8" t="str">
            <v>单轴玻纤；UDH-1215-230；SR152Ⅳ32后缘；-</v>
          </cell>
          <cell r="H8" t="str">
            <v>SR152Ⅳ后缘</v>
          </cell>
        </row>
        <row r="9">
          <cell r="A9">
            <v>1350</v>
          </cell>
          <cell r="G9" t="str">
            <v>单轴玻纤；UDH-1215-230；WB171Ⅰ36后缘；-</v>
          </cell>
          <cell r="H9" t="str">
            <v>WB171I后缘</v>
          </cell>
        </row>
        <row r="10">
          <cell r="A10">
            <v>1390</v>
          </cell>
          <cell r="G10" t="str">
            <v>单轴玻纤；UDH-1215-630；SR146Ⅰ28大梁；-</v>
          </cell>
          <cell r="H10" t="str">
            <v>SR146Ⅰ大梁</v>
          </cell>
        </row>
        <row r="11">
          <cell r="A11">
            <v>1940</v>
          </cell>
          <cell r="B11" t="str">
            <v>乌兰察布</v>
          </cell>
          <cell r="G11" t="str">
            <v>单轴玻纤；UDH-1215-630；SR146Ⅱ28大梁；-</v>
          </cell>
          <cell r="H11" t="str">
            <v>SR146Ⅱ大梁</v>
          </cell>
        </row>
        <row r="12">
          <cell r="A12">
            <v>1260</v>
          </cell>
          <cell r="G12" t="str">
            <v>单轴玻纤；UDH-1215-700；SR152Ⅳ32大梁；-</v>
          </cell>
          <cell r="H12" t="str">
            <v>SR152Ⅳ大梁</v>
          </cell>
        </row>
        <row r="13">
          <cell r="A13">
            <v>1680</v>
          </cell>
          <cell r="B13" t="str">
            <v>大丰</v>
          </cell>
          <cell r="G13" t="str">
            <v>单轴玻纤；UDH-1250-230；SR140Ⅲ23后缘；-</v>
          </cell>
          <cell r="H13" t="str">
            <v>SR140后缘</v>
          </cell>
        </row>
        <row r="14">
          <cell r="G14" t="str">
            <v>单轴玻纤；UDH-1250-550；SR120Ⅲ23大梁；-</v>
          </cell>
          <cell r="H14" t="str">
            <v>SR120Ⅲ大梁</v>
          </cell>
        </row>
        <row r="15">
          <cell r="G15" t="str">
            <v>单轴玻纤；UDH-1250-550；SR120大梁；-</v>
          </cell>
          <cell r="H15" t="str">
            <v>SR120大梁</v>
          </cell>
        </row>
        <row r="16">
          <cell r="G16" t="str">
            <v>单轴玻纤；UDH-1250-550；SR140Ⅲ23大梁；-</v>
          </cell>
          <cell r="H16" t="str">
            <v>SR140大梁</v>
          </cell>
        </row>
        <row r="17">
          <cell r="G17" t="str">
            <v>单轴玻纤；UDH-1250-630；SR113大梁；-</v>
          </cell>
          <cell r="H17" t="str">
            <v>SR113大梁</v>
          </cell>
        </row>
        <row r="18">
          <cell r="G18" t="str">
            <v>螺栓加强层；2.5-SR140Ⅲ23；海装</v>
          </cell>
          <cell r="H18" t="str">
            <v>SR140Ⅲ螺栓加强层</v>
          </cell>
        </row>
        <row r="19">
          <cell r="G19" t="str">
            <v>螺栓加强层套裁；2.2-SR136Ⅲ23；SR11190271110-072</v>
          </cell>
          <cell r="H19" t="str">
            <v>SR136Ⅲ螺栓加强层</v>
          </cell>
        </row>
        <row r="20">
          <cell r="A20" t="str">
            <v>叶型</v>
          </cell>
          <cell r="B20" t="str">
            <v>简称</v>
          </cell>
          <cell r="G20" t="str">
            <v>三轴玻纤；3AX-1250-6330；2540mm×100m；-</v>
          </cell>
          <cell r="H20" t="str">
            <v>TLX1250-2.54-100</v>
          </cell>
        </row>
        <row r="21">
          <cell r="A21" t="str">
            <v>GW171叶型</v>
          </cell>
          <cell r="B21" t="str">
            <v>TTX1215(45)-2.54-100</v>
          </cell>
          <cell r="G21" t="str">
            <v>三轴玻纤；3AX90-1250-0336；2540mm×100m；-</v>
          </cell>
          <cell r="H21" t="str">
            <v>TTX1250(45)-2.54-100</v>
          </cell>
        </row>
        <row r="22">
          <cell r="B22" t="str">
            <v>TTX1250(60)-2.54-100</v>
          </cell>
          <cell r="G22" t="str">
            <v>三轴玻纤；3AX9060-1250-0336；2540mm×100m；-</v>
          </cell>
          <cell r="H22" t="str">
            <v>TTX1250(60)-2.54-100</v>
          </cell>
        </row>
        <row r="23">
          <cell r="B23" t="str">
            <v>TXL1215-2.54-100</v>
          </cell>
          <cell r="G23" t="str">
            <v>三轴玻纤；3AX9060-1500-0339-H；1270mm×100m；-</v>
          </cell>
          <cell r="H23" t="str">
            <v>TTX1500H-1.27-100</v>
          </cell>
        </row>
        <row r="24">
          <cell r="A24" t="str">
            <v>SR146-Ⅰ叶型</v>
          </cell>
          <cell r="B24" t="str">
            <v>BX800-2.54-100</v>
          </cell>
          <cell r="G24" t="str">
            <v>三轴玻纤；3AX9060-1500-0339-H；2540mm×100m；-</v>
          </cell>
          <cell r="H24" t="str">
            <v>TTX1500H-2.54-100</v>
          </cell>
        </row>
        <row r="25">
          <cell r="B25" t="str">
            <v>TLX1250-2.54-100</v>
          </cell>
          <cell r="G25" t="str">
            <v>双轴玻纤；2AX-800-0440；2540mm×100m；-</v>
          </cell>
          <cell r="H25" t="str">
            <v>BX800-2.54-100</v>
          </cell>
        </row>
        <row r="26">
          <cell r="B26" t="str">
            <v>TTX1250(45)-2.54-100</v>
          </cell>
          <cell r="G26" t="str">
            <v>单轴玻纤；UDH-1250-315；SR113后缘；-</v>
          </cell>
          <cell r="H26" t="str">
            <v>SR113后缘</v>
          </cell>
        </row>
        <row r="27">
          <cell r="B27" t="str">
            <v>TTX1500H-2.54-100</v>
          </cell>
          <cell r="G27" t="str">
            <v>单轴玻纤；UDH-1215-230；GW171Ⅰ36后缘；-</v>
          </cell>
          <cell r="H27" t="str">
            <v>GW171后缘</v>
          </cell>
        </row>
        <row r="28">
          <cell r="A28" t="str">
            <v>SR146-Ⅱ套裁</v>
          </cell>
          <cell r="B28" t="str">
            <v>BX800-2.54-100</v>
          </cell>
          <cell r="G28" t="str">
            <v>三轴玻纤；3AX90-1215-0227；2540mm×100m；-</v>
          </cell>
          <cell r="H28" t="str">
            <v>TTX1215(45)-2.54-100</v>
          </cell>
        </row>
        <row r="29">
          <cell r="B29" t="str">
            <v>TTX1215(45)-2.54-100</v>
          </cell>
          <cell r="G29" t="str">
            <v>三轴玻纤；3AX-1215-7220；2540mm×100m；-</v>
          </cell>
          <cell r="H29" t="str">
            <v>TLX1215-2.54-100</v>
          </cell>
        </row>
        <row r="30">
          <cell r="B30" t="str">
            <v>TTX1250(60)-2.54-100</v>
          </cell>
          <cell r="G30" t="str">
            <v>螺栓加强层套裁；2.2-SR136Ⅱ23；海装</v>
          </cell>
          <cell r="H30" t="str">
            <v>SR136Ⅱ螺栓加强层</v>
          </cell>
        </row>
        <row r="31">
          <cell r="B31" t="str">
            <v>TXL1215-2.54-100</v>
          </cell>
          <cell r="G31" t="str">
            <v>双轴玻纤；2AX-0600-0330；2540mm×100m；-</v>
          </cell>
          <cell r="H31" t="str">
            <v>BX600-2.54-100</v>
          </cell>
        </row>
        <row r="32">
          <cell r="A32" t="str">
            <v>SR146-II叶型</v>
          </cell>
          <cell r="B32" t="str">
            <v>BX600-2.54-100</v>
          </cell>
          <cell r="G32" t="str">
            <v>单轴玻纤；UDH-1215-130-67m；SR146Ⅱ28前缘；-</v>
          </cell>
          <cell r="H32" t="str">
            <v>SR146Ⅱ前缘</v>
          </cell>
        </row>
        <row r="33">
          <cell r="B33" t="str">
            <v>BX800-2.54-100</v>
          </cell>
          <cell r="G33" t="str">
            <v>单轴玻纤；UDH-1215-630；SR136Ⅰ28大梁；-</v>
          </cell>
          <cell r="H33" t="str">
            <v>SR136Ⅰ大梁</v>
          </cell>
        </row>
        <row r="34">
          <cell r="B34" t="str">
            <v>TLX1215-2.54-100</v>
          </cell>
          <cell r="G34" t="str">
            <v>单轴玻纤；UDH-1215-230；SR136Ⅰ28后缘；-</v>
          </cell>
          <cell r="H34" t="str">
            <v>SR136Ⅰ后缘</v>
          </cell>
        </row>
        <row r="35">
          <cell r="B35" t="str">
            <v>TTX1215(45)-2.54-100</v>
          </cell>
          <cell r="G35" t="str">
            <v>三轴玻纤；3AX-1215-7220；1270mm×100m；-</v>
          </cell>
          <cell r="H35" t="str">
            <v>TLX1215-1.27-100</v>
          </cell>
        </row>
        <row r="36">
          <cell r="B36" t="str">
            <v>TTX1250(60)-2.54-100</v>
          </cell>
          <cell r="G36" t="str">
            <v>三轴玻纤；3AX-1215-7220；1270mm×60m；-</v>
          </cell>
          <cell r="H36" t="str">
            <v>TLX1215-1.27-60</v>
          </cell>
        </row>
        <row r="37">
          <cell r="A37" t="str">
            <v>SR152-Ⅲ叶型</v>
          </cell>
          <cell r="B37" t="str">
            <v>BX800-2.54-100</v>
          </cell>
          <cell r="G37" t="str">
            <v>螺栓加强层套裁；-；SR146Ⅰ28；-</v>
          </cell>
          <cell r="H37" t="str">
            <v>SR146Ⅰ螺栓加强层</v>
          </cell>
        </row>
        <row r="38">
          <cell r="B38" t="str">
            <v>TLX1250-2.54-100</v>
          </cell>
          <cell r="G38" t="str">
            <v>双轴玻纤；2AX-800-0440；1270mm×100m；-</v>
          </cell>
          <cell r="H38" t="str">
            <v>BX800-1.27-100</v>
          </cell>
        </row>
        <row r="39">
          <cell r="B39" t="str">
            <v>TTX1250(45)-2.54-100</v>
          </cell>
          <cell r="G39" t="str">
            <v>单轴玻纤；UDH-1250-600；GW140Ⅰ28（68.6D）大梁；-</v>
          </cell>
          <cell r="H39" t="str">
            <v>GW68.6D大梁</v>
          </cell>
        </row>
        <row r="40">
          <cell r="B40" t="str">
            <v>TTX1250(60)-2.54-100</v>
          </cell>
          <cell r="G40" t="str">
            <v>腹板套裁；-；2.5-SR146Ⅱ28；-</v>
          </cell>
          <cell r="H40" t="str">
            <v>SR146Ⅱ腹板套裁</v>
          </cell>
        </row>
        <row r="41">
          <cell r="A41" t="str">
            <v>GW68.6D叶型</v>
          </cell>
          <cell r="B41" t="str">
            <v>BX800-1.27-100</v>
          </cell>
          <cell r="G41" t="str">
            <v>壳体套裁；-；2.5-SR146Ⅱ28；-</v>
          </cell>
          <cell r="H41" t="str">
            <v>SR146Ⅱ壳体套裁</v>
          </cell>
        </row>
        <row r="42">
          <cell r="B42" t="str">
            <v>BX1000-1.27-100</v>
          </cell>
          <cell r="G42" t="str">
            <v>单轴玻纤；UDH-1215-230-67m；SR146Ⅱ28前缘；-</v>
          </cell>
          <cell r="H42" t="str">
            <v>SR146Ⅱ前缘</v>
          </cell>
        </row>
        <row r="43">
          <cell r="B43" t="str">
            <v>TLX1215-1.27-100</v>
          </cell>
          <cell r="G43" t="str">
            <v>单轴玻纤；UDH-1215-230；SR152Ⅲ36后缘；-</v>
          </cell>
          <cell r="H43" t="str">
            <v>SR152Ⅲ后缘</v>
          </cell>
        </row>
        <row r="44">
          <cell r="A44" t="str">
            <v>总计</v>
          </cell>
          <cell r="G44" t="str">
            <v>单轴玻纤；UDH-1215-700；SR152Ⅲ36大梁；-</v>
          </cell>
          <cell r="H44" t="str">
            <v>SR152Ⅲ大梁</v>
          </cell>
        </row>
        <row r="45">
          <cell r="G45" t="str">
            <v>双轴玻纤；2AX-1000-0550；1270mm×100m；-</v>
          </cell>
          <cell r="H45" t="str">
            <v>BX1000-1.27-100</v>
          </cell>
        </row>
        <row r="46">
          <cell r="G46" t="str">
            <v>单轴玻纤；UDH-1250-250；GW140Ⅰ28（68.6D）后缘；-</v>
          </cell>
          <cell r="H46" t="str">
            <v>GW68.6D后缘</v>
          </cell>
        </row>
        <row r="47">
          <cell r="G47" t="str">
            <v>双轴玻纤；2AX-0600-0330；1270mm×100m；-</v>
          </cell>
          <cell r="H47" t="str">
            <v>BX600-1.27-100</v>
          </cell>
        </row>
        <row r="48">
          <cell r="G48" t="str">
            <v>三轴玻纤；3AX-1250-6330；1270mm×100m；-</v>
          </cell>
          <cell r="H48" t="str">
            <v>TLX1250-1.27-100</v>
          </cell>
        </row>
        <row r="49">
          <cell r="G49" t="str">
            <v>单轴玻纤；UDH-1250-250；SR210Ⅰ48 大梁尖部；-</v>
          </cell>
          <cell r="H49" t="str">
            <v>SR210大梁尖部</v>
          </cell>
        </row>
        <row r="50">
          <cell r="G50" t="str">
            <v>单轴玻纤；UDH-1215-250；SR210Ⅰ48 辅梁；-</v>
          </cell>
          <cell r="H50" t="str">
            <v>SR210辅梁</v>
          </cell>
        </row>
        <row r="51">
          <cell r="G51" t="str">
            <v>单轴玻纤；UDH-1215-250；SR210Ⅰ48 后缘；-</v>
          </cell>
          <cell r="H51" t="str">
            <v>SR210后缘</v>
          </cell>
        </row>
        <row r="52">
          <cell r="G52" t="str">
            <v>单轴玻纤；UDH-1250-800；SR210Ⅰ48大梁SS面；-</v>
          </cell>
          <cell r="H52" t="str">
            <v>SR210大梁SS</v>
          </cell>
        </row>
        <row r="53">
          <cell r="G53" t="str">
            <v>纱线；WS2000；-；-</v>
          </cell>
          <cell r="H53" t="str">
            <v>WS2000</v>
          </cell>
        </row>
        <row r="54">
          <cell r="G54" t="str">
            <v>单轴玻纤；UDH-1215-230；SR171Ⅴ36后缘；-</v>
          </cell>
          <cell r="H54" t="str">
            <v>SR171Ⅴ后缘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Open order"/>
      <sheetName val="张家口"/>
      <sheetName val="哈密"/>
      <sheetName val="洛阳"/>
      <sheetName val="大连"/>
      <sheetName val="大丰"/>
      <sheetName val="鄂尔多斯"/>
      <sheetName val="703"/>
      <sheetName val="德州"/>
      <sheetName val="乌兰察布"/>
      <sheetName val="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工厂代码</v>
          </cell>
          <cell r="B1" t="str">
            <v>简称</v>
          </cell>
          <cell r="G1" t="str">
            <v>描述</v>
          </cell>
          <cell r="H1" t="str">
            <v>简称</v>
          </cell>
        </row>
        <row r="2">
          <cell r="A2">
            <v>1270</v>
          </cell>
          <cell r="B2" t="str">
            <v>洛阳</v>
          </cell>
          <cell r="G2" t="str">
            <v>单轴玻纤；SR171Ⅲ36后缘；UDH-1215-230；-</v>
          </cell>
          <cell r="H2" t="str">
            <v>SR171Ⅲ后缘</v>
          </cell>
        </row>
        <row r="3">
          <cell r="A3">
            <v>1530</v>
          </cell>
          <cell r="B3" t="str">
            <v>张家口</v>
          </cell>
          <cell r="G3" t="str">
            <v>单轴玻纤；UDE-1200-170；SR120Ⅲ23后缘；-</v>
          </cell>
          <cell r="H3" t="str">
            <v>SR120Ⅲ后缘</v>
          </cell>
        </row>
        <row r="4">
          <cell r="A4">
            <v>1570</v>
          </cell>
          <cell r="B4" t="str">
            <v>德州</v>
          </cell>
          <cell r="G4" t="str">
            <v>单轴玻纤；UDE-1200-170；SR120后缘；-</v>
          </cell>
          <cell r="H4" t="str">
            <v>SR120后缘</v>
          </cell>
        </row>
        <row r="5">
          <cell r="A5">
            <v>1580</v>
          </cell>
          <cell r="B5" t="str">
            <v>大连</v>
          </cell>
          <cell r="G5" t="str">
            <v>单轴玻纤；UDH-1215-230；SR146Ⅰ28后缘；-</v>
          </cell>
          <cell r="H5" t="str">
            <v>SR146Ⅰ后缘</v>
          </cell>
        </row>
        <row r="6">
          <cell r="A6">
            <v>1920</v>
          </cell>
          <cell r="B6" t="str">
            <v>鄂尔多斯</v>
          </cell>
          <cell r="G6" t="str">
            <v>单轴玻纤；UDH-1215-230；SR146Ⅱ28后缘；-</v>
          </cell>
          <cell r="H6" t="str">
            <v>SR146Ⅱ后缘</v>
          </cell>
        </row>
        <row r="7">
          <cell r="A7">
            <v>1930</v>
          </cell>
          <cell r="B7" t="str">
            <v>大丰</v>
          </cell>
          <cell r="G7" t="str">
            <v>单轴玻纤；UDH-1215-230；SR152Ⅱ36后缘；-</v>
          </cell>
          <cell r="H7" t="str">
            <v>SR152Ⅱ后缘</v>
          </cell>
        </row>
        <row r="8">
          <cell r="A8">
            <v>1390</v>
          </cell>
          <cell r="B8" t="str">
            <v>哈密</v>
          </cell>
          <cell r="G8" t="str">
            <v>单轴玻纤；UDH-1215-230；SR152Ⅳ32后缘；-</v>
          </cell>
          <cell r="H8" t="str">
            <v>SR152Ⅳ后缘</v>
          </cell>
        </row>
        <row r="9">
          <cell r="A9">
            <v>1350</v>
          </cell>
          <cell r="G9" t="str">
            <v>单轴玻纤；UDH-1215-230；WB171Ⅰ36后缘；-</v>
          </cell>
          <cell r="H9" t="str">
            <v>WB171I后缘</v>
          </cell>
        </row>
        <row r="10">
          <cell r="A10">
            <v>1390</v>
          </cell>
          <cell r="G10" t="str">
            <v>单轴玻纤；UDH-1215-630；SR146Ⅰ28大梁；-</v>
          </cell>
          <cell r="H10" t="str">
            <v>SR146Ⅰ大梁</v>
          </cell>
        </row>
        <row r="11">
          <cell r="A11">
            <v>1940</v>
          </cell>
          <cell r="B11" t="str">
            <v>乌兰察布</v>
          </cell>
          <cell r="G11" t="str">
            <v>单轴玻纤；UDH-1215-630；SR146Ⅱ28大梁；-</v>
          </cell>
          <cell r="H11" t="str">
            <v>SR146Ⅱ大梁</v>
          </cell>
        </row>
        <row r="12">
          <cell r="A12">
            <v>1260</v>
          </cell>
          <cell r="G12" t="str">
            <v>单轴玻纤；UDH-1215-700；SR152Ⅳ32大梁；-</v>
          </cell>
          <cell r="H12" t="str">
            <v>SR152Ⅳ大梁</v>
          </cell>
        </row>
        <row r="13">
          <cell r="A13">
            <v>1680</v>
          </cell>
          <cell r="B13" t="str">
            <v>大丰</v>
          </cell>
          <cell r="G13" t="str">
            <v>单轴玻纤；UDH-1250-230；SR140Ⅲ23后缘；-</v>
          </cell>
          <cell r="H13" t="str">
            <v>SR140后缘</v>
          </cell>
        </row>
        <row r="14">
          <cell r="G14" t="str">
            <v>单轴玻纤；UDH-1250-550；SR120Ⅲ23大梁；-</v>
          </cell>
          <cell r="H14" t="str">
            <v>SR120Ⅲ大梁</v>
          </cell>
        </row>
        <row r="15">
          <cell r="G15" t="str">
            <v>单轴玻纤；UDH-1250-550；SR120大梁；-</v>
          </cell>
          <cell r="H15" t="str">
            <v>SR120大梁</v>
          </cell>
        </row>
        <row r="16">
          <cell r="G16" t="str">
            <v>单轴玻纤；UDH-1250-550；SR140Ⅲ23大梁；-</v>
          </cell>
          <cell r="H16" t="str">
            <v>SR140大梁</v>
          </cell>
        </row>
        <row r="17">
          <cell r="G17" t="str">
            <v>单轴玻纤；UDH-1250-630；SR113大梁；-</v>
          </cell>
          <cell r="H17" t="str">
            <v>SR113大梁</v>
          </cell>
        </row>
        <row r="18">
          <cell r="G18" t="str">
            <v>螺栓加强层；2.5-SR140Ⅲ23；海装</v>
          </cell>
          <cell r="H18" t="str">
            <v>SR140Ⅲ螺栓加强层</v>
          </cell>
        </row>
        <row r="19">
          <cell r="G19" t="str">
            <v>螺栓加强层套裁；2.2-SR136Ⅲ23；SR11190271110-072</v>
          </cell>
          <cell r="H19" t="str">
            <v>SR136Ⅲ螺栓加强层</v>
          </cell>
        </row>
        <row r="20">
          <cell r="A20" t="str">
            <v>叶型</v>
          </cell>
          <cell r="B20" t="str">
            <v>简称</v>
          </cell>
          <cell r="G20" t="str">
            <v>三轴玻纤；3AX-1250-6330；2540mm×100m；-</v>
          </cell>
          <cell r="H20" t="str">
            <v>TLX1250-2.54-100</v>
          </cell>
        </row>
        <row r="21">
          <cell r="A21" t="str">
            <v>GW171叶型</v>
          </cell>
          <cell r="B21" t="str">
            <v>TTX1215(45)-2.54-100</v>
          </cell>
          <cell r="G21" t="str">
            <v>三轴玻纤；3AX90-1250-0336；2540mm×100m；-</v>
          </cell>
          <cell r="H21" t="str">
            <v>TTX1250(45)-2.54-100</v>
          </cell>
        </row>
        <row r="22">
          <cell r="B22" t="str">
            <v>TTX1250(60)-2.54-100</v>
          </cell>
          <cell r="G22" t="str">
            <v>三轴玻纤；3AX9060-1250-0336；2540mm×100m；-</v>
          </cell>
          <cell r="H22" t="str">
            <v>TTX1250(60)-2.54-100</v>
          </cell>
        </row>
        <row r="23">
          <cell r="B23" t="str">
            <v>TXL1215-2.54-100</v>
          </cell>
          <cell r="G23" t="str">
            <v>三轴玻纤；3AX9060-1500-0339-H；1270mm×100m；-</v>
          </cell>
          <cell r="H23" t="str">
            <v>TTX1500H-1.27-100</v>
          </cell>
        </row>
        <row r="24">
          <cell r="A24" t="str">
            <v>SR146-Ⅰ叶型</v>
          </cell>
          <cell r="B24" t="str">
            <v>BX800-2.54-100</v>
          </cell>
          <cell r="G24" t="str">
            <v>三轴玻纤；3AX9060-1500-0339-H；2540mm×100m；-</v>
          </cell>
          <cell r="H24" t="str">
            <v>TTX1500H-2.54-100</v>
          </cell>
        </row>
        <row r="25">
          <cell r="B25" t="str">
            <v>TLX1250-2.54-100</v>
          </cell>
          <cell r="G25" t="str">
            <v>双轴玻纤；2AX-800-0440；2540mm×100m；-</v>
          </cell>
          <cell r="H25" t="str">
            <v>BX800-2.54-100</v>
          </cell>
        </row>
        <row r="26">
          <cell r="B26" t="str">
            <v>TTX1250(45)-2.54-100</v>
          </cell>
          <cell r="G26" t="str">
            <v>单轴玻纤；UDH-1250-315；SR113后缘；-</v>
          </cell>
          <cell r="H26" t="str">
            <v>SR113后缘</v>
          </cell>
        </row>
        <row r="27">
          <cell r="B27" t="str">
            <v>TTX1500H-2.54-100</v>
          </cell>
          <cell r="G27" t="str">
            <v>单轴玻纤；UDH-1215-230；GW171Ⅰ36后缘；-</v>
          </cell>
          <cell r="H27" t="str">
            <v>GW171后缘</v>
          </cell>
        </row>
        <row r="28">
          <cell r="A28" t="str">
            <v>SR146-Ⅱ套裁</v>
          </cell>
          <cell r="B28" t="str">
            <v>BX800-2.54-100</v>
          </cell>
          <cell r="G28" t="str">
            <v>三轴玻纤；3AX90-1215-0227；2540mm×100m；-</v>
          </cell>
          <cell r="H28" t="str">
            <v>TTX1215(45)-2.54-100</v>
          </cell>
        </row>
        <row r="29">
          <cell r="B29" t="str">
            <v>TTX1215(45)-2.54-100</v>
          </cell>
          <cell r="G29" t="str">
            <v>三轴玻纤；3AX-1215-7220；2540mm×100m；-</v>
          </cell>
          <cell r="H29" t="str">
            <v>TLX1215-2.54-100</v>
          </cell>
        </row>
        <row r="30">
          <cell r="B30" t="str">
            <v>TTX1250(60)-2.54-100</v>
          </cell>
          <cell r="G30" t="str">
            <v>螺栓加强层套裁；2.2-SR136Ⅱ23；海装</v>
          </cell>
          <cell r="H30" t="str">
            <v>SR136Ⅱ螺栓加强层</v>
          </cell>
        </row>
        <row r="31">
          <cell r="B31" t="str">
            <v>TXL1215-2.54-100</v>
          </cell>
          <cell r="G31" t="str">
            <v>双轴玻纤；2AX-0600-0330；2540mm×100m；-</v>
          </cell>
          <cell r="H31" t="str">
            <v>BX600-2.54-100</v>
          </cell>
        </row>
        <row r="32">
          <cell r="A32" t="str">
            <v>SR146-II叶型</v>
          </cell>
          <cell r="B32" t="str">
            <v>BX600-2.54-100</v>
          </cell>
          <cell r="G32" t="str">
            <v>单轴玻纤；UDH-1215-130-67m；SR146Ⅱ28前缘；-</v>
          </cell>
          <cell r="H32" t="str">
            <v>SR146Ⅱ前缘</v>
          </cell>
        </row>
        <row r="33">
          <cell r="B33" t="str">
            <v>BX800-2.54-100</v>
          </cell>
          <cell r="G33" t="str">
            <v>单轴玻纤；UDH-1215-630；SR136Ⅰ28大梁；-</v>
          </cell>
          <cell r="H33" t="str">
            <v>SR136Ⅰ大梁</v>
          </cell>
        </row>
        <row r="34">
          <cell r="B34" t="str">
            <v>TLX1215-2.54-100</v>
          </cell>
          <cell r="G34" t="str">
            <v>单轴玻纤；UDH-1215-230；SR136Ⅰ28后缘；-</v>
          </cell>
          <cell r="H34" t="str">
            <v>SR136Ⅰ后缘</v>
          </cell>
        </row>
        <row r="35">
          <cell r="B35" t="str">
            <v>TTX1215(45)-2.54-100</v>
          </cell>
          <cell r="G35" t="str">
            <v>三轴玻纤；3AX-1215-7220；1270mm×100m；-</v>
          </cell>
          <cell r="H35" t="str">
            <v>TLX1215-1.27-100</v>
          </cell>
        </row>
        <row r="36">
          <cell r="B36" t="str">
            <v>TTX1250(60)-2.54-100</v>
          </cell>
          <cell r="G36" t="str">
            <v>三轴玻纤；3AX-1215-7220；1270mm×60m；-</v>
          </cell>
          <cell r="H36" t="str">
            <v>TLX1215-1.27-60</v>
          </cell>
        </row>
        <row r="37">
          <cell r="A37" t="str">
            <v>SR152-Ⅲ叶型</v>
          </cell>
          <cell r="B37" t="str">
            <v>BX800-2.54-100</v>
          </cell>
          <cell r="G37" t="str">
            <v>螺栓加强层套裁；-；SR146Ⅰ28；-</v>
          </cell>
          <cell r="H37" t="str">
            <v>SR146Ⅰ螺栓加强层</v>
          </cell>
        </row>
        <row r="38">
          <cell r="B38" t="str">
            <v>TLX1250-2.54-100</v>
          </cell>
          <cell r="G38" t="str">
            <v>双轴玻纤；2AX-800-0440；1270mm×100m；-</v>
          </cell>
          <cell r="H38" t="str">
            <v>BX800-1.27-100</v>
          </cell>
        </row>
        <row r="39">
          <cell r="B39" t="str">
            <v>TTX1250(45)-2.54-100</v>
          </cell>
          <cell r="G39" t="str">
            <v>单轴玻纤；UDH-1250-600；GW140Ⅰ28（68.6D）大梁；-</v>
          </cell>
          <cell r="H39" t="str">
            <v>GW68.6D大梁</v>
          </cell>
        </row>
        <row r="40">
          <cell r="B40" t="str">
            <v>TTX1250(60)-2.54-100</v>
          </cell>
          <cell r="G40" t="str">
            <v>腹板套裁；-；2.5-SR146Ⅱ28；-</v>
          </cell>
          <cell r="H40" t="str">
            <v>SR146Ⅱ腹板套裁</v>
          </cell>
        </row>
        <row r="41">
          <cell r="A41" t="str">
            <v>GW68.6D叶型</v>
          </cell>
          <cell r="B41" t="str">
            <v>BX800-1.27-100</v>
          </cell>
          <cell r="G41" t="str">
            <v>壳体套裁；-；2.5-SR146Ⅱ28；-</v>
          </cell>
          <cell r="H41" t="str">
            <v>SR146Ⅱ壳体套裁</v>
          </cell>
        </row>
        <row r="42">
          <cell r="B42" t="str">
            <v>BX1000-1.27-100</v>
          </cell>
          <cell r="G42" t="str">
            <v>单轴玻纤；UDH-1215-230-67m；SR146Ⅱ28前缘；-</v>
          </cell>
          <cell r="H42" t="str">
            <v>SR146Ⅱ前缘</v>
          </cell>
        </row>
        <row r="43">
          <cell r="B43" t="str">
            <v>TLX1215-1.27-100</v>
          </cell>
          <cell r="G43" t="str">
            <v>单轴玻纤；UDH-1215-230；SR152Ⅲ36后缘；-</v>
          </cell>
          <cell r="H43" t="str">
            <v>SR152Ⅲ后缘</v>
          </cell>
        </row>
        <row r="44">
          <cell r="A44" t="str">
            <v>Grand Total</v>
          </cell>
          <cell r="G44" t="str">
            <v>单轴玻纤；UDH-1215-700；SR152Ⅲ36大梁；-</v>
          </cell>
          <cell r="H44" t="str">
            <v>SR152Ⅲ大梁</v>
          </cell>
        </row>
        <row r="45">
          <cell r="G45" t="str">
            <v>双轴玻纤；2AX-1000-0550；1270mm×100m；-</v>
          </cell>
          <cell r="H45" t="str">
            <v>BX1000-1.27-100</v>
          </cell>
        </row>
        <row r="46">
          <cell r="G46" t="str">
            <v>单轴玻纤；UDH-1250-250；GW140Ⅰ28（68.6D）后缘；-</v>
          </cell>
          <cell r="H46" t="str">
            <v>GW68.6D后缘</v>
          </cell>
        </row>
        <row r="47">
          <cell r="G47" t="str">
            <v>双轴玻纤；2AX-0600-0330；1270mm×100m；-</v>
          </cell>
          <cell r="H47" t="str">
            <v>BX600-1.27-100</v>
          </cell>
        </row>
        <row r="48">
          <cell r="G48" t="str">
            <v>三轴玻纤；3AX-1250-6330；1270mm×100m；-</v>
          </cell>
          <cell r="H48" t="str">
            <v>TLX1250-1.27-100</v>
          </cell>
        </row>
        <row r="49">
          <cell r="G49" t="str">
            <v>单轴玻纤；UDH-1250-250；SR210Ⅰ48 大梁尖部；-</v>
          </cell>
          <cell r="H49" t="str">
            <v>SR210大梁尖部</v>
          </cell>
        </row>
        <row r="50">
          <cell r="G50" t="str">
            <v>单轴玻纤；UDH-1215-250；SR210Ⅰ48 辅梁；-</v>
          </cell>
          <cell r="H50" t="str">
            <v>SR210辅梁</v>
          </cell>
        </row>
        <row r="51">
          <cell r="G51" t="str">
            <v>单轴玻纤；UDH-1215-250；SR210Ⅰ48 后缘；-</v>
          </cell>
          <cell r="H51" t="str">
            <v>SR210后缘</v>
          </cell>
        </row>
        <row r="52">
          <cell r="G52" t="str">
            <v>单轴玻纤；UDH-1250-800；SR210Ⅰ48大梁SS面；-</v>
          </cell>
          <cell r="H52" t="str">
            <v>SR210大梁SS</v>
          </cell>
        </row>
        <row r="53">
          <cell r="G53" t="str">
            <v>纱线；WS2000；-；-</v>
          </cell>
          <cell r="H53" t="str">
            <v>WS2000</v>
          </cell>
        </row>
        <row r="54">
          <cell r="G54" t="str">
            <v>单轴玻纤；UDH-1215-230；SR171Ⅴ36后缘；-</v>
          </cell>
          <cell r="H54" t="str">
            <v>SR171Ⅴ后缘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Open order"/>
      <sheetName val="张家口"/>
      <sheetName val="哈密"/>
      <sheetName val="洛阳"/>
      <sheetName val="大连"/>
      <sheetName val="大丰"/>
      <sheetName val="鄂尔多斯"/>
      <sheetName val="703"/>
      <sheetName val="德州"/>
      <sheetName val="乌兰察布"/>
      <sheetName val="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工厂代码</v>
          </cell>
          <cell r="B1" t="str">
            <v>简称</v>
          </cell>
          <cell r="G1" t="str">
            <v>描述</v>
          </cell>
          <cell r="H1" t="str">
            <v>简称</v>
          </cell>
        </row>
        <row r="2">
          <cell r="A2">
            <v>1270</v>
          </cell>
          <cell r="B2" t="str">
            <v>洛阳</v>
          </cell>
          <cell r="G2" t="str">
            <v>单轴玻纤；SR171Ⅲ36后缘；UDH-1215-230；-</v>
          </cell>
          <cell r="H2" t="str">
            <v>SR171Ⅲ后缘</v>
          </cell>
        </row>
        <row r="3">
          <cell r="A3">
            <v>1530</v>
          </cell>
          <cell r="B3" t="str">
            <v>张家口</v>
          </cell>
          <cell r="G3" t="str">
            <v>单轴玻纤；UDE-1200-170；SR120Ⅲ23后缘；-</v>
          </cell>
          <cell r="H3" t="str">
            <v>SR120Ⅲ后缘</v>
          </cell>
        </row>
        <row r="4">
          <cell r="A4">
            <v>1570</v>
          </cell>
          <cell r="B4" t="str">
            <v>德州</v>
          </cell>
          <cell r="G4" t="str">
            <v>单轴玻纤；UDE-1200-170；SR120后缘；-</v>
          </cell>
          <cell r="H4" t="str">
            <v>SR120后缘</v>
          </cell>
        </row>
        <row r="5">
          <cell r="A5">
            <v>1580</v>
          </cell>
          <cell r="B5" t="str">
            <v>大连</v>
          </cell>
          <cell r="G5" t="str">
            <v>单轴玻纤；UDH-1215-230；SR146Ⅰ28后缘；-</v>
          </cell>
          <cell r="H5" t="str">
            <v>SR146Ⅰ后缘</v>
          </cell>
        </row>
        <row r="6">
          <cell r="A6">
            <v>1920</v>
          </cell>
          <cell r="B6" t="str">
            <v>鄂尔多斯</v>
          </cell>
          <cell r="G6" t="str">
            <v>单轴玻纤；UDH-1215-230；SR146Ⅱ28后缘；-</v>
          </cell>
          <cell r="H6" t="str">
            <v>SR146Ⅱ后缘</v>
          </cell>
        </row>
        <row r="7">
          <cell r="A7">
            <v>1930</v>
          </cell>
          <cell r="B7" t="str">
            <v>大丰</v>
          </cell>
          <cell r="G7" t="str">
            <v>单轴玻纤；UDH-1215-230；SR152Ⅱ36后缘；-</v>
          </cell>
          <cell r="H7" t="str">
            <v>SR152Ⅱ后缘</v>
          </cell>
        </row>
        <row r="8">
          <cell r="A8">
            <v>1390</v>
          </cell>
          <cell r="B8" t="str">
            <v>哈密</v>
          </cell>
          <cell r="G8" t="str">
            <v>单轴玻纤；UDH-1215-230；SR152Ⅳ32后缘；-</v>
          </cell>
          <cell r="H8" t="str">
            <v>SR152Ⅳ后缘</v>
          </cell>
        </row>
        <row r="9">
          <cell r="A9">
            <v>1350</v>
          </cell>
          <cell r="B9"/>
          <cell r="G9" t="str">
            <v>单轴玻纤；UDH-1215-230；WB171Ⅰ36后缘；-</v>
          </cell>
          <cell r="H9" t="str">
            <v>WB171I后缘</v>
          </cell>
        </row>
        <row r="10">
          <cell r="A10">
            <v>1390</v>
          </cell>
          <cell r="B10"/>
          <cell r="G10" t="str">
            <v>单轴玻纤；UDH-1215-630；SR146Ⅰ28大梁；-</v>
          </cell>
          <cell r="H10" t="str">
            <v>SR146Ⅰ大梁</v>
          </cell>
        </row>
        <row r="11">
          <cell r="A11">
            <v>1940</v>
          </cell>
          <cell r="B11" t="str">
            <v>乌兰察布</v>
          </cell>
          <cell r="G11" t="str">
            <v>单轴玻纤；UDH-1215-630；SR146Ⅱ28大梁；-</v>
          </cell>
          <cell r="H11" t="str">
            <v>SR146Ⅱ大梁</v>
          </cell>
        </row>
        <row r="12">
          <cell r="A12">
            <v>1260</v>
          </cell>
          <cell r="B12"/>
          <cell r="G12" t="str">
            <v>单轴玻纤；UDH-1215-700；SR152Ⅳ32大梁；-</v>
          </cell>
          <cell r="H12" t="str">
            <v>SR152Ⅳ大梁</v>
          </cell>
        </row>
        <row r="13">
          <cell r="A13">
            <v>1680</v>
          </cell>
          <cell r="B13" t="str">
            <v>大丰</v>
          </cell>
          <cell r="G13" t="str">
            <v>单轴玻纤；UDH-1250-230；SR140Ⅲ23后缘；-</v>
          </cell>
          <cell r="H13" t="str">
            <v>SR140后缘</v>
          </cell>
        </row>
        <row r="14">
          <cell r="A14"/>
          <cell r="B14"/>
          <cell r="G14" t="str">
            <v>单轴玻纤；UDH-1250-550；SR120Ⅲ23大梁；-</v>
          </cell>
          <cell r="H14" t="str">
            <v>SR120Ⅲ大梁</v>
          </cell>
        </row>
        <row r="15">
          <cell r="G15" t="str">
            <v>单轴玻纤；UDH-1250-550；SR120大梁；-</v>
          </cell>
          <cell r="H15" t="str">
            <v>SR120大梁</v>
          </cell>
        </row>
        <row r="16">
          <cell r="G16" t="str">
            <v>单轴玻纤；UDH-1250-550；SR140Ⅲ23大梁；-</v>
          </cell>
          <cell r="H16" t="str">
            <v>SR140大梁</v>
          </cell>
        </row>
        <row r="17">
          <cell r="G17" t="str">
            <v>单轴玻纤；UDH-1250-630；SR113大梁；-</v>
          </cell>
          <cell r="H17" t="str">
            <v>SR113大梁</v>
          </cell>
        </row>
        <row r="18">
          <cell r="G18" t="str">
            <v>螺栓加强层；2.5-SR140Ⅲ23；海装</v>
          </cell>
          <cell r="H18" t="str">
            <v>SR140Ⅲ螺栓加强层</v>
          </cell>
        </row>
        <row r="19">
          <cell r="G19" t="str">
            <v>螺栓加强层套裁；2.2-SR136Ⅲ23；SR11190271110-072</v>
          </cell>
          <cell r="H19" t="str">
            <v>SR136Ⅲ螺栓加强层</v>
          </cell>
        </row>
        <row r="20">
          <cell r="A20" t="str">
            <v>叶型</v>
          </cell>
          <cell r="B20" t="str">
            <v>简称</v>
          </cell>
          <cell r="G20" t="str">
            <v>三轴玻纤；3AX-1250-6330；2540mm×100m；-</v>
          </cell>
          <cell r="H20" t="str">
            <v>TLX1250-2.54-100</v>
          </cell>
        </row>
        <row r="21">
          <cell r="A21" t="str">
            <v>GW171叶型</v>
          </cell>
          <cell r="B21" t="str">
            <v>TTX1215(45)-2.54-100</v>
          </cell>
          <cell r="G21" t="str">
            <v>三轴玻纤；3AX90-1250-0336；2540mm×100m；-</v>
          </cell>
          <cell r="H21" t="str">
            <v>TTX1250(45)-2.54-100</v>
          </cell>
        </row>
        <row r="22">
          <cell r="A22"/>
          <cell r="B22" t="str">
            <v>TTX1250(60)-2.54-100</v>
          </cell>
          <cell r="G22" t="str">
            <v>三轴玻纤；3AX9060-1250-0336；2540mm×100m；-</v>
          </cell>
          <cell r="H22" t="str">
            <v>TTX1250(60)-2.54-100</v>
          </cell>
        </row>
        <row r="23">
          <cell r="A23"/>
          <cell r="B23" t="str">
            <v>TXL1215-2.54-100</v>
          </cell>
          <cell r="G23" t="str">
            <v>三轴玻纤；3AX9060-1500-0339-H；1270mm×100m；-</v>
          </cell>
          <cell r="H23" t="str">
            <v>TTX1500H-1.27-100</v>
          </cell>
        </row>
        <row r="24">
          <cell r="A24" t="str">
            <v>SR146-Ⅰ叶型</v>
          </cell>
          <cell r="B24" t="str">
            <v>BX800-2.54-100</v>
          </cell>
          <cell r="G24" t="str">
            <v>三轴玻纤；3AX9060-1500-0339-H；2540mm×100m；-</v>
          </cell>
          <cell r="H24" t="str">
            <v>TTX1500H-2.54-100</v>
          </cell>
        </row>
        <row r="25">
          <cell r="A25"/>
          <cell r="B25" t="str">
            <v>TLX1250-2.54-100</v>
          </cell>
          <cell r="G25" t="str">
            <v>双轴玻纤；2AX-800-0440；2540mm×100m；-</v>
          </cell>
          <cell r="H25" t="str">
            <v>BX800-2.54-100</v>
          </cell>
        </row>
        <row r="26">
          <cell r="A26"/>
          <cell r="B26" t="str">
            <v>TTX1250(45)-2.54-100</v>
          </cell>
          <cell r="G26" t="str">
            <v>单轴玻纤；UDH-1250-315；SR113后缘；-</v>
          </cell>
          <cell r="H26" t="str">
            <v>SR113后缘</v>
          </cell>
        </row>
        <row r="27">
          <cell r="A27"/>
          <cell r="B27" t="str">
            <v>TTX1500H-2.54-100</v>
          </cell>
          <cell r="G27" t="str">
            <v>单轴玻纤；UDH-1215-230；GW171Ⅰ36后缘；-</v>
          </cell>
          <cell r="H27" t="str">
            <v>GW171后缘</v>
          </cell>
        </row>
        <row r="28">
          <cell r="A28" t="str">
            <v>SR146-Ⅱ套裁</v>
          </cell>
          <cell r="B28" t="str">
            <v>BX800-2.54-100</v>
          </cell>
          <cell r="G28" t="str">
            <v>三轴玻纤；3AX90-1215-0227；2540mm×100m；-</v>
          </cell>
          <cell r="H28" t="str">
            <v>TTX1215(45)-2.54-100</v>
          </cell>
        </row>
        <row r="29">
          <cell r="A29"/>
          <cell r="B29" t="str">
            <v>TTX1215(45)-2.54-100</v>
          </cell>
          <cell r="G29" t="str">
            <v>三轴玻纤；3AX-1215-7220；2540mm×100m；-</v>
          </cell>
          <cell r="H29" t="str">
            <v>TLX1215-2.54-100</v>
          </cell>
        </row>
        <row r="30">
          <cell r="A30"/>
          <cell r="B30" t="str">
            <v>TTX1250(60)-2.54-100</v>
          </cell>
          <cell r="G30" t="str">
            <v>螺栓加强层套裁；2.2-SR136Ⅱ23；海装</v>
          </cell>
          <cell r="H30" t="str">
            <v>SR136Ⅱ螺栓加强层</v>
          </cell>
        </row>
        <row r="31">
          <cell r="A31"/>
          <cell r="B31" t="str">
            <v>TXL1215-2.54-100</v>
          </cell>
          <cell r="G31" t="str">
            <v>双轴玻纤；2AX-0600-0330；2540mm×100m；-</v>
          </cell>
          <cell r="H31" t="str">
            <v>BX600-2.54-100</v>
          </cell>
        </row>
        <row r="32">
          <cell r="A32" t="str">
            <v>SR146-II叶型</v>
          </cell>
          <cell r="B32" t="str">
            <v>BX600-2.54-100</v>
          </cell>
          <cell r="G32" t="str">
            <v>单轴玻纤；UDH-1215-130-67m；SR146Ⅱ28前缘；-</v>
          </cell>
          <cell r="H32" t="str">
            <v>SR146Ⅱ前缘</v>
          </cell>
        </row>
        <row r="33">
          <cell r="A33"/>
          <cell r="B33" t="str">
            <v>BX800-2.54-100</v>
          </cell>
          <cell r="G33" t="str">
            <v>单轴玻纤；UDH-1215-630；SR136Ⅰ28大梁；-</v>
          </cell>
          <cell r="H33" t="str">
            <v>SR136Ⅰ大梁</v>
          </cell>
        </row>
        <row r="34">
          <cell r="A34"/>
          <cell r="B34" t="str">
            <v>TLX1215-2.54-100</v>
          </cell>
          <cell r="G34" t="str">
            <v>单轴玻纤；UDH-1215-230；SR136Ⅰ28后缘；-</v>
          </cell>
          <cell r="H34" t="str">
            <v>SR136Ⅰ后缘</v>
          </cell>
        </row>
        <row r="35">
          <cell r="A35"/>
          <cell r="B35" t="str">
            <v>TTX1215(45)-2.54-100</v>
          </cell>
          <cell r="G35" t="str">
            <v>三轴玻纤；3AX-1215-7220；1270mm×100m；-</v>
          </cell>
          <cell r="H35" t="str">
            <v>TLX1215-1.27-100</v>
          </cell>
        </row>
        <row r="36">
          <cell r="A36"/>
          <cell r="B36" t="str">
            <v>TTX1250(60)-2.54-100</v>
          </cell>
          <cell r="G36" t="str">
            <v>三轴玻纤；3AX-1215-7220；1270mm×60m；-</v>
          </cell>
          <cell r="H36" t="str">
            <v>TLX1215-1.27-60</v>
          </cell>
        </row>
        <row r="37">
          <cell r="A37" t="str">
            <v>SR152-Ⅲ叶型</v>
          </cell>
          <cell r="B37" t="str">
            <v>BX800-2.54-100</v>
          </cell>
          <cell r="G37" t="str">
            <v>螺栓加强层套裁；-；SR146Ⅰ28；-</v>
          </cell>
          <cell r="H37" t="str">
            <v>SR146Ⅰ螺栓加强层</v>
          </cell>
        </row>
        <row r="38">
          <cell r="A38"/>
          <cell r="B38" t="str">
            <v>TLX1250-2.54-100</v>
          </cell>
          <cell r="G38" t="str">
            <v>双轴玻纤；2AX-800-0440；1270mm×100m；-</v>
          </cell>
          <cell r="H38" t="str">
            <v>BX800-1.27-100</v>
          </cell>
        </row>
        <row r="39">
          <cell r="A39"/>
          <cell r="B39" t="str">
            <v>TTX1250(45)-2.54-100</v>
          </cell>
          <cell r="G39" t="str">
            <v>单轴玻纤；UDH-1250-600；GW140Ⅰ28（68.6D）大梁；-</v>
          </cell>
          <cell r="H39" t="str">
            <v>GW68.6D大梁</v>
          </cell>
        </row>
        <row r="40">
          <cell r="A40"/>
          <cell r="B40" t="str">
            <v>TTX1250(60)-2.54-100</v>
          </cell>
          <cell r="G40" t="str">
            <v>腹板套裁；-；2.5-SR146Ⅱ28；-</v>
          </cell>
          <cell r="H40" t="str">
            <v>SR146Ⅱ腹板套裁</v>
          </cell>
        </row>
        <row r="41">
          <cell r="A41" t="str">
            <v>GW68.6D叶型</v>
          </cell>
          <cell r="B41" t="str">
            <v>BX800-1.27-100</v>
          </cell>
          <cell r="G41" t="str">
            <v>壳体套裁；-；2.5-SR146Ⅱ28；-</v>
          </cell>
          <cell r="H41" t="str">
            <v>SR146Ⅱ壳体套裁</v>
          </cell>
        </row>
        <row r="42">
          <cell r="A42"/>
          <cell r="B42" t="str">
            <v>BX1000-1.27-100</v>
          </cell>
          <cell r="G42" t="str">
            <v>单轴玻纤；UDH-1215-230-67m；SR146Ⅱ28前缘；-</v>
          </cell>
          <cell r="H42" t="str">
            <v>SR146Ⅱ前缘</v>
          </cell>
        </row>
        <row r="43">
          <cell r="A43"/>
          <cell r="B43" t="str">
            <v>TLX1215-1.27-100</v>
          </cell>
          <cell r="G43" t="str">
            <v>单轴玻纤；UDH-1215-230；SR152Ⅲ36后缘；-</v>
          </cell>
          <cell r="H43" t="str">
            <v>SR152Ⅲ后缘</v>
          </cell>
        </row>
        <row r="44">
          <cell r="A44" t="str">
            <v>Grand Total</v>
          </cell>
          <cell r="B44"/>
          <cell r="G44" t="str">
            <v>单轴玻纤；UDH-1215-700；SR152Ⅲ36大梁；-</v>
          </cell>
          <cell r="H44" t="str">
            <v>SR152Ⅲ大梁</v>
          </cell>
        </row>
        <row r="45">
          <cell r="A45"/>
          <cell r="B45"/>
          <cell r="G45" t="str">
            <v>双轴玻纤；2AX-1000-0550；1270mm×100m；-</v>
          </cell>
          <cell r="H45" t="str">
            <v>BX1000-1.27-100</v>
          </cell>
        </row>
        <row r="46">
          <cell r="A46"/>
          <cell r="B46"/>
          <cell r="G46" t="str">
            <v>单轴玻纤；UDH-1250-250；GW140Ⅰ28（68.6D）后缘；-</v>
          </cell>
          <cell r="H46" t="str">
            <v>GW68.6D后缘</v>
          </cell>
        </row>
        <row r="47">
          <cell r="A47"/>
          <cell r="B47"/>
          <cell r="G47" t="str">
            <v>双轴玻纤；2AX-0600-0330；1270mm×100m；-</v>
          </cell>
          <cell r="H47" t="str">
            <v>BX600-1.27-100</v>
          </cell>
        </row>
        <row r="48">
          <cell r="A48"/>
          <cell r="B48"/>
          <cell r="G48" t="str">
            <v>三轴玻纤；3AX-1250-6330；1270mm×100m；-</v>
          </cell>
          <cell r="H48" t="str">
            <v>TLX1250-1.27-100</v>
          </cell>
        </row>
        <row r="49">
          <cell r="G49" t="str">
            <v>单轴玻纤；UDH-1250-250；SR210Ⅰ48 大梁尖部；-</v>
          </cell>
          <cell r="H49" t="str">
            <v>SR210大梁尖部</v>
          </cell>
        </row>
        <row r="50">
          <cell r="G50" t="str">
            <v>单轴玻纤；UDH-1215-250；SR210Ⅰ48 辅梁；-</v>
          </cell>
          <cell r="H50" t="str">
            <v>SR210辅梁</v>
          </cell>
        </row>
        <row r="51">
          <cell r="G51" t="str">
            <v>单轴玻纤；UDH-1215-250；SR210Ⅰ48 后缘；-</v>
          </cell>
          <cell r="H51" t="str">
            <v>SR210后缘</v>
          </cell>
        </row>
        <row r="52">
          <cell r="G52" t="str">
            <v>单轴玻纤；UDH-1250-800；SR210Ⅰ48大梁SS面；-</v>
          </cell>
          <cell r="H52" t="str">
            <v>SR210大梁SS</v>
          </cell>
        </row>
        <row r="53">
          <cell r="G53" t="str">
            <v>纱线；WS2000；-；-</v>
          </cell>
          <cell r="H53" t="str">
            <v>WS2000</v>
          </cell>
        </row>
        <row r="54">
          <cell r="G54" t="str">
            <v>单轴玻纤；UDH-1215-230；SR171Ⅴ36后缘；-</v>
          </cell>
          <cell r="H54" t="str">
            <v>SR171Ⅴ后缘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透视表"/>
      <sheetName val="Open order"/>
      <sheetName val="张家口"/>
      <sheetName val="哈密"/>
      <sheetName val="洛阳"/>
      <sheetName val="大连"/>
      <sheetName val="大丰"/>
      <sheetName val="鄂尔多斯"/>
      <sheetName val="703"/>
      <sheetName val="德州"/>
      <sheetName val="乌兰察布"/>
      <sheetName val="基础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工厂代码</v>
          </cell>
          <cell r="B1" t="str">
            <v>简称</v>
          </cell>
          <cell r="G1" t="str">
            <v>描述</v>
          </cell>
          <cell r="H1" t="str">
            <v>简称</v>
          </cell>
        </row>
        <row r="2">
          <cell r="A2">
            <v>1270</v>
          </cell>
          <cell r="B2" t="str">
            <v>洛阳</v>
          </cell>
          <cell r="G2" t="str">
            <v>单轴玻纤；SR171Ⅲ36后缘；UDH-1215-230；-</v>
          </cell>
          <cell r="H2" t="str">
            <v>SR171Ⅲ后缘</v>
          </cell>
        </row>
        <row r="3">
          <cell r="A3">
            <v>1530</v>
          </cell>
          <cell r="B3" t="str">
            <v>张家口</v>
          </cell>
          <cell r="G3" t="str">
            <v>单轴玻纤；UDE-1200-170；SR120Ⅲ23后缘；-</v>
          </cell>
          <cell r="H3" t="str">
            <v>SR120Ⅲ后缘</v>
          </cell>
        </row>
        <row r="4">
          <cell r="A4">
            <v>1570</v>
          </cell>
          <cell r="B4" t="str">
            <v>德州</v>
          </cell>
          <cell r="G4" t="str">
            <v>单轴玻纤；UDE-1200-170；SR120后缘；-</v>
          </cell>
          <cell r="H4" t="str">
            <v>SR120后缘</v>
          </cell>
        </row>
        <row r="5">
          <cell r="A5">
            <v>1580</v>
          </cell>
          <cell r="B5" t="str">
            <v>大连</v>
          </cell>
          <cell r="G5" t="str">
            <v>单轴玻纤；UDH-1215-230；SR146Ⅰ28后缘；-</v>
          </cell>
          <cell r="H5" t="str">
            <v>SR146Ⅰ后缘</v>
          </cell>
        </row>
        <row r="6">
          <cell r="A6">
            <v>1920</v>
          </cell>
          <cell r="B6" t="str">
            <v>鄂尔多斯</v>
          </cell>
          <cell r="G6" t="str">
            <v>单轴玻纤；UDH-1215-230；SR146Ⅱ28后缘；-</v>
          </cell>
          <cell r="H6" t="str">
            <v>SR146Ⅱ后缘</v>
          </cell>
        </row>
        <row r="7">
          <cell r="A7">
            <v>1930</v>
          </cell>
          <cell r="B7" t="str">
            <v>大丰</v>
          </cell>
          <cell r="G7" t="str">
            <v>单轴玻纤；UDH-1215-230；SR152Ⅱ36后缘；-</v>
          </cell>
          <cell r="H7" t="str">
            <v>SR152Ⅱ后缘</v>
          </cell>
        </row>
        <row r="8">
          <cell r="A8">
            <v>1390</v>
          </cell>
          <cell r="B8" t="str">
            <v>哈密</v>
          </cell>
          <cell r="G8" t="str">
            <v>单轴玻纤；UDH-1215-230；SR152Ⅳ32后缘；-</v>
          </cell>
          <cell r="H8" t="str">
            <v>SR152Ⅳ后缘</v>
          </cell>
        </row>
        <row r="9">
          <cell r="A9">
            <v>1350</v>
          </cell>
          <cell r="B9"/>
          <cell r="G9" t="str">
            <v>单轴玻纤；UDH-1215-230；WB171Ⅰ36后缘；-</v>
          </cell>
          <cell r="H9" t="str">
            <v>WB171I后缘</v>
          </cell>
        </row>
        <row r="10">
          <cell r="A10">
            <v>1390</v>
          </cell>
          <cell r="B10"/>
          <cell r="G10" t="str">
            <v>单轴玻纤；UDH-1215-630；SR146Ⅰ28大梁；-</v>
          </cell>
          <cell r="H10" t="str">
            <v>SR146Ⅰ大梁</v>
          </cell>
        </row>
        <row r="11">
          <cell r="A11">
            <v>1940</v>
          </cell>
          <cell r="B11" t="str">
            <v>乌兰察布</v>
          </cell>
          <cell r="G11" t="str">
            <v>单轴玻纤；UDH-1215-630；SR146Ⅱ28大梁；-</v>
          </cell>
          <cell r="H11" t="str">
            <v>SR146Ⅱ大梁</v>
          </cell>
        </row>
        <row r="12">
          <cell r="A12">
            <v>1260</v>
          </cell>
          <cell r="B12"/>
          <cell r="G12" t="str">
            <v>单轴玻纤；UDH-1215-700；SR152Ⅳ32大梁；-</v>
          </cell>
          <cell r="H12" t="str">
            <v>SR152Ⅳ大梁</v>
          </cell>
        </row>
        <row r="13">
          <cell r="A13">
            <v>1680</v>
          </cell>
          <cell r="B13" t="str">
            <v>大丰</v>
          </cell>
          <cell r="G13" t="str">
            <v>单轴玻纤；UDH-1250-230；SR140Ⅲ23后缘；-</v>
          </cell>
          <cell r="H13" t="str">
            <v>SR140后缘</v>
          </cell>
        </row>
        <row r="14">
          <cell r="A14"/>
          <cell r="B14"/>
          <cell r="G14" t="str">
            <v>单轴玻纤；UDH-1250-550；SR120Ⅲ23大梁；-</v>
          </cell>
          <cell r="H14" t="str">
            <v>SR120Ⅲ大梁</v>
          </cell>
        </row>
        <row r="15">
          <cell r="G15" t="str">
            <v>单轴玻纤；UDH-1250-550；SR120大梁；-</v>
          </cell>
          <cell r="H15" t="str">
            <v>SR120大梁</v>
          </cell>
        </row>
        <row r="16">
          <cell r="G16" t="str">
            <v>单轴玻纤；UDH-1250-550；SR140Ⅲ23大梁；-</v>
          </cell>
          <cell r="H16" t="str">
            <v>SR140大梁</v>
          </cell>
        </row>
        <row r="17">
          <cell r="G17" t="str">
            <v>单轴玻纤；UDH-1250-630；SR113大梁；-</v>
          </cell>
          <cell r="H17" t="str">
            <v>SR113大梁</v>
          </cell>
        </row>
        <row r="18">
          <cell r="G18" t="str">
            <v>螺栓加强层；2.5-SR140Ⅲ23；海装</v>
          </cell>
          <cell r="H18" t="str">
            <v>SR140Ⅲ螺栓加强层</v>
          </cell>
        </row>
        <row r="19">
          <cell r="G19" t="str">
            <v>螺栓加强层套裁；2.2-SR136Ⅲ23；SR11190271110-072</v>
          </cell>
          <cell r="H19" t="str">
            <v>SR136Ⅲ螺栓加强层</v>
          </cell>
        </row>
        <row r="20">
          <cell r="A20" t="str">
            <v>叶型</v>
          </cell>
          <cell r="B20" t="str">
            <v>简称</v>
          </cell>
          <cell r="G20" t="str">
            <v>三轴玻纤；3AX-1250-6330；2540mm×100m；-</v>
          </cell>
          <cell r="H20" t="str">
            <v>TLX1250-2.54-100</v>
          </cell>
        </row>
        <row r="21">
          <cell r="A21" t="str">
            <v>GW171叶型</v>
          </cell>
          <cell r="B21" t="str">
            <v>TTX1215(45)-2.54-100</v>
          </cell>
          <cell r="G21" t="str">
            <v>三轴玻纤；3AX90-1250-0336；2540mm×100m；-</v>
          </cell>
          <cell r="H21" t="str">
            <v>TTX1250(45)-2.54-100</v>
          </cell>
        </row>
        <row r="22">
          <cell r="A22"/>
          <cell r="B22" t="str">
            <v>TTX1250(60)-2.54-100</v>
          </cell>
          <cell r="G22" t="str">
            <v>三轴玻纤；3AX9060-1250-0336；2540mm×100m；-</v>
          </cell>
          <cell r="H22" t="str">
            <v>TTX1250(60)-2.54-100</v>
          </cell>
        </row>
        <row r="23">
          <cell r="A23"/>
          <cell r="B23" t="str">
            <v>TXL1215-2.54-100</v>
          </cell>
          <cell r="G23" t="str">
            <v>三轴玻纤；3AX9060-1500-0339-H；1270mm×100m；-</v>
          </cell>
          <cell r="H23" t="str">
            <v>TTX1500H-1.27-100</v>
          </cell>
        </row>
        <row r="24">
          <cell r="A24" t="str">
            <v>SR146-Ⅰ叶型</v>
          </cell>
          <cell r="B24" t="str">
            <v>BX800-2.54-100</v>
          </cell>
          <cell r="G24" t="str">
            <v>三轴玻纤；3AX9060-1500-0339-H；2540mm×100m；-</v>
          </cell>
          <cell r="H24" t="str">
            <v>TTX1500H-2.54-100</v>
          </cell>
        </row>
        <row r="25">
          <cell r="A25"/>
          <cell r="B25" t="str">
            <v>TLX1250-2.54-100</v>
          </cell>
          <cell r="G25" t="str">
            <v>双轴玻纤；2AX-800-0440；2540mm×100m；-</v>
          </cell>
          <cell r="H25" t="str">
            <v>BX800-2.54-100</v>
          </cell>
        </row>
        <row r="26">
          <cell r="A26"/>
          <cell r="B26" t="str">
            <v>TTX1250(45)-2.54-100</v>
          </cell>
          <cell r="G26" t="str">
            <v>单轴玻纤；UDH-1250-315；SR113后缘；-</v>
          </cell>
          <cell r="H26" t="str">
            <v>SR113后缘</v>
          </cell>
        </row>
        <row r="27">
          <cell r="A27"/>
          <cell r="B27" t="str">
            <v>TTX1500H-2.54-100</v>
          </cell>
          <cell r="G27" t="str">
            <v>单轴玻纤；UDH-1215-230；GW171Ⅰ36后缘；-</v>
          </cell>
          <cell r="H27" t="str">
            <v>GW171后缘</v>
          </cell>
        </row>
        <row r="28">
          <cell r="A28" t="str">
            <v>SR146-Ⅱ套裁</v>
          </cell>
          <cell r="B28" t="str">
            <v>BX800-2.54-100</v>
          </cell>
          <cell r="G28" t="str">
            <v>三轴玻纤；3AX90-1215-0227；2540mm×100m；-</v>
          </cell>
          <cell r="H28" t="str">
            <v>TTX1215(45)-2.54-100</v>
          </cell>
        </row>
        <row r="29">
          <cell r="A29"/>
          <cell r="B29" t="str">
            <v>TTX1215(45)-2.54-100</v>
          </cell>
          <cell r="G29" t="str">
            <v>三轴玻纤；3AX-1215-7220；2540mm×100m；-</v>
          </cell>
          <cell r="H29" t="str">
            <v>TLX1215-2.54-100</v>
          </cell>
        </row>
        <row r="30">
          <cell r="A30"/>
          <cell r="B30" t="str">
            <v>TTX1250(60)-2.54-100</v>
          </cell>
          <cell r="G30" t="str">
            <v>螺栓加强层套裁；2.2-SR136Ⅱ23；海装</v>
          </cell>
          <cell r="H30" t="str">
            <v>SR136Ⅱ螺栓加强层</v>
          </cell>
        </row>
        <row r="31">
          <cell r="A31"/>
          <cell r="B31" t="str">
            <v>TXL1215-2.54-100</v>
          </cell>
          <cell r="G31" t="str">
            <v>双轴玻纤；2AX-0600-0330；2540mm×100m；-</v>
          </cell>
          <cell r="H31" t="str">
            <v>BX600-2.54-100</v>
          </cell>
        </row>
        <row r="32">
          <cell r="A32" t="str">
            <v>SR146-II叶型</v>
          </cell>
          <cell r="B32" t="str">
            <v>BX600-2.54-100</v>
          </cell>
          <cell r="G32" t="str">
            <v>单轴玻纤；UDH-1215-130-67m；SR146Ⅱ28前缘；-</v>
          </cell>
          <cell r="H32" t="str">
            <v>SR146Ⅱ前缘</v>
          </cell>
        </row>
        <row r="33">
          <cell r="A33"/>
          <cell r="B33" t="str">
            <v>BX800-2.54-100</v>
          </cell>
          <cell r="G33" t="str">
            <v>单轴玻纤；UDH-1215-630；SR136Ⅰ28大梁；-</v>
          </cell>
          <cell r="H33" t="str">
            <v>SR136Ⅰ大梁</v>
          </cell>
        </row>
        <row r="34">
          <cell r="A34"/>
          <cell r="B34" t="str">
            <v>TLX1215-2.54-100</v>
          </cell>
          <cell r="G34" t="str">
            <v>单轴玻纤；UDH-1215-230；SR136Ⅰ28后缘；-</v>
          </cell>
          <cell r="H34" t="str">
            <v>SR136Ⅰ后缘</v>
          </cell>
        </row>
        <row r="35">
          <cell r="A35"/>
          <cell r="B35" t="str">
            <v>TTX1215(45)-2.54-100</v>
          </cell>
          <cell r="G35" t="str">
            <v>三轴玻纤；3AX-1215-7220；1270mm×100m；-</v>
          </cell>
          <cell r="H35" t="str">
            <v>TLX1215-1.27-100</v>
          </cell>
        </row>
        <row r="36">
          <cell r="A36"/>
          <cell r="B36" t="str">
            <v>TTX1250(60)-2.54-100</v>
          </cell>
          <cell r="G36" t="str">
            <v>三轴玻纤；3AX-1215-7220；1270mm×60m；-</v>
          </cell>
          <cell r="H36" t="str">
            <v>TLX1215-1.27-60</v>
          </cell>
        </row>
        <row r="37">
          <cell r="A37" t="str">
            <v>SR152-Ⅲ叶型</v>
          </cell>
          <cell r="B37" t="str">
            <v>BX800-2.54-100</v>
          </cell>
          <cell r="G37" t="str">
            <v>螺栓加强层套裁；-；SR146Ⅰ28；-</v>
          </cell>
          <cell r="H37" t="str">
            <v>SR146Ⅰ螺栓加强层</v>
          </cell>
        </row>
        <row r="38">
          <cell r="A38"/>
          <cell r="B38" t="str">
            <v>TLX1250-2.54-100</v>
          </cell>
          <cell r="G38" t="str">
            <v>双轴玻纤；2AX-800-0440；1270mm×100m；-</v>
          </cell>
          <cell r="H38" t="str">
            <v>BX800-1.27-100</v>
          </cell>
        </row>
        <row r="39">
          <cell r="A39"/>
          <cell r="B39" t="str">
            <v>TTX1250(45)-2.54-100</v>
          </cell>
          <cell r="G39" t="str">
            <v>单轴玻纤；UDH-1250-600；GW140Ⅰ28（68.6D）大梁；-</v>
          </cell>
          <cell r="H39" t="str">
            <v>GW68.6D大梁</v>
          </cell>
        </row>
        <row r="40">
          <cell r="A40"/>
          <cell r="B40" t="str">
            <v>TTX1250(60)-2.54-100</v>
          </cell>
          <cell r="G40" t="str">
            <v>腹板套裁；-；2.5-SR146Ⅱ28；-</v>
          </cell>
          <cell r="H40" t="str">
            <v>SR146Ⅱ腹板套裁</v>
          </cell>
        </row>
        <row r="41">
          <cell r="A41" t="str">
            <v>GW68.6D叶型</v>
          </cell>
          <cell r="B41" t="str">
            <v>BX800-1.27-100</v>
          </cell>
          <cell r="G41" t="str">
            <v>壳体套裁；-；2.5-SR146Ⅱ28；-</v>
          </cell>
          <cell r="H41" t="str">
            <v>SR146Ⅱ壳体套裁</v>
          </cell>
        </row>
        <row r="42">
          <cell r="A42"/>
          <cell r="B42" t="str">
            <v>BX1000-1.27-100</v>
          </cell>
          <cell r="G42" t="str">
            <v>单轴玻纤；UDH-1215-230-67m；SR146Ⅱ28前缘；-</v>
          </cell>
          <cell r="H42" t="str">
            <v>SR146Ⅱ前缘</v>
          </cell>
        </row>
        <row r="43">
          <cell r="A43"/>
          <cell r="B43" t="str">
            <v>TLX1215-1.27-100</v>
          </cell>
          <cell r="G43" t="str">
            <v>单轴玻纤；UDH-1215-230；SR152Ⅲ36后缘；-</v>
          </cell>
          <cell r="H43" t="str">
            <v>SR152Ⅲ后缘</v>
          </cell>
        </row>
        <row r="44">
          <cell r="A44" t="str">
            <v>Grand Total</v>
          </cell>
          <cell r="B44"/>
          <cell r="G44" t="str">
            <v>单轴玻纤；UDH-1215-700；SR152Ⅲ36大梁；-</v>
          </cell>
          <cell r="H44" t="str">
            <v>SR152Ⅲ大梁</v>
          </cell>
        </row>
        <row r="45">
          <cell r="A45"/>
          <cell r="B45"/>
          <cell r="G45" t="str">
            <v>双轴玻纤；2AX-1000-0550；1270mm×100m；-</v>
          </cell>
          <cell r="H45" t="str">
            <v>BX1000-1.27-100</v>
          </cell>
        </row>
        <row r="46">
          <cell r="A46"/>
          <cell r="B46"/>
          <cell r="G46" t="str">
            <v>单轴玻纤；UDH-1250-250；GW140Ⅰ28（68.6D）后缘；-</v>
          </cell>
          <cell r="H46" t="str">
            <v>GW68.6D后缘</v>
          </cell>
        </row>
        <row r="47">
          <cell r="A47"/>
          <cell r="B47"/>
          <cell r="G47" t="str">
            <v>双轴玻纤；2AX-0600-0330；1270mm×100m；-</v>
          </cell>
          <cell r="H47" t="str">
            <v>BX600-1.27-100</v>
          </cell>
        </row>
        <row r="48">
          <cell r="A48"/>
          <cell r="B48"/>
          <cell r="G48" t="str">
            <v>三轴玻纤；3AX-1250-6330；1270mm×100m；-</v>
          </cell>
          <cell r="H48" t="str">
            <v>TLX1250-1.27-100</v>
          </cell>
        </row>
        <row r="49">
          <cell r="G49" t="str">
            <v>单轴玻纤；UDH-1250-250；SR210Ⅰ48 大梁尖部；-</v>
          </cell>
          <cell r="H49" t="str">
            <v>SR210大梁尖部</v>
          </cell>
        </row>
        <row r="50">
          <cell r="G50" t="str">
            <v>单轴玻纤；UDH-1215-250；SR210Ⅰ48 辅梁；-</v>
          </cell>
          <cell r="H50" t="str">
            <v>SR210辅梁</v>
          </cell>
        </row>
        <row r="51">
          <cell r="G51" t="str">
            <v>单轴玻纤；UDH-1215-250；SR210Ⅰ48 后缘；-</v>
          </cell>
          <cell r="H51" t="str">
            <v>SR210后缘</v>
          </cell>
        </row>
        <row r="52">
          <cell r="G52" t="str">
            <v>单轴玻纤；UDH-1250-800；SR210Ⅰ48大梁SS面；-</v>
          </cell>
          <cell r="H52" t="str">
            <v>SR210大梁SS</v>
          </cell>
        </row>
        <row r="53">
          <cell r="G53" t="str">
            <v>纱线；WS2000；-；-</v>
          </cell>
          <cell r="H53" t="str">
            <v>WS2000</v>
          </cell>
        </row>
        <row r="54">
          <cell r="G54" t="str">
            <v>单轴玻纤；UDH-1215-230；SR171Ⅴ36后缘；-</v>
          </cell>
          <cell r="H54" t="str">
            <v>SR171Ⅴ后缘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77.753031018518" createdVersion="6" refreshedVersion="6" minRefreshableVersion="3" recordCount="64">
  <cacheSource type="worksheet">
    <worksheetSource ref="A1:N1048576" sheet="Open order"/>
  </cacheSource>
  <cacheFields count="14">
    <cacheField name="客户代码" numFmtId="0">
      <sharedItems containsString="0" containsBlank="1" containsNumber="1" containsInteger="1" minValue="1270" maxValue="1680"/>
    </cacheField>
    <cacheField name="Location" numFmtId="0">
      <sharedItems containsBlank="1" count="9">
        <s v="大丰"/>
        <s v="洛阳"/>
        <s v="大连"/>
        <e v="#N/A"/>
        <m/>
        <s v="张家口" u="1"/>
        <s v="鄂尔多斯" u="1"/>
        <s v="乌兰察布" u="1"/>
        <s v="哈密" u="1"/>
      </sharedItems>
    </cacheField>
    <cacheField name="PODate" numFmtId="164">
      <sharedItems containsNonDate="0" containsDate="1" containsString="0" containsBlank="1" minDate="2020-08-26T00:00:00" maxDate="2021-03-20T00:00:00"/>
    </cacheField>
    <cacheField name="SO" numFmtId="49">
      <sharedItems containsNonDate="0" containsString="0" containsBlank="1"/>
    </cacheField>
    <cacheField name="PO" numFmtId="0">
      <sharedItems containsString="0" containsBlank="1" containsNumber="1" containsInteger="1" minValue="4500067597" maxValue="4500081839"/>
    </cacheField>
    <cacheField name="SAPcode" numFmtId="49">
      <sharedItems containsNonDate="0" containsString="0" containsBlank="1"/>
    </cacheField>
    <cacheField name="Customercode" numFmtId="0">
      <sharedItems containsString="0" containsBlank="1" containsNumber="1" containsInteger="1" minValue="1120000133" maxValue="1120003284"/>
    </cacheField>
    <cacheField name="Description" numFmtId="49">
      <sharedItems containsBlank="1"/>
    </cacheField>
    <cacheField name="套裁数量" numFmtId="0">
      <sharedItems containsString="0" containsBlank="1" containsNumber="1" containsInteger="1" minValue="1" maxValue="49"/>
    </cacheField>
    <cacheField name="Qty/KG" numFmtId="0">
      <sharedItems containsString="0" containsBlank="1" containsNumber="1" minValue="-266" maxValue="147146"/>
    </cacheField>
    <cacheField name="KG/EA" numFmtId="0">
      <sharedItems containsString="0" containsBlank="1" containsNumber="1" minValue="-266" maxValue="75816"/>
    </cacheField>
    <cacheField name="ETA" numFmtId="164">
      <sharedItems containsNonDate="0" containsDate="1" containsString="0" containsBlank="1" minDate="2020-08-26T00:00:00" maxDate="2021-04-14T00:00:00"/>
    </cacheField>
    <cacheField name="备注" numFmtId="49">
      <sharedItems containsBlank="1"/>
    </cacheField>
    <cacheField name="简称" numFmtId="0">
      <sharedItems containsBlank="1" count="49">
        <s v="SR152Ⅳ后缘"/>
        <s v="SR152Ⅳ大梁"/>
        <s v="TLX1215-1.27-100"/>
        <s v="BX1000-1.27-100"/>
        <s v="GW68.6D后缘"/>
        <s v="GW68.6D大梁"/>
        <s v="SR140大梁"/>
        <s v="BX800-1.27-100"/>
        <s v="SR146Ⅱ大梁"/>
        <s v="SR146Ⅱ后缘"/>
        <s v="WB171I后缘"/>
        <s v="BX600-1.27-100"/>
        <s v="SR171Ⅴ后缘"/>
        <s v="GW171后缘"/>
        <s v="TTX1250(60)-2.54-100"/>
        <s v="TTX1250(45)-2.54-100"/>
        <s v="TLX1215-2.54-100"/>
        <s v="TLX1250-2.54-100"/>
        <s v="BX600-2.54-100"/>
        <s v="TTX1215(45)-2.54-100"/>
        <s v="TTX1500H-1.27-100"/>
        <s v="BX800-2.54-100"/>
        <s v="SR146Ⅱ腹板套裁"/>
        <s v="SR146Ⅱ壳体套裁"/>
        <s v="SR140后缘"/>
        <s v="SR152Ⅴ后缘"/>
        <e v="#N/A"/>
        <m/>
        <s v="TLX1250-1.27-100" u="1"/>
        <s v="SR171Ⅲ后缘" u="1"/>
        <s v="SR140螺栓加强层" u="1"/>
        <s v="SR120后缘" u="1"/>
        <s v="SR152Ⅲ后缘" u="1"/>
        <s v="SR146螺栓加强层" u="1"/>
        <s v="SR210后缘" u="1"/>
        <s v="SR146Ⅱ前缘" u="1"/>
        <s v="SR146Ⅰ大梁" u="1"/>
        <s v="SR120大梁" u="1"/>
        <s v="SR136Ⅰ大梁" u="1"/>
        <s v="SR146Ⅰ后缘" u="1"/>
        <s v="SR210大梁SS" u="1"/>
        <s v="SR210大梁" u="1"/>
        <s v="SR136Ⅰ后缘" u="1"/>
        <s v="SR210辅梁" u="1"/>
        <s v="SR210大梁尖部" u="1"/>
        <s v="TTX1500H-2.54-100" u="1"/>
        <s v="GW140大梁" u="1"/>
        <s v="WB171后缘" u="1"/>
        <s v="SR152Ⅲ大梁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277.753031712964" createdVersion="6" refreshedVersion="6" minRefreshableVersion="3" recordCount="48">
  <cacheSource type="worksheet">
    <worksheetSource ref="P1:U1048576" sheet="基础数据"/>
  </cacheSource>
  <cacheFields count="6">
    <cacheField name="叶型" numFmtId="0">
      <sharedItems containsBlank="1" count="7">
        <s v="SR146-II叶型"/>
        <s v="GW171叶型"/>
        <s v="SR146-Ⅱ套裁"/>
        <s v="SR146-Ⅰ叶型"/>
        <s v="SR152-Ⅲ叶型"/>
        <s v="GW68.6D叶型"/>
        <m/>
      </sharedItems>
    </cacheField>
    <cacheField name="物料代码" numFmtId="0">
      <sharedItems containsString="0" containsBlank="1" containsNumber="1" containsInteger="1" minValue="1120000133" maxValue="1120002854"/>
    </cacheField>
    <cacheField name="短文本" numFmtId="0">
      <sharedItems containsBlank="1"/>
    </cacheField>
    <cacheField name="计量单位" numFmtId="0">
      <sharedItems containsBlank="1"/>
    </cacheField>
    <cacheField name="单支叶片定额数量" numFmtId="0">
      <sharedItems containsString="0" containsBlank="1" containsNumber="1" minValue="74.099999999999994" maxValue="4369.7"/>
    </cacheField>
    <cacheField name="简称" numFmtId="0">
      <sharedItems containsBlank="1" count="13">
        <s v="BX600-2.54-100"/>
        <s v="BX800-2.54-100"/>
        <s v="TTX1215(45)-2.54-100"/>
        <s v="TLX1215-2.54-100"/>
        <s v="TTX1250(60)-2.54-100"/>
        <s v="TXL1215-2.54-100"/>
        <s v="TTX1250(45)-2.54-100"/>
        <s v="TLX1250-2.54-100"/>
        <s v="TTX1500H-2.54-100"/>
        <s v="BX800-1.27-100"/>
        <s v="BX1000-1.27-100"/>
        <s v="TLX1215-1.27-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1680"/>
    <x v="0"/>
    <d v="2020-08-26T00:00:00"/>
    <m/>
    <n v="4500067597"/>
    <m/>
    <n v="1120002526"/>
    <s v="单轴玻纤；UDH-1215-230；SR152Ⅳ32后缘；-"/>
    <n v="10"/>
    <n v="14020"/>
    <n v="10"/>
    <d v="2020-08-26T00:00:00"/>
    <s v="10支"/>
    <x v="0"/>
  </r>
  <r>
    <n v="1680"/>
    <x v="0"/>
    <d v="2020-08-26T00:00:00"/>
    <m/>
    <n v="4500067597"/>
    <m/>
    <n v="1120002527"/>
    <s v="单轴玻纤；UDH-1215-700；SR152Ⅳ32大梁；-"/>
    <n v="1"/>
    <n v="7020"/>
    <n v="1"/>
    <d v="2020-08-26T00:00:00"/>
    <s v="1支"/>
    <x v="1"/>
  </r>
  <r>
    <n v="1270"/>
    <x v="1"/>
    <d v="2020-11-13T00:00:00"/>
    <m/>
    <n v="4500073963"/>
    <m/>
    <n v="1120000140"/>
    <s v="三轴玻纤；3AX-1215-7220；1270mm×100m；-"/>
    <m/>
    <n v="2762"/>
    <n v="2762"/>
    <d v="2020-11-16T00:00:00"/>
    <s v="每次至少到货10吨,1116发2351，1117发5598，1118发7434,1119发7389，1120发2754，1122发8262，1123发10098,1124发7344，1125发5508，1126发5508，1127发4590，1128发4590，1130发4590，0202发8262，0322发7344"/>
    <x v="2"/>
  </r>
  <r>
    <n v="1270"/>
    <x v="1"/>
    <d v="2020-11-17T00:00:00"/>
    <m/>
    <n v="4500074226"/>
    <m/>
    <n v="1120000140"/>
    <s v="三轴玻纤；3AX-1215-7220；1270mm×100m；-"/>
    <m/>
    <n v="28316"/>
    <n v="28316"/>
    <d v="2020-12-01T00:00:00"/>
    <s v="12支"/>
    <x v="2"/>
  </r>
  <r>
    <n v="1270"/>
    <x v="1"/>
    <d v="2020-11-17T00:00:00"/>
    <m/>
    <n v="4500074226"/>
    <m/>
    <n v="1120002578"/>
    <s v="双轴玻纤；2AX-1000-0550；1270mm×100m；-"/>
    <m/>
    <n v="-266"/>
    <n v="-266"/>
    <d v="2020-12-01T00:00:00"/>
    <s v="12支，0322发3386"/>
    <x v="3"/>
  </r>
  <r>
    <n v="1270"/>
    <x v="1"/>
    <d v="2020-11-17T00:00:00"/>
    <m/>
    <n v="4500074226"/>
    <m/>
    <n v="1120002587"/>
    <s v="单轴玻纤；UDH-1250-250；GW140Ⅰ28（68.6D）后缘；-"/>
    <n v="26"/>
    <n v="16350"/>
    <n v="26"/>
    <d v="2020-12-01T00:00:00"/>
    <s v=" 40支，40-2-3-3-3-3套，0313发2支，0315发3支,0317发3支，0318发3支，0322发3支"/>
    <x v="4"/>
  </r>
  <r>
    <n v="1270"/>
    <x v="1"/>
    <d v="2020-11-17T00:00:00"/>
    <m/>
    <n v="4500074226"/>
    <m/>
    <n v="1120002589"/>
    <s v="单轴玻纤；UDH-1250-600；GW140Ⅰ28（68.6D）大梁；-"/>
    <n v="13"/>
    <n v="39508"/>
    <n v="13"/>
    <d v="2020-12-01T00:00:00"/>
    <s v=" 40-1-2-3-2-1-3-3-3-3-3-3支，0128发1支,0221发2支,0225发3支，0302发2支，0303发1支，0310发3支,0313发3支，0315发3支，0317发3支，0318发3支,0322发3支"/>
    <x v="5"/>
  </r>
  <r>
    <n v="1270"/>
    <x v="1"/>
    <d v="2020-11-23T00:00:00"/>
    <m/>
    <n v="4500074608"/>
    <m/>
    <n v="1120002597"/>
    <s v="单轴玻纤；UDH-1250-550；SR140Ⅲ23大梁；-"/>
    <n v="1"/>
    <n v="3066"/>
    <n v="1"/>
    <d v="2020-11-28T00:00:00"/>
    <s v="30-2-3-2-5-5-3-2-2-2-3支140，1130发2支，0112发3支，0113发2支,0118发5支，0202发5支,0228发3支，0301发2支，0303发2支，0306发2支,0309发3支"/>
    <x v="6"/>
  </r>
  <r>
    <n v="1270"/>
    <x v="1"/>
    <d v="2020-11-23T00:00:00"/>
    <m/>
    <n v="4500074608"/>
    <m/>
    <n v="1120000133"/>
    <s v="双轴玻纤；2AX-800-0440；1270mm×100m；-"/>
    <m/>
    <n v="2605"/>
    <n v="2605"/>
    <d v="2020-11-28T00:00:00"/>
    <s v="30支140,0128发3864,0202发7260,0228发2060,0301发3828,0316发14729，0317发9064,0322发6798"/>
    <x v="7"/>
  </r>
  <r>
    <n v="1270"/>
    <x v="1"/>
    <d v="2020-11-23T00:00:00"/>
    <m/>
    <n v="4500074608"/>
    <m/>
    <n v="1120000140"/>
    <s v="三轴玻纤；3AX-1215-7220；1270mm×100m；-"/>
    <m/>
    <n v="36225"/>
    <n v="36225"/>
    <d v="2020-11-28T00:00:00"/>
    <s v="30支140"/>
    <x v="2"/>
  </r>
  <r>
    <n v="1680"/>
    <x v="0"/>
    <d v="2021-01-08T00:00:00"/>
    <m/>
    <n v="4500077604"/>
    <m/>
    <n v="1120002746"/>
    <s v="单轴玻纤；UDH-1215-630；SR146Ⅱ28大梁；-"/>
    <n v="10"/>
    <n v="35395"/>
    <n v="10"/>
    <d v="2021-03-01T00:00:00"/>
    <m/>
    <x v="8"/>
  </r>
  <r>
    <n v="1680"/>
    <x v="0"/>
    <d v="2021-01-08T00:00:00"/>
    <m/>
    <n v="4500077604"/>
    <m/>
    <n v="1120002747"/>
    <s v="单轴玻纤；UDH-1215-230；SR146Ⅱ28后缘；-"/>
    <n v="10"/>
    <n v="6146"/>
    <n v="10"/>
    <d v="2021-03-01T00:00:00"/>
    <m/>
    <x v="9"/>
  </r>
  <r>
    <n v="1680"/>
    <x v="0"/>
    <d v="2021-01-08T00:00:00"/>
    <m/>
    <n v="4500077604"/>
    <m/>
    <n v="1120002746"/>
    <s v="单轴玻纤；UDH-1215-630；SR146Ⅱ28大梁；-"/>
    <n v="15"/>
    <n v="55045"/>
    <n v="15"/>
    <d v="2021-03-01T00:00:00"/>
    <m/>
    <x v="8"/>
  </r>
  <r>
    <n v="1680"/>
    <x v="0"/>
    <d v="2021-01-08T00:00:00"/>
    <m/>
    <n v="4500077604"/>
    <m/>
    <n v="1120002747"/>
    <s v="单轴玻纤；UDH-1215-230；SR146Ⅱ28后缘；-"/>
    <n v="5"/>
    <n v="4674.6000000000004"/>
    <n v="5"/>
    <d v="2021-03-01T00:00:00"/>
    <m/>
    <x v="9"/>
  </r>
  <r>
    <n v="1680"/>
    <x v="0"/>
    <d v="2021-01-08T00:00:00"/>
    <m/>
    <n v="4500077604"/>
    <m/>
    <n v="1120001194"/>
    <s v="单轴玻纤；UDH-1215-230；WB171Ⅰ36后缘；-"/>
    <n v="14"/>
    <n v="18474"/>
    <n v="14"/>
    <d v="2021-03-01T00:00:00"/>
    <m/>
    <x v="10"/>
  </r>
  <r>
    <n v="1680"/>
    <x v="0"/>
    <d v="2021-01-08T00:00:00"/>
    <m/>
    <n v="4500077604"/>
    <m/>
    <n v="1120001194"/>
    <s v="单轴玻纤；UDH-1215-230；WB171Ⅰ36后缘；-"/>
    <n v="20"/>
    <n v="25080"/>
    <n v="20"/>
    <d v="2021-03-01T00:00:00"/>
    <m/>
    <x v="10"/>
  </r>
  <r>
    <n v="1270"/>
    <x v="1"/>
    <d v="2021-01-15T00:00:00"/>
    <m/>
    <n v="4500078167"/>
    <m/>
    <n v="1120002602"/>
    <s v="双轴玻纤；2AX-0600-0330；1270mm×100m；-"/>
    <m/>
    <n v="874.29999999999927"/>
    <n v="874.29999999999927"/>
    <d v="2021-03-08T00:00:00"/>
    <s v="161卷 ，0306发8520，0317发2867"/>
    <x v="11"/>
  </r>
  <r>
    <n v="1580"/>
    <x v="2"/>
    <d v="2021-01-15T00:00:00"/>
    <m/>
    <n v="4500078173"/>
    <m/>
    <n v="1120001194"/>
    <s v="单轴玻纤；UDH-1215-230；WB171Ⅰ36后缘；-"/>
    <n v="6"/>
    <n v="7578"/>
    <n v="6"/>
    <d v="2021-02-24T00:00:00"/>
    <s v="6支 "/>
    <x v="10"/>
  </r>
  <r>
    <n v="1680"/>
    <x v="0"/>
    <d v="2021-01-15T00:00:00"/>
    <m/>
    <n v="4500078193"/>
    <m/>
    <n v="1120003037"/>
    <s v="单轴玻纤；UDH-1215-230；SR171Ⅴ36后缘；-"/>
    <n v="1"/>
    <n v="1908.3999999999996"/>
    <n v="1"/>
    <d v="2021-03-01T00:00:00"/>
    <s v="0316发7支"/>
    <x v="12"/>
  </r>
  <r>
    <n v="1680"/>
    <x v="0"/>
    <d v="2021-01-15T00:00:00"/>
    <m/>
    <n v="4500078193"/>
    <m/>
    <n v="1120002746"/>
    <s v="单轴玻纤；UDH-1215-630；SR146Ⅱ28大梁；-"/>
    <n v="10"/>
    <n v="35395"/>
    <n v="10"/>
    <d v="2021-03-01T00:00:00"/>
    <m/>
    <x v="8"/>
  </r>
  <r>
    <n v="1680"/>
    <x v="0"/>
    <d v="2021-01-15T00:00:00"/>
    <m/>
    <n v="4500078193"/>
    <m/>
    <n v="1120002747"/>
    <s v="单轴玻纤；UDH-1215-230；SR146Ⅱ28后缘；-"/>
    <n v="10"/>
    <n v="6146"/>
    <n v="10"/>
    <d v="2021-03-01T00:00:00"/>
    <m/>
    <x v="9"/>
  </r>
  <r>
    <n v="1680"/>
    <x v="0"/>
    <d v="2021-01-15T00:00:00"/>
    <m/>
    <n v="4500078193"/>
    <m/>
    <n v="1120002772"/>
    <s v="单轴玻纤；UDH-1215-230；GW171Ⅰ36后缘；-"/>
    <n v="19"/>
    <n v="34675"/>
    <n v="19"/>
    <d v="2021-03-01T00:00:00"/>
    <s v="0319发5支"/>
    <x v="13"/>
  </r>
  <r>
    <n v="1680"/>
    <x v="0"/>
    <d v="2021-02-02T00:00:00"/>
    <m/>
    <n v="4500079277"/>
    <m/>
    <n v="1120000142"/>
    <s v="三轴玻纤；3AX9060-1250-0336；2540mm×100m；-"/>
    <m/>
    <n v="29842.25"/>
    <n v="29842.25"/>
    <d v="2021-03-01T00:00:00"/>
    <s v="0223发6460,0227发8075，0228发3230，0301发12920,0302发8075,0309发3230,0310发16150，0319发9690"/>
    <x v="14"/>
  </r>
  <r>
    <n v="1680"/>
    <x v="0"/>
    <d v="2021-02-02T00:00:00"/>
    <m/>
    <n v="4500079277"/>
    <m/>
    <n v="1120002038"/>
    <s v="三轴玻纤；3AX90-1250-0336；2540mm×100m；-"/>
    <m/>
    <n v="3816"/>
    <n v="3816"/>
    <d v="2021-03-01T00:00:00"/>
    <m/>
    <x v="15"/>
  </r>
  <r>
    <n v="1680"/>
    <x v="0"/>
    <d v="2021-02-02T00:00:00"/>
    <m/>
    <n v="4500079277"/>
    <m/>
    <n v="1120002038"/>
    <s v="三轴玻纤；3AX90-1250-0336；2540mm×100m；-"/>
    <m/>
    <n v="5597"/>
    <n v="5597"/>
    <d v="2021-03-01T00:00:00"/>
    <m/>
    <x v="15"/>
  </r>
  <r>
    <n v="1680"/>
    <x v="0"/>
    <d v="2021-02-02T00:00:00"/>
    <m/>
    <n v="4500079277"/>
    <m/>
    <n v="1120002854"/>
    <s v="三轴玻纤；3AX-1215-7220；2540mm×100m；-"/>
    <m/>
    <n v="70552.5"/>
    <n v="70552.5"/>
    <d v="2021-03-01T00:00:00"/>
    <s v="0318日邮件取消订单 34650.36"/>
    <x v="16"/>
  </r>
  <r>
    <n v="1680"/>
    <x v="0"/>
    <d v="2021-02-02T00:00:00"/>
    <m/>
    <n v="4500079277"/>
    <m/>
    <n v="1120001035"/>
    <s v="三轴玻纤；3AX-1250-6330；2540mm×100m；-"/>
    <m/>
    <n v="4979"/>
    <n v="4979"/>
    <d v="2021-03-01T00:00:00"/>
    <s v="0315发4173"/>
    <x v="17"/>
  </r>
  <r>
    <n v="1680"/>
    <x v="0"/>
    <d v="2021-02-02T00:00:00"/>
    <m/>
    <n v="4500079277"/>
    <m/>
    <n v="1120001035"/>
    <s v="三轴玻纤；3AX-1250-6330；2540mm×100m；-"/>
    <m/>
    <n v="25340"/>
    <n v="25340"/>
    <d v="2021-03-01T00:00:00"/>
    <m/>
    <x v="17"/>
  </r>
  <r>
    <n v="1680"/>
    <x v="0"/>
    <d v="2021-02-02T00:00:00"/>
    <m/>
    <n v="4500079277"/>
    <m/>
    <n v="1120002745"/>
    <s v="双轴玻纤；2AX-0600-0330；2540mm×100m；-"/>
    <m/>
    <n v="35550"/>
    <n v="35550"/>
    <d v="2021-03-01T00:00:00"/>
    <s v="0315发1422"/>
    <x v="18"/>
  </r>
  <r>
    <n v="1680"/>
    <x v="0"/>
    <d v="2021-02-02T00:00:00"/>
    <m/>
    <n v="4500079277"/>
    <m/>
    <n v="1120000145"/>
    <s v="三轴玻纤；3AX90-1215-0227；2540mm×100m；-"/>
    <m/>
    <n v="21752"/>
    <n v="21752"/>
    <d v="2021-03-01T00:00:00"/>
    <s v="0219发4665,0220发3110，0304发4665,0305发3110,0315发4033，0319发1550"/>
    <x v="19"/>
  </r>
  <r>
    <n v="1680"/>
    <x v="0"/>
    <d v="2021-02-02T00:00:00"/>
    <m/>
    <n v="4500079277"/>
    <m/>
    <n v="1120002854"/>
    <s v="三轴玻纤；3AX-1215-7220；2540mm×100m；-"/>
    <m/>
    <n v="18315"/>
    <n v="18315"/>
    <d v="2021-03-01T00:00:00"/>
    <s v="0219发10675,0220发12200,0304发10675，0312发6100,0314发10675，0319发9190"/>
    <x v="16"/>
  </r>
  <r>
    <n v="1270"/>
    <x v="1"/>
    <d v="2021-03-01T00:00:00"/>
    <m/>
    <n v="4500080283"/>
    <m/>
    <n v="1120002601"/>
    <s v="三轴玻纤；3AX9060-1500-0339-H；1270mm×100m；-"/>
    <m/>
    <n v="4431"/>
    <n v="4431"/>
    <d v="2021-03-12T00:00:00"/>
    <s v="49卷，0317发4762，0322发95"/>
    <x v="20"/>
  </r>
  <r>
    <n v="1270"/>
    <x v="1"/>
    <d v="2021-03-01T00:00:00"/>
    <m/>
    <n v="4500080283"/>
    <m/>
    <n v="1120002602"/>
    <s v="双轴玻纤；2AX-0600-0330；1270mm×100m；-"/>
    <m/>
    <n v="1594.7"/>
    <n v="1594.7"/>
    <d v="2021-03-12T00:00:00"/>
    <s v="21卷"/>
    <x v="11"/>
  </r>
  <r>
    <n v="1680"/>
    <x v="0"/>
    <d v="2021-03-02T00:00:00"/>
    <m/>
    <n v="4500080407"/>
    <m/>
    <n v="1120001397"/>
    <s v="双轴玻纤；2AX-800-0440；2540mm×100m；-"/>
    <m/>
    <n v="339.59999999999854"/>
    <n v="339.59999999999854"/>
    <d v="2021-03-16T00:00:00"/>
    <s v="175卷 ,0302发5762.4，0303发4326,0306发8652，0308发2884,0311发13596"/>
    <x v="21"/>
  </r>
  <r>
    <n v="1680"/>
    <x v="0"/>
    <d v="2021-03-02T00:00:00"/>
    <m/>
    <n v="4500080407"/>
    <m/>
    <n v="1120001035"/>
    <s v="三轴玻纤；3AX-1250-6330；2540mm×100m；-"/>
    <m/>
    <n v="15875"/>
    <n v="15875"/>
    <d v="2021-03-16T00:00:00"/>
    <s v="50卷"/>
    <x v="17"/>
  </r>
  <r>
    <n v="1680"/>
    <x v="0"/>
    <d v="2021-03-02T00:00:00"/>
    <m/>
    <n v="4500080407"/>
    <m/>
    <n v="1120000142"/>
    <s v="三轴玻纤；3AX9060-1250-0336；2540mm×100m；-"/>
    <m/>
    <n v="12700"/>
    <n v="12700"/>
    <d v="2021-03-16T00:00:00"/>
    <s v="40卷"/>
    <x v="14"/>
  </r>
  <r>
    <n v="1680"/>
    <x v="0"/>
    <d v="2020-12-28T00:00:00"/>
    <m/>
    <n v="4500076875"/>
    <m/>
    <n v="1120002904"/>
    <s v="腹板套裁；-；2.5-SR146Ⅱ28；-"/>
    <n v="12"/>
    <n v="6168"/>
    <n v="12"/>
    <d v="2021-01-11T00:00:00"/>
    <s v="20-4-4支，新版报价维护，0124发4，0131发4"/>
    <x v="22"/>
  </r>
  <r>
    <n v="1680"/>
    <x v="0"/>
    <d v="2020-12-28T00:00:00"/>
    <m/>
    <n v="4500076875"/>
    <m/>
    <n v="1120002905"/>
    <s v="壳体套裁；-；2.5-SR146Ⅱ28；-"/>
    <n v="12"/>
    <n v="31896"/>
    <n v="12"/>
    <d v="2021-01-11T00:00:00"/>
    <s v="20-4-4支，新版报价维护，0124发4，0131发4"/>
    <x v="23"/>
  </r>
  <r>
    <n v="1680"/>
    <x v="0"/>
    <d v="2021-03-05T00:00:00"/>
    <m/>
    <n v="4500080676"/>
    <m/>
    <n v="1120003037"/>
    <s v="单轴玻纤；UDH-1215-230；SR171Ⅴ36后缘；-"/>
    <n v="6"/>
    <n v="11185.8"/>
    <n v="6"/>
    <d v="2021-03-29T00:00:00"/>
    <s v="6支 "/>
    <x v="12"/>
  </r>
  <r>
    <n v="1270"/>
    <x v="1"/>
    <d v="2021-03-12T00:00:00"/>
    <m/>
    <n v="4500081184"/>
    <m/>
    <n v="1120002596"/>
    <s v="单轴玻纤；UDH-1250-230；SR140Ⅲ23后缘；-"/>
    <n v="6"/>
    <n v="3884"/>
    <n v="6"/>
    <d v="2021-04-06T00:00:00"/>
    <s v="6支 "/>
    <x v="24"/>
  </r>
  <r>
    <n v="1270"/>
    <x v="1"/>
    <d v="2021-03-12T00:00:00"/>
    <m/>
    <n v="4500081184"/>
    <m/>
    <n v="1120002597"/>
    <s v="单轴玻纤；UDH-1250-550；SR140Ⅲ23大梁；-"/>
    <n v="6"/>
    <n v="18418"/>
    <n v="6"/>
    <d v="2021-04-06T00:00:00"/>
    <s v="6支 "/>
    <x v="6"/>
  </r>
  <r>
    <n v="1680"/>
    <x v="0"/>
    <d v="2021-03-12T00:00:00"/>
    <m/>
    <n v="4500081229"/>
    <m/>
    <n v="1120003037"/>
    <s v="单轴玻纤；UDH-1215-230；SR171Ⅴ36后缘；-"/>
    <n v="6"/>
    <n v="11185.8"/>
    <n v="6"/>
    <d v="2021-04-05T00:00:00"/>
    <s v="6支"/>
    <x v="12"/>
  </r>
  <r>
    <n v="1680"/>
    <x v="0"/>
    <d v="2021-03-15T00:00:00"/>
    <m/>
    <n v="4500081481"/>
    <m/>
    <n v="1120003284"/>
    <s v="单轴玻纤；UDH-1215-230；SR152Ⅴ32后缘；-"/>
    <n v="6"/>
    <n v="8460"/>
    <n v="6"/>
    <d v="2021-03-19T00:00:00"/>
    <s v="技术要求见附件"/>
    <x v="25"/>
  </r>
  <r>
    <n v="1680"/>
    <x v="0"/>
    <d v="2021-03-18T00:00:00"/>
    <m/>
    <n v="4500081658"/>
    <m/>
    <n v="1120000145"/>
    <s v="三轴玻纤；3AX90-1215-0227；2540mm×100m；-"/>
    <m/>
    <n v="8265"/>
    <n v="8265"/>
    <d v="2021-04-01T00:00:00"/>
    <s v="27卷OC GW171结项需求 壳体裁片"/>
    <x v="19"/>
  </r>
  <r>
    <n v="1680"/>
    <x v="0"/>
    <d v="2021-03-18T00:00:00"/>
    <m/>
    <n v="4500081658"/>
    <m/>
    <n v="1120000142"/>
    <s v="三轴玻纤；3AX9060-1250-0336；2540mm×100m；-"/>
    <m/>
    <n v="24932"/>
    <n v="24932"/>
    <d v="2021-04-01T00:00:00"/>
    <s v="79卷OC GW171结项需求 壳体裁片"/>
    <x v="14"/>
  </r>
  <r>
    <n v="1270"/>
    <x v="1"/>
    <d v="2021-03-19T00:00:00"/>
    <m/>
    <n v="4500081810"/>
    <m/>
    <n v="1120000133"/>
    <s v="双轴玻纤；2AX-800-0440；1270mm×100m；-"/>
    <m/>
    <n v="60396"/>
    <n v="60396"/>
    <d v="2021-04-13T00:00:00"/>
    <s v="594卷 洛阳结项需求"/>
    <x v="7"/>
  </r>
  <r>
    <n v="1270"/>
    <x v="1"/>
    <d v="2021-03-19T00:00:00"/>
    <m/>
    <n v="4500081810"/>
    <m/>
    <n v="1120002601"/>
    <s v="三轴玻纤；3AX9060-1500-0339-H；1270mm×100m；-"/>
    <m/>
    <n v="75816"/>
    <n v="75816"/>
    <d v="2021-04-13T00:00:00"/>
    <s v="398卷 洛阳结项需求"/>
    <x v="20"/>
  </r>
  <r>
    <n v="1270"/>
    <x v="1"/>
    <d v="2021-03-19T00:00:00"/>
    <m/>
    <n v="4500081810"/>
    <m/>
    <n v="1120002602"/>
    <s v="双轴玻纤；2AX-0600-0330；1270mm×100m；-"/>
    <m/>
    <n v="37597"/>
    <n v="37597"/>
    <d v="2021-04-13T00:00:00"/>
    <s v="493卷 洛阳结项需求"/>
    <x v="11"/>
  </r>
  <r>
    <n v="1270"/>
    <x v="1"/>
    <d v="2021-03-19T00:00:00"/>
    <m/>
    <n v="4500081810"/>
    <m/>
    <n v="1120002596"/>
    <s v="单轴玻纤；UDH-1250-230；SR140Ⅲ23后缘；-"/>
    <n v="49"/>
    <n v="31481"/>
    <n v="49"/>
    <d v="2021-04-13T00:00:00"/>
    <s v="49支 洛阳结项需求 "/>
    <x v="24"/>
  </r>
  <r>
    <n v="1270"/>
    <x v="1"/>
    <d v="2021-03-19T00:00:00"/>
    <m/>
    <n v="4500081810"/>
    <m/>
    <n v="1120002597"/>
    <s v="单轴玻纤；UDH-1250-550；SR140Ⅲ23大梁；-"/>
    <n v="48"/>
    <n v="147146"/>
    <n v="48"/>
    <d v="2021-04-13T00:00:00"/>
    <s v="48支 洛阳结项需求 "/>
    <x v="6"/>
  </r>
  <r>
    <n v="1270"/>
    <x v="1"/>
    <d v="2021-03-19T00:00:00"/>
    <m/>
    <n v="4500081810"/>
    <m/>
    <n v="1120002589"/>
    <s v="单轴玻纤；UDH-1250-600；GW140Ⅰ28（68.6D）大梁；-"/>
    <n v="9"/>
    <n v="26932"/>
    <n v="9"/>
    <d v="2021-04-13T00:00:00"/>
    <s v="9支 686结项需求 "/>
    <x v="5"/>
  </r>
  <r>
    <n v="1680"/>
    <x v="0"/>
    <d v="2021-03-19T00:00:00"/>
    <m/>
    <n v="4500081839"/>
    <m/>
    <n v="1120001397"/>
    <s v="双轴玻纤；2AX-800-0440；2540mm×100m；-"/>
    <m/>
    <n v="33000"/>
    <n v="33000"/>
    <d v="2021-04-02T00:00:00"/>
    <s v="162卷"/>
    <x v="21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3"/>
    <m/>
    <m/>
    <m/>
    <m/>
    <m/>
    <m/>
    <m/>
    <m/>
    <n v="0"/>
    <m/>
    <m/>
    <x v="26"/>
  </r>
  <r>
    <m/>
    <x v="4"/>
    <m/>
    <m/>
    <m/>
    <m/>
    <m/>
    <m/>
    <m/>
    <m/>
    <m/>
    <m/>
    <m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1120002745"/>
    <s v="双轴玻纤；2AX-600-0330；2540mm×100m；-"/>
    <s v="KG"/>
    <n v="1025.5999999999999"/>
    <x v="0"/>
  </r>
  <r>
    <x v="0"/>
    <n v="1120001397"/>
    <s v="双轴玻纤；2AX-800-0440；2540mm×100m；-"/>
    <s v="KG"/>
    <n v="1873.8"/>
    <x v="1"/>
  </r>
  <r>
    <x v="0"/>
    <n v="1120000145"/>
    <s v="三轴玻纤；3AX90-1215-0227；2540mm×100m；-"/>
    <s v="KG"/>
    <n v="159.30000000000001"/>
    <x v="2"/>
  </r>
  <r>
    <x v="0"/>
    <n v="1120002854"/>
    <s v="三轴玻纤；3AX-1215-7220；2540mm×100m；-"/>
    <s v="KG"/>
    <n v="1100.0999999999999"/>
    <x v="3"/>
  </r>
  <r>
    <x v="0"/>
    <n v="1120000142"/>
    <s v="三轴玻纤；3AX9060-1250-0336；2540mm×100m；-"/>
    <s v="KG"/>
    <n v="2421.3000000000002"/>
    <x v="4"/>
  </r>
  <r>
    <x v="1"/>
    <n v="1120000142"/>
    <s v="三轴玻纤；3AX9060-1250-0336；2540mm×100m；-"/>
    <s v="KG"/>
    <n v="2421.3000000000002"/>
    <x v="4"/>
  </r>
  <r>
    <x v="1"/>
    <n v="1120000145"/>
    <s v="三轴玻纤；3AX90-1215-0227；2540mm×100m；-"/>
    <s v="KG"/>
    <n v="1254.4000000000001"/>
    <x v="2"/>
  </r>
  <r>
    <x v="1"/>
    <n v="1120002854"/>
    <s v="三轴玻纤；3AX-1215-7220；2540mm×100m；-"/>
    <s v="KG"/>
    <n v="3449.7"/>
    <x v="5"/>
  </r>
  <r>
    <x v="2"/>
    <n v="1120000145"/>
    <s v="三轴玻纤；3AX90-1215-0227；2540mm×100m；-"/>
    <s v="KG"/>
    <n v="86.4"/>
    <x v="2"/>
  </r>
  <r>
    <x v="2"/>
    <n v="1120002854"/>
    <s v="三轴玻纤；3AX-1215-7220；2540mm×100m；-"/>
    <s v="KG"/>
    <n v="74.099999999999994"/>
    <x v="5"/>
  </r>
  <r>
    <x v="2"/>
    <n v="1120000142"/>
    <s v="三轴玻纤；3AX9060-1250-0336；2540mm×100m；-"/>
    <s v="KG"/>
    <n v="2063.7600000000002"/>
    <x v="4"/>
  </r>
  <r>
    <x v="2"/>
    <n v="1120001397"/>
    <s v="双轴玻纤；2AX-800-0440；2540mm×100m；-"/>
    <s v="KG"/>
    <n v="203.2"/>
    <x v="1"/>
  </r>
  <r>
    <x v="3"/>
    <n v="1120002038"/>
    <s v="三轴玻纤；3AX90-1250-0336；2540mm×100m；-"/>
    <s v="KG"/>
    <n v="217.7"/>
    <x v="6"/>
  </r>
  <r>
    <x v="3"/>
    <n v="1120001397"/>
    <s v="双轴玻纤；2AX-800-0440；2540mm×100m；-"/>
    <s v="KG"/>
    <n v="3539.4"/>
    <x v="1"/>
  </r>
  <r>
    <x v="3"/>
    <n v="1120001035"/>
    <s v="三轴玻纤；3AX-1250-6330；2540mm×100m；-"/>
    <s v="KG"/>
    <n v="2096.3000000000002"/>
    <x v="7"/>
  </r>
  <r>
    <x v="3"/>
    <n v="1120000149"/>
    <s v="三轴玻纤；3AX9060-1500-0339-H；2540mm×100m；-"/>
    <s v="KG"/>
    <n v="2316"/>
    <x v="8"/>
  </r>
  <r>
    <x v="4"/>
    <n v="1120001397"/>
    <s v="双轴玻纤；2AX-800-0440；2540mm×100m；-"/>
    <s v="KG"/>
    <n v="4369.7"/>
    <x v="1"/>
  </r>
  <r>
    <x v="4"/>
    <n v="1120001035"/>
    <s v="三轴玻纤；3AX-1250-6330；2540mm×100m；-"/>
    <s v="KG"/>
    <n v="2412.0300000000002"/>
    <x v="7"/>
  </r>
  <r>
    <x v="4"/>
    <n v="1120002038"/>
    <s v="三轴玻纤；3AX90-1250-0336；2540mm×100m；-"/>
    <s v="KG"/>
    <n v="476.25"/>
    <x v="6"/>
  </r>
  <r>
    <x v="4"/>
    <n v="1120000142"/>
    <s v="三轴玻纤；3AX9060-1250-0336；2540mm×100m；-"/>
    <s v="KG"/>
    <n v="2555.15"/>
    <x v="4"/>
  </r>
  <r>
    <x v="5"/>
    <n v="1120000133"/>
    <s v="双轴玻纤；2AX-800-0440；1270mm×100m；-"/>
    <s v="KG"/>
    <n v="2564.1999999999998"/>
    <x v="9"/>
  </r>
  <r>
    <x v="5"/>
    <n v="1120002578"/>
    <s v="双轴玻纤；2AX-1000-0550；1270mm×100m；-"/>
    <s v="KG"/>
    <n v="260"/>
    <x v="10"/>
  </r>
  <r>
    <x v="5"/>
    <n v="1120000140"/>
    <s v="三轴玻纤；3AX-1215-7220；1270mm×100m；-"/>
    <s v="KG"/>
    <n v="2359.6"/>
    <x v="11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  <r>
    <x v="6"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1:C29" firstHeaderRow="1" firstDataRow="1" firstDataCol="2"/>
  <pivotFields count="14">
    <pivotField compact="0" outline="0" subtotalTop="0" showAll="0" defaultSubtotal="0"/>
    <pivotField axis="axisRow" compact="0" outline="0" subtotalTop="0" showAll="0" defaultSubtotal="0">
      <items count="9">
        <item x="0"/>
        <item x="2"/>
        <item m="1" x="8"/>
        <item x="1"/>
        <item m="1" x="7"/>
        <item m="1" x="5"/>
        <item h="1" x="4"/>
        <item m="1" x="6"/>
        <item h="1" x="3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49">
        <item x="18"/>
        <item x="21"/>
        <item m="1" x="46"/>
        <item x="13"/>
        <item m="1" x="37"/>
        <item m="1" x="31"/>
        <item m="1" x="38"/>
        <item m="1" x="42"/>
        <item x="6"/>
        <item x="24"/>
        <item m="1" x="30"/>
        <item m="1" x="36"/>
        <item m="1" x="39"/>
        <item x="8"/>
        <item x="9"/>
        <item m="1" x="33"/>
        <item x="1"/>
        <item x="0"/>
        <item m="1" x="29"/>
        <item x="16"/>
        <item x="17"/>
        <item x="19"/>
        <item x="15"/>
        <item x="14"/>
        <item x="20"/>
        <item m="1" x="45"/>
        <item m="1" x="47"/>
        <item x="27"/>
        <item x="5"/>
        <item m="1" x="35"/>
        <item m="1" x="32"/>
        <item m="1" x="48"/>
        <item x="7"/>
        <item x="3"/>
        <item x="2"/>
        <item m="1" x="28"/>
        <item x="4"/>
        <item x="11"/>
        <item m="1" x="44"/>
        <item m="1" x="43"/>
        <item m="1" x="34"/>
        <item m="1" x="41"/>
        <item m="1" x="40"/>
        <item x="22"/>
        <item x="23"/>
        <item x="10"/>
        <item x="12"/>
        <item x="26"/>
        <item x="25"/>
      </items>
    </pivotField>
  </pivotFields>
  <rowFields count="2">
    <field x="1"/>
    <field x="13"/>
  </rowFields>
  <rowItems count="28">
    <i>
      <x/>
      <x/>
    </i>
    <i r="1">
      <x v="1"/>
    </i>
    <i r="1">
      <x v="3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43"/>
    </i>
    <i r="1">
      <x v="44"/>
    </i>
    <i r="1">
      <x v="45"/>
    </i>
    <i r="1">
      <x v="46"/>
    </i>
    <i r="1">
      <x v="48"/>
    </i>
    <i>
      <x v="1"/>
      <x v="45"/>
    </i>
    <i>
      <x v="3"/>
      <x v="8"/>
    </i>
    <i r="1">
      <x v="9"/>
    </i>
    <i r="1">
      <x v="24"/>
    </i>
    <i r="1">
      <x v="28"/>
    </i>
    <i r="1">
      <x v="32"/>
    </i>
    <i r="1">
      <x v="33"/>
    </i>
    <i r="1">
      <x v="34"/>
    </i>
    <i r="1">
      <x v="36"/>
    </i>
    <i r="1">
      <x v="37"/>
    </i>
    <i t="grand">
      <x/>
    </i>
  </rowItems>
  <colItems count="1">
    <i/>
  </colItems>
  <dataFields count="1">
    <dataField name="求和项:KG/EA" fld="10" baseField="0" baseItem="0"/>
  </dataFields>
  <formats count="29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field="13" type="button" dataOnly="0" labelOnly="1" outline="0" axis="axisRow" fieldPosition="1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field="13" type="button" dataOnly="0" labelOnly="1" outline="0" axis="axisRow" fieldPosition="1"/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field="13" type="button" dataOnly="0" labelOnly="1" outline="0" axis="axisRow" fieldPosition="1"/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outline="0" fieldPosition="0">
        <references count="2">
          <reference field="1" count="0" selected="0"/>
          <reference field="13" count="1" selected="0">
            <x v="3"/>
          </reference>
        </references>
      </pivotArea>
    </format>
    <format dxfId="33">
      <pivotArea outline="0" fieldPosition="0">
        <references count="2">
          <reference field="1" count="0" selected="0"/>
          <reference field="13" count="1" selected="0">
            <x v="14"/>
          </reference>
        </references>
      </pivotArea>
    </format>
    <format dxfId="32">
      <pivotArea outline="0" fieldPosition="0">
        <references count="2">
          <reference field="1" count="0" selected="0"/>
          <reference field="13" count="1" selected="0">
            <x v="13"/>
          </reference>
        </references>
      </pivotArea>
    </format>
    <format dxfId="31">
      <pivotArea outline="0" fieldPosition="0">
        <references count="2">
          <reference field="1" count="0" selected="0"/>
          <reference field="13" count="1" selected="0">
            <x v="16"/>
          </reference>
        </references>
      </pivotArea>
    </format>
    <format dxfId="30">
      <pivotArea outline="0" fieldPosition="0">
        <references count="2">
          <reference field="1" count="0" selected="0"/>
          <reference field="13" count="1" selected="0">
            <x v="17"/>
          </reference>
        </references>
      </pivotArea>
    </format>
    <format dxfId="29">
      <pivotArea outline="0" fieldPosition="0">
        <references count="2">
          <reference field="1" count="0" selected="0"/>
          <reference field="13" count="1" selected="0">
            <x v="31"/>
          </reference>
        </references>
      </pivotArea>
    </format>
    <format dxfId="28">
      <pivotArea outline="0" fieldPosition="0">
        <references count="2">
          <reference field="1" count="0" selected="0"/>
          <reference field="13" count="1" selected="0">
            <x v="30"/>
          </reference>
        </references>
      </pivotArea>
    </format>
    <format dxfId="27">
      <pivotArea outline="0" fieldPosition="0">
        <references count="2">
          <reference field="1" count="0" selected="0"/>
          <reference field="13" count="1" selected="0">
            <x v="45"/>
          </reference>
        </references>
      </pivotArea>
    </format>
    <format dxfId="26">
      <pivotArea outline="0" fieldPosition="0">
        <references count="2">
          <reference field="1" count="0" selected="0"/>
          <reference field="13" count="1" selected="0">
            <x v="46"/>
          </reference>
        </references>
      </pivotArea>
    </format>
    <format dxfId="25">
      <pivotArea outline="0" fieldPosition="0">
        <references count="2">
          <reference field="1" count="2" selected="0">
            <x v="0"/>
            <x v="1"/>
          </reference>
          <reference field="13" count="16" selected="0">
            <x v="0"/>
            <x v="1"/>
            <x v="3"/>
            <x v="13"/>
            <x v="14"/>
            <x v="16"/>
            <x v="17"/>
            <x v="19"/>
            <x v="20"/>
            <x v="21"/>
            <x v="22"/>
            <x v="23"/>
            <x v="30"/>
            <x v="31"/>
            <x v="45"/>
            <x v="46"/>
          </reference>
        </references>
      </pivotArea>
    </format>
    <format dxfId="24">
      <pivotArea outline="0" fieldPosition="0">
        <references count="2">
          <reference field="1" count="1" selected="0">
            <x v="3"/>
          </reference>
          <reference field="13" count="5" selected="0">
            <x v="8"/>
            <x v="9"/>
            <x v="24"/>
            <x v="28"/>
            <x v="32"/>
          </reference>
        </references>
      </pivotArea>
    </format>
  </formats>
  <pivotTableStyleInfo name="PivotStyleLight1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数据透视表9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>
  <location ref="A20:C44" firstHeaderRow="1" firstDataRow="1" firstDataCol="2"/>
  <pivotFields count="6">
    <pivotField axis="axisRow" compact="0" outline="0" showAll="0" defaultSubtotal="0">
      <items count="7">
        <item x="1"/>
        <item x="3"/>
        <item x="2"/>
        <item x="0"/>
        <item x="4"/>
        <item h="1" x="6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13">
        <item x="0"/>
        <item x="1"/>
        <item x="3"/>
        <item x="7"/>
        <item x="2"/>
        <item x="6"/>
        <item x="4"/>
        <item x="8"/>
        <item x="5"/>
        <item x="12"/>
        <item x="9"/>
        <item x="10"/>
        <item x="11"/>
      </items>
    </pivotField>
  </pivotFields>
  <rowFields count="2">
    <field x="0"/>
    <field x="5"/>
  </rowFields>
  <rowItems count="24">
    <i>
      <x/>
      <x v="4"/>
    </i>
    <i r="1">
      <x v="6"/>
    </i>
    <i r="1">
      <x v="8"/>
    </i>
    <i>
      <x v="1"/>
      <x v="1"/>
    </i>
    <i r="1">
      <x v="3"/>
    </i>
    <i r="1">
      <x v="5"/>
    </i>
    <i r="1">
      <x v="7"/>
    </i>
    <i>
      <x v="2"/>
      <x v="1"/>
    </i>
    <i r="1">
      <x v="4"/>
    </i>
    <i r="1">
      <x v="6"/>
    </i>
    <i r="1">
      <x v="8"/>
    </i>
    <i>
      <x v="3"/>
      <x/>
    </i>
    <i r="1">
      <x v="1"/>
    </i>
    <i r="1">
      <x v="2"/>
    </i>
    <i r="1">
      <x v="4"/>
    </i>
    <i r="1">
      <x v="6"/>
    </i>
    <i>
      <x v="4"/>
      <x v="1"/>
    </i>
    <i r="1">
      <x v="3"/>
    </i>
    <i r="1">
      <x v="5"/>
    </i>
    <i r="1">
      <x v="6"/>
    </i>
    <i>
      <x v="6"/>
      <x v="10"/>
    </i>
    <i r="1">
      <x v="11"/>
    </i>
    <i r="1">
      <x v="12"/>
    </i>
    <i t="grand">
      <x/>
    </i>
  </rowItems>
  <colItems count="1">
    <i/>
  </colItems>
  <dataFields count="1">
    <dataField name="求和项:单支叶片定额数量" fld="4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1" selected="0">
            <x v="0"/>
          </reference>
          <reference field="5" count="3">
            <x v="4"/>
            <x v="6"/>
            <x v="8"/>
          </reference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5" count="4">
            <x v="1"/>
            <x v="3"/>
            <x v="5"/>
            <x v="7"/>
          </reference>
        </references>
      </pivotArea>
    </format>
    <format dxfId="16">
      <pivotArea dataOnly="0" labelOnly="1" fieldPosition="0">
        <references count="2">
          <reference field="0" count="1" selected="0">
            <x v="2"/>
          </reference>
          <reference field="5" count="4">
            <x v="1"/>
            <x v="4"/>
            <x v="6"/>
            <x v="8"/>
          </reference>
        </references>
      </pivotArea>
    </format>
    <format dxfId="15">
      <pivotArea dataOnly="0" labelOnly="1" fieldPosition="0">
        <references count="2">
          <reference field="0" count="1" selected="0">
            <x v="3"/>
          </reference>
          <reference field="5" count="5">
            <x v="0"/>
            <x v="1"/>
            <x v="2"/>
            <x v="4"/>
            <x v="6"/>
          </reference>
        </references>
      </pivotArea>
    </format>
    <format dxfId="14">
      <pivotArea dataOnly="0" labelOnly="1" fieldPosition="0">
        <references count="2">
          <reference field="0" count="1" selected="0">
            <x v="4"/>
          </reference>
          <reference field="5" count="4">
            <x v="1"/>
            <x v="3"/>
            <x v="5"/>
            <x v="6"/>
          </reference>
        </references>
      </pivotArea>
    </format>
    <format dxfId="13">
      <pivotArea dataOnly="0" labelOnly="1" fieldPosition="0">
        <references count="2">
          <reference field="0" count="1" selected="0">
            <x v="5"/>
          </reference>
          <reference field="5" count="1">
            <x v="9"/>
          </reference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0"/>
          </reference>
          <reference field="5" count="3">
            <x v="4"/>
            <x v="6"/>
            <x v="8"/>
          </reference>
        </references>
      </pivotArea>
    </format>
    <format dxfId="5">
      <pivotArea dataOnly="0" labelOnly="1" fieldPosition="0">
        <references count="2">
          <reference field="0" count="1" selected="0">
            <x v="1"/>
          </reference>
          <reference field="5" count="4">
            <x v="1"/>
            <x v="3"/>
            <x v="5"/>
            <x v="7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5" count="4">
            <x v="1"/>
            <x v="4"/>
            <x v="6"/>
            <x v="8"/>
          </reference>
        </references>
      </pivotArea>
    </format>
    <format dxfId="3">
      <pivotArea dataOnly="0" labelOnly="1" fieldPosition="0">
        <references count="2">
          <reference field="0" count="1" selected="0">
            <x v="3"/>
          </reference>
          <reference field="5" count="5">
            <x v="0"/>
            <x v="1"/>
            <x v="2"/>
            <x v="4"/>
            <x v="6"/>
          </reference>
        </references>
      </pivotArea>
    </format>
    <format dxfId="2">
      <pivotArea dataOnly="0" labelOnly="1" fieldPosition="0">
        <references count="2">
          <reference field="0" count="1" selected="0">
            <x v="4"/>
          </reference>
          <reference field="5" count="4">
            <x v="1"/>
            <x v="3"/>
            <x v="5"/>
            <x v="6"/>
          </reference>
        </references>
      </pivotArea>
    </format>
    <format dxfId="1">
      <pivotArea dataOnly="0" labelOnly="1" fieldPosition="0">
        <references count="2">
          <reference field="0" count="1" selected="0">
            <x v="5"/>
          </reference>
          <reference field="5" count="1">
            <x v="9"/>
          </reference>
        </references>
      </pivotArea>
    </format>
    <format dxfId="0">
      <pivotArea dataOnly="0" labelOnly="1" outline="0" axis="axisValues" fieldPosition="0"/>
    </format>
  </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7"/>
  <sheetViews>
    <sheetView showZeros="0" view="pageBreakPreview" topLeftCell="A10" zoomScaleNormal="100" zoomScaleSheetLayoutView="100" workbookViewId="0">
      <selection activeCell="E5" sqref="E5"/>
    </sheetView>
  </sheetViews>
  <sheetFormatPr defaultColWidth="8.5703125" defaultRowHeight="13.5"/>
  <cols>
    <col min="1" max="1" width="9.28515625" style="43" bestFit="1" customWidth="1"/>
    <col min="2" max="2" width="15.140625" style="65" bestFit="1" customWidth="1"/>
    <col min="3" max="3" width="9.85546875" style="65" bestFit="1" customWidth="1"/>
    <col min="4" max="4" width="11.28515625" style="43" bestFit="1" customWidth="1"/>
    <col min="5" max="5" width="6.42578125" style="43" bestFit="1" customWidth="1"/>
    <col min="6" max="6" width="16.140625" style="43" bestFit="1" customWidth="1"/>
    <col min="7" max="7" width="8.28515625" style="43" bestFit="1" customWidth="1"/>
    <col min="8" max="8" width="16.140625" style="43" bestFit="1" customWidth="1"/>
    <col min="9" max="9" width="8.28515625" style="43" bestFit="1" customWidth="1"/>
    <col min="10" max="10" width="7.28515625" style="43" bestFit="1" customWidth="1"/>
    <col min="11" max="16384" width="8.5703125" style="43"/>
  </cols>
  <sheetData>
    <row r="1" spans="1:10">
      <c r="A1" s="87" t="s">
        <v>1045</v>
      </c>
      <c r="B1" s="87" t="s">
        <v>901</v>
      </c>
      <c r="C1" s="80" t="s">
        <v>1437</v>
      </c>
      <c r="D1" s="8"/>
      <c r="E1" s="79">
        <v>44277</v>
      </c>
      <c r="F1" s="43" t="s">
        <v>901</v>
      </c>
      <c r="G1" s="43" t="s">
        <v>1437</v>
      </c>
      <c r="H1" s="43" t="s">
        <v>901</v>
      </c>
      <c r="I1" s="43" t="s">
        <v>1437</v>
      </c>
    </row>
    <row r="2" spans="1:10">
      <c r="A2" s="80" t="s">
        <v>1046</v>
      </c>
      <c r="B2" s="80" t="s">
        <v>1140</v>
      </c>
      <c r="C2" s="69">
        <v>35550</v>
      </c>
      <c r="D2" s="8"/>
      <c r="E2" s="70" t="s">
        <v>1046</v>
      </c>
      <c r="F2" s="71" t="s">
        <v>1140</v>
      </c>
      <c r="G2" s="72">
        <v>35550</v>
      </c>
      <c r="H2" s="71" t="s">
        <v>1140</v>
      </c>
      <c r="I2" s="72">
        <v>35550</v>
      </c>
      <c r="J2" s="43">
        <f>G2-I2</f>
        <v>0</v>
      </c>
    </row>
    <row r="3" spans="1:10">
      <c r="A3" s="80"/>
      <c r="B3" s="80" t="s">
        <v>1142</v>
      </c>
      <c r="C3" s="69">
        <v>33339.599999999999</v>
      </c>
      <c r="D3" s="8"/>
      <c r="E3" s="73"/>
      <c r="F3" s="80" t="s">
        <v>1142</v>
      </c>
      <c r="G3" s="69">
        <v>339.59999999999854</v>
      </c>
      <c r="H3" s="80" t="s">
        <v>1142</v>
      </c>
      <c r="I3" s="69">
        <v>33339.599999999999</v>
      </c>
      <c r="J3" s="108">
        <f t="shared" ref="J3:J28" si="0">G3-I3</f>
        <v>-33000</v>
      </c>
    </row>
    <row r="4" spans="1:10">
      <c r="A4" s="80"/>
      <c r="B4" s="80" t="s">
        <v>894</v>
      </c>
      <c r="C4" s="69">
        <v>19</v>
      </c>
      <c r="D4" s="8"/>
      <c r="E4" s="70"/>
      <c r="F4" s="71" t="s">
        <v>894</v>
      </c>
      <c r="G4" s="72">
        <v>19</v>
      </c>
      <c r="H4" s="71" t="s">
        <v>894</v>
      </c>
      <c r="I4" s="72">
        <v>19</v>
      </c>
      <c r="J4" s="102">
        <f t="shared" si="0"/>
        <v>0</v>
      </c>
    </row>
    <row r="5" spans="1:10">
      <c r="A5" s="80"/>
      <c r="B5" s="80" t="s">
        <v>895</v>
      </c>
      <c r="C5" s="69">
        <v>35</v>
      </c>
      <c r="D5" s="8"/>
      <c r="E5" s="73"/>
      <c r="F5" s="80" t="s">
        <v>895</v>
      </c>
      <c r="G5" s="69">
        <v>35</v>
      </c>
      <c r="H5" s="80" t="s">
        <v>895</v>
      </c>
      <c r="I5" s="69">
        <v>35</v>
      </c>
      <c r="J5" s="86">
        <f t="shared" si="0"/>
        <v>0</v>
      </c>
    </row>
    <row r="6" spans="1:10">
      <c r="A6" s="80"/>
      <c r="B6" s="80" t="s">
        <v>896</v>
      </c>
      <c r="C6" s="69">
        <v>25</v>
      </c>
      <c r="D6" s="8"/>
      <c r="E6" s="70"/>
      <c r="F6" s="71" t="s">
        <v>896</v>
      </c>
      <c r="G6" s="72">
        <v>25</v>
      </c>
      <c r="H6" s="71" t="s">
        <v>896</v>
      </c>
      <c r="I6" s="72">
        <v>25</v>
      </c>
      <c r="J6" s="86">
        <f t="shared" si="0"/>
        <v>0</v>
      </c>
    </row>
    <row r="7" spans="1:10">
      <c r="A7" s="80"/>
      <c r="B7" s="80" t="s">
        <v>897</v>
      </c>
      <c r="C7" s="69">
        <v>1</v>
      </c>
      <c r="D7" s="8"/>
      <c r="E7" s="73"/>
      <c r="F7" s="80" t="s">
        <v>897</v>
      </c>
      <c r="G7" s="69">
        <v>1</v>
      </c>
      <c r="H7" s="80" t="s">
        <v>897</v>
      </c>
      <c r="I7" s="69">
        <v>1</v>
      </c>
      <c r="J7" s="86">
        <f t="shared" si="0"/>
        <v>0</v>
      </c>
    </row>
    <row r="8" spans="1:10">
      <c r="A8" s="80"/>
      <c r="B8" s="80" t="s">
        <v>898</v>
      </c>
      <c r="C8" s="69">
        <v>10</v>
      </c>
      <c r="D8" s="8"/>
      <c r="E8" s="70"/>
      <c r="F8" s="71" t="s">
        <v>898</v>
      </c>
      <c r="G8" s="72">
        <v>10</v>
      </c>
      <c r="H8" s="71" t="s">
        <v>898</v>
      </c>
      <c r="I8" s="72">
        <v>10</v>
      </c>
      <c r="J8" s="86">
        <f t="shared" si="0"/>
        <v>0</v>
      </c>
    </row>
    <row r="9" spans="1:10">
      <c r="A9" s="80"/>
      <c r="B9" s="80" t="s">
        <v>1144</v>
      </c>
      <c r="C9" s="69">
        <v>88867.5</v>
      </c>
      <c r="D9" s="8"/>
      <c r="E9" s="73"/>
      <c r="F9" s="80" t="s">
        <v>1144</v>
      </c>
      <c r="G9" s="69">
        <v>88867.5</v>
      </c>
      <c r="H9" s="80" t="s">
        <v>1144</v>
      </c>
      <c r="I9" s="69">
        <v>88867.5</v>
      </c>
      <c r="J9" s="102">
        <f t="shared" si="0"/>
        <v>0</v>
      </c>
    </row>
    <row r="10" spans="1:10">
      <c r="A10" s="80"/>
      <c r="B10" s="80" t="s">
        <v>1153</v>
      </c>
      <c r="C10" s="69">
        <v>46194</v>
      </c>
      <c r="D10" s="8"/>
      <c r="E10" s="70"/>
      <c r="F10" s="71" t="s">
        <v>1153</v>
      </c>
      <c r="G10" s="72">
        <v>46194</v>
      </c>
      <c r="H10" s="71" t="s">
        <v>1153</v>
      </c>
      <c r="I10" s="72">
        <v>46194</v>
      </c>
      <c r="J10" s="86">
        <f t="shared" si="0"/>
        <v>0</v>
      </c>
    </row>
    <row r="11" spans="1:10">
      <c r="A11" s="80"/>
      <c r="B11" s="80" t="s">
        <v>1148</v>
      </c>
      <c r="C11" s="69">
        <v>30017</v>
      </c>
      <c r="D11" s="8"/>
      <c r="E11" s="73"/>
      <c r="F11" s="80" t="s">
        <v>1148</v>
      </c>
      <c r="G11" s="69">
        <v>30017</v>
      </c>
      <c r="H11" s="80" t="s">
        <v>1148</v>
      </c>
      <c r="I11" s="69">
        <v>30017</v>
      </c>
      <c r="J11" s="102">
        <f t="shared" si="0"/>
        <v>0</v>
      </c>
    </row>
    <row r="12" spans="1:10">
      <c r="A12" s="80"/>
      <c r="B12" s="80" t="s">
        <v>1151</v>
      </c>
      <c r="C12" s="69">
        <v>9413</v>
      </c>
      <c r="D12" s="8"/>
      <c r="E12" s="70"/>
      <c r="F12" s="71" t="s">
        <v>1151</v>
      </c>
      <c r="G12" s="72">
        <v>9413</v>
      </c>
      <c r="H12" s="71" t="s">
        <v>1151</v>
      </c>
      <c r="I12" s="72">
        <v>9413</v>
      </c>
      <c r="J12" s="86">
        <f t="shared" si="0"/>
        <v>0</v>
      </c>
    </row>
    <row r="13" spans="1:10">
      <c r="A13" s="80"/>
      <c r="B13" s="80" t="s">
        <v>1146</v>
      </c>
      <c r="C13" s="69">
        <v>67474.25</v>
      </c>
      <c r="D13" s="8"/>
      <c r="E13" s="73"/>
      <c r="F13" s="80" t="s">
        <v>1146</v>
      </c>
      <c r="G13" s="69">
        <v>67474.25</v>
      </c>
      <c r="H13" s="80" t="s">
        <v>1146</v>
      </c>
      <c r="I13" s="69">
        <v>67474.25</v>
      </c>
      <c r="J13" s="102">
        <f t="shared" si="0"/>
        <v>0</v>
      </c>
    </row>
    <row r="14" spans="1:10">
      <c r="A14" s="80"/>
      <c r="B14" s="80" t="s">
        <v>2063</v>
      </c>
      <c r="C14" s="86">
        <v>12</v>
      </c>
      <c r="D14" s="8"/>
      <c r="E14" s="70"/>
      <c r="F14" s="71" t="s">
        <v>2063</v>
      </c>
      <c r="G14" s="78">
        <v>12</v>
      </c>
      <c r="H14" s="71" t="s">
        <v>2063</v>
      </c>
      <c r="I14" s="78">
        <v>12</v>
      </c>
      <c r="J14" s="86">
        <f t="shared" si="0"/>
        <v>0</v>
      </c>
    </row>
    <row r="15" spans="1:10">
      <c r="A15" s="80"/>
      <c r="B15" s="80" t="s">
        <v>2064</v>
      </c>
      <c r="C15" s="86">
        <v>12</v>
      </c>
      <c r="D15" s="8"/>
      <c r="E15" s="73"/>
      <c r="F15" s="80" t="s">
        <v>2064</v>
      </c>
      <c r="G15" s="86">
        <v>12</v>
      </c>
      <c r="H15" s="80" t="s">
        <v>2064</v>
      </c>
      <c r="I15" s="86">
        <v>12</v>
      </c>
      <c r="J15" s="86">
        <f t="shared" si="0"/>
        <v>0</v>
      </c>
    </row>
    <row r="16" spans="1:10">
      <c r="A16" s="80"/>
      <c r="B16" s="80" t="s">
        <v>1784</v>
      </c>
      <c r="C16" s="69">
        <v>34</v>
      </c>
      <c r="D16" s="8"/>
      <c r="E16" s="70"/>
      <c r="F16" s="71" t="s">
        <v>1784</v>
      </c>
      <c r="G16" s="72">
        <v>34</v>
      </c>
      <c r="H16" s="71" t="s">
        <v>1784</v>
      </c>
      <c r="I16" s="72">
        <v>34</v>
      </c>
      <c r="J16" s="86">
        <f t="shared" si="0"/>
        <v>0</v>
      </c>
    </row>
    <row r="17" spans="1:11">
      <c r="A17" s="80"/>
      <c r="B17" s="80" t="s">
        <v>1863</v>
      </c>
      <c r="C17" s="69">
        <v>13</v>
      </c>
      <c r="D17" s="8"/>
      <c r="E17" s="73"/>
      <c r="F17" s="80" t="s">
        <v>1863</v>
      </c>
      <c r="G17" s="69">
        <v>13</v>
      </c>
      <c r="H17" s="80" t="s">
        <v>1863</v>
      </c>
      <c r="I17" s="69">
        <v>13</v>
      </c>
      <c r="J17" s="86">
        <f t="shared" si="0"/>
        <v>0</v>
      </c>
    </row>
    <row r="18" spans="1:11">
      <c r="A18" s="80"/>
      <c r="B18" s="80" t="s">
        <v>2109</v>
      </c>
      <c r="C18" s="86">
        <v>6</v>
      </c>
      <c r="D18" s="8"/>
      <c r="E18" s="75"/>
      <c r="F18" s="71" t="s">
        <v>2109</v>
      </c>
      <c r="G18" s="78">
        <v>6</v>
      </c>
      <c r="H18" s="71" t="s">
        <v>2109</v>
      </c>
      <c r="I18" s="78">
        <v>6</v>
      </c>
      <c r="J18" s="86">
        <f t="shared" si="0"/>
        <v>0</v>
      </c>
    </row>
    <row r="19" spans="1:11">
      <c r="A19" s="80" t="s">
        <v>172</v>
      </c>
      <c r="B19" s="80" t="s">
        <v>1784</v>
      </c>
      <c r="C19" s="69">
        <v>6</v>
      </c>
      <c r="D19" s="8"/>
      <c r="E19" s="74" t="s">
        <v>172</v>
      </c>
      <c r="F19" s="80" t="s">
        <v>1784</v>
      </c>
      <c r="G19" s="69">
        <v>6</v>
      </c>
      <c r="H19" s="80" t="s">
        <v>1784</v>
      </c>
      <c r="I19" s="69">
        <v>6</v>
      </c>
      <c r="J19" s="102">
        <f t="shared" si="0"/>
        <v>0</v>
      </c>
    </row>
    <row r="20" spans="1:11">
      <c r="A20" s="80" t="s">
        <v>23</v>
      </c>
      <c r="B20" s="80" t="s">
        <v>1545</v>
      </c>
      <c r="C20" s="69">
        <v>55</v>
      </c>
      <c r="D20" s="8"/>
      <c r="E20" s="77" t="s">
        <v>23</v>
      </c>
      <c r="F20" s="71" t="s">
        <v>1545</v>
      </c>
      <c r="G20" s="72">
        <v>7</v>
      </c>
      <c r="H20" s="71" t="s">
        <v>1545</v>
      </c>
      <c r="I20" s="72">
        <v>55</v>
      </c>
      <c r="J20" s="109">
        <f t="shared" si="0"/>
        <v>-48</v>
      </c>
    </row>
    <row r="21" spans="1:11">
      <c r="A21" s="80"/>
      <c r="B21" s="80" t="s">
        <v>2107</v>
      </c>
      <c r="C21" s="69">
        <v>55</v>
      </c>
      <c r="D21" s="8"/>
      <c r="E21" s="76"/>
      <c r="F21" s="80" t="s">
        <v>2107</v>
      </c>
      <c r="G21" s="69">
        <v>6</v>
      </c>
      <c r="H21" s="80" t="s">
        <v>2107</v>
      </c>
      <c r="I21" s="69">
        <v>55</v>
      </c>
      <c r="J21" s="109">
        <f t="shared" si="0"/>
        <v>-49</v>
      </c>
    </row>
    <row r="22" spans="1:11">
      <c r="A22" s="80"/>
      <c r="B22" s="80" t="s">
        <v>1729</v>
      </c>
      <c r="C22" s="69">
        <v>80247</v>
      </c>
      <c r="D22" s="8"/>
      <c r="E22" s="77"/>
      <c r="F22" s="71" t="s">
        <v>1729</v>
      </c>
      <c r="G22" s="72">
        <v>4526</v>
      </c>
      <c r="H22" s="71" t="s">
        <v>1729</v>
      </c>
      <c r="I22" s="72">
        <v>80247</v>
      </c>
      <c r="J22" s="109">
        <f t="shared" si="0"/>
        <v>-75721</v>
      </c>
      <c r="K22" s="109">
        <f>75816-75721</f>
        <v>95</v>
      </c>
    </row>
    <row r="23" spans="1:11">
      <c r="A23" s="80"/>
      <c r="B23" s="80" t="s">
        <v>1539</v>
      </c>
      <c r="C23" s="69">
        <v>22</v>
      </c>
      <c r="D23" s="8"/>
      <c r="E23" s="76"/>
      <c r="F23" s="80" t="s">
        <v>1539</v>
      </c>
      <c r="G23" s="69">
        <v>16</v>
      </c>
      <c r="H23" s="80" t="s">
        <v>1539</v>
      </c>
      <c r="I23" s="69">
        <v>22</v>
      </c>
      <c r="J23" s="109">
        <f t="shared" si="0"/>
        <v>-6</v>
      </c>
    </row>
    <row r="24" spans="1:11">
      <c r="A24" s="80"/>
      <c r="B24" s="80" t="s">
        <v>1540</v>
      </c>
      <c r="C24" s="69">
        <v>63001</v>
      </c>
      <c r="D24" s="8"/>
      <c r="E24" s="77"/>
      <c r="F24" s="71" t="s">
        <v>1540</v>
      </c>
      <c r="G24" s="72">
        <v>9403</v>
      </c>
      <c r="H24" s="71" t="s">
        <v>1540</v>
      </c>
      <c r="I24" s="72">
        <v>63001</v>
      </c>
      <c r="J24" s="109">
        <f t="shared" si="0"/>
        <v>-53598</v>
      </c>
      <c r="K24" s="109">
        <f>60396-53598</f>
        <v>6798</v>
      </c>
    </row>
    <row r="25" spans="1:11">
      <c r="A25" s="80"/>
      <c r="B25" s="80" t="s">
        <v>1536</v>
      </c>
      <c r="C25" s="86">
        <v>-266</v>
      </c>
      <c r="D25" s="8"/>
      <c r="E25" s="76"/>
      <c r="F25" s="80" t="s">
        <v>1536</v>
      </c>
      <c r="G25" s="86">
        <v>3120</v>
      </c>
      <c r="H25" s="80" t="s">
        <v>1536</v>
      </c>
      <c r="I25" s="86">
        <v>-266</v>
      </c>
      <c r="J25" s="109">
        <f t="shared" si="0"/>
        <v>3386</v>
      </c>
    </row>
    <row r="26" spans="1:11">
      <c r="A26" s="80"/>
      <c r="B26" s="80" t="s">
        <v>1538</v>
      </c>
      <c r="C26" s="86">
        <v>67303</v>
      </c>
      <c r="D26" s="8"/>
      <c r="E26" s="77"/>
      <c r="F26" s="71" t="s">
        <v>1538</v>
      </c>
      <c r="G26" s="78">
        <v>74647</v>
      </c>
      <c r="H26" s="71" t="s">
        <v>1538</v>
      </c>
      <c r="I26" s="78">
        <v>67303</v>
      </c>
      <c r="J26" s="109">
        <f t="shared" si="0"/>
        <v>7344</v>
      </c>
    </row>
    <row r="27" spans="1:11">
      <c r="A27" s="80"/>
      <c r="B27" s="80" t="s">
        <v>1558</v>
      </c>
      <c r="C27" s="86">
        <v>26</v>
      </c>
      <c r="D27" s="8"/>
      <c r="E27" s="76"/>
      <c r="F27" s="80" t="s">
        <v>1558</v>
      </c>
      <c r="G27" s="86">
        <v>29</v>
      </c>
      <c r="H27" s="80" t="s">
        <v>1558</v>
      </c>
      <c r="I27" s="86">
        <v>26</v>
      </c>
      <c r="J27" s="109">
        <f t="shared" si="0"/>
        <v>3</v>
      </c>
    </row>
    <row r="28" spans="1:11">
      <c r="A28" s="80"/>
      <c r="B28" s="80" t="s">
        <v>1560</v>
      </c>
      <c r="C28" s="86">
        <v>40066</v>
      </c>
      <c r="D28" s="8"/>
      <c r="E28" s="75"/>
      <c r="F28" s="71" t="s">
        <v>1560</v>
      </c>
      <c r="G28" s="78">
        <v>2468.9999999999991</v>
      </c>
      <c r="H28" s="71" t="s">
        <v>1560</v>
      </c>
      <c r="I28" s="78">
        <v>40066</v>
      </c>
      <c r="J28" s="109">
        <f t="shared" si="0"/>
        <v>-37597</v>
      </c>
    </row>
    <row r="29" spans="1:11">
      <c r="A29" s="80" t="s">
        <v>1900</v>
      </c>
      <c r="B29" s="80"/>
      <c r="C29" s="86">
        <v>561537.35</v>
      </c>
      <c r="D29" s="8"/>
    </row>
    <row r="30" spans="1:11" ht="15.75">
      <c r="A30"/>
      <c r="B30"/>
      <c r="C30"/>
      <c r="D30" s="8"/>
    </row>
    <row r="31" spans="1:11" ht="15.75">
      <c r="A31"/>
      <c r="B31"/>
      <c r="C31"/>
      <c r="D31" s="8"/>
    </row>
    <row r="32" spans="1:11" ht="15.75">
      <c r="A32"/>
      <c r="B32"/>
      <c r="C32"/>
      <c r="D32" s="8"/>
    </row>
    <row r="33" spans="1:4" ht="15.75">
      <c r="A33"/>
      <c r="B33"/>
      <c r="C33"/>
      <c r="D33" s="8"/>
    </row>
    <row r="34" spans="1:4" ht="15.75">
      <c r="A34"/>
      <c r="B34"/>
      <c r="C34"/>
      <c r="D34" s="8"/>
    </row>
    <row r="35" spans="1:4" ht="15.75">
      <c r="A35"/>
      <c r="B35"/>
      <c r="C35"/>
      <c r="D35" s="8"/>
    </row>
    <row r="36" spans="1:4" ht="15.75">
      <c r="A36"/>
      <c r="B36"/>
      <c r="C36"/>
      <c r="D36" s="8"/>
    </row>
    <row r="37" spans="1:4" ht="15.75">
      <c r="A37"/>
      <c r="B37"/>
      <c r="C37"/>
      <c r="D37" s="8"/>
    </row>
    <row r="38" spans="1:4" ht="15.75">
      <c r="A38"/>
      <c r="B38"/>
      <c r="C38"/>
      <c r="D38" s="8"/>
    </row>
    <row r="39" spans="1:4" ht="13.15" customHeight="1">
      <c r="A39" s="8"/>
      <c r="B39" s="8"/>
      <c r="C39" s="8"/>
      <c r="D39" s="8"/>
    </row>
    <row r="40" spans="1:4" ht="13.15" customHeight="1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</row>
    <row r="57" spans="1:4">
      <c r="A57" s="8"/>
      <c r="B57" s="8"/>
      <c r="C57" s="8"/>
    </row>
    <row r="58" spans="1:4">
      <c r="A58" s="8"/>
      <c r="B58" s="8"/>
      <c r="C58" s="8"/>
    </row>
    <row r="59" spans="1:4">
      <c r="A59" s="8"/>
      <c r="B59" s="8"/>
      <c r="C59" s="8"/>
    </row>
    <row r="60" spans="1:4">
      <c r="A60" s="8"/>
      <c r="B60" s="8"/>
      <c r="C60" s="8"/>
    </row>
    <row r="61" spans="1:4">
      <c r="A61" s="8"/>
      <c r="B61" s="8"/>
      <c r="C61" s="8"/>
    </row>
    <row r="62" spans="1:4">
      <c r="A62" s="8"/>
      <c r="B62" s="33"/>
      <c r="C62" s="33"/>
    </row>
    <row r="63" spans="1:4">
      <c r="A63" s="8"/>
      <c r="B63" s="33"/>
      <c r="C63" s="33"/>
    </row>
    <row r="64" spans="1:4">
      <c r="A64" s="8"/>
      <c r="B64" s="33"/>
      <c r="C64" s="33"/>
    </row>
    <row r="65" spans="1:3">
      <c r="A65" s="8"/>
      <c r="B65" s="33"/>
      <c r="C65" s="33"/>
    </row>
    <row r="66" spans="1:3">
      <c r="A66" s="8"/>
      <c r="B66" s="33"/>
      <c r="C66" s="33"/>
    </row>
    <row r="67" spans="1:3">
      <c r="A67" s="8"/>
      <c r="B67" s="33"/>
      <c r="C67" s="33"/>
    </row>
    <row r="68" spans="1:3">
      <c r="A68" s="8"/>
      <c r="B68" s="33"/>
      <c r="C68" s="33"/>
    </row>
    <row r="69" spans="1:3">
      <c r="A69" s="8"/>
      <c r="B69" s="33"/>
    </row>
    <row r="70" spans="1:3">
      <c r="A70" s="8"/>
      <c r="B70" s="33"/>
    </row>
    <row r="71" spans="1:3">
      <c r="A71" s="8"/>
      <c r="B71" s="33"/>
    </row>
    <row r="72" spans="1:3">
      <c r="A72" s="8"/>
      <c r="B72" s="33"/>
    </row>
    <row r="73" spans="1:3">
      <c r="A73" s="8"/>
      <c r="B73" s="33"/>
    </row>
    <row r="74" spans="1:3">
      <c r="A74" s="8"/>
      <c r="B74" s="33"/>
    </row>
    <row r="75" spans="1:3">
      <c r="A75" s="8"/>
      <c r="B75" s="33"/>
    </row>
    <row r="76" spans="1:3">
      <c r="A76" s="8"/>
      <c r="B76" s="33"/>
    </row>
    <row r="77" spans="1:3">
      <c r="A77" s="8"/>
      <c r="B77" s="33"/>
    </row>
    <row r="78" spans="1:3">
      <c r="A78" s="8"/>
      <c r="B78" s="33"/>
    </row>
    <row r="79" spans="1:3">
      <c r="A79" s="8"/>
      <c r="B79" s="33"/>
    </row>
    <row r="80" spans="1:3">
      <c r="A80" s="8"/>
      <c r="B80" s="33"/>
    </row>
    <row r="81" spans="1:2">
      <c r="A81" s="8"/>
      <c r="B81" s="33"/>
    </row>
    <row r="82" spans="1:2">
      <c r="A82" s="8"/>
      <c r="B82" s="33"/>
    </row>
    <row r="83" spans="1:2">
      <c r="A83" s="8"/>
      <c r="B83" s="33"/>
    </row>
    <row r="84" spans="1:2">
      <c r="A84" s="8"/>
      <c r="B84" s="33"/>
    </row>
    <row r="85" spans="1:2">
      <c r="A85" s="8"/>
      <c r="B85" s="33"/>
    </row>
    <row r="86" spans="1:2">
      <c r="A86" s="8"/>
      <c r="B86" s="33"/>
    </row>
    <row r="87" spans="1:2">
      <c r="A87" s="8"/>
      <c r="B87" s="33"/>
    </row>
    <row r="88" spans="1:2">
      <c r="A88" s="8"/>
      <c r="B88" s="33"/>
    </row>
    <row r="89" spans="1:2">
      <c r="A89" s="8"/>
      <c r="B89" s="33"/>
    </row>
    <row r="90" spans="1:2">
      <c r="A90" s="8"/>
      <c r="B90" s="33"/>
    </row>
    <row r="91" spans="1:2">
      <c r="A91" s="8"/>
      <c r="B91" s="33"/>
    </row>
    <row r="92" spans="1:2">
      <c r="A92" s="8"/>
      <c r="B92" s="33"/>
    </row>
    <row r="93" spans="1:2">
      <c r="A93" s="8"/>
      <c r="B93" s="33"/>
    </row>
    <row r="94" spans="1:2">
      <c r="A94" s="8"/>
      <c r="B94" s="33"/>
    </row>
    <row r="95" spans="1:2">
      <c r="A95" s="8"/>
      <c r="B95" s="33"/>
    </row>
    <row r="96" spans="1:2">
      <c r="A96" s="8"/>
      <c r="B96" s="33"/>
    </row>
    <row r="97" spans="1:2">
      <c r="A97" s="8"/>
      <c r="B97" s="33"/>
    </row>
    <row r="98" spans="1:2">
      <c r="A98" s="8"/>
      <c r="B98" s="33"/>
    </row>
    <row r="99" spans="1:2">
      <c r="A99" s="8"/>
      <c r="B99" s="33"/>
    </row>
    <row r="100" spans="1:2">
      <c r="A100" s="8"/>
      <c r="B100" s="33"/>
    </row>
    <row r="101" spans="1:2">
      <c r="A101" s="8"/>
      <c r="B101" s="33"/>
    </row>
    <row r="102" spans="1:2">
      <c r="A102" s="8"/>
      <c r="B102" s="33"/>
    </row>
    <row r="103" spans="1:2">
      <c r="A103" s="8"/>
      <c r="B103" s="33"/>
    </row>
    <row r="104" spans="1:2">
      <c r="A104" s="8"/>
      <c r="B104" s="33"/>
    </row>
    <row r="105" spans="1:2">
      <c r="A105" s="8"/>
      <c r="B105" s="33"/>
    </row>
    <row r="106" spans="1:2">
      <c r="A106" s="8"/>
      <c r="B106" s="33"/>
    </row>
    <row r="107" spans="1:2">
      <c r="A107" s="8"/>
      <c r="B107" s="33"/>
    </row>
    <row r="108" spans="1:2">
      <c r="A108" s="8"/>
      <c r="B108" s="33"/>
    </row>
    <row r="109" spans="1:2">
      <c r="A109" s="8"/>
      <c r="B109" s="33"/>
    </row>
    <row r="110" spans="1:2">
      <c r="A110" s="8"/>
      <c r="B110" s="33"/>
    </row>
    <row r="111" spans="1:2">
      <c r="A111" s="8"/>
      <c r="B111" s="33"/>
    </row>
    <row r="112" spans="1:2">
      <c r="A112" s="8"/>
      <c r="B112" s="33"/>
    </row>
    <row r="113" spans="1:2">
      <c r="A113" s="8"/>
      <c r="B113" s="33"/>
    </row>
    <row r="114" spans="1:2">
      <c r="A114" s="8"/>
      <c r="B114" s="33"/>
    </row>
    <row r="115" spans="1:2">
      <c r="A115" s="8"/>
      <c r="B115" s="33"/>
    </row>
    <row r="116" spans="1:2">
      <c r="A116" s="8"/>
      <c r="B116" s="33"/>
    </row>
    <row r="117" spans="1:2">
      <c r="A117" s="8"/>
      <c r="B117" s="33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M272"/>
  <sheetViews>
    <sheetView view="pageBreakPreview" topLeftCell="I217" zoomScale="85" zoomScaleNormal="85" zoomScaleSheetLayoutView="85" workbookViewId="0">
      <selection activeCell="L217" sqref="L1:L1048576"/>
    </sheetView>
  </sheetViews>
  <sheetFormatPr defaultColWidth="9" defaultRowHeight="13.5"/>
  <cols>
    <col min="1" max="1" width="9.28515625" style="8" bestFit="1" customWidth="1"/>
    <col min="2" max="2" width="9.5703125" style="8" bestFit="1" customWidth="1"/>
    <col min="3" max="3" width="9.28515625" style="39" bestFit="1" customWidth="1"/>
    <col min="4" max="4" width="8.28515625" style="8" bestFit="1" customWidth="1"/>
    <col min="5" max="5" width="9.140625" style="8" bestFit="1" customWidth="1"/>
    <col min="6" max="6" width="11.42578125" style="8" bestFit="1" customWidth="1"/>
    <col min="7" max="7" width="14.140625" style="8" bestFit="1" customWidth="1"/>
    <col min="8" max="8" width="34" style="8" bestFit="1" customWidth="1"/>
    <col min="9" max="9" width="9.28515625" style="8" bestFit="1" customWidth="1"/>
    <col min="10" max="10" width="8.7109375" style="8" bestFit="1" customWidth="1"/>
    <col min="11" max="11" width="8.7109375" style="39" bestFit="1" customWidth="1"/>
    <col min="12" max="12" width="224.28515625" style="8" bestFit="1" customWidth="1"/>
    <col min="13" max="13" width="9.42578125" style="8" bestFit="1" customWidth="1"/>
    <col min="14" max="16384" width="9" style="8"/>
  </cols>
  <sheetData>
    <row r="1" spans="1:12" s="19" customFormat="1">
      <c r="A1" s="13" t="s">
        <v>0</v>
      </c>
      <c r="B1" s="13" t="s">
        <v>1</v>
      </c>
      <c r="C1" s="29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29" t="s">
        <v>8</v>
      </c>
      <c r="L1" s="13" t="s">
        <v>43</v>
      </c>
    </row>
    <row r="2" spans="1:12" s="19" customFormat="1">
      <c r="A2" s="13">
        <v>1570</v>
      </c>
      <c r="B2" s="13" t="s">
        <v>173</v>
      </c>
      <c r="C2" s="29">
        <v>43813</v>
      </c>
      <c r="D2" s="13">
        <v>101325230</v>
      </c>
      <c r="E2" s="13">
        <v>4500049851</v>
      </c>
      <c r="F2" s="13">
        <v>1012844</v>
      </c>
      <c r="G2" s="13">
        <v>1120000131</v>
      </c>
      <c r="H2" s="13" t="s">
        <v>21</v>
      </c>
      <c r="I2" s="13">
        <v>4</v>
      </c>
      <c r="J2" s="13">
        <v>2021</v>
      </c>
      <c r="K2" s="29">
        <v>43837</v>
      </c>
      <c r="L2" s="13" t="s">
        <v>62</v>
      </c>
    </row>
    <row r="3" spans="1:12" s="19" customFormat="1">
      <c r="A3" s="13">
        <v>1570</v>
      </c>
      <c r="B3" s="13" t="s">
        <v>173</v>
      </c>
      <c r="C3" s="29">
        <v>43826</v>
      </c>
      <c r="D3" s="13">
        <v>101325231</v>
      </c>
      <c r="E3" s="13">
        <v>4500050714</v>
      </c>
      <c r="F3" s="13">
        <v>1012844</v>
      </c>
      <c r="G3" s="13">
        <v>1120000131</v>
      </c>
      <c r="H3" s="13" t="s">
        <v>21</v>
      </c>
      <c r="I3" s="13">
        <v>6</v>
      </c>
      <c r="J3" s="13">
        <v>2851</v>
      </c>
      <c r="K3" s="29">
        <v>43844</v>
      </c>
      <c r="L3" s="13" t="s">
        <v>63</v>
      </c>
    </row>
    <row r="4" spans="1:12" s="19" customFormat="1">
      <c r="A4" s="13">
        <v>1570</v>
      </c>
      <c r="B4" s="13" t="s">
        <v>173</v>
      </c>
      <c r="C4" s="29">
        <v>43826</v>
      </c>
      <c r="D4" s="13">
        <v>101325231</v>
      </c>
      <c r="E4" s="13">
        <v>4500050714</v>
      </c>
      <c r="F4" s="13">
        <v>1012844</v>
      </c>
      <c r="G4" s="13">
        <v>1120000131</v>
      </c>
      <c r="H4" s="13" t="s">
        <v>21</v>
      </c>
      <c r="I4" s="13">
        <v>6</v>
      </c>
      <c r="J4" s="13">
        <v>2851</v>
      </c>
      <c r="K4" s="29">
        <v>43851</v>
      </c>
      <c r="L4" s="13" t="s">
        <v>63</v>
      </c>
    </row>
    <row r="5" spans="1:12" s="19" customFormat="1">
      <c r="A5" s="13">
        <v>1570</v>
      </c>
      <c r="B5" s="13" t="s">
        <v>173</v>
      </c>
      <c r="C5" s="29">
        <v>43833</v>
      </c>
      <c r="D5" s="13">
        <v>101325301</v>
      </c>
      <c r="E5" s="13">
        <v>4500051136</v>
      </c>
      <c r="F5" s="13" t="s">
        <v>64</v>
      </c>
      <c r="G5" s="13">
        <v>1120000132</v>
      </c>
      <c r="H5" s="13" t="s">
        <v>22</v>
      </c>
      <c r="I5" s="13">
        <v>4</v>
      </c>
      <c r="J5" s="13">
        <v>8897</v>
      </c>
      <c r="K5" s="29">
        <v>43840</v>
      </c>
      <c r="L5" s="13" t="s">
        <v>77</v>
      </c>
    </row>
    <row r="6" spans="1:12" s="19" customFormat="1">
      <c r="A6" s="13">
        <v>1570</v>
      </c>
      <c r="B6" s="13" t="s">
        <v>173</v>
      </c>
      <c r="C6" s="29">
        <v>43833</v>
      </c>
      <c r="D6" s="13">
        <v>101326104</v>
      </c>
      <c r="E6" s="13">
        <v>4500051136</v>
      </c>
      <c r="F6" s="13">
        <v>1012844</v>
      </c>
      <c r="G6" s="13">
        <v>1120000131</v>
      </c>
      <c r="H6" s="13" t="s">
        <v>21</v>
      </c>
      <c r="I6" s="13">
        <v>4</v>
      </c>
      <c r="J6" s="13">
        <v>1900</v>
      </c>
      <c r="K6" s="29">
        <v>43840</v>
      </c>
      <c r="L6" s="13" t="s">
        <v>76</v>
      </c>
    </row>
    <row r="7" spans="1:12" s="19" customFormat="1">
      <c r="A7" s="13">
        <v>1570</v>
      </c>
      <c r="B7" s="13" t="s">
        <v>173</v>
      </c>
      <c r="C7" s="29">
        <v>43841</v>
      </c>
      <c r="D7" s="13">
        <v>101326308</v>
      </c>
      <c r="E7" s="13">
        <v>4500051743</v>
      </c>
      <c r="F7" s="13" t="s">
        <v>64</v>
      </c>
      <c r="G7" s="13">
        <v>1120000132</v>
      </c>
      <c r="H7" s="13" t="s">
        <v>22</v>
      </c>
      <c r="I7" s="13">
        <v>4</v>
      </c>
      <c r="J7" s="13">
        <v>8897</v>
      </c>
      <c r="K7" s="29">
        <v>43847</v>
      </c>
      <c r="L7" s="13" t="s">
        <v>78</v>
      </c>
    </row>
    <row r="8" spans="1:12" s="19" customFormat="1">
      <c r="A8" s="13">
        <v>1570</v>
      </c>
      <c r="B8" s="13" t="s">
        <v>173</v>
      </c>
      <c r="C8" s="13">
        <v>43847</v>
      </c>
      <c r="D8" s="13">
        <v>101332169</v>
      </c>
      <c r="E8" s="13">
        <v>4500052455</v>
      </c>
      <c r="F8" s="13">
        <v>1012844</v>
      </c>
      <c r="G8" s="13">
        <v>1120000131</v>
      </c>
      <c r="H8" s="13" t="s">
        <v>21</v>
      </c>
      <c r="I8" s="13">
        <v>8</v>
      </c>
      <c r="J8" s="13">
        <v>3560</v>
      </c>
      <c r="K8" s="13">
        <v>43881</v>
      </c>
      <c r="L8" s="13" t="s">
        <v>143</v>
      </c>
    </row>
    <row r="9" spans="1:12" s="19" customFormat="1">
      <c r="A9" s="13">
        <v>1570</v>
      </c>
      <c r="B9" s="13" t="s">
        <v>173</v>
      </c>
      <c r="C9" s="13">
        <v>43847</v>
      </c>
      <c r="D9" s="13">
        <v>101332169</v>
      </c>
      <c r="E9" s="13">
        <v>4500052455</v>
      </c>
      <c r="F9" s="13" t="s">
        <v>146</v>
      </c>
      <c r="G9" s="13">
        <v>1120000132</v>
      </c>
      <c r="H9" s="13" t="s">
        <v>22</v>
      </c>
      <c r="I9" s="13">
        <v>5</v>
      </c>
      <c r="J9" s="13">
        <v>11195</v>
      </c>
      <c r="K9" s="13">
        <v>43881</v>
      </c>
      <c r="L9" s="13" t="s">
        <v>145</v>
      </c>
    </row>
    <row r="10" spans="1:12" s="19" customFormat="1">
      <c r="A10" s="13">
        <v>1570</v>
      </c>
      <c r="B10" s="13" t="s">
        <v>173</v>
      </c>
      <c r="C10" s="13">
        <v>43882</v>
      </c>
      <c r="D10" s="13">
        <v>101332171</v>
      </c>
      <c r="E10" s="13" t="s">
        <v>112</v>
      </c>
      <c r="F10" s="13">
        <v>1012843</v>
      </c>
      <c r="G10" s="13" t="s">
        <v>109</v>
      </c>
      <c r="H10" s="13" t="s">
        <v>102</v>
      </c>
      <c r="I10" s="13">
        <v>8</v>
      </c>
      <c r="J10" s="13">
        <v>3688</v>
      </c>
      <c r="K10" s="13">
        <v>43907</v>
      </c>
      <c r="L10" s="13" t="s">
        <v>144</v>
      </c>
    </row>
    <row r="11" spans="1:12" s="19" customFormat="1">
      <c r="A11" s="13">
        <v>1570</v>
      </c>
      <c r="B11" s="13" t="s">
        <v>173</v>
      </c>
      <c r="C11" s="13">
        <v>43882</v>
      </c>
      <c r="D11" s="13">
        <v>101333062</v>
      </c>
      <c r="E11" s="13" t="s">
        <v>112</v>
      </c>
      <c r="F11" s="13" t="s">
        <v>163</v>
      </c>
      <c r="G11" s="13" t="s">
        <v>108</v>
      </c>
      <c r="H11" s="13" t="s">
        <v>101</v>
      </c>
      <c r="I11" s="13">
        <v>6</v>
      </c>
      <c r="J11" s="13">
        <v>14016</v>
      </c>
      <c r="K11" s="13">
        <v>43894</v>
      </c>
      <c r="L11" s="13" t="s">
        <v>159</v>
      </c>
    </row>
    <row r="12" spans="1:12" s="19" customFormat="1">
      <c r="A12" s="13">
        <v>1570</v>
      </c>
      <c r="B12" s="13" t="s">
        <v>173</v>
      </c>
      <c r="C12" s="13">
        <v>43882</v>
      </c>
      <c r="D12" s="13">
        <v>101333062</v>
      </c>
      <c r="E12" s="13" t="s">
        <v>112</v>
      </c>
      <c r="F12" s="13">
        <v>1012843</v>
      </c>
      <c r="G12" s="13" t="s">
        <v>109</v>
      </c>
      <c r="H12" s="13" t="s">
        <v>102</v>
      </c>
      <c r="I12" s="13">
        <v>6</v>
      </c>
      <c r="J12" s="13">
        <v>2766</v>
      </c>
      <c r="K12" s="13">
        <v>43907</v>
      </c>
      <c r="L12" s="13" t="s">
        <v>160</v>
      </c>
    </row>
    <row r="13" spans="1:12" s="19" customFormat="1">
      <c r="A13" s="13">
        <v>1570</v>
      </c>
      <c r="B13" s="13" t="s">
        <v>173</v>
      </c>
      <c r="C13" s="13">
        <v>43847</v>
      </c>
      <c r="D13" s="13">
        <v>101333063</v>
      </c>
      <c r="E13" s="13">
        <v>4500052455</v>
      </c>
      <c r="F13" s="13">
        <v>1012844</v>
      </c>
      <c r="G13" s="13">
        <v>1120000131</v>
      </c>
      <c r="H13" s="13" t="s">
        <v>21</v>
      </c>
      <c r="I13" s="13">
        <v>6</v>
      </c>
      <c r="J13" s="13">
        <v>3091</v>
      </c>
      <c r="K13" s="13">
        <v>43881</v>
      </c>
      <c r="L13" s="13" t="s">
        <v>161</v>
      </c>
    </row>
    <row r="14" spans="1:12" s="19" customFormat="1">
      <c r="A14" s="13">
        <v>1570</v>
      </c>
      <c r="B14" s="13" t="s">
        <v>173</v>
      </c>
      <c r="C14" s="13">
        <v>43847</v>
      </c>
      <c r="D14" s="13">
        <v>101333063</v>
      </c>
      <c r="E14" s="13">
        <v>4500052455</v>
      </c>
      <c r="F14" s="13" t="s">
        <v>164</v>
      </c>
      <c r="G14" s="13">
        <v>1120000132</v>
      </c>
      <c r="H14" s="13" t="s">
        <v>22</v>
      </c>
      <c r="I14" s="13">
        <v>2</v>
      </c>
      <c r="J14" s="13">
        <v>4478</v>
      </c>
      <c r="K14" s="13">
        <v>43881</v>
      </c>
      <c r="L14" s="13" t="s">
        <v>162</v>
      </c>
    </row>
    <row r="15" spans="1:12" s="19" customFormat="1">
      <c r="A15" s="13">
        <v>1570</v>
      </c>
      <c r="B15" s="13" t="str">
        <f>VLOOKUP(A15,基础数据!A:B,2,FALSE)</f>
        <v>德州</v>
      </c>
      <c r="C15" s="10">
        <v>43847</v>
      </c>
      <c r="D15" s="13">
        <v>101334999</v>
      </c>
      <c r="E15" s="13">
        <v>4500052455</v>
      </c>
      <c r="F15" s="13" t="s">
        <v>64</v>
      </c>
      <c r="G15" s="13">
        <v>1120000132</v>
      </c>
      <c r="H15" s="13" t="s">
        <v>22</v>
      </c>
      <c r="I15" s="13">
        <v>4</v>
      </c>
      <c r="J15" s="13">
        <f>31139-11195-4478-8956</f>
        <v>6510</v>
      </c>
      <c r="K15" s="10">
        <v>43881</v>
      </c>
      <c r="L15" s="13" t="s">
        <v>203</v>
      </c>
    </row>
    <row r="16" spans="1:12" s="19" customFormat="1">
      <c r="A16" s="13">
        <v>1570</v>
      </c>
      <c r="B16" s="13" t="str">
        <f>VLOOKUP(A16,基础数据!A:B,2,FALSE)</f>
        <v>德州</v>
      </c>
      <c r="C16" s="10">
        <v>43882</v>
      </c>
      <c r="D16" s="13">
        <v>101334998</v>
      </c>
      <c r="E16" s="13" t="s">
        <v>112</v>
      </c>
      <c r="F16" s="13">
        <v>1012844</v>
      </c>
      <c r="G16" s="13" t="s">
        <v>91</v>
      </c>
      <c r="H16" s="13" t="s">
        <v>21</v>
      </c>
      <c r="I16" s="13">
        <v>4</v>
      </c>
      <c r="J16" s="13">
        <f>3801-1780</f>
        <v>2021</v>
      </c>
      <c r="K16" s="10">
        <v>43908</v>
      </c>
      <c r="L16" s="13" t="s">
        <v>202</v>
      </c>
    </row>
    <row r="17" spans="1:12" s="19" customFormat="1">
      <c r="A17" s="13">
        <v>1570</v>
      </c>
      <c r="B17" s="13" t="str">
        <f>VLOOKUP(A17,基础数据!A:B,2,FALSE)</f>
        <v>德州</v>
      </c>
      <c r="C17" s="10">
        <v>43882</v>
      </c>
      <c r="D17" s="13">
        <v>101334998</v>
      </c>
      <c r="E17" s="13" t="s">
        <v>112</v>
      </c>
      <c r="F17" s="13">
        <v>1012843</v>
      </c>
      <c r="G17" s="13" t="s">
        <v>108</v>
      </c>
      <c r="H17" s="13" t="s">
        <v>101</v>
      </c>
      <c r="I17" s="13">
        <v>3</v>
      </c>
      <c r="J17" s="13">
        <v>7008</v>
      </c>
      <c r="K17" s="10">
        <v>43894</v>
      </c>
      <c r="L17" s="13" t="s">
        <v>204</v>
      </c>
    </row>
    <row r="18" spans="1:12" s="19" customFormat="1">
      <c r="A18" s="13">
        <v>1570</v>
      </c>
      <c r="B18" s="13" t="str">
        <f>VLOOKUP(A18,基础数据!A:B,2,FALSE)</f>
        <v>德州</v>
      </c>
      <c r="C18" s="10">
        <v>43882</v>
      </c>
      <c r="D18" s="13">
        <v>101334998</v>
      </c>
      <c r="E18" s="13" t="s">
        <v>112</v>
      </c>
      <c r="F18" s="17">
        <v>1012843</v>
      </c>
      <c r="G18" s="13" t="s">
        <v>109</v>
      </c>
      <c r="H18" s="13" t="s">
        <v>102</v>
      </c>
      <c r="I18" s="13">
        <v>2</v>
      </c>
      <c r="J18" s="13">
        <v>922</v>
      </c>
      <c r="K18" s="10">
        <v>43907</v>
      </c>
      <c r="L18" s="13" t="s">
        <v>205</v>
      </c>
    </row>
    <row r="19" spans="1:12" s="19" customFormat="1">
      <c r="A19" s="13">
        <v>1570</v>
      </c>
      <c r="B19" s="13" t="str">
        <f>VLOOKUP(A19,基础数据!A:B,2,FALSE)</f>
        <v>德州</v>
      </c>
      <c r="C19" s="10">
        <v>43882</v>
      </c>
      <c r="D19" s="13">
        <v>101335088</v>
      </c>
      <c r="E19" s="13" t="s">
        <v>112</v>
      </c>
      <c r="F19" s="13">
        <v>1012844</v>
      </c>
      <c r="G19" s="13" t="s">
        <v>91</v>
      </c>
      <c r="H19" s="13" t="s">
        <v>21</v>
      </c>
      <c r="I19" s="13">
        <v>2</v>
      </c>
      <c r="J19" s="13">
        <v>890</v>
      </c>
      <c r="K19" s="10">
        <v>43908</v>
      </c>
      <c r="L19" s="13" t="s">
        <v>207</v>
      </c>
    </row>
    <row r="20" spans="1:12" s="19" customFormat="1">
      <c r="A20" s="13">
        <v>1570</v>
      </c>
      <c r="B20" s="13" t="str">
        <f>VLOOKUP(A20,基础数据!A:B,2,FALSE)</f>
        <v>德州</v>
      </c>
      <c r="C20" s="10">
        <v>43882</v>
      </c>
      <c r="D20" s="13">
        <v>101335088</v>
      </c>
      <c r="E20" s="13" t="s">
        <v>112</v>
      </c>
      <c r="F20" s="13" t="s">
        <v>64</v>
      </c>
      <c r="G20" s="13" t="s">
        <v>92</v>
      </c>
      <c r="H20" s="13" t="s">
        <v>22</v>
      </c>
      <c r="I20" s="13">
        <v>4</v>
      </c>
      <c r="J20" s="13">
        <v>8956</v>
      </c>
      <c r="K20" s="10">
        <v>43908</v>
      </c>
      <c r="L20" s="13" t="s">
        <v>206</v>
      </c>
    </row>
    <row r="21" spans="1:12" s="19" customFormat="1">
      <c r="A21" s="13">
        <v>1570</v>
      </c>
      <c r="B21" s="13" t="str">
        <f>VLOOKUP(A21,基础数据!A:B,2,FALSE)</f>
        <v>德州</v>
      </c>
      <c r="C21" s="10">
        <v>43882</v>
      </c>
      <c r="D21" s="13">
        <v>101335088</v>
      </c>
      <c r="E21" s="13" t="s">
        <v>112</v>
      </c>
      <c r="F21" s="13">
        <v>1012843</v>
      </c>
      <c r="G21" s="13" t="s">
        <v>108</v>
      </c>
      <c r="H21" s="13" t="s">
        <v>101</v>
      </c>
      <c r="I21" s="13">
        <v>4</v>
      </c>
      <c r="J21" s="13">
        <v>9344</v>
      </c>
      <c r="K21" s="10">
        <v>43894</v>
      </c>
      <c r="L21" s="13" t="s">
        <v>209</v>
      </c>
    </row>
    <row r="22" spans="1:12" s="19" customFormat="1">
      <c r="A22" s="13">
        <v>1570</v>
      </c>
      <c r="B22" s="13" t="str">
        <f>VLOOKUP(A22,基础数据!A:B,2,FALSE)</f>
        <v>德州</v>
      </c>
      <c r="C22" s="10">
        <v>43882</v>
      </c>
      <c r="D22" s="13">
        <v>101335088</v>
      </c>
      <c r="E22" s="13" t="s">
        <v>112</v>
      </c>
      <c r="F22" s="13">
        <v>1012844</v>
      </c>
      <c r="G22" s="13" t="s">
        <v>109</v>
      </c>
      <c r="H22" s="13" t="s">
        <v>102</v>
      </c>
      <c r="I22" s="13">
        <v>2</v>
      </c>
      <c r="J22" s="13">
        <v>922</v>
      </c>
      <c r="K22" s="10">
        <v>43907</v>
      </c>
      <c r="L22" s="13" t="s">
        <v>208</v>
      </c>
    </row>
    <row r="23" spans="1:12" s="19" customFormat="1">
      <c r="A23" s="13">
        <v>1570</v>
      </c>
      <c r="B23" s="13" t="str">
        <f>VLOOKUP(A23,基础数据!A:B,2,FALSE)</f>
        <v>德州</v>
      </c>
      <c r="C23" s="10">
        <v>43847</v>
      </c>
      <c r="D23" s="13">
        <v>101335524</v>
      </c>
      <c r="E23" s="13">
        <v>4500052455</v>
      </c>
      <c r="F23" s="13" t="s">
        <v>196</v>
      </c>
      <c r="G23" s="13">
        <v>1120000132</v>
      </c>
      <c r="H23" s="13" t="s">
        <v>22</v>
      </c>
      <c r="I23" s="11">
        <v>3</v>
      </c>
      <c r="J23" s="11">
        <f>31139-11195-4478-8956</f>
        <v>6510</v>
      </c>
      <c r="K23" s="10">
        <v>43881</v>
      </c>
      <c r="L23" s="13" t="s">
        <v>223</v>
      </c>
    </row>
    <row r="24" spans="1:12" s="19" customFormat="1">
      <c r="A24" s="13">
        <v>1570</v>
      </c>
      <c r="B24" s="13" t="str">
        <f>VLOOKUP(A24,基础数据!A:B,2,FALSE)</f>
        <v>德州</v>
      </c>
      <c r="C24" s="10">
        <v>43882</v>
      </c>
      <c r="D24" s="13">
        <v>101335526</v>
      </c>
      <c r="E24" s="13" t="s">
        <v>112</v>
      </c>
      <c r="F24" s="13">
        <v>1012844</v>
      </c>
      <c r="G24" s="13" t="s">
        <v>91</v>
      </c>
      <c r="H24" s="13" t="s">
        <v>21</v>
      </c>
      <c r="I24" s="11">
        <v>2</v>
      </c>
      <c r="J24" s="11">
        <f>3801-1780-890</f>
        <v>1131</v>
      </c>
      <c r="K24" s="10">
        <v>43908</v>
      </c>
      <c r="L24" s="13" t="s">
        <v>224</v>
      </c>
    </row>
    <row r="25" spans="1:12" s="19" customFormat="1">
      <c r="A25" s="13">
        <v>1570</v>
      </c>
      <c r="B25" s="13" t="str">
        <f>VLOOKUP(A25,基础数据!A:B,2,FALSE)</f>
        <v>德州</v>
      </c>
      <c r="C25" s="10">
        <v>43882</v>
      </c>
      <c r="D25" s="13">
        <v>101335526</v>
      </c>
      <c r="E25" s="13" t="s">
        <v>112</v>
      </c>
      <c r="F25" s="13" t="s">
        <v>196</v>
      </c>
      <c r="G25" s="13" t="s">
        <v>92</v>
      </c>
      <c r="H25" s="13" t="s">
        <v>22</v>
      </c>
      <c r="I25" s="11">
        <v>4</v>
      </c>
      <c r="J25" s="11">
        <f>17794-8956</f>
        <v>8838</v>
      </c>
      <c r="K25" s="10">
        <v>43908</v>
      </c>
      <c r="L25" s="13" t="s">
        <v>225</v>
      </c>
    </row>
    <row r="26" spans="1:12" s="19" customFormat="1">
      <c r="A26" s="13">
        <v>1570</v>
      </c>
      <c r="B26" s="13" t="str">
        <f>VLOOKUP(A26,基础数据!A:B,2,FALSE)</f>
        <v>德州</v>
      </c>
      <c r="C26" s="10">
        <v>43896</v>
      </c>
      <c r="D26" s="13">
        <v>101335526</v>
      </c>
      <c r="E26" s="11">
        <v>4500054017</v>
      </c>
      <c r="F26" s="13">
        <v>1012844</v>
      </c>
      <c r="G26" s="13">
        <v>1120000131</v>
      </c>
      <c r="H26" s="13" t="s">
        <v>21</v>
      </c>
      <c r="I26" s="11">
        <v>5</v>
      </c>
      <c r="J26" s="11">
        <v>2225</v>
      </c>
      <c r="K26" s="10">
        <v>43922</v>
      </c>
      <c r="L26" s="13" t="s">
        <v>238</v>
      </c>
    </row>
    <row r="27" spans="1:12" s="19" customFormat="1">
      <c r="A27" s="13">
        <v>1570</v>
      </c>
      <c r="B27" s="13" t="str">
        <f>VLOOKUP(A27,基础数据!A:B,2,FALSE)</f>
        <v>德州</v>
      </c>
      <c r="C27" s="10">
        <v>43896</v>
      </c>
      <c r="D27" s="13">
        <v>101335953</v>
      </c>
      <c r="E27" s="11">
        <v>4500054017</v>
      </c>
      <c r="F27" s="13">
        <v>1012844</v>
      </c>
      <c r="G27" s="13">
        <v>1120000131</v>
      </c>
      <c r="H27" s="13" t="s">
        <v>21</v>
      </c>
      <c r="I27" s="11">
        <v>4</v>
      </c>
      <c r="J27" s="11">
        <v>1780</v>
      </c>
      <c r="K27" s="10">
        <v>43922</v>
      </c>
      <c r="L27" s="13" t="s">
        <v>247</v>
      </c>
    </row>
    <row r="28" spans="1:12" s="19" customFormat="1">
      <c r="A28" s="13">
        <v>1570</v>
      </c>
      <c r="B28" s="13" t="str">
        <f>VLOOKUP(A28,基础数据!A:B,2,FALSE)</f>
        <v>德州</v>
      </c>
      <c r="C28" s="10">
        <v>43896</v>
      </c>
      <c r="D28" s="13">
        <v>101335953</v>
      </c>
      <c r="E28" s="11">
        <v>4500054017</v>
      </c>
      <c r="F28" s="13" t="s">
        <v>64</v>
      </c>
      <c r="G28" s="13">
        <v>1120000132</v>
      </c>
      <c r="H28" s="13" t="s">
        <v>22</v>
      </c>
      <c r="I28" s="11">
        <v>8</v>
      </c>
      <c r="J28" s="11">
        <v>17912</v>
      </c>
      <c r="K28" s="10">
        <v>43922</v>
      </c>
      <c r="L28" s="13" t="s">
        <v>248</v>
      </c>
    </row>
    <row r="29" spans="1:12" s="19" customFormat="1">
      <c r="A29" s="13">
        <v>1570</v>
      </c>
      <c r="B29" s="13" t="str">
        <f>VLOOKUP(A29,基础数据!A:B,2,FALSE)</f>
        <v>德州</v>
      </c>
      <c r="C29" s="10">
        <v>43896</v>
      </c>
      <c r="D29" s="13">
        <v>101336104</v>
      </c>
      <c r="E29" s="11">
        <v>4500054017</v>
      </c>
      <c r="F29" s="13">
        <v>1012844</v>
      </c>
      <c r="G29" s="13">
        <v>1120000131</v>
      </c>
      <c r="H29" s="13" t="s">
        <v>21</v>
      </c>
      <c r="I29" s="11">
        <f>16-5-4</f>
        <v>7</v>
      </c>
      <c r="J29" s="11">
        <f>7601-2225-1780</f>
        <v>3596</v>
      </c>
      <c r="K29" s="10">
        <v>43922</v>
      </c>
      <c r="L29" s="13" t="s">
        <v>247</v>
      </c>
    </row>
    <row r="30" spans="1:12" s="19" customFormat="1">
      <c r="A30" s="13">
        <v>1570</v>
      </c>
      <c r="B30" s="13" t="str">
        <f>VLOOKUP(A30,基础数据!A:B,2,FALSE)</f>
        <v>德州</v>
      </c>
      <c r="C30" s="10">
        <v>43896</v>
      </c>
      <c r="D30" s="13">
        <v>101336104</v>
      </c>
      <c r="E30" s="11">
        <v>4500054017</v>
      </c>
      <c r="F30" s="13" t="s">
        <v>64</v>
      </c>
      <c r="G30" s="13">
        <v>1120000132</v>
      </c>
      <c r="H30" s="13" t="s">
        <v>22</v>
      </c>
      <c r="I30" s="11">
        <v>7</v>
      </c>
      <c r="J30" s="11">
        <v>15673</v>
      </c>
      <c r="K30" s="10">
        <v>43922</v>
      </c>
      <c r="L30" s="13" t="s">
        <v>252</v>
      </c>
    </row>
    <row r="31" spans="1:12" s="19" customFormat="1">
      <c r="A31" s="13">
        <v>1570</v>
      </c>
      <c r="B31" s="13" t="str">
        <f>VLOOKUP(A31,基础数据!A:B,2,FALSE)</f>
        <v>德州</v>
      </c>
      <c r="C31" s="10">
        <v>43882</v>
      </c>
      <c r="D31" s="13">
        <v>101336600</v>
      </c>
      <c r="E31" s="11">
        <v>4500053037</v>
      </c>
      <c r="F31" s="13" t="s">
        <v>163</v>
      </c>
      <c r="G31" s="11">
        <v>1120000884</v>
      </c>
      <c r="H31" s="13" t="s">
        <v>101</v>
      </c>
      <c r="I31" s="11">
        <v>7</v>
      </c>
      <c r="J31" s="11">
        <v>16352</v>
      </c>
      <c r="K31" s="10">
        <v>43894</v>
      </c>
      <c r="L31" s="13" t="s">
        <v>266</v>
      </c>
    </row>
    <row r="32" spans="1:12" s="19" customFormat="1">
      <c r="A32" s="13">
        <v>1570</v>
      </c>
      <c r="B32" s="13" t="str">
        <f>VLOOKUP(A32,基础数据!A:B,2,FALSE)</f>
        <v>德州</v>
      </c>
      <c r="C32" s="10">
        <v>43882</v>
      </c>
      <c r="D32" s="13">
        <v>101336600</v>
      </c>
      <c r="E32" s="11">
        <v>4500053037</v>
      </c>
      <c r="F32" s="13">
        <v>1012843</v>
      </c>
      <c r="G32" s="11">
        <v>1120000885</v>
      </c>
      <c r="H32" s="13" t="s">
        <v>102</v>
      </c>
      <c r="I32" s="11">
        <v>8</v>
      </c>
      <c r="J32" s="11">
        <v>3688</v>
      </c>
      <c r="K32" s="10">
        <v>43907</v>
      </c>
      <c r="L32" s="13" t="s">
        <v>267</v>
      </c>
    </row>
    <row r="33" spans="1:13" s="19" customFormat="1">
      <c r="A33" s="13">
        <v>1570</v>
      </c>
      <c r="B33" s="13" t="str">
        <f>VLOOKUP(A33,基础数据!A:B,2,FALSE)</f>
        <v>德州</v>
      </c>
      <c r="C33" s="10">
        <v>43896</v>
      </c>
      <c r="D33" s="13">
        <v>101336693</v>
      </c>
      <c r="E33" s="11">
        <v>4500054017</v>
      </c>
      <c r="F33" s="13" t="s">
        <v>239</v>
      </c>
      <c r="G33" s="13">
        <v>1120000132</v>
      </c>
      <c r="H33" s="13" t="s">
        <v>22</v>
      </c>
      <c r="I33" s="11">
        <v>1</v>
      </c>
      <c r="J33" s="11">
        <f>35587-17912-15673</f>
        <v>2002</v>
      </c>
      <c r="K33" s="10">
        <v>43922</v>
      </c>
      <c r="L33" s="13" t="s">
        <v>275</v>
      </c>
    </row>
    <row r="34" spans="1:13" s="12" customFormat="1">
      <c r="A34" s="11">
        <v>1570</v>
      </c>
      <c r="B34" s="13" t="str">
        <f>VLOOKUP(A34,基础数据!A:B,2,FALSE)</f>
        <v>德州</v>
      </c>
      <c r="C34" s="10">
        <v>43931</v>
      </c>
      <c r="D34" s="9">
        <v>101336694</v>
      </c>
      <c r="E34" s="11">
        <v>4500056702</v>
      </c>
      <c r="F34" s="13">
        <v>1012843</v>
      </c>
      <c r="G34" s="9">
        <v>1120000131</v>
      </c>
      <c r="H34" s="9" t="s">
        <v>21</v>
      </c>
      <c r="I34" s="11">
        <v>8</v>
      </c>
      <c r="J34" s="11">
        <v>3560</v>
      </c>
      <c r="K34" s="10">
        <v>43956</v>
      </c>
      <c r="L34" s="9" t="s">
        <v>273</v>
      </c>
    </row>
    <row r="35" spans="1:13" s="12" customFormat="1">
      <c r="A35" s="11">
        <v>1570</v>
      </c>
      <c r="B35" s="13" t="str">
        <f>VLOOKUP(A35,基础数据!A:B,2,FALSE)</f>
        <v>德州</v>
      </c>
      <c r="C35" s="10">
        <v>43931</v>
      </c>
      <c r="D35" s="9">
        <v>101336694</v>
      </c>
      <c r="E35" s="11">
        <v>4500056702</v>
      </c>
      <c r="F35" s="13" t="s">
        <v>64</v>
      </c>
      <c r="G35" s="9">
        <v>1120000132</v>
      </c>
      <c r="H35" s="9" t="s">
        <v>22</v>
      </c>
      <c r="I35" s="11">
        <v>6</v>
      </c>
      <c r="J35" s="11">
        <v>13434</v>
      </c>
      <c r="K35" s="10">
        <v>43956</v>
      </c>
      <c r="L35" s="9" t="s">
        <v>274</v>
      </c>
    </row>
    <row r="36" spans="1:13" s="12" customFormat="1">
      <c r="A36" s="11">
        <v>1570</v>
      </c>
      <c r="B36" s="13" t="str">
        <f>VLOOKUP(A36,基础数据!A:B,2,FALSE)</f>
        <v>德州</v>
      </c>
      <c r="C36" s="10">
        <v>43931</v>
      </c>
      <c r="D36" s="9">
        <v>101336926</v>
      </c>
      <c r="E36" s="11">
        <v>4500056702</v>
      </c>
      <c r="F36" s="9">
        <v>1106524</v>
      </c>
      <c r="G36" s="9">
        <v>1120000131</v>
      </c>
      <c r="H36" s="9" t="s">
        <v>21</v>
      </c>
      <c r="I36" s="11">
        <v>6</v>
      </c>
      <c r="J36" s="11">
        <v>2670</v>
      </c>
      <c r="K36" s="10">
        <v>43956</v>
      </c>
      <c r="L36" s="9" t="s">
        <v>283</v>
      </c>
    </row>
    <row r="37" spans="1:13" s="12" customFormat="1">
      <c r="A37" s="11">
        <v>1570</v>
      </c>
      <c r="B37" s="13" t="str">
        <f>VLOOKUP(A37,基础数据!A:B,2,FALSE)</f>
        <v>德州</v>
      </c>
      <c r="C37" s="10">
        <v>43931</v>
      </c>
      <c r="D37" s="9">
        <v>101336926</v>
      </c>
      <c r="E37" s="11">
        <v>4500056702</v>
      </c>
      <c r="F37" s="9" t="s">
        <v>64</v>
      </c>
      <c r="G37" s="9">
        <v>1120000132</v>
      </c>
      <c r="H37" s="9" t="s">
        <v>22</v>
      </c>
      <c r="I37" s="11">
        <v>6</v>
      </c>
      <c r="J37" s="11">
        <v>13434</v>
      </c>
      <c r="K37" s="10">
        <v>43956</v>
      </c>
      <c r="L37" s="9" t="s">
        <v>282</v>
      </c>
    </row>
    <row r="38" spans="1:13" s="19" customFormat="1">
      <c r="A38" s="13">
        <v>1570</v>
      </c>
      <c r="B38" s="13" t="str">
        <f>VLOOKUP(A38,基础数据!A:B,2,FALSE)</f>
        <v>德州</v>
      </c>
      <c r="C38" s="10">
        <v>43882</v>
      </c>
      <c r="D38" s="13" t="s">
        <v>46</v>
      </c>
      <c r="E38" s="11">
        <v>4500053037</v>
      </c>
      <c r="F38" s="13" t="s">
        <v>163</v>
      </c>
      <c r="G38" s="11">
        <v>1120000884</v>
      </c>
      <c r="H38" s="13" t="s">
        <v>101</v>
      </c>
      <c r="I38" s="11">
        <v>7</v>
      </c>
      <c r="J38" s="11">
        <v>16352</v>
      </c>
      <c r="K38" s="10">
        <v>43894</v>
      </c>
      <c r="L38" s="13" t="s">
        <v>296</v>
      </c>
    </row>
    <row r="39" spans="1:13" s="19" customFormat="1">
      <c r="A39" s="13">
        <v>1570</v>
      </c>
      <c r="B39" s="13" t="str">
        <f>VLOOKUP(A39,基础数据!A:B,2,FALSE)</f>
        <v>德州</v>
      </c>
      <c r="C39" s="10">
        <v>43882</v>
      </c>
      <c r="D39" s="13" t="s">
        <v>46</v>
      </c>
      <c r="E39" s="11">
        <v>4500053037</v>
      </c>
      <c r="F39" s="13">
        <v>1012843</v>
      </c>
      <c r="G39" s="11">
        <v>1120000885</v>
      </c>
      <c r="H39" s="13" t="s">
        <v>102</v>
      </c>
      <c r="I39" s="11">
        <v>8</v>
      </c>
      <c r="J39" s="11">
        <v>3688</v>
      </c>
      <c r="K39" s="10">
        <v>43907</v>
      </c>
      <c r="L39" s="13" t="s">
        <v>294</v>
      </c>
    </row>
    <row r="40" spans="1:13" s="12" customFormat="1">
      <c r="A40" s="11">
        <v>1570</v>
      </c>
      <c r="B40" s="13" t="str">
        <f>VLOOKUP(A40,基础数据!A:B,2,FALSE)</f>
        <v>德州</v>
      </c>
      <c r="C40" s="10">
        <v>43931</v>
      </c>
      <c r="D40" s="9"/>
      <c r="E40" s="11">
        <v>4500056702</v>
      </c>
      <c r="F40" s="9">
        <v>1106524</v>
      </c>
      <c r="G40" s="9">
        <v>1120000131</v>
      </c>
      <c r="H40" s="9" t="s">
        <v>21</v>
      </c>
      <c r="I40" s="11">
        <v>14</v>
      </c>
      <c r="J40" s="11">
        <v>6230</v>
      </c>
      <c r="K40" s="10">
        <v>43956</v>
      </c>
      <c r="L40" s="9" t="s">
        <v>298</v>
      </c>
    </row>
    <row r="41" spans="1:13" s="12" customFormat="1">
      <c r="A41" s="11">
        <v>1570</v>
      </c>
      <c r="B41" s="13" t="str">
        <f>VLOOKUP(A41,基础数据!A:B,2,FALSE)</f>
        <v>德州</v>
      </c>
      <c r="C41" s="10">
        <v>43931</v>
      </c>
      <c r="D41" s="9"/>
      <c r="E41" s="11">
        <v>4500056702</v>
      </c>
      <c r="F41" s="9" t="s">
        <v>64</v>
      </c>
      <c r="G41" s="9">
        <v>1120000132</v>
      </c>
      <c r="H41" s="9" t="s">
        <v>22</v>
      </c>
      <c r="I41" s="11">
        <v>4</v>
      </c>
      <c r="J41" s="11">
        <v>8956</v>
      </c>
      <c r="K41" s="10">
        <v>43956</v>
      </c>
      <c r="L41" s="9" t="s">
        <v>299</v>
      </c>
    </row>
    <row r="42" spans="1:13" s="12" customFormat="1">
      <c r="A42" s="11">
        <v>1570</v>
      </c>
      <c r="B42" s="13" t="str">
        <f>VLOOKUP(A42,基础数据!A:B,2,FALSE)</f>
        <v>德州</v>
      </c>
      <c r="C42" s="10">
        <v>43931</v>
      </c>
      <c r="D42" s="9"/>
      <c r="E42" s="11">
        <v>4500056702</v>
      </c>
      <c r="F42" s="9">
        <v>1106524</v>
      </c>
      <c r="G42" s="9">
        <v>1120000131</v>
      </c>
      <c r="H42" s="9" t="s">
        <v>21</v>
      </c>
      <c r="I42" s="11">
        <v>6</v>
      </c>
      <c r="J42" s="11">
        <v>2670</v>
      </c>
      <c r="K42" s="10">
        <v>43956</v>
      </c>
      <c r="L42" s="9" t="s">
        <v>318</v>
      </c>
    </row>
    <row r="43" spans="1:13" s="12" customFormat="1">
      <c r="A43" s="11">
        <v>1570</v>
      </c>
      <c r="B43" s="13" t="str">
        <f>VLOOKUP(A43,基础数据!A:B,2,FALSE)</f>
        <v>德州</v>
      </c>
      <c r="C43" s="10">
        <v>43931</v>
      </c>
      <c r="D43" s="9"/>
      <c r="E43" s="11">
        <v>4500056702</v>
      </c>
      <c r="F43" s="9" t="s">
        <v>64</v>
      </c>
      <c r="G43" s="9">
        <v>1120000132</v>
      </c>
      <c r="H43" s="9" t="s">
        <v>22</v>
      </c>
      <c r="I43" s="11">
        <v>2</v>
      </c>
      <c r="J43" s="11">
        <v>4478</v>
      </c>
      <c r="K43" s="10">
        <v>43956</v>
      </c>
      <c r="L43" s="9" t="s">
        <v>319</v>
      </c>
    </row>
    <row r="44" spans="1:13" s="19" customFormat="1">
      <c r="A44" s="13">
        <v>1570</v>
      </c>
      <c r="B44" s="13" t="str">
        <f>VLOOKUP(A44,基础数据!A:B,2,FALSE)</f>
        <v>德州</v>
      </c>
      <c r="C44" s="10">
        <v>43882</v>
      </c>
      <c r="D44" s="13" t="s">
        <v>46</v>
      </c>
      <c r="E44" s="11">
        <v>4500053037</v>
      </c>
      <c r="F44" s="13" t="s">
        <v>163</v>
      </c>
      <c r="G44" s="11">
        <v>1120000884</v>
      </c>
      <c r="H44" s="13" t="s">
        <v>101</v>
      </c>
      <c r="I44" s="11">
        <v>4</v>
      </c>
      <c r="J44" s="11">
        <v>9344</v>
      </c>
      <c r="K44" s="10">
        <v>43894</v>
      </c>
      <c r="L44" s="13" t="s">
        <v>320</v>
      </c>
    </row>
    <row r="45" spans="1:13" s="19" customFormat="1">
      <c r="A45" s="13">
        <v>1570</v>
      </c>
      <c r="B45" s="13" t="str">
        <f>VLOOKUP(A45,基础数据!A:B,2,FALSE)</f>
        <v>德州</v>
      </c>
      <c r="C45" s="10">
        <v>43882</v>
      </c>
      <c r="D45" s="13" t="s">
        <v>46</v>
      </c>
      <c r="E45" s="11">
        <v>4500053037</v>
      </c>
      <c r="F45" s="13">
        <v>1012843</v>
      </c>
      <c r="G45" s="11">
        <v>1120000885</v>
      </c>
      <c r="H45" s="13" t="s">
        <v>102</v>
      </c>
      <c r="I45" s="11">
        <v>4</v>
      </c>
      <c r="J45" s="11">
        <v>1844</v>
      </c>
      <c r="K45" s="10">
        <v>43907</v>
      </c>
      <c r="L45" s="13" t="s">
        <v>321</v>
      </c>
    </row>
    <row r="46" spans="1:13" s="12" customFormat="1">
      <c r="A46" s="11">
        <v>1570</v>
      </c>
      <c r="B46" s="13" t="str">
        <f>VLOOKUP(A46,基础数据!A:B,2,FALSE)</f>
        <v>德州</v>
      </c>
      <c r="C46" s="10">
        <v>43931</v>
      </c>
      <c r="D46" s="9"/>
      <c r="E46" s="11">
        <v>4500056702</v>
      </c>
      <c r="F46" s="9" t="s">
        <v>64</v>
      </c>
      <c r="G46" s="9">
        <v>1120000132</v>
      </c>
      <c r="H46" s="9" t="s">
        <v>22</v>
      </c>
      <c r="I46" s="11">
        <v>8</v>
      </c>
      <c r="J46" s="11">
        <v>17912</v>
      </c>
      <c r="K46" s="10">
        <v>43956</v>
      </c>
      <c r="L46" s="9" t="s">
        <v>334</v>
      </c>
    </row>
    <row r="47" spans="1:13" s="12" customFormat="1">
      <c r="A47" s="11">
        <v>1570</v>
      </c>
      <c r="B47" s="13" t="str">
        <f>VLOOKUP(A47,基础数据!A:B,2,FALSE)</f>
        <v>德州</v>
      </c>
      <c r="C47" s="10">
        <v>43931</v>
      </c>
      <c r="D47" s="9"/>
      <c r="E47" s="11">
        <v>4500056702</v>
      </c>
      <c r="F47" s="9">
        <v>1106524</v>
      </c>
      <c r="G47" s="9">
        <v>1120000131</v>
      </c>
      <c r="H47" s="9" t="s">
        <v>21</v>
      </c>
      <c r="I47" s="11">
        <v>4</v>
      </c>
      <c r="J47" s="11">
        <v>1780</v>
      </c>
      <c r="K47" s="10">
        <v>43956</v>
      </c>
      <c r="L47" s="9" t="s">
        <v>335</v>
      </c>
    </row>
    <row r="48" spans="1:13" s="19" customFormat="1">
      <c r="A48" s="13">
        <v>1570</v>
      </c>
      <c r="B48" s="13" t="str">
        <f>VLOOKUP(A48,基础数据!A:B,2,FALSE)</f>
        <v>德州</v>
      </c>
      <c r="C48" s="10">
        <v>43882</v>
      </c>
      <c r="D48" s="13" t="s">
        <v>46</v>
      </c>
      <c r="E48" s="11">
        <v>4500053037</v>
      </c>
      <c r="F48" s="13" t="s">
        <v>163</v>
      </c>
      <c r="G48" s="11">
        <v>1120000884</v>
      </c>
      <c r="H48" s="13" t="s">
        <v>101</v>
      </c>
      <c r="I48" s="11">
        <v>1</v>
      </c>
      <c r="J48" s="11">
        <v>2336</v>
      </c>
      <c r="K48" s="10">
        <v>43894</v>
      </c>
      <c r="L48" s="13" t="s">
        <v>380</v>
      </c>
      <c r="M48" s="19" t="str">
        <f>VLOOKUP(H48,基础数据!G:H,2,FALSE)</f>
        <v>SR120Ⅲ大梁</v>
      </c>
    </row>
    <row r="49" spans="1:13" s="12" customFormat="1">
      <c r="A49" s="11">
        <v>1570</v>
      </c>
      <c r="B49" s="13" t="str">
        <f>VLOOKUP(A49,基础数据!A:B,2,FALSE)</f>
        <v>德州</v>
      </c>
      <c r="C49" s="10">
        <v>43931</v>
      </c>
      <c r="D49" s="9"/>
      <c r="E49" s="11">
        <v>4500056702</v>
      </c>
      <c r="F49" s="9" t="s">
        <v>64</v>
      </c>
      <c r="G49" s="9">
        <v>1120000132</v>
      </c>
      <c r="H49" s="9" t="s">
        <v>22</v>
      </c>
      <c r="I49" s="11">
        <v>8</v>
      </c>
      <c r="J49" s="11">
        <v>17912</v>
      </c>
      <c r="K49" s="10">
        <v>43956</v>
      </c>
      <c r="L49" s="9" t="s">
        <v>381</v>
      </c>
      <c r="M49" s="19" t="str">
        <f>VLOOKUP(H49,基础数据!G:H,2,FALSE)</f>
        <v>SR120大梁</v>
      </c>
    </row>
    <row r="50" spans="1:13" s="12" customFormat="1">
      <c r="A50" s="11">
        <v>1570</v>
      </c>
      <c r="B50" s="13" t="str">
        <f>VLOOKUP(A50,基础数据!A:B,2,FALSE)</f>
        <v>德州</v>
      </c>
      <c r="C50" s="10">
        <v>43931</v>
      </c>
      <c r="D50" s="9"/>
      <c r="E50" s="11">
        <v>4500056702</v>
      </c>
      <c r="F50" s="9">
        <v>1106524</v>
      </c>
      <c r="G50" s="9">
        <v>1120000131</v>
      </c>
      <c r="H50" s="9" t="s">
        <v>21</v>
      </c>
      <c r="I50" s="11">
        <v>8</v>
      </c>
      <c r="J50" s="11">
        <v>3560</v>
      </c>
      <c r="K50" s="10">
        <v>43956</v>
      </c>
      <c r="L50" s="9" t="s">
        <v>385</v>
      </c>
      <c r="M50" s="19" t="str">
        <f>VLOOKUP(H50,基础数据!G:H,2,FALSE)</f>
        <v>SR120后缘</v>
      </c>
    </row>
    <row r="51" spans="1:13" s="12" customFormat="1">
      <c r="A51" s="11">
        <v>1570</v>
      </c>
      <c r="B51" s="13" t="str">
        <f>VLOOKUP(A51,基础数据!A:B,2,FALSE)</f>
        <v>德州</v>
      </c>
      <c r="C51" s="10">
        <v>43931</v>
      </c>
      <c r="D51" s="9"/>
      <c r="E51" s="11">
        <v>4500056702</v>
      </c>
      <c r="F51" s="9" t="s">
        <v>64</v>
      </c>
      <c r="G51" s="9">
        <v>1120000132</v>
      </c>
      <c r="H51" s="9" t="s">
        <v>22</v>
      </c>
      <c r="I51" s="11">
        <v>7</v>
      </c>
      <c r="J51" s="11">
        <v>15673</v>
      </c>
      <c r="K51" s="10">
        <v>43956</v>
      </c>
      <c r="L51" s="9" t="s">
        <v>386</v>
      </c>
      <c r="M51" s="19" t="str">
        <f>VLOOKUP(H51,基础数据!G:H,2,FALSE)</f>
        <v>SR120大梁</v>
      </c>
    </row>
    <row r="52" spans="1:13" s="19" customFormat="1">
      <c r="A52" s="13">
        <v>1570</v>
      </c>
      <c r="B52" s="13" t="str">
        <f>VLOOKUP(A52,基础数据!A:B,2,FALSE)</f>
        <v>德州</v>
      </c>
      <c r="C52" s="10">
        <v>43882</v>
      </c>
      <c r="D52" s="13" t="s">
        <v>46</v>
      </c>
      <c r="E52" s="11">
        <v>4500053037</v>
      </c>
      <c r="F52" s="13">
        <v>1106555</v>
      </c>
      <c r="G52" s="11">
        <v>1120000885</v>
      </c>
      <c r="H52" s="13" t="s">
        <v>102</v>
      </c>
      <c r="I52" s="11">
        <f>39-8-6-2-2-8-8-4</f>
        <v>1</v>
      </c>
      <c r="J52" s="11">
        <f>17781-3688-2766-922-922-3688-3688-1844</f>
        <v>263</v>
      </c>
      <c r="K52" s="10">
        <v>43907</v>
      </c>
      <c r="L52" s="13" t="s">
        <v>394</v>
      </c>
      <c r="M52" s="19" t="str">
        <f>VLOOKUP(H52,基础数据!G:H,2,FALSE)</f>
        <v>SR120Ⅲ后缘</v>
      </c>
    </row>
    <row r="53" spans="1:13" s="19" customFormat="1">
      <c r="A53" s="13">
        <v>1570</v>
      </c>
      <c r="B53" s="13" t="str">
        <f>VLOOKUP(A53,基础数据!A:B,2,FALSE)</f>
        <v>德州</v>
      </c>
      <c r="C53" s="10">
        <v>43882</v>
      </c>
      <c r="D53" s="13" t="s">
        <v>46</v>
      </c>
      <c r="E53" s="11">
        <v>4500053037</v>
      </c>
      <c r="F53" s="13" t="s">
        <v>163</v>
      </c>
      <c r="G53" s="11">
        <v>1120000884</v>
      </c>
      <c r="H53" s="13" t="s">
        <v>101</v>
      </c>
      <c r="I53" s="11">
        <v>1</v>
      </c>
      <c r="J53" s="11">
        <v>2336</v>
      </c>
      <c r="K53" s="10">
        <v>43894</v>
      </c>
      <c r="L53" s="13" t="s">
        <v>395</v>
      </c>
      <c r="M53" s="19" t="str">
        <f>VLOOKUP(H53,基础数据!G:H,2,FALSE)</f>
        <v>SR120Ⅲ大梁</v>
      </c>
    </row>
    <row r="54" spans="1:13" s="19" customFormat="1">
      <c r="A54" s="13">
        <v>1570</v>
      </c>
      <c r="B54" s="13" t="str">
        <f>VLOOKUP(A54,基础数据!A:B,2,FALSE)</f>
        <v>德州</v>
      </c>
      <c r="C54" s="10">
        <v>43910</v>
      </c>
      <c r="D54" s="13" t="s">
        <v>46</v>
      </c>
      <c r="E54" s="11">
        <v>4500054973</v>
      </c>
      <c r="F54" s="13">
        <v>1106555</v>
      </c>
      <c r="G54" s="11">
        <v>1120000885</v>
      </c>
      <c r="H54" s="13" t="s">
        <v>102</v>
      </c>
      <c r="I54" s="11">
        <v>3</v>
      </c>
      <c r="J54" s="11">
        <v>1367</v>
      </c>
      <c r="K54" s="10">
        <v>43932</v>
      </c>
      <c r="L54" s="13" t="s">
        <v>393</v>
      </c>
      <c r="M54" s="19" t="str">
        <f>VLOOKUP(H54,基础数据!G:H,2,FALSE)</f>
        <v>SR120Ⅲ后缘</v>
      </c>
    </row>
    <row r="55" spans="1:13" s="19" customFormat="1">
      <c r="A55" s="13">
        <v>1570</v>
      </c>
      <c r="B55" s="13" t="str">
        <f>VLOOKUP(A55,基础数据!A:B,2,FALSE)</f>
        <v>德州</v>
      </c>
      <c r="C55" s="10">
        <v>43910</v>
      </c>
      <c r="D55" s="13" t="s">
        <v>46</v>
      </c>
      <c r="E55" s="11">
        <v>4500054973</v>
      </c>
      <c r="F55" s="13" t="s">
        <v>240</v>
      </c>
      <c r="G55" s="11">
        <v>1120000884</v>
      </c>
      <c r="H55" s="13" t="s">
        <v>101</v>
      </c>
      <c r="I55" s="11">
        <v>3</v>
      </c>
      <c r="J55" s="11">
        <v>6937</v>
      </c>
      <c r="K55" s="10">
        <v>43932</v>
      </c>
      <c r="L55" s="13" t="s">
        <v>393</v>
      </c>
      <c r="M55" s="19" t="str">
        <f>VLOOKUP(H55,基础数据!G:H,2,FALSE)</f>
        <v>SR120Ⅲ大梁</v>
      </c>
    </row>
    <row r="56" spans="1:13" s="12" customFormat="1">
      <c r="A56" s="11">
        <v>1570</v>
      </c>
      <c r="B56" s="13" t="str">
        <f>VLOOKUP(A56,基础数据!A:B,2,FALSE)</f>
        <v>德州</v>
      </c>
      <c r="C56" s="10">
        <v>43959</v>
      </c>
      <c r="D56" s="9"/>
      <c r="E56" s="11">
        <v>4500059014</v>
      </c>
      <c r="F56" s="9">
        <v>1106555</v>
      </c>
      <c r="G56" s="11">
        <v>1120000885</v>
      </c>
      <c r="H56" s="9" t="s">
        <v>102</v>
      </c>
      <c r="I56" s="11">
        <v>8</v>
      </c>
      <c r="J56" s="11">
        <v>3736</v>
      </c>
      <c r="K56" s="10">
        <v>43984</v>
      </c>
      <c r="L56" s="9" t="s">
        <v>392</v>
      </c>
      <c r="M56" s="19" t="str">
        <f>VLOOKUP(H56,基础数据!G:H,2,FALSE)</f>
        <v>SR120Ⅲ后缘</v>
      </c>
    </row>
    <row r="57" spans="1:13" s="19" customFormat="1">
      <c r="A57" s="13">
        <v>1570</v>
      </c>
      <c r="B57" s="13" t="str">
        <f>VLOOKUP(A57,基础数据!A:B,2,FALSE)</f>
        <v>德州</v>
      </c>
      <c r="C57" s="10">
        <v>43882</v>
      </c>
      <c r="D57" s="13" t="s">
        <v>46</v>
      </c>
      <c r="E57" s="11">
        <v>4500053037</v>
      </c>
      <c r="F57" s="13" t="s">
        <v>163</v>
      </c>
      <c r="G57" s="11">
        <v>1120000884</v>
      </c>
      <c r="H57" s="13" t="s">
        <v>101</v>
      </c>
      <c r="I57" s="11">
        <v>4</v>
      </c>
      <c r="J57" s="11">
        <v>9344</v>
      </c>
      <c r="K57" s="10">
        <v>43894</v>
      </c>
      <c r="L57" s="13" t="s">
        <v>404</v>
      </c>
      <c r="M57" s="19" t="str">
        <f>VLOOKUP(H57,基础数据!G:H,2,FALSE)</f>
        <v>SR120Ⅲ大梁</v>
      </c>
    </row>
    <row r="58" spans="1:13" s="12" customFormat="1">
      <c r="A58" s="11">
        <v>1570</v>
      </c>
      <c r="B58" s="13" t="str">
        <f>VLOOKUP(A58,基础数据!A:B,2,FALSE)</f>
        <v>德州</v>
      </c>
      <c r="C58" s="10">
        <v>43931</v>
      </c>
      <c r="D58" s="9"/>
      <c r="E58" s="11">
        <v>4500056702</v>
      </c>
      <c r="F58" s="9" t="s">
        <v>64</v>
      </c>
      <c r="G58" s="9">
        <v>1120000132</v>
      </c>
      <c r="H58" s="9" t="s">
        <v>22</v>
      </c>
      <c r="I58" s="11">
        <v>4</v>
      </c>
      <c r="J58" s="11">
        <v>8956</v>
      </c>
      <c r="K58" s="10">
        <v>43956</v>
      </c>
      <c r="L58" s="9" t="s">
        <v>405</v>
      </c>
      <c r="M58" s="19" t="str">
        <f>VLOOKUP(H58,基础数据!G:H,2,FALSE)</f>
        <v>SR120大梁</v>
      </c>
    </row>
    <row r="59" spans="1:13" s="12" customFormat="1">
      <c r="A59" s="11">
        <v>1570</v>
      </c>
      <c r="B59" s="13" t="str">
        <f>VLOOKUP(A59,基础数据!A:B,2,FALSE)</f>
        <v>德州</v>
      </c>
      <c r="C59" s="10">
        <v>43931</v>
      </c>
      <c r="D59" s="9"/>
      <c r="E59" s="11">
        <v>4500056702</v>
      </c>
      <c r="F59" s="9">
        <v>1106524</v>
      </c>
      <c r="G59" s="9">
        <v>1120000131</v>
      </c>
      <c r="H59" s="9" t="s">
        <v>21</v>
      </c>
      <c r="I59" s="11">
        <f>60-8-6-14-6-4-8</f>
        <v>14</v>
      </c>
      <c r="J59" s="11">
        <v>6230</v>
      </c>
      <c r="K59" s="10">
        <v>43956</v>
      </c>
      <c r="L59" s="9" t="s">
        <v>411</v>
      </c>
      <c r="M59" s="19" t="str">
        <f>VLOOKUP(H59,基础数据!G:H,2,FALSE)</f>
        <v>SR120后缘</v>
      </c>
    </row>
    <row r="60" spans="1:13" s="12" customFormat="1">
      <c r="A60" s="11">
        <v>1570</v>
      </c>
      <c r="B60" s="13" t="str">
        <f>VLOOKUP(A60,基础数据!A:B,2,FALSE)</f>
        <v>德州</v>
      </c>
      <c r="C60" s="10">
        <v>43931</v>
      </c>
      <c r="D60" s="9"/>
      <c r="E60" s="11">
        <v>4500056702</v>
      </c>
      <c r="F60" s="9" t="s">
        <v>64</v>
      </c>
      <c r="G60" s="9">
        <v>1120000132</v>
      </c>
      <c r="H60" s="9" t="s">
        <v>22</v>
      </c>
      <c r="I60" s="11">
        <v>7</v>
      </c>
      <c r="J60" s="11">
        <v>15673</v>
      </c>
      <c r="K60" s="10">
        <v>43956</v>
      </c>
      <c r="L60" s="9" t="s">
        <v>412</v>
      </c>
      <c r="M60" s="19" t="str">
        <f>VLOOKUP(H60,基础数据!G:H,2,FALSE)</f>
        <v>SR120大梁</v>
      </c>
    </row>
    <row r="61" spans="1:13" s="19" customFormat="1">
      <c r="A61" s="13">
        <v>1570</v>
      </c>
      <c r="B61" s="13" t="str">
        <f>VLOOKUP(A61,基础数据!A:B,2,FALSE)</f>
        <v>德州</v>
      </c>
      <c r="C61" s="10">
        <v>43882</v>
      </c>
      <c r="D61" s="13" t="s">
        <v>46</v>
      </c>
      <c r="E61" s="11">
        <v>4500053037</v>
      </c>
      <c r="F61" s="13" t="s">
        <v>163</v>
      </c>
      <c r="G61" s="11">
        <v>1120000884</v>
      </c>
      <c r="H61" s="13" t="s">
        <v>101</v>
      </c>
      <c r="I61" s="11">
        <v>2</v>
      </c>
      <c r="J61" s="11">
        <v>4672</v>
      </c>
      <c r="K61" s="10">
        <v>43894</v>
      </c>
      <c r="L61" s="13" t="s">
        <v>413</v>
      </c>
      <c r="M61" s="19" t="str">
        <f>VLOOKUP(H61,基础数据!G:H,2,FALSE)</f>
        <v>SR120Ⅲ大梁</v>
      </c>
    </row>
    <row r="62" spans="1:13" s="12" customFormat="1">
      <c r="A62" s="11">
        <v>1570</v>
      </c>
      <c r="B62" s="13" t="str">
        <f>VLOOKUP(A62,基础数据!A:B,2,FALSE)</f>
        <v>德州</v>
      </c>
      <c r="C62" s="10">
        <v>43959</v>
      </c>
      <c r="D62" s="9"/>
      <c r="E62" s="11">
        <v>4500059014</v>
      </c>
      <c r="F62" s="13" t="s">
        <v>163</v>
      </c>
      <c r="G62" s="11">
        <v>1120000884</v>
      </c>
      <c r="H62" s="9" t="s">
        <v>101</v>
      </c>
      <c r="I62" s="11">
        <v>5</v>
      </c>
      <c r="J62" s="11">
        <v>11680</v>
      </c>
      <c r="K62" s="10">
        <v>43984</v>
      </c>
      <c r="L62" s="9" t="s">
        <v>414</v>
      </c>
      <c r="M62" s="19" t="str">
        <f>VLOOKUP(H62,基础数据!G:H,2,FALSE)</f>
        <v>SR120Ⅲ大梁</v>
      </c>
    </row>
    <row r="63" spans="1:13" s="12" customFormat="1">
      <c r="A63" s="11">
        <v>1570</v>
      </c>
      <c r="B63" s="13" t="str">
        <f>VLOOKUP(A63,基础数据!A:B,2,FALSE)</f>
        <v>德州</v>
      </c>
      <c r="C63" s="10">
        <v>43931</v>
      </c>
      <c r="D63" s="9"/>
      <c r="E63" s="11">
        <v>4500056702</v>
      </c>
      <c r="F63" s="9" t="s">
        <v>64</v>
      </c>
      <c r="G63" s="9">
        <v>1120000132</v>
      </c>
      <c r="H63" s="9" t="s">
        <v>22</v>
      </c>
      <c r="I63" s="11">
        <f>60-6-6-4-2-8-8-7-4-7</f>
        <v>8</v>
      </c>
      <c r="J63" s="11">
        <v>17024</v>
      </c>
      <c r="K63" s="10">
        <v>43956</v>
      </c>
      <c r="L63" s="9" t="s">
        <v>421</v>
      </c>
      <c r="M63" s="19" t="str">
        <f>VLOOKUP(H63,基础数据!G:H,2,FALSE)</f>
        <v>SR120大梁</v>
      </c>
    </row>
    <row r="64" spans="1:13" s="12" customFormat="1">
      <c r="A64" s="11">
        <v>1570</v>
      </c>
      <c r="B64" s="13" t="str">
        <f>VLOOKUP(A64,基础数据!A:B,2,FALSE)</f>
        <v>德州</v>
      </c>
      <c r="C64" s="10">
        <v>43938</v>
      </c>
      <c r="D64" s="9"/>
      <c r="E64" s="11">
        <v>4500057378</v>
      </c>
      <c r="F64" s="9" t="s">
        <v>64</v>
      </c>
      <c r="G64" s="11">
        <v>1120000132</v>
      </c>
      <c r="H64" s="9" t="s">
        <v>22</v>
      </c>
      <c r="I64" s="11">
        <v>1</v>
      </c>
      <c r="J64" s="11">
        <v>2239</v>
      </c>
      <c r="K64" s="10">
        <v>43962</v>
      </c>
      <c r="L64" s="20" t="s">
        <v>1216</v>
      </c>
      <c r="M64" s="19" t="str">
        <f>VLOOKUP(H64,基础数据!G:H,2,FALSE)</f>
        <v>SR120大梁</v>
      </c>
    </row>
    <row r="65" spans="1:13" s="12" customFormat="1">
      <c r="A65" s="11">
        <v>1570</v>
      </c>
      <c r="B65" s="13" t="str">
        <f>VLOOKUP(A65,基础数据!A:B,2,FALSE)</f>
        <v>德州</v>
      </c>
      <c r="C65" s="10">
        <v>43938</v>
      </c>
      <c r="D65" s="9"/>
      <c r="E65" s="11">
        <v>4500057378</v>
      </c>
      <c r="F65" s="9">
        <v>1106524</v>
      </c>
      <c r="G65" s="11">
        <v>1120000131</v>
      </c>
      <c r="H65" s="9" t="s">
        <v>21</v>
      </c>
      <c r="I65" s="11">
        <v>8</v>
      </c>
      <c r="J65" s="11">
        <v>3560</v>
      </c>
      <c r="K65" s="10">
        <v>43963</v>
      </c>
      <c r="L65" s="20" t="s">
        <v>445</v>
      </c>
      <c r="M65" s="19" t="str">
        <f>VLOOKUP(H65,基础数据!G:H,2,FALSE)</f>
        <v>SR120后缘</v>
      </c>
    </row>
    <row r="66" spans="1:13" s="12" customFormat="1">
      <c r="A66" s="11">
        <v>1570</v>
      </c>
      <c r="B66" s="13" t="str">
        <f>VLOOKUP(A66,基础数据!A:B,2,FALSE)</f>
        <v>德州</v>
      </c>
      <c r="C66" s="10">
        <v>43959</v>
      </c>
      <c r="D66" s="9"/>
      <c r="E66" s="11">
        <v>4500059014</v>
      </c>
      <c r="F66" s="9"/>
      <c r="G66" s="11">
        <v>1120000131</v>
      </c>
      <c r="H66" s="9" t="s">
        <v>21</v>
      </c>
      <c r="I66" s="11">
        <v>4</v>
      </c>
      <c r="J66" s="11">
        <v>1780</v>
      </c>
      <c r="K66" s="10">
        <v>43976</v>
      </c>
      <c r="L66" s="9" t="s">
        <v>446</v>
      </c>
      <c r="M66" s="19" t="str">
        <f>VLOOKUP(H66,基础数据!G:H,2,FALSE)</f>
        <v>SR120后缘</v>
      </c>
    </row>
    <row r="67" spans="1:13" s="12" customFormat="1">
      <c r="A67" s="11">
        <v>1570</v>
      </c>
      <c r="B67" s="13" t="str">
        <f>VLOOKUP(A67,基础数据!A:B,2,FALSE)</f>
        <v>德州</v>
      </c>
      <c r="C67" s="10">
        <v>43938</v>
      </c>
      <c r="D67" s="9"/>
      <c r="E67" s="11">
        <v>4500057378</v>
      </c>
      <c r="F67" s="9" t="s">
        <v>64</v>
      </c>
      <c r="G67" s="11">
        <v>1120000132</v>
      </c>
      <c r="H67" s="9" t="s">
        <v>22</v>
      </c>
      <c r="I67" s="11">
        <v>2</v>
      </c>
      <c r="J67" s="11">
        <v>2260</v>
      </c>
      <c r="K67" s="10">
        <v>43962</v>
      </c>
      <c r="L67" s="20" t="s">
        <v>448</v>
      </c>
      <c r="M67" s="19" t="str">
        <f>VLOOKUP(H67,基础数据!G:H,2,FALSE)</f>
        <v>SR120大梁</v>
      </c>
    </row>
    <row r="68" spans="1:13" s="12" customFormat="1">
      <c r="A68" s="11">
        <v>1570</v>
      </c>
      <c r="B68" s="13" t="str">
        <f>VLOOKUP(A68,基础数据!A:B,2,FALSE)</f>
        <v>德州</v>
      </c>
      <c r="C68" s="10">
        <v>43959</v>
      </c>
      <c r="D68" s="9"/>
      <c r="E68" s="11">
        <v>4500059014</v>
      </c>
      <c r="F68" s="9" t="s">
        <v>64</v>
      </c>
      <c r="G68" s="11">
        <v>1120000132</v>
      </c>
      <c r="H68" s="9" t="s">
        <v>22</v>
      </c>
      <c r="I68" s="11">
        <v>5</v>
      </c>
      <c r="J68" s="11">
        <v>5650</v>
      </c>
      <c r="K68" s="10">
        <v>43976</v>
      </c>
      <c r="L68" s="9" t="s">
        <v>447</v>
      </c>
      <c r="M68" s="19" t="str">
        <f>VLOOKUP(H68,基础数据!G:H,2,FALSE)</f>
        <v>SR120大梁</v>
      </c>
    </row>
    <row r="69" spans="1:13" s="12" customFormat="1">
      <c r="A69" s="11">
        <v>1570</v>
      </c>
      <c r="B69" s="13" t="str">
        <f>VLOOKUP(A69,基础数据!A:B,2,FALSE)</f>
        <v>德州</v>
      </c>
      <c r="C69" s="10">
        <v>43966</v>
      </c>
      <c r="D69" s="9"/>
      <c r="E69" s="11">
        <v>4500059598</v>
      </c>
      <c r="F69" s="13" t="s">
        <v>163</v>
      </c>
      <c r="G69" s="11">
        <v>1120000884</v>
      </c>
      <c r="H69" s="9" t="s">
        <v>101</v>
      </c>
      <c r="I69" s="11">
        <v>6</v>
      </c>
      <c r="J69" s="11">
        <v>6906</v>
      </c>
      <c r="K69" s="10">
        <v>43990</v>
      </c>
      <c r="L69" s="9" t="s">
        <v>449</v>
      </c>
      <c r="M69" s="19" t="str">
        <f>VLOOKUP(H69,基础数据!G:H,2,FALSE)</f>
        <v>SR120Ⅲ大梁</v>
      </c>
    </row>
    <row r="70" spans="1:13" s="12" customFormat="1">
      <c r="A70" s="11">
        <v>1570</v>
      </c>
      <c r="B70" s="13" t="str">
        <f>VLOOKUP(A70,基础数据!A:B,2,FALSE)</f>
        <v>德州</v>
      </c>
      <c r="C70" s="10">
        <v>43966</v>
      </c>
      <c r="D70" s="9"/>
      <c r="E70" s="11">
        <v>4500059598</v>
      </c>
      <c r="F70" s="9"/>
      <c r="G70" s="11">
        <v>1120000885</v>
      </c>
      <c r="H70" s="9" t="s">
        <v>102</v>
      </c>
      <c r="I70" s="11">
        <v>8</v>
      </c>
      <c r="J70" s="11">
        <v>3736</v>
      </c>
      <c r="K70" s="10">
        <v>43990</v>
      </c>
      <c r="L70" s="9" t="s">
        <v>450</v>
      </c>
      <c r="M70" s="19" t="str">
        <f>VLOOKUP(H70,基础数据!G:H,2,FALSE)</f>
        <v>SR120Ⅲ后缘</v>
      </c>
    </row>
    <row r="71" spans="1:13" s="12" customFormat="1">
      <c r="A71" s="11">
        <v>1570</v>
      </c>
      <c r="B71" s="13" t="str">
        <f>VLOOKUP(A71,基础数据!A:B,2,FALSE)</f>
        <v>德州</v>
      </c>
      <c r="C71" s="10">
        <v>43959</v>
      </c>
      <c r="D71" s="9"/>
      <c r="E71" s="11">
        <v>4500059014</v>
      </c>
      <c r="F71" s="9"/>
      <c r="G71" s="11">
        <v>1120000131</v>
      </c>
      <c r="H71" s="9" t="s">
        <v>21</v>
      </c>
      <c r="I71" s="11">
        <v>6</v>
      </c>
      <c r="J71" s="11">
        <v>2670</v>
      </c>
      <c r="K71" s="10">
        <v>43976</v>
      </c>
      <c r="L71" s="9" t="s">
        <v>466</v>
      </c>
      <c r="M71" s="19" t="str">
        <f>VLOOKUP(H71,基础数据!G:H,2,FALSE)</f>
        <v>SR120后缘</v>
      </c>
    </row>
    <row r="72" spans="1:13" s="12" customFormat="1">
      <c r="A72" s="11">
        <v>1570</v>
      </c>
      <c r="B72" s="13" t="str">
        <f>VLOOKUP(A72,基础数据!A:B,2,FALSE)</f>
        <v>德州</v>
      </c>
      <c r="C72" s="10">
        <v>43966</v>
      </c>
      <c r="D72" s="9"/>
      <c r="E72" s="11">
        <v>4500059598</v>
      </c>
      <c r="F72" s="9"/>
      <c r="G72" s="11">
        <v>1120000131</v>
      </c>
      <c r="H72" s="9" t="s">
        <v>21</v>
      </c>
      <c r="I72" s="11">
        <v>4</v>
      </c>
      <c r="J72" s="11">
        <v>1780</v>
      </c>
      <c r="K72" s="10">
        <v>43990</v>
      </c>
      <c r="L72" s="9" t="s">
        <v>465</v>
      </c>
      <c r="M72" s="19" t="str">
        <f>VLOOKUP(H72,基础数据!G:H,2,FALSE)</f>
        <v>SR120后缘</v>
      </c>
    </row>
    <row r="73" spans="1:13" s="12" customFormat="1">
      <c r="A73" s="11">
        <v>1570</v>
      </c>
      <c r="B73" s="13" t="str">
        <f>VLOOKUP(A73,基础数据!A:B,2,FALSE)</f>
        <v>德州</v>
      </c>
      <c r="C73" s="10">
        <v>43959</v>
      </c>
      <c r="D73" s="9"/>
      <c r="E73" s="11">
        <v>4500059014</v>
      </c>
      <c r="F73" s="9" t="s">
        <v>64</v>
      </c>
      <c r="G73" s="11">
        <v>1120000132</v>
      </c>
      <c r="H73" s="9" t="s">
        <v>22</v>
      </c>
      <c r="I73" s="11">
        <v>5</v>
      </c>
      <c r="J73" s="11">
        <v>11195</v>
      </c>
      <c r="K73" s="10">
        <v>43976</v>
      </c>
      <c r="L73" s="9" t="s">
        <v>467</v>
      </c>
      <c r="M73" s="19" t="str">
        <f>VLOOKUP(H73,基础数据!G:H,2,FALSE)</f>
        <v>SR120大梁</v>
      </c>
    </row>
    <row r="74" spans="1:13" s="12" customFormat="1">
      <c r="A74" s="11">
        <v>1570</v>
      </c>
      <c r="B74" s="13" t="str">
        <f>VLOOKUP(A74,基础数据!A:B,2,FALSE)</f>
        <v>德州</v>
      </c>
      <c r="C74" s="10">
        <v>43966</v>
      </c>
      <c r="D74" s="9"/>
      <c r="E74" s="11">
        <v>4500059598</v>
      </c>
      <c r="F74" s="9" t="s">
        <v>64</v>
      </c>
      <c r="G74" s="11">
        <v>1120000132</v>
      </c>
      <c r="H74" s="9" t="s">
        <v>22</v>
      </c>
      <c r="I74" s="11">
        <v>1</v>
      </c>
      <c r="J74" s="11">
        <v>2239</v>
      </c>
      <c r="K74" s="10">
        <v>43990</v>
      </c>
      <c r="L74" s="9" t="s">
        <v>468</v>
      </c>
      <c r="M74" s="19" t="str">
        <f>VLOOKUP(H74,基础数据!G:H,2,FALSE)</f>
        <v>SR120大梁</v>
      </c>
    </row>
    <row r="75" spans="1:13" s="12" customFormat="1">
      <c r="A75" s="11">
        <v>1570</v>
      </c>
      <c r="B75" s="13" t="str">
        <f>VLOOKUP(A75,基础数据!A:B,2,FALSE)</f>
        <v>德州</v>
      </c>
      <c r="C75" s="10">
        <v>43978</v>
      </c>
      <c r="D75" s="9"/>
      <c r="E75" s="9" t="s">
        <v>461</v>
      </c>
      <c r="F75" s="9"/>
      <c r="G75" s="9"/>
      <c r="H75" s="9" t="s">
        <v>455</v>
      </c>
      <c r="I75" s="11"/>
      <c r="J75" s="11">
        <v>200</v>
      </c>
      <c r="K75" s="10">
        <v>43983</v>
      </c>
      <c r="L75" s="9" t="s">
        <v>469</v>
      </c>
      <c r="M75" s="19" t="e">
        <f>VLOOKUP(H75,基础数据!G:H,2,FALSE)</f>
        <v>#N/A</v>
      </c>
    </row>
    <row r="76" spans="1:13" s="12" customFormat="1">
      <c r="A76" s="11">
        <v>1570</v>
      </c>
      <c r="B76" s="13" t="str">
        <f>VLOOKUP(A76,基础数据!A:B,2,FALSE)</f>
        <v>德州</v>
      </c>
      <c r="C76" s="10">
        <v>43959</v>
      </c>
      <c r="D76" s="9"/>
      <c r="E76" s="11">
        <v>4500059014</v>
      </c>
      <c r="F76" s="13" t="s">
        <v>163</v>
      </c>
      <c r="G76" s="11">
        <v>1120000884</v>
      </c>
      <c r="H76" s="9" t="s">
        <v>101</v>
      </c>
      <c r="I76" s="11">
        <v>3</v>
      </c>
      <c r="J76" s="11">
        <v>6906</v>
      </c>
      <c r="K76" s="10">
        <v>43984</v>
      </c>
      <c r="L76" s="9" t="s">
        <v>471</v>
      </c>
      <c r="M76" s="19" t="str">
        <f>VLOOKUP(H76,基础数据!G:H,2,FALSE)</f>
        <v>SR120Ⅲ大梁</v>
      </c>
    </row>
    <row r="77" spans="1:13" s="12" customFormat="1">
      <c r="A77" s="11">
        <v>1570</v>
      </c>
      <c r="B77" s="13" t="str">
        <f>VLOOKUP(A77,基础数据!A:B,2,FALSE)</f>
        <v>德州</v>
      </c>
      <c r="C77" s="10">
        <v>43973</v>
      </c>
      <c r="D77" s="9"/>
      <c r="E77" s="11">
        <v>4500060320</v>
      </c>
      <c r="F77" s="9"/>
      <c r="G77" s="9" t="s">
        <v>109</v>
      </c>
      <c r="H77" s="9" t="s">
        <v>102</v>
      </c>
      <c r="I77" s="11">
        <f>8-4</f>
        <v>4</v>
      </c>
      <c r="J77" s="11">
        <v>1844</v>
      </c>
      <c r="K77" s="10">
        <v>43995</v>
      </c>
      <c r="L77" s="9" t="s">
        <v>472</v>
      </c>
      <c r="M77" s="19" t="str">
        <f>VLOOKUP(H77,基础数据!G:H,2,FALSE)</f>
        <v>SR120Ⅲ后缘</v>
      </c>
    </row>
    <row r="78" spans="1:13" s="12" customFormat="1">
      <c r="A78" s="11">
        <v>1570</v>
      </c>
      <c r="B78" s="13" t="str">
        <f>VLOOKUP(A78,基础数据!A:B,2,FALSE)</f>
        <v>德州</v>
      </c>
      <c r="C78" s="10">
        <v>43966</v>
      </c>
      <c r="D78" s="9"/>
      <c r="E78" s="11">
        <v>4500059598</v>
      </c>
      <c r="F78" s="9"/>
      <c r="G78" s="11">
        <v>1120000131</v>
      </c>
      <c r="H78" s="9" t="s">
        <v>21</v>
      </c>
      <c r="I78" s="11">
        <f>12-4-4</f>
        <v>4</v>
      </c>
      <c r="J78" s="11">
        <v>1780</v>
      </c>
      <c r="K78" s="10">
        <v>43990</v>
      </c>
      <c r="L78" s="9" t="s">
        <v>473</v>
      </c>
      <c r="M78" s="19" t="str">
        <f>VLOOKUP(H78,基础数据!G:H,2,FALSE)</f>
        <v>SR120后缘</v>
      </c>
    </row>
    <row r="79" spans="1:13" s="12" customFormat="1">
      <c r="A79" s="11">
        <v>1570</v>
      </c>
      <c r="B79" s="13" t="str">
        <f>VLOOKUP(A79,基础数据!A:B,2,FALSE)</f>
        <v>德州</v>
      </c>
      <c r="C79" s="10">
        <v>43966</v>
      </c>
      <c r="D79" s="9"/>
      <c r="E79" s="11">
        <v>4500059598</v>
      </c>
      <c r="F79" s="9" t="s">
        <v>64</v>
      </c>
      <c r="G79" s="11">
        <v>1120000132</v>
      </c>
      <c r="H79" s="9" t="s">
        <v>22</v>
      </c>
      <c r="I79" s="11">
        <v>4</v>
      </c>
      <c r="J79" s="11">
        <v>9040</v>
      </c>
      <c r="K79" s="10">
        <v>43990</v>
      </c>
      <c r="L79" s="9" t="s">
        <v>474</v>
      </c>
      <c r="M79" s="19" t="str">
        <f>VLOOKUP(H79,基础数据!G:H,2,FALSE)</f>
        <v>SR120大梁</v>
      </c>
    </row>
    <row r="80" spans="1:13" s="12" customFormat="1">
      <c r="A80" s="11">
        <v>1570</v>
      </c>
      <c r="B80" s="13" t="str">
        <f>VLOOKUP(A80,基础数据!A:B,2,FALSE)</f>
        <v>德州</v>
      </c>
      <c r="C80" s="10">
        <v>43966</v>
      </c>
      <c r="D80" s="9"/>
      <c r="E80" s="11">
        <v>4500059598</v>
      </c>
      <c r="F80" s="13" t="s">
        <v>163</v>
      </c>
      <c r="G80" s="11">
        <v>1120000884</v>
      </c>
      <c r="H80" s="9" t="s">
        <v>101</v>
      </c>
      <c r="I80" s="11">
        <v>2</v>
      </c>
      <c r="J80" s="11">
        <f>18646-6906-4672</f>
        <v>7068</v>
      </c>
      <c r="K80" s="10">
        <v>43990</v>
      </c>
      <c r="L80" s="9" t="s">
        <v>496</v>
      </c>
      <c r="M80" s="13" t="str">
        <f>VLOOKUP(H80,基础数据!G:H,2,FALSE)</f>
        <v>SR120Ⅲ大梁</v>
      </c>
    </row>
    <row r="81" spans="1:13" s="12" customFormat="1">
      <c r="A81" s="11">
        <v>1570</v>
      </c>
      <c r="B81" s="13" t="str">
        <f>VLOOKUP(A81,基础数据!A:B,2,FALSE)</f>
        <v>德州</v>
      </c>
      <c r="C81" s="10">
        <v>43966</v>
      </c>
      <c r="D81" s="9"/>
      <c r="E81" s="11">
        <v>4500059598</v>
      </c>
      <c r="F81" s="9"/>
      <c r="G81" s="11">
        <v>1120000131</v>
      </c>
      <c r="H81" s="9" t="s">
        <v>21</v>
      </c>
      <c r="I81" s="11">
        <v>4</v>
      </c>
      <c r="J81" s="11">
        <f>5701-1780-1780-1780</f>
        <v>361</v>
      </c>
      <c r="K81" s="10">
        <v>43990</v>
      </c>
      <c r="L81" s="9" t="s">
        <v>498</v>
      </c>
      <c r="M81" s="13" t="str">
        <f>VLOOKUP(H81,基础数据!G:H,2,FALSE)</f>
        <v>SR120后缘</v>
      </c>
    </row>
    <row r="82" spans="1:13" s="12" customFormat="1">
      <c r="A82" s="11">
        <v>1570</v>
      </c>
      <c r="B82" s="13" t="str">
        <f>VLOOKUP(A82,基础数据!A:B,2,FALSE)</f>
        <v>德州</v>
      </c>
      <c r="C82" s="10">
        <v>43973</v>
      </c>
      <c r="D82" s="9"/>
      <c r="E82" s="11">
        <v>4500060320</v>
      </c>
      <c r="F82" s="9"/>
      <c r="G82" s="11">
        <v>1120000131</v>
      </c>
      <c r="H82" s="9" t="s">
        <v>21</v>
      </c>
      <c r="I82" s="11">
        <v>4</v>
      </c>
      <c r="J82" s="11">
        <v>1780</v>
      </c>
      <c r="K82" s="10">
        <v>43985</v>
      </c>
      <c r="L82" s="9" t="s">
        <v>499</v>
      </c>
      <c r="M82" s="13" t="str">
        <f>VLOOKUP(H82,基础数据!G:H,2,FALSE)</f>
        <v>SR120后缘</v>
      </c>
    </row>
    <row r="83" spans="1:13" s="12" customFormat="1">
      <c r="A83" s="11">
        <v>1570</v>
      </c>
      <c r="B83" s="13" t="str">
        <f>VLOOKUP(A83,基础数据!A:B,2,FALSE)</f>
        <v>德州</v>
      </c>
      <c r="C83" s="10">
        <v>43973</v>
      </c>
      <c r="D83" s="9"/>
      <c r="E83" s="11">
        <v>4500060320</v>
      </c>
      <c r="F83" s="9"/>
      <c r="G83" s="11">
        <v>1120000884</v>
      </c>
      <c r="H83" s="9" t="s">
        <v>101</v>
      </c>
      <c r="I83" s="11">
        <f>8-4</f>
        <v>4</v>
      </c>
      <c r="J83" s="11">
        <v>9344</v>
      </c>
      <c r="K83" s="10">
        <v>43995</v>
      </c>
      <c r="L83" s="9" t="s">
        <v>500</v>
      </c>
      <c r="M83" s="13" t="str">
        <f>VLOOKUP(H83,基础数据!G:H,2,FALSE)</f>
        <v>SR120Ⅲ大梁</v>
      </c>
    </row>
    <row r="84" spans="1:13" s="12" customFormat="1">
      <c r="A84" s="11">
        <v>1570</v>
      </c>
      <c r="B84" s="13" t="str">
        <f>VLOOKUP(A84,基础数据!A:B,2,FALSE)</f>
        <v>德州</v>
      </c>
      <c r="C84" s="10">
        <v>43966</v>
      </c>
      <c r="D84" s="9"/>
      <c r="E84" s="11">
        <v>4500059598</v>
      </c>
      <c r="F84" s="9" t="s">
        <v>64</v>
      </c>
      <c r="G84" s="11">
        <v>1120000132</v>
      </c>
      <c r="H84" s="9" t="s">
        <v>22</v>
      </c>
      <c r="I84" s="11">
        <v>6</v>
      </c>
      <c r="J84" s="11">
        <v>13434</v>
      </c>
      <c r="K84" s="10">
        <v>43990</v>
      </c>
      <c r="L84" s="9" t="s">
        <v>501</v>
      </c>
      <c r="M84" s="13" t="str">
        <f>VLOOKUP(H84,基础数据!G:H,2,FALSE)</f>
        <v>SR120大梁</v>
      </c>
    </row>
    <row r="85" spans="1:13" s="12" customFormat="1">
      <c r="A85" s="11">
        <v>1570</v>
      </c>
      <c r="B85" s="13" t="str">
        <f>VLOOKUP(A85,基础数据!A:B,2,FALSE)</f>
        <v>德州</v>
      </c>
      <c r="C85" s="10">
        <v>43973</v>
      </c>
      <c r="D85" s="9"/>
      <c r="E85" s="11">
        <v>4500060320</v>
      </c>
      <c r="F85" s="9"/>
      <c r="G85" s="11">
        <v>1120000131</v>
      </c>
      <c r="H85" s="9" t="s">
        <v>21</v>
      </c>
      <c r="I85" s="11">
        <f>12-4</f>
        <v>8</v>
      </c>
      <c r="J85" s="11">
        <f>5701-1780</f>
        <v>3921</v>
      </c>
      <c r="K85" s="10">
        <v>43985</v>
      </c>
      <c r="L85" s="9" t="s">
        <v>514</v>
      </c>
      <c r="M85" s="13" t="str">
        <f>VLOOKUP(H85,基础数据!G:H,2,FALSE)</f>
        <v>SR120后缘</v>
      </c>
    </row>
    <row r="86" spans="1:13" s="12" customFormat="1">
      <c r="A86" s="11">
        <v>1570</v>
      </c>
      <c r="B86" s="13" t="str">
        <f>VLOOKUP(A86,基础数据!A:B,2,FALSE)</f>
        <v>德州</v>
      </c>
      <c r="C86" s="10">
        <v>43987</v>
      </c>
      <c r="D86" s="9"/>
      <c r="E86" s="11">
        <v>4500061548</v>
      </c>
      <c r="F86" s="9"/>
      <c r="G86" s="11">
        <v>1120000131</v>
      </c>
      <c r="H86" s="9" t="s">
        <v>21</v>
      </c>
      <c r="I86" s="11">
        <v>10</v>
      </c>
      <c r="J86" s="11">
        <v>4450</v>
      </c>
      <c r="K86" s="10">
        <v>44012</v>
      </c>
      <c r="L86" s="9" t="s">
        <v>515</v>
      </c>
      <c r="M86" s="13" t="str">
        <f>VLOOKUP(H86,基础数据!G:H,2,FALSE)</f>
        <v>SR120后缘</v>
      </c>
    </row>
    <row r="87" spans="1:13" s="12" customFormat="1">
      <c r="A87" s="11">
        <v>1570</v>
      </c>
      <c r="B87" s="13" t="str">
        <f>VLOOKUP(A87,基础数据!A:B,2,FALSE)</f>
        <v>德州</v>
      </c>
      <c r="C87" s="10">
        <v>43966</v>
      </c>
      <c r="D87" s="9"/>
      <c r="E87" s="11">
        <v>4500059598</v>
      </c>
      <c r="F87" s="9" t="s">
        <v>64</v>
      </c>
      <c r="G87" s="11">
        <v>1120000132</v>
      </c>
      <c r="H87" s="9" t="s">
        <v>22</v>
      </c>
      <c r="I87" s="11">
        <f>12-1-4-6</f>
        <v>1</v>
      </c>
      <c r="J87" s="11">
        <f>26690-2239-9040-13434</f>
        <v>1977</v>
      </c>
      <c r="K87" s="10">
        <v>43990</v>
      </c>
      <c r="L87" s="9" t="s">
        <v>516</v>
      </c>
      <c r="M87" s="13" t="str">
        <f>VLOOKUP(H87,基础数据!G:H,2,FALSE)</f>
        <v>SR120大梁</v>
      </c>
    </row>
    <row r="88" spans="1:13" s="12" customFormat="1">
      <c r="A88" s="11">
        <v>1570</v>
      </c>
      <c r="B88" s="13" t="str">
        <f>VLOOKUP(A88,基础数据!A:B,2,FALSE)</f>
        <v>德州</v>
      </c>
      <c r="C88" s="10">
        <v>43973</v>
      </c>
      <c r="D88" s="9"/>
      <c r="E88" s="11">
        <v>4500060320</v>
      </c>
      <c r="F88" s="9"/>
      <c r="G88" s="11">
        <v>1120000132</v>
      </c>
      <c r="H88" s="9" t="s">
        <v>22</v>
      </c>
      <c r="I88" s="11">
        <v>1</v>
      </c>
      <c r="J88" s="11">
        <v>2239</v>
      </c>
      <c r="K88" s="10">
        <v>43985</v>
      </c>
      <c r="L88" s="9" t="s">
        <v>517</v>
      </c>
      <c r="M88" s="13" t="str">
        <f>VLOOKUP(H88,基础数据!G:H,2,FALSE)</f>
        <v>SR120大梁</v>
      </c>
    </row>
    <row r="89" spans="1:13" s="12" customFormat="1">
      <c r="A89" s="11">
        <v>1570</v>
      </c>
      <c r="B89" s="13" t="str">
        <f>VLOOKUP(A89,基础数据!A:B,2,FALSE)</f>
        <v>德州</v>
      </c>
      <c r="C89" s="10">
        <v>43973</v>
      </c>
      <c r="D89" s="9"/>
      <c r="E89" s="11">
        <v>4500060320</v>
      </c>
      <c r="F89" s="9"/>
      <c r="G89" s="11">
        <v>1120000884</v>
      </c>
      <c r="H89" s="9" t="s">
        <v>101</v>
      </c>
      <c r="I89" s="11">
        <v>2</v>
      </c>
      <c r="J89" s="11">
        <v>4672</v>
      </c>
      <c r="K89" s="10">
        <v>43995</v>
      </c>
      <c r="L89" s="9" t="s">
        <v>518</v>
      </c>
      <c r="M89" s="13" t="str">
        <f>VLOOKUP(H89,基础数据!G:H,2,FALSE)</f>
        <v>SR120Ⅲ大梁</v>
      </c>
    </row>
    <row r="90" spans="1:13" s="12" customFormat="1">
      <c r="A90" s="11">
        <v>1570</v>
      </c>
      <c r="B90" s="13" t="str">
        <f>VLOOKUP(A90,基础数据!A:B,2,FALSE)</f>
        <v>德州</v>
      </c>
      <c r="C90" s="10">
        <v>43973</v>
      </c>
      <c r="D90" s="9"/>
      <c r="E90" s="11">
        <v>4500060320</v>
      </c>
      <c r="F90" s="9"/>
      <c r="G90" s="11">
        <v>1120000884</v>
      </c>
      <c r="H90" s="9" t="s">
        <v>101</v>
      </c>
      <c r="I90" s="11">
        <f>8-4-2</f>
        <v>2</v>
      </c>
      <c r="J90" s="11">
        <f>18646-9344-4672</f>
        <v>4630</v>
      </c>
      <c r="K90" s="10">
        <v>43995</v>
      </c>
      <c r="L90" s="9" t="s">
        <v>527</v>
      </c>
      <c r="M90" s="13" t="str">
        <f>VLOOKUP(H90,基础数据!G:H,2,FALSE)</f>
        <v>SR120Ⅲ大梁</v>
      </c>
    </row>
    <row r="91" spans="1:13" s="12" customFormat="1">
      <c r="A91" s="11">
        <v>1570</v>
      </c>
      <c r="B91" s="13" t="str">
        <f>VLOOKUP(A91,基础数据!A:B,2,FALSE)</f>
        <v>德州</v>
      </c>
      <c r="C91" s="10">
        <v>43973</v>
      </c>
      <c r="D91" s="9"/>
      <c r="E91" s="11">
        <v>4500060320</v>
      </c>
      <c r="F91" s="9"/>
      <c r="G91" s="11">
        <v>1120000132</v>
      </c>
      <c r="H91" s="9" t="s">
        <v>22</v>
      </c>
      <c r="I91" s="11">
        <v>7</v>
      </c>
      <c r="J91" s="11">
        <v>15673</v>
      </c>
      <c r="K91" s="10">
        <v>43985</v>
      </c>
      <c r="L91" s="9" t="s">
        <v>528</v>
      </c>
      <c r="M91" s="13" t="str">
        <f>VLOOKUP(H91,基础数据!G:H,2,FALSE)</f>
        <v>SR120大梁</v>
      </c>
    </row>
    <row r="92" spans="1:13" s="12" customFormat="1">
      <c r="A92" s="11">
        <v>1570</v>
      </c>
      <c r="B92" s="13" t="str">
        <f>VLOOKUP(A92,基础数据!A:B,2,FALSE)</f>
        <v>德州</v>
      </c>
      <c r="C92" s="10">
        <v>43973</v>
      </c>
      <c r="D92" s="9"/>
      <c r="E92" s="11">
        <v>4500060320</v>
      </c>
      <c r="F92" s="9"/>
      <c r="G92" s="11">
        <v>1120000132</v>
      </c>
      <c r="H92" s="9" t="s">
        <v>22</v>
      </c>
      <c r="I92" s="11">
        <f>12-1-7</f>
        <v>4</v>
      </c>
      <c r="J92" s="11">
        <f>26690-2239-15673</f>
        <v>8778</v>
      </c>
      <c r="K92" s="10">
        <v>43985</v>
      </c>
      <c r="L92" s="9" t="s">
        <v>533</v>
      </c>
      <c r="M92" s="13" t="str">
        <f>VLOOKUP(H92,基础数据!G:H,2,FALSE)</f>
        <v>SR120大梁</v>
      </c>
    </row>
    <row r="93" spans="1:13" s="12" customFormat="1">
      <c r="A93" s="11">
        <v>1570</v>
      </c>
      <c r="B93" s="13" t="str">
        <f>VLOOKUP(A93,基础数据!A:B,2,FALSE)</f>
        <v>德州</v>
      </c>
      <c r="C93" s="10">
        <v>43980</v>
      </c>
      <c r="D93" s="9"/>
      <c r="E93" s="11">
        <v>4500061002</v>
      </c>
      <c r="F93" s="9"/>
      <c r="G93" s="11">
        <v>1120000131</v>
      </c>
      <c r="H93" s="9" t="s">
        <v>21</v>
      </c>
      <c r="I93" s="11">
        <v>14</v>
      </c>
      <c r="J93" s="11">
        <v>6230</v>
      </c>
      <c r="K93" s="10">
        <v>44005</v>
      </c>
      <c r="L93" s="9" t="s">
        <v>534</v>
      </c>
      <c r="M93" s="13" t="str">
        <f>VLOOKUP(H93,基础数据!G:H,2,FALSE)</f>
        <v>SR120后缘</v>
      </c>
    </row>
    <row r="94" spans="1:13" s="12" customFormat="1">
      <c r="A94" s="11">
        <v>1570</v>
      </c>
      <c r="B94" s="13" t="str">
        <f>VLOOKUP(A94,基础数据!A:B,2,FALSE)</f>
        <v>德州</v>
      </c>
      <c r="C94" s="10">
        <v>43980</v>
      </c>
      <c r="D94" s="9"/>
      <c r="E94" s="11">
        <v>4500061002</v>
      </c>
      <c r="F94" s="9"/>
      <c r="G94" s="11">
        <v>1120000132</v>
      </c>
      <c r="H94" s="9" t="s">
        <v>22</v>
      </c>
      <c r="I94" s="11">
        <v>4</v>
      </c>
      <c r="J94" s="11">
        <v>8956</v>
      </c>
      <c r="K94" s="10">
        <v>44005</v>
      </c>
      <c r="L94" s="9" t="s">
        <v>539</v>
      </c>
      <c r="M94" s="13" t="str">
        <f>VLOOKUP(H94,基础数据!G:H,2,FALSE)</f>
        <v>SR120大梁</v>
      </c>
    </row>
    <row r="95" spans="1:13" s="12" customFormat="1">
      <c r="A95" s="11">
        <v>1570</v>
      </c>
      <c r="B95" s="13" t="str">
        <f>VLOOKUP(A95,基础数据!A:B,2,FALSE)</f>
        <v>德州</v>
      </c>
      <c r="C95" s="10">
        <v>43980</v>
      </c>
      <c r="D95" s="9"/>
      <c r="E95" s="11">
        <v>4500061002</v>
      </c>
      <c r="F95" s="9"/>
      <c r="G95" s="11">
        <v>1120000131</v>
      </c>
      <c r="H95" s="9" t="s">
        <v>21</v>
      </c>
      <c r="I95" s="11">
        <v>14</v>
      </c>
      <c r="J95" s="11">
        <v>6230</v>
      </c>
      <c r="K95" s="10">
        <v>44005</v>
      </c>
      <c r="L95" s="9" t="s">
        <v>540</v>
      </c>
      <c r="M95" s="13" t="str">
        <f>VLOOKUP(H95,基础数据!G:H,2,FALSE)</f>
        <v>SR120后缘</v>
      </c>
    </row>
    <row r="96" spans="1:13" s="12" customFormat="1">
      <c r="A96" s="11">
        <v>1570</v>
      </c>
      <c r="B96" s="13" t="str">
        <f>VLOOKUP(A96,基础数据!A:B,2,FALSE)</f>
        <v>德州</v>
      </c>
      <c r="C96" s="10">
        <v>43980</v>
      </c>
      <c r="D96" s="9"/>
      <c r="E96" s="11">
        <v>4500061002</v>
      </c>
      <c r="F96" s="9"/>
      <c r="G96" s="11">
        <v>1120000132</v>
      </c>
      <c r="H96" s="9" t="s">
        <v>22</v>
      </c>
      <c r="I96" s="11">
        <v>4</v>
      </c>
      <c r="J96" s="11">
        <v>8956</v>
      </c>
      <c r="K96" s="10">
        <v>44005</v>
      </c>
      <c r="L96" s="9" t="s">
        <v>547</v>
      </c>
      <c r="M96" s="13" t="str">
        <f>VLOOKUP(H96,基础数据!G:H,2,FALSE)</f>
        <v>SR120大梁</v>
      </c>
    </row>
    <row r="97" spans="1:13" s="12" customFormat="1">
      <c r="A97" s="11">
        <v>1570</v>
      </c>
      <c r="B97" s="13" t="str">
        <f>VLOOKUP(A97,基础数据!A:B,2,FALSE)</f>
        <v>德州</v>
      </c>
      <c r="C97" s="10">
        <v>43980</v>
      </c>
      <c r="D97" s="9"/>
      <c r="E97" s="11">
        <v>4500061002</v>
      </c>
      <c r="F97" s="9"/>
      <c r="G97" s="11">
        <v>1120000132</v>
      </c>
      <c r="H97" s="9" t="s">
        <v>22</v>
      </c>
      <c r="I97" s="11">
        <v>4</v>
      </c>
      <c r="J97" s="11">
        <v>8956</v>
      </c>
      <c r="K97" s="10">
        <v>44005</v>
      </c>
      <c r="L97" s="9" t="s">
        <v>556</v>
      </c>
      <c r="M97" s="13" t="str">
        <f>VLOOKUP(H97,基础数据!G:H,2,FALSE)</f>
        <v>SR120大梁</v>
      </c>
    </row>
    <row r="98" spans="1:13" s="12" customFormat="1">
      <c r="A98" s="11">
        <v>1570</v>
      </c>
      <c r="B98" s="13" t="str">
        <f>VLOOKUP(A98,基础数据!A:B,2,FALSE)</f>
        <v>德州</v>
      </c>
      <c r="C98" s="10">
        <v>43987</v>
      </c>
      <c r="D98" s="9"/>
      <c r="E98" s="11">
        <v>4500061548</v>
      </c>
      <c r="F98" s="9"/>
      <c r="G98" s="11">
        <v>1120000131</v>
      </c>
      <c r="H98" s="9" t="s">
        <v>21</v>
      </c>
      <c r="I98" s="11">
        <f>16-10</f>
        <v>6</v>
      </c>
      <c r="J98" s="11">
        <f>7601-4450</f>
        <v>3151</v>
      </c>
      <c r="K98" s="10">
        <v>44012</v>
      </c>
      <c r="L98" s="9" t="s">
        <v>557</v>
      </c>
      <c r="M98" s="13" t="str">
        <f>VLOOKUP(H98,基础数据!G:H,2,FALSE)</f>
        <v>SR120后缘</v>
      </c>
    </row>
    <row r="99" spans="1:13" s="12" customFormat="1">
      <c r="A99" s="11">
        <v>1570</v>
      </c>
      <c r="B99" s="13" t="str">
        <f>VLOOKUP(A99,基础数据!A:B,2,FALSE)</f>
        <v>德州</v>
      </c>
      <c r="C99" s="10">
        <v>43980</v>
      </c>
      <c r="D99" s="9"/>
      <c r="E99" s="11">
        <v>4500061002</v>
      </c>
      <c r="F99" s="9"/>
      <c r="G99" s="11">
        <v>1120000885</v>
      </c>
      <c r="H99" s="9" t="s">
        <v>102</v>
      </c>
      <c r="I99" s="11">
        <v>8</v>
      </c>
      <c r="J99" s="11">
        <v>3736</v>
      </c>
      <c r="K99" s="10">
        <v>44005</v>
      </c>
      <c r="L99" s="9" t="s">
        <v>559</v>
      </c>
      <c r="M99" s="13" t="str">
        <f>VLOOKUP(H99,基础数据!G:H,2,FALSE)</f>
        <v>SR120Ⅲ后缘</v>
      </c>
    </row>
    <row r="100" spans="1:13" s="12" customFormat="1">
      <c r="A100" s="11">
        <v>1570</v>
      </c>
      <c r="B100" s="13" t="str">
        <f>VLOOKUP(A100,基础数据!A:B,2,FALSE)</f>
        <v>德州</v>
      </c>
      <c r="C100" s="10">
        <v>43987</v>
      </c>
      <c r="D100" s="9"/>
      <c r="E100" s="11">
        <v>4500061548</v>
      </c>
      <c r="F100" s="9"/>
      <c r="G100" s="11">
        <v>1120000885</v>
      </c>
      <c r="H100" s="9" t="s">
        <v>102</v>
      </c>
      <c r="I100" s="11">
        <v>6</v>
      </c>
      <c r="J100" s="11">
        <v>2766</v>
      </c>
      <c r="K100" s="10">
        <v>44012</v>
      </c>
      <c r="L100" s="9" t="s">
        <v>558</v>
      </c>
      <c r="M100" s="13" t="str">
        <f>VLOOKUP(H100,基础数据!G:H,2,FALSE)</f>
        <v>SR120Ⅲ后缘</v>
      </c>
    </row>
    <row r="101" spans="1:13" s="12" customFormat="1">
      <c r="A101" s="11">
        <v>1570</v>
      </c>
      <c r="B101" s="13" t="str">
        <f>VLOOKUP(A101,基础数据!A:B,2,FALSE)</f>
        <v>德州</v>
      </c>
      <c r="C101" s="10">
        <v>43980</v>
      </c>
      <c r="D101" s="9"/>
      <c r="E101" s="11">
        <v>4500061002</v>
      </c>
      <c r="F101" s="9"/>
      <c r="G101" s="11">
        <v>1120000132</v>
      </c>
      <c r="H101" s="9" t="s">
        <v>22</v>
      </c>
      <c r="I101" s="11">
        <v>4</v>
      </c>
      <c r="J101" s="11">
        <v>8956</v>
      </c>
      <c r="K101" s="10">
        <v>44005</v>
      </c>
      <c r="L101" s="9" t="s">
        <v>565</v>
      </c>
      <c r="M101" s="13" t="str">
        <f>VLOOKUP(H101,基础数据!G:H,2,FALSE)</f>
        <v>SR120大梁</v>
      </c>
    </row>
    <row r="102" spans="1:13" s="12" customFormat="1">
      <c r="A102" s="11">
        <v>1570</v>
      </c>
      <c r="B102" s="13" t="str">
        <f>VLOOKUP(A102,基础数据!A:B,2,FALSE)</f>
        <v>德州</v>
      </c>
      <c r="C102" s="10">
        <v>43980</v>
      </c>
      <c r="D102" s="9"/>
      <c r="E102" s="11">
        <v>4500061002</v>
      </c>
      <c r="F102" s="9"/>
      <c r="G102" s="11">
        <v>1120000884</v>
      </c>
      <c r="H102" s="9" t="s">
        <v>101</v>
      </c>
      <c r="I102" s="11">
        <v>5</v>
      </c>
      <c r="J102" s="11">
        <v>11680</v>
      </c>
      <c r="K102" s="10">
        <v>44005</v>
      </c>
      <c r="L102" s="9" t="s">
        <v>566</v>
      </c>
      <c r="M102" s="13" t="str">
        <f>VLOOKUP(H102,基础数据!G:H,2,FALSE)</f>
        <v>SR120Ⅲ大梁</v>
      </c>
    </row>
    <row r="103" spans="1:13" s="12" customFormat="1">
      <c r="A103" s="11">
        <v>1570</v>
      </c>
      <c r="B103" s="13" t="str">
        <f>VLOOKUP(A103,基础数据!A:B,2,FALSE)</f>
        <v>德州</v>
      </c>
      <c r="C103" s="10">
        <v>43980</v>
      </c>
      <c r="D103" s="9"/>
      <c r="E103" s="11">
        <v>4500061002</v>
      </c>
      <c r="F103" s="9"/>
      <c r="G103" s="11">
        <v>1120000132</v>
      </c>
      <c r="H103" s="9" t="s">
        <v>22</v>
      </c>
      <c r="I103" s="11">
        <v>4</v>
      </c>
      <c r="J103" s="11">
        <v>8956</v>
      </c>
      <c r="K103" s="10">
        <v>44005</v>
      </c>
      <c r="L103" s="9" t="s">
        <v>569</v>
      </c>
      <c r="M103" s="13" t="str">
        <f>VLOOKUP(H103,基础数据!G:H,2,FALSE)</f>
        <v>SR120大梁</v>
      </c>
    </row>
    <row r="104" spans="1:13" s="12" customFormat="1">
      <c r="A104" s="11">
        <v>1570</v>
      </c>
      <c r="B104" s="13" t="str">
        <f>VLOOKUP(A104,基础数据!A:B,2,FALSE)</f>
        <v>德州</v>
      </c>
      <c r="C104" s="10">
        <v>43980</v>
      </c>
      <c r="D104" s="9"/>
      <c r="E104" s="11">
        <v>4500061002</v>
      </c>
      <c r="F104" s="9"/>
      <c r="G104" s="11">
        <v>1120000132</v>
      </c>
      <c r="H104" s="9" t="s">
        <v>22</v>
      </c>
      <c r="I104" s="11">
        <v>8</v>
      </c>
      <c r="J104" s="11">
        <v>17912</v>
      </c>
      <c r="K104" s="10">
        <v>44005</v>
      </c>
      <c r="L104" s="9" t="s">
        <v>573</v>
      </c>
      <c r="M104" s="13" t="str">
        <f>VLOOKUP(H104,基础数据!G:H,2,FALSE)</f>
        <v>SR120大梁</v>
      </c>
    </row>
    <row r="105" spans="1:13" s="12" customFormat="1">
      <c r="A105" s="11">
        <v>1570</v>
      </c>
      <c r="B105" s="13" t="str">
        <f>VLOOKUP(A105,基础数据!A:B,2,FALSE)</f>
        <v>德州</v>
      </c>
      <c r="C105" s="10">
        <v>43987</v>
      </c>
      <c r="D105" s="9"/>
      <c r="E105" s="11">
        <v>4500061548</v>
      </c>
      <c r="F105" s="9"/>
      <c r="G105" s="11">
        <v>1120000884</v>
      </c>
      <c r="H105" s="9" t="s">
        <v>101</v>
      </c>
      <c r="I105" s="11">
        <v>5</v>
      </c>
      <c r="J105" s="11">
        <v>11680</v>
      </c>
      <c r="K105" s="10">
        <v>44012</v>
      </c>
      <c r="L105" s="9" t="s">
        <v>579</v>
      </c>
      <c r="M105" s="13" t="str">
        <f>VLOOKUP(H105,基础数据!G:H,2,FALSE)</f>
        <v>SR120Ⅲ大梁</v>
      </c>
    </row>
    <row r="106" spans="1:13" s="12" customFormat="1">
      <c r="A106" s="11">
        <v>1570</v>
      </c>
      <c r="B106" s="13" t="str">
        <f>VLOOKUP(A106,基础数据!A:B,2,FALSE)</f>
        <v>德州</v>
      </c>
      <c r="C106" s="10">
        <v>44004</v>
      </c>
      <c r="D106" s="9"/>
      <c r="E106" s="11">
        <v>4500062993</v>
      </c>
      <c r="F106" s="11"/>
      <c r="G106" s="11">
        <v>1120000131</v>
      </c>
      <c r="H106" s="9" t="s">
        <v>21</v>
      </c>
      <c r="I106" s="11">
        <v>20</v>
      </c>
      <c r="J106" s="11">
        <v>9497</v>
      </c>
      <c r="K106" s="10">
        <v>44026</v>
      </c>
      <c r="L106" s="9" t="s">
        <v>580</v>
      </c>
      <c r="M106" s="13" t="str">
        <f>VLOOKUP(H106,基础数据!G:H,2,FALSE)</f>
        <v>SR120后缘</v>
      </c>
    </row>
    <row r="107" spans="1:13" s="12" customFormat="1">
      <c r="A107" s="11">
        <v>1570</v>
      </c>
      <c r="B107" s="13" t="str">
        <f>VLOOKUP(A107,基础数据!A:B,2,FALSE)</f>
        <v>德州</v>
      </c>
      <c r="C107" s="10">
        <v>43987</v>
      </c>
      <c r="D107" s="9"/>
      <c r="E107" s="11">
        <v>4500061548</v>
      </c>
      <c r="F107" s="9"/>
      <c r="G107" s="11">
        <v>1120000132</v>
      </c>
      <c r="H107" s="9" t="s">
        <v>22</v>
      </c>
      <c r="I107" s="11">
        <v>4</v>
      </c>
      <c r="J107" s="11">
        <v>8956</v>
      </c>
      <c r="K107" s="10">
        <v>44012</v>
      </c>
      <c r="L107" s="9" t="s">
        <v>581</v>
      </c>
      <c r="M107" s="13" t="str">
        <f>VLOOKUP(H107,基础数据!G:H,2,FALSE)</f>
        <v>SR120大梁</v>
      </c>
    </row>
    <row r="108" spans="1:13" s="12" customFormat="1">
      <c r="A108" s="11">
        <v>1570</v>
      </c>
      <c r="B108" s="13" t="str">
        <f>VLOOKUP(A108,基础数据!A:B,2,FALSE)</f>
        <v>德州</v>
      </c>
      <c r="C108" s="10">
        <v>43973</v>
      </c>
      <c r="D108" s="9"/>
      <c r="E108" s="11">
        <v>4500060320</v>
      </c>
      <c r="F108" s="9"/>
      <c r="G108" s="11">
        <v>1120000885</v>
      </c>
      <c r="H108" s="9" t="s">
        <v>102</v>
      </c>
      <c r="I108" s="11">
        <f>8-4</f>
        <v>4</v>
      </c>
      <c r="J108" s="11">
        <f>3736-1844</f>
        <v>1892</v>
      </c>
      <c r="K108" s="10">
        <v>43995</v>
      </c>
      <c r="L108" s="9" t="s">
        <v>582</v>
      </c>
      <c r="M108" s="13" t="str">
        <f>VLOOKUP(H108,基础数据!G:H,2,FALSE)</f>
        <v>SR120Ⅲ后缘</v>
      </c>
    </row>
    <row r="109" spans="1:13" s="12" customFormat="1">
      <c r="A109" s="11">
        <v>1570</v>
      </c>
      <c r="B109" s="13" t="str">
        <f>VLOOKUP(A109,基础数据!A:B,2,FALSE)</f>
        <v>德州</v>
      </c>
      <c r="C109" s="10">
        <v>43987</v>
      </c>
      <c r="D109" s="9"/>
      <c r="E109" s="11">
        <v>4500061548</v>
      </c>
      <c r="F109" s="9"/>
      <c r="G109" s="11">
        <v>1120000885</v>
      </c>
      <c r="H109" s="9" t="s">
        <v>102</v>
      </c>
      <c r="I109" s="11">
        <f>8-6</f>
        <v>2</v>
      </c>
      <c r="J109" s="11">
        <f>3736-2766</f>
        <v>970</v>
      </c>
      <c r="K109" s="10">
        <v>44012</v>
      </c>
      <c r="L109" s="9" t="s">
        <v>583</v>
      </c>
      <c r="M109" s="13" t="str">
        <f>VLOOKUP(H109,基础数据!G:H,2,FALSE)</f>
        <v>SR120Ⅲ后缘</v>
      </c>
    </row>
    <row r="110" spans="1:13" s="12" customFormat="1">
      <c r="A110" s="11">
        <v>1570</v>
      </c>
      <c r="B110" s="13" t="str">
        <f>VLOOKUP(A110,基础数据!A:B,2,FALSE)</f>
        <v>德州</v>
      </c>
      <c r="C110" s="10">
        <v>44004</v>
      </c>
      <c r="D110" s="9"/>
      <c r="E110" s="11">
        <v>4500062993</v>
      </c>
      <c r="F110" s="11"/>
      <c r="G110" s="11">
        <v>1120000885</v>
      </c>
      <c r="H110" s="9" t="s">
        <v>102</v>
      </c>
      <c r="I110" s="11">
        <v>8</v>
      </c>
      <c r="J110" s="11">
        <f>1868+1724</f>
        <v>3592</v>
      </c>
      <c r="K110" s="10">
        <v>44026</v>
      </c>
      <c r="L110" s="9" t="s">
        <v>587</v>
      </c>
      <c r="M110" s="13" t="str">
        <f>VLOOKUP(H110,基础数据!G:H,2,FALSE)</f>
        <v>SR120Ⅲ后缘</v>
      </c>
    </row>
    <row r="111" spans="1:13" s="12" customFormat="1">
      <c r="A111" s="11">
        <v>1570</v>
      </c>
      <c r="B111" s="13" t="str">
        <f>VLOOKUP(A111,基础数据!A:B,2,FALSE)</f>
        <v>德州</v>
      </c>
      <c r="C111" s="10">
        <v>43987</v>
      </c>
      <c r="D111" s="9"/>
      <c r="E111" s="11">
        <v>4500061548</v>
      </c>
      <c r="F111" s="9"/>
      <c r="G111" s="11">
        <v>1120000132</v>
      </c>
      <c r="H111" s="9" t="s">
        <v>22</v>
      </c>
      <c r="I111" s="11">
        <v>4</v>
      </c>
      <c r="J111" s="11">
        <v>8956</v>
      </c>
      <c r="K111" s="10">
        <v>44012</v>
      </c>
      <c r="L111" s="9" t="s">
        <v>591</v>
      </c>
      <c r="M111" s="13" t="str">
        <f>VLOOKUP(H111,基础数据!G:H,2,FALSE)</f>
        <v>SR120大梁</v>
      </c>
    </row>
    <row r="112" spans="1:13" s="12" customFormat="1">
      <c r="A112" s="11">
        <v>1570</v>
      </c>
      <c r="B112" s="13" t="str">
        <f>VLOOKUP(A112,基础数据!A:B,2,FALSE)</f>
        <v>德州</v>
      </c>
      <c r="C112" s="10">
        <v>43980</v>
      </c>
      <c r="D112" s="9"/>
      <c r="E112" s="11">
        <v>4500061002</v>
      </c>
      <c r="F112" s="9"/>
      <c r="G112" s="11">
        <v>1120000884</v>
      </c>
      <c r="H112" s="9" t="s">
        <v>101</v>
      </c>
      <c r="I112" s="11">
        <f>8-5</f>
        <v>3</v>
      </c>
      <c r="J112" s="11">
        <f>18646-11680</f>
        <v>6966</v>
      </c>
      <c r="K112" s="10">
        <v>44005</v>
      </c>
      <c r="L112" s="9" t="s">
        <v>592</v>
      </c>
      <c r="M112" s="13" t="str">
        <f>VLOOKUP(H112,基础数据!G:H,2,FALSE)</f>
        <v>SR120Ⅲ大梁</v>
      </c>
    </row>
    <row r="113" spans="1:13" s="12" customFormat="1">
      <c r="A113" s="11">
        <v>1570</v>
      </c>
      <c r="B113" s="13" t="str">
        <f>VLOOKUP(A113,基础数据!A:B,2,FALSE)</f>
        <v>德州</v>
      </c>
      <c r="C113" s="10">
        <v>43987</v>
      </c>
      <c r="D113" s="9"/>
      <c r="E113" s="11">
        <v>4500061548</v>
      </c>
      <c r="F113" s="9"/>
      <c r="G113" s="11">
        <v>1120000132</v>
      </c>
      <c r="H113" s="9" t="s">
        <v>22</v>
      </c>
      <c r="I113" s="11">
        <f>16-4-4</f>
        <v>8</v>
      </c>
      <c r="J113" s="11">
        <f>35587-8956-8956</f>
        <v>17675</v>
      </c>
      <c r="K113" s="10">
        <v>44012</v>
      </c>
      <c r="L113" s="9" t="s">
        <v>598</v>
      </c>
      <c r="M113" s="13" t="str">
        <f>VLOOKUP(H113,基础数据!G:H,2,FALSE)</f>
        <v>SR120大梁</v>
      </c>
    </row>
    <row r="114" spans="1:13" s="12" customFormat="1">
      <c r="A114" s="11">
        <v>1570</v>
      </c>
      <c r="B114" s="13" t="str">
        <f>VLOOKUP(A114,基础数据!A:B,2,FALSE)</f>
        <v>德州</v>
      </c>
      <c r="C114" s="10">
        <v>43987</v>
      </c>
      <c r="D114" s="9"/>
      <c r="E114" s="11">
        <v>4500061548</v>
      </c>
      <c r="F114" s="9"/>
      <c r="G114" s="11">
        <v>1120000884</v>
      </c>
      <c r="H114" s="9" t="s">
        <v>101</v>
      </c>
      <c r="I114" s="11">
        <f>8-5</f>
        <v>3</v>
      </c>
      <c r="J114" s="11">
        <f>18646-11680</f>
        <v>6966</v>
      </c>
      <c r="K114" s="10">
        <v>44012</v>
      </c>
      <c r="L114" s="9" t="s">
        <v>607</v>
      </c>
      <c r="M114" s="13" t="str">
        <f>VLOOKUP(H114,基础数据!G:H,2,FALSE)</f>
        <v>SR120Ⅲ大梁</v>
      </c>
    </row>
    <row r="115" spans="1:13" s="12" customFormat="1">
      <c r="A115" s="11">
        <v>1570</v>
      </c>
      <c r="B115" s="13" t="str">
        <f>VLOOKUP(A115,基础数据!A:B,2,FALSE)</f>
        <v>德州</v>
      </c>
      <c r="C115" s="10">
        <v>43980</v>
      </c>
      <c r="D115" s="9"/>
      <c r="E115" s="11">
        <v>4500061002</v>
      </c>
      <c r="F115" s="9"/>
      <c r="G115" s="11">
        <v>1120000132</v>
      </c>
      <c r="H115" s="9" t="s">
        <v>22</v>
      </c>
      <c r="I115" s="11">
        <f>30-4-4-4-4-4-8</f>
        <v>2</v>
      </c>
      <c r="J115" s="11">
        <f>66726-8956-8956-8956-8956-8956-17912</f>
        <v>4034</v>
      </c>
      <c r="K115" s="10">
        <v>44005</v>
      </c>
      <c r="L115" s="9" t="s">
        <v>608</v>
      </c>
      <c r="M115" s="13" t="str">
        <f>VLOOKUP(H115,基础数据!G:H,2,FALSE)</f>
        <v>SR120大梁</v>
      </c>
    </row>
    <row r="116" spans="1:13" s="12" customFormat="1">
      <c r="A116" s="11">
        <v>1570</v>
      </c>
      <c r="B116" s="13" t="str">
        <f>VLOOKUP(A116,基础数据!A:B,2,FALSE)</f>
        <v>德州</v>
      </c>
      <c r="C116" s="10">
        <v>44004</v>
      </c>
      <c r="D116" s="9"/>
      <c r="E116" s="11">
        <v>4500062993</v>
      </c>
      <c r="F116" s="11"/>
      <c r="G116" s="11">
        <v>1120000132</v>
      </c>
      <c r="H116" s="9" t="s">
        <v>22</v>
      </c>
      <c r="I116" s="11">
        <v>4</v>
      </c>
      <c r="J116" s="11">
        <v>8956</v>
      </c>
      <c r="K116" s="10">
        <v>44026</v>
      </c>
      <c r="L116" s="9" t="s">
        <v>609</v>
      </c>
      <c r="M116" s="13" t="str">
        <f>VLOOKUP(H116,基础数据!G:H,2,FALSE)</f>
        <v>SR120大梁</v>
      </c>
    </row>
    <row r="117" spans="1:13" s="12" customFormat="1">
      <c r="A117" s="11">
        <v>1570</v>
      </c>
      <c r="B117" s="13" t="str">
        <f>VLOOKUP(A117,基础数据!A:B,2,FALSE)</f>
        <v>德州</v>
      </c>
      <c r="C117" s="10">
        <v>43980</v>
      </c>
      <c r="D117" s="9"/>
      <c r="E117" s="11">
        <v>4500061002</v>
      </c>
      <c r="F117" s="9"/>
      <c r="G117" s="11">
        <v>1120000131</v>
      </c>
      <c r="H117" s="9" t="s">
        <v>21</v>
      </c>
      <c r="I117" s="11">
        <f>30-14-14</f>
        <v>2</v>
      </c>
      <c r="J117" s="11">
        <f>14253-6230-6230</f>
        <v>1793</v>
      </c>
      <c r="K117" s="10">
        <v>44005</v>
      </c>
      <c r="L117" s="9" t="s">
        <v>540</v>
      </c>
      <c r="M117" s="13" t="str">
        <f>VLOOKUP(H117,基础数据!G:H,2,FALSE)</f>
        <v>SR120后缘</v>
      </c>
    </row>
    <row r="118" spans="1:13" s="12" customFormat="1">
      <c r="A118" s="11">
        <v>1570</v>
      </c>
      <c r="B118" s="13" t="str">
        <f>VLOOKUP(A118,基础数据!A:B,2,FALSE)</f>
        <v>德州</v>
      </c>
      <c r="C118" s="10">
        <v>44010</v>
      </c>
      <c r="D118" s="9"/>
      <c r="E118" s="11">
        <v>4500063460</v>
      </c>
      <c r="F118" s="9"/>
      <c r="G118" s="11">
        <v>1120000131</v>
      </c>
      <c r="H118" s="9" t="s">
        <v>21</v>
      </c>
      <c r="I118" s="11">
        <v>2</v>
      </c>
      <c r="J118" s="11">
        <v>890</v>
      </c>
      <c r="K118" s="10">
        <v>44035</v>
      </c>
      <c r="L118" s="9" t="s">
        <v>610</v>
      </c>
      <c r="M118" s="13" t="str">
        <f>VLOOKUP(H118,基础数据!G:H,2,FALSE)</f>
        <v>SR120后缘</v>
      </c>
    </row>
    <row r="119" spans="1:13" s="12" customFormat="1">
      <c r="A119" s="11">
        <v>1570</v>
      </c>
      <c r="B119" s="13" t="str">
        <f>VLOOKUP(A119,基础数据!A:B,2,FALSE)</f>
        <v>德州</v>
      </c>
      <c r="C119" s="10">
        <v>44010</v>
      </c>
      <c r="D119" s="9"/>
      <c r="E119" s="11">
        <v>4500063460</v>
      </c>
      <c r="F119" s="9"/>
      <c r="G119" s="11">
        <v>1120000132</v>
      </c>
      <c r="H119" s="9" t="s">
        <v>22</v>
      </c>
      <c r="I119" s="11">
        <v>8</v>
      </c>
      <c r="J119" s="11">
        <v>17912</v>
      </c>
      <c r="K119" s="10">
        <v>44035</v>
      </c>
      <c r="L119" s="9" t="s">
        <v>611</v>
      </c>
      <c r="M119" s="13" t="str">
        <f>VLOOKUP(H119,基础数据!G:H,2,FALSE)</f>
        <v>SR120大梁</v>
      </c>
    </row>
    <row r="120" spans="1:13" s="12" customFormat="1">
      <c r="A120" s="11">
        <v>1570</v>
      </c>
      <c r="B120" s="13" t="str">
        <f>VLOOKUP(A120,基础数据!A:B,2,FALSE)</f>
        <v>德州</v>
      </c>
      <c r="C120" s="10">
        <v>44004</v>
      </c>
      <c r="D120" s="9"/>
      <c r="E120" s="11">
        <v>4500062993</v>
      </c>
      <c r="F120" s="11"/>
      <c r="G120" s="11">
        <v>1120000132</v>
      </c>
      <c r="H120" s="9" t="s">
        <v>22</v>
      </c>
      <c r="I120" s="11">
        <v>9</v>
      </c>
      <c r="J120" s="11">
        <v>20151</v>
      </c>
      <c r="K120" s="10">
        <v>44026</v>
      </c>
      <c r="L120" s="9" t="s">
        <v>616</v>
      </c>
      <c r="M120" s="13" t="str">
        <f>VLOOKUP(H120,基础数据!G:H,2,FALSE)</f>
        <v>SR120大梁</v>
      </c>
    </row>
    <row r="121" spans="1:13" s="23" customFormat="1">
      <c r="A121" s="22">
        <v>1570</v>
      </c>
      <c r="B121" s="7" t="str">
        <f>VLOOKUP(A121,基础数据!A:B,2,FALSE)</f>
        <v>德州</v>
      </c>
      <c r="C121" s="21">
        <v>44004</v>
      </c>
      <c r="D121" s="20"/>
      <c r="E121" s="22">
        <v>4500062993</v>
      </c>
      <c r="F121" s="22"/>
      <c r="G121" s="22">
        <v>1120000884</v>
      </c>
      <c r="H121" s="20" t="s">
        <v>101</v>
      </c>
      <c r="I121" s="22">
        <v>4</v>
      </c>
      <c r="J121" s="22">
        <v>9323</v>
      </c>
      <c r="K121" s="21">
        <v>44026</v>
      </c>
      <c r="L121" s="20" t="s">
        <v>621</v>
      </c>
      <c r="M121" s="7" t="str">
        <f>VLOOKUP(H121,基础数据!G:H,2,FALSE)</f>
        <v>SR120Ⅲ大梁</v>
      </c>
    </row>
    <row r="122" spans="1:13" s="23" customFormat="1">
      <c r="A122" s="22">
        <v>1570</v>
      </c>
      <c r="B122" s="7" t="str">
        <f>VLOOKUP(A122,基础数据!A:B,2,FALSE)</f>
        <v>德州</v>
      </c>
      <c r="C122" s="21">
        <v>44010</v>
      </c>
      <c r="D122" s="20"/>
      <c r="E122" s="22">
        <v>4500063460</v>
      </c>
      <c r="F122" s="20"/>
      <c r="G122" s="22">
        <v>1120000884</v>
      </c>
      <c r="H122" s="20" t="s">
        <v>101</v>
      </c>
      <c r="I122" s="22">
        <v>2</v>
      </c>
      <c r="J122" s="22">
        <v>4672</v>
      </c>
      <c r="K122" s="21">
        <v>44035</v>
      </c>
      <c r="L122" s="20" t="s">
        <v>622</v>
      </c>
      <c r="M122" s="7" t="str">
        <f>VLOOKUP(H122,基础数据!G:H,2,FALSE)</f>
        <v>SR120Ⅲ大梁</v>
      </c>
    </row>
    <row r="123" spans="1:13" s="23" customFormat="1">
      <c r="A123" s="22">
        <v>1570</v>
      </c>
      <c r="B123" s="7" t="str">
        <f>VLOOKUP(A123,基础数据!A:B,2,FALSE)</f>
        <v>德州</v>
      </c>
      <c r="C123" s="21">
        <v>44004</v>
      </c>
      <c r="D123" s="20"/>
      <c r="E123" s="22">
        <v>4500062993</v>
      </c>
      <c r="F123" s="22"/>
      <c r="G123" s="22">
        <v>1120000132</v>
      </c>
      <c r="H123" s="20" t="s">
        <v>22</v>
      </c>
      <c r="I123" s="22">
        <v>4</v>
      </c>
      <c r="J123" s="22">
        <v>8956</v>
      </c>
      <c r="K123" s="21">
        <v>44026</v>
      </c>
      <c r="L123" s="20" t="s">
        <v>623</v>
      </c>
      <c r="M123" s="7" t="str">
        <f>VLOOKUP(H123,基础数据!G:H,2,FALSE)</f>
        <v>SR120大梁</v>
      </c>
    </row>
    <row r="124" spans="1:13" s="12" customFormat="1">
      <c r="A124" s="11">
        <v>1570</v>
      </c>
      <c r="B124" s="13" t="str">
        <f>VLOOKUP(A124,基础数据!A:B,2,FALSE)</f>
        <v>德州</v>
      </c>
      <c r="C124" s="10">
        <v>44010</v>
      </c>
      <c r="D124" s="9"/>
      <c r="E124" s="11">
        <v>4500063460</v>
      </c>
      <c r="F124" s="9"/>
      <c r="G124" s="11">
        <v>1120000131</v>
      </c>
      <c r="H124" s="9" t="s">
        <v>21</v>
      </c>
      <c r="I124" s="11">
        <v>8</v>
      </c>
      <c r="J124" s="11">
        <v>3560</v>
      </c>
      <c r="K124" s="10">
        <v>44035</v>
      </c>
      <c r="L124" s="9" t="s">
        <v>642</v>
      </c>
      <c r="M124" s="13" t="str">
        <f>VLOOKUP(H124,基础数据!G:H,2,FALSE)</f>
        <v>SR120后缘</v>
      </c>
    </row>
    <row r="125" spans="1:13" s="12" customFormat="1">
      <c r="A125" s="11">
        <v>1570</v>
      </c>
      <c r="B125" s="13" t="str">
        <f>VLOOKUP(A125,基础数据!A:B,2,FALSE)</f>
        <v>德州</v>
      </c>
      <c r="C125" s="10">
        <v>44010</v>
      </c>
      <c r="D125" s="9"/>
      <c r="E125" s="11">
        <v>4500063460</v>
      </c>
      <c r="F125" s="9"/>
      <c r="G125" s="11">
        <v>1120000132</v>
      </c>
      <c r="H125" s="9" t="s">
        <v>22</v>
      </c>
      <c r="I125" s="11">
        <v>7</v>
      </c>
      <c r="J125" s="11">
        <v>15673</v>
      </c>
      <c r="K125" s="10">
        <v>44035</v>
      </c>
      <c r="L125" s="9" t="s">
        <v>641</v>
      </c>
      <c r="M125" s="13" t="str">
        <f>VLOOKUP(H125,基础数据!G:H,2,FALSE)</f>
        <v>SR120大梁</v>
      </c>
    </row>
    <row r="126" spans="1:13" s="12" customFormat="1">
      <c r="A126" s="11">
        <v>1570</v>
      </c>
      <c r="B126" s="13" t="str">
        <f>VLOOKUP(A126,基础数据!A:B,2,FALSE)</f>
        <v>德州</v>
      </c>
      <c r="C126" s="10">
        <v>44010</v>
      </c>
      <c r="D126" s="9"/>
      <c r="E126" s="11">
        <v>4500063460</v>
      </c>
      <c r="F126" s="9"/>
      <c r="G126" s="11">
        <v>1120000884</v>
      </c>
      <c r="H126" s="9" t="s">
        <v>101</v>
      </c>
      <c r="I126" s="11">
        <f>8-2</f>
        <v>6</v>
      </c>
      <c r="J126" s="11">
        <f>18646-4672</f>
        <v>13974</v>
      </c>
      <c r="K126" s="10">
        <v>44035</v>
      </c>
      <c r="L126" s="9" t="s">
        <v>622</v>
      </c>
      <c r="M126" s="13" t="str">
        <f>VLOOKUP(H126,基础数据!G:H,2,FALSE)</f>
        <v>SR120Ⅲ大梁</v>
      </c>
    </row>
    <row r="127" spans="1:13" s="12" customFormat="1">
      <c r="A127" s="11">
        <v>1570</v>
      </c>
      <c r="B127" s="13" t="str">
        <f>VLOOKUP(A127,基础数据!A:B,2,FALSE)</f>
        <v>德州</v>
      </c>
      <c r="C127" s="10">
        <v>44010</v>
      </c>
      <c r="D127" s="9"/>
      <c r="E127" s="11">
        <v>4500063460</v>
      </c>
      <c r="F127" s="9"/>
      <c r="G127" s="11">
        <v>1120000131</v>
      </c>
      <c r="H127" s="9" t="s">
        <v>21</v>
      </c>
      <c r="I127" s="11">
        <v>12</v>
      </c>
      <c r="J127" s="11">
        <v>5340</v>
      </c>
      <c r="K127" s="10">
        <v>44035</v>
      </c>
      <c r="L127" s="9" t="s">
        <v>647</v>
      </c>
      <c r="M127" s="13" t="str">
        <f>VLOOKUP(H127,基础数据!G:H,2,FALSE)</f>
        <v>SR120后缘</v>
      </c>
    </row>
    <row r="128" spans="1:13" s="12" customFormat="1">
      <c r="A128" s="11">
        <v>1570</v>
      </c>
      <c r="B128" s="13" t="str">
        <f>VLOOKUP(A128,基础数据!A:B,2,FALSE)</f>
        <v>德州</v>
      </c>
      <c r="C128" s="10">
        <v>44015</v>
      </c>
      <c r="D128" s="9"/>
      <c r="E128" s="11">
        <v>4500063963</v>
      </c>
      <c r="F128" s="9"/>
      <c r="G128" s="11">
        <v>1120000884</v>
      </c>
      <c r="H128" s="9" t="s">
        <v>101</v>
      </c>
      <c r="I128" s="11">
        <f>8-4</f>
        <v>4</v>
      </c>
      <c r="J128" s="11">
        <f>18646-9344</f>
        <v>9302</v>
      </c>
      <c r="K128" s="10">
        <v>44032</v>
      </c>
      <c r="L128" s="9" t="s">
        <v>669</v>
      </c>
      <c r="M128" s="13" t="str">
        <f>VLOOKUP(H128,基础数据!G:H,2,FALSE)</f>
        <v>SR120Ⅲ大梁</v>
      </c>
    </row>
    <row r="129" spans="1:13" s="12" customFormat="1">
      <c r="A129" s="11">
        <v>1570</v>
      </c>
      <c r="B129" s="13" t="str">
        <f>VLOOKUP(A129,基础数据!A:B,2,FALSE)</f>
        <v>德州</v>
      </c>
      <c r="C129" s="10">
        <v>44010</v>
      </c>
      <c r="D129" s="9"/>
      <c r="E129" s="11">
        <v>4500063460</v>
      </c>
      <c r="F129" s="9"/>
      <c r="G129" s="11">
        <v>1120000132</v>
      </c>
      <c r="H129" s="9" t="s">
        <v>22</v>
      </c>
      <c r="I129" s="11">
        <v>6</v>
      </c>
      <c r="J129" s="11">
        <v>13434</v>
      </c>
      <c r="K129" s="10">
        <v>44035</v>
      </c>
      <c r="L129" s="9" t="s">
        <v>670</v>
      </c>
      <c r="M129" s="13" t="str">
        <f>VLOOKUP(H129,基础数据!G:H,2,FALSE)</f>
        <v>SR120大梁</v>
      </c>
    </row>
    <row r="130" spans="1:13" s="12" customFormat="1">
      <c r="A130" s="11">
        <v>1570</v>
      </c>
      <c r="B130" s="13" t="str">
        <f>VLOOKUP(A130,基础数据!A:B,2,FALSE)</f>
        <v>德州</v>
      </c>
      <c r="C130" s="10">
        <v>44010</v>
      </c>
      <c r="D130" s="9"/>
      <c r="E130" s="11">
        <v>4500063460</v>
      </c>
      <c r="F130" s="9"/>
      <c r="G130" s="11">
        <v>1120000885</v>
      </c>
      <c r="H130" s="9" t="s">
        <v>102</v>
      </c>
      <c r="I130" s="11">
        <v>8</v>
      </c>
      <c r="J130" s="11">
        <v>3736</v>
      </c>
      <c r="K130" s="10">
        <v>44035</v>
      </c>
      <c r="L130" s="9" t="s">
        <v>675</v>
      </c>
      <c r="M130" s="13" t="str">
        <f>VLOOKUP(H130,基础数据!G:H,2,FALSE)</f>
        <v>SR120Ⅲ后缘</v>
      </c>
    </row>
    <row r="131" spans="1:13" s="12" customFormat="1">
      <c r="A131" s="11">
        <v>1570</v>
      </c>
      <c r="B131" s="13" t="str">
        <f>VLOOKUP(A131,基础数据!A:B,2,FALSE)</f>
        <v>德州</v>
      </c>
      <c r="C131" s="10">
        <v>44010</v>
      </c>
      <c r="D131" s="9"/>
      <c r="E131" s="11">
        <v>4500063460</v>
      </c>
      <c r="F131" s="9"/>
      <c r="G131" s="11">
        <v>1120000131</v>
      </c>
      <c r="H131" s="9" t="s">
        <v>21</v>
      </c>
      <c r="I131" s="11">
        <f>24-2-8-12</f>
        <v>2</v>
      </c>
      <c r="J131" s="11">
        <f>11402-890-3560-5340</f>
        <v>1612</v>
      </c>
      <c r="K131" s="10">
        <v>44035</v>
      </c>
      <c r="L131" s="9" t="s">
        <v>676</v>
      </c>
      <c r="M131" s="13" t="str">
        <f>VLOOKUP(H131,基础数据!G:H,2,FALSE)</f>
        <v>SR120后缘</v>
      </c>
    </row>
    <row r="132" spans="1:13" s="12" customFormat="1">
      <c r="A132" s="11">
        <v>1570</v>
      </c>
      <c r="B132" s="13" t="str">
        <f>VLOOKUP(A132,基础数据!A:B,2,FALSE)</f>
        <v>德州</v>
      </c>
      <c r="C132" s="10">
        <v>44022</v>
      </c>
      <c r="D132" s="9"/>
      <c r="E132" s="11">
        <v>4500064587</v>
      </c>
      <c r="F132" s="9"/>
      <c r="G132" s="11">
        <v>1120000131</v>
      </c>
      <c r="H132" s="9" t="s">
        <v>21</v>
      </c>
      <c r="I132" s="11">
        <v>10</v>
      </c>
      <c r="J132" s="11">
        <v>4450</v>
      </c>
      <c r="K132" s="10">
        <v>44044</v>
      </c>
      <c r="L132" s="9" t="s">
        <v>677</v>
      </c>
      <c r="M132" s="13" t="str">
        <f>VLOOKUP(H132,基础数据!G:H,2,FALSE)</f>
        <v>SR120后缘</v>
      </c>
    </row>
    <row r="133" spans="1:13" s="12" customFormat="1">
      <c r="A133" s="11">
        <v>1570</v>
      </c>
      <c r="B133" s="13" t="str">
        <f>VLOOKUP(A133,基础数据!A:B,2,FALSE)</f>
        <v>德州</v>
      </c>
      <c r="C133" s="10">
        <v>44004</v>
      </c>
      <c r="D133" s="9"/>
      <c r="E133" s="11">
        <v>4500062993</v>
      </c>
      <c r="F133" s="11"/>
      <c r="G133" s="11">
        <v>1120000132</v>
      </c>
      <c r="H133" s="9" t="s">
        <v>22</v>
      </c>
      <c r="I133" s="11">
        <f>20-4-9-4</f>
        <v>3</v>
      </c>
      <c r="J133" s="11">
        <f>44846-8956-20151-8956</f>
        <v>6783</v>
      </c>
      <c r="K133" s="10">
        <v>44026</v>
      </c>
      <c r="L133" s="9" t="s">
        <v>687</v>
      </c>
      <c r="M133" s="13" t="str">
        <f>VLOOKUP(H133,基础数据!G:H,2,FALSE)</f>
        <v>SR120大梁</v>
      </c>
    </row>
    <row r="134" spans="1:13" s="12" customFormat="1">
      <c r="A134" s="11">
        <v>1570</v>
      </c>
      <c r="B134" s="13" t="str">
        <f>VLOOKUP(A134,基础数据!A:B,2,FALSE)</f>
        <v>德州</v>
      </c>
      <c r="C134" s="10">
        <v>44010</v>
      </c>
      <c r="D134" s="9"/>
      <c r="E134" s="11">
        <v>4500063460</v>
      </c>
      <c r="F134" s="9"/>
      <c r="G134" s="11">
        <v>1120000132</v>
      </c>
      <c r="H134" s="9" t="s">
        <v>22</v>
      </c>
      <c r="I134" s="11">
        <v>1</v>
      </c>
      <c r="J134" s="11">
        <v>2239</v>
      </c>
      <c r="K134" s="10">
        <v>44035</v>
      </c>
      <c r="L134" s="9" t="s">
        <v>688</v>
      </c>
      <c r="M134" s="13" t="str">
        <f>VLOOKUP(H134,基础数据!G:H,2,FALSE)</f>
        <v>SR120大梁</v>
      </c>
    </row>
    <row r="135" spans="1:13" s="12" customFormat="1">
      <c r="A135" s="11">
        <v>1570</v>
      </c>
      <c r="B135" s="13" t="str">
        <f>VLOOKUP(A135,基础数据!A:B,2,FALSE)</f>
        <v>德州</v>
      </c>
      <c r="C135" s="10">
        <v>44015</v>
      </c>
      <c r="D135" s="9"/>
      <c r="E135" s="11">
        <v>4500063963</v>
      </c>
      <c r="F135" s="9"/>
      <c r="G135" s="11">
        <v>1120000884</v>
      </c>
      <c r="H135" s="9" t="s">
        <v>101</v>
      </c>
      <c r="I135" s="11">
        <v>3</v>
      </c>
      <c r="J135" s="11">
        <v>7008</v>
      </c>
      <c r="K135" s="10">
        <v>44032</v>
      </c>
      <c r="L135" s="9" t="s">
        <v>690</v>
      </c>
      <c r="M135" s="13" t="str">
        <f>VLOOKUP(H135,基础数据!G:H,2,FALSE)</f>
        <v>SR120Ⅲ大梁</v>
      </c>
    </row>
    <row r="136" spans="1:13" s="12" customFormat="1">
      <c r="A136" s="11">
        <v>1570</v>
      </c>
      <c r="B136" s="13" t="str">
        <f>VLOOKUP(A136,基础数据!A:B,2,FALSE)</f>
        <v>德州</v>
      </c>
      <c r="C136" s="10">
        <v>44022</v>
      </c>
      <c r="D136" s="9"/>
      <c r="E136" s="11">
        <v>4500064587</v>
      </c>
      <c r="F136" s="9"/>
      <c r="G136" s="11">
        <v>1120000132</v>
      </c>
      <c r="H136" s="9" t="s">
        <v>22</v>
      </c>
      <c r="I136" s="11">
        <v>7</v>
      </c>
      <c r="J136" s="11">
        <v>15673</v>
      </c>
      <c r="K136" s="10">
        <v>44044</v>
      </c>
      <c r="L136" s="9" t="s">
        <v>691</v>
      </c>
      <c r="M136" s="13" t="str">
        <f>VLOOKUP(H136,基础数据!G:H,2,FALSE)</f>
        <v>SR120大梁</v>
      </c>
    </row>
    <row r="137" spans="1:13" s="12" customFormat="1">
      <c r="A137" s="11">
        <v>1570</v>
      </c>
      <c r="B137" s="13" t="str">
        <f>VLOOKUP(A137,基础数据!A:B,2,FALSE)</f>
        <v>德州</v>
      </c>
      <c r="C137" s="10">
        <v>44022</v>
      </c>
      <c r="D137" s="9"/>
      <c r="E137" s="11">
        <v>4500064587</v>
      </c>
      <c r="F137" s="9"/>
      <c r="G137" s="11">
        <v>1120000132</v>
      </c>
      <c r="H137" s="9" t="s">
        <v>22</v>
      </c>
      <c r="I137" s="11">
        <v>6</v>
      </c>
      <c r="J137" s="11">
        <v>13434</v>
      </c>
      <c r="K137" s="10">
        <v>44044</v>
      </c>
      <c r="L137" s="9" t="s">
        <v>704</v>
      </c>
      <c r="M137" s="13" t="str">
        <f>VLOOKUP(H137,基础数据!G:H,2,FALSE)</f>
        <v>SR120大梁</v>
      </c>
    </row>
    <row r="138" spans="1:13" s="12" customFormat="1">
      <c r="A138" s="11">
        <v>1570</v>
      </c>
      <c r="B138" s="13" t="str">
        <f>VLOOKUP(A138,基础数据!A:B,2,FALSE)</f>
        <v>德州</v>
      </c>
      <c r="C138" s="10">
        <v>44022</v>
      </c>
      <c r="D138" s="9"/>
      <c r="E138" s="11">
        <v>4500064587</v>
      </c>
      <c r="F138" s="9"/>
      <c r="G138" s="11">
        <v>1120000131</v>
      </c>
      <c r="H138" s="9" t="s">
        <v>21</v>
      </c>
      <c r="I138" s="11">
        <v>12</v>
      </c>
      <c r="J138" s="11">
        <v>5340</v>
      </c>
      <c r="K138" s="10">
        <v>44044</v>
      </c>
      <c r="L138" s="9" t="s">
        <v>703</v>
      </c>
      <c r="M138" s="13" t="str">
        <f>VLOOKUP(H138,基础数据!G:H,2,FALSE)</f>
        <v>SR120后缘</v>
      </c>
    </row>
    <row r="139" spans="1:13" s="12" customFormat="1">
      <c r="A139" s="11">
        <v>1570</v>
      </c>
      <c r="B139" s="13" t="str">
        <f>VLOOKUP(A139,基础数据!A:B,2,FALSE)</f>
        <v>德州</v>
      </c>
      <c r="C139" s="10">
        <v>44022</v>
      </c>
      <c r="D139" s="9"/>
      <c r="E139" s="11">
        <v>4500064587</v>
      </c>
      <c r="F139" s="9"/>
      <c r="G139" s="11">
        <v>1120000132</v>
      </c>
      <c r="H139" s="9" t="s">
        <v>22</v>
      </c>
      <c r="I139" s="11">
        <v>4</v>
      </c>
      <c r="J139" s="11">
        <v>8956</v>
      </c>
      <c r="K139" s="10">
        <v>44044</v>
      </c>
      <c r="L139" s="9" t="s">
        <v>708</v>
      </c>
      <c r="M139" s="13" t="str">
        <f>VLOOKUP(H139,基础数据!G:H,2,FALSE)</f>
        <v>SR120大梁</v>
      </c>
    </row>
    <row r="140" spans="1:13" s="12" customFormat="1">
      <c r="A140" s="11">
        <v>1570</v>
      </c>
      <c r="B140" s="13" t="str">
        <f>VLOOKUP(A140,基础数据!A:B,2,FALSE)</f>
        <v>德州</v>
      </c>
      <c r="C140" s="10">
        <v>44029</v>
      </c>
      <c r="D140" s="9"/>
      <c r="E140" s="11">
        <v>4500065092</v>
      </c>
      <c r="F140" s="9"/>
      <c r="G140" s="11">
        <v>1120000131</v>
      </c>
      <c r="H140" s="9" t="s">
        <v>21</v>
      </c>
      <c r="I140" s="11">
        <v>8</v>
      </c>
      <c r="J140" s="11">
        <v>3560</v>
      </c>
      <c r="K140" s="10">
        <v>44054</v>
      </c>
      <c r="L140" s="9" t="s">
        <v>707</v>
      </c>
      <c r="M140" s="13" t="str">
        <f>VLOOKUP(H140,基础数据!G:H,2,FALSE)</f>
        <v>SR120后缘</v>
      </c>
    </row>
    <row r="141" spans="1:13" s="12" customFormat="1">
      <c r="A141" s="11">
        <v>1570</v>
      </c>
      <c r="B141" s="13" t="str">
        <f>VLOOKUP(A141,基础数据!A:B,2,FALSE)</f>
        <v>德州</v>
      </c>
      <c r="C141" s="10">
        <v>44029</v>
      </c>
      <c r="D141" s="9"/>
      <c r="E141" s="11">
        <v>4500065092</v>
      </c>
      <c r="F141" s="9"/>
      <c r="G141" s="11">
        <v>1120000884</v>
      </c>
      <c r="H141" s="9" t="s">
        <v>101</v>
      </c>
      <c r="I141" s="11">
        <v>2</v>
      </c>
      <c r="J141" s="11">
        <v>4672</v>
      </c>
      <c r="K141" s="10">
        <v>44054</v>
      </c>
      <c r="L141" s="9" t="s">
        <v>710</v>
      </c>
      <c r="M141" s="13" t="str">
        <f>VLOOKUP(H141,基础数据!G:H,2,FALSE)</f>
        <v>SR120Ⅲ大梁</v>
      </c>
    </row>
    <row r="142" spans="1:13" s="12" customFormat="1">
      <c r="A142" s="11">
        <v>1570</v>
      </c>
      <c r="B142" s="13" t="str">
        <f>VLOOKUP(A142,基础数据!A:B,2,FALSE)</f>
        <v>德州</v>
      </c>
      <c r="C142" s="10">
        <v>44029</v>
      </c>
      <c r="D142" s="9"/>
      <c r="E142" s="11">
        <v>4500065092</v>
      </c>
      <c r="F142" s="9"/>
      <c r="G142" s="11">
        <v>1120000885</v>
      </c>
      <c r="H142" s="9" t="s">
        <v>102</v>
      </c>
      <c r="I142" s="11">
        <v>4</v>
      </c>
      <c r="J142" s="11">
        <v>1844</v>
      </c>
      <c r="K142" s="10">
        <v>44054</v>
      </c>
      <c r="L142" s="9" t="s">
        <v>709</v>
      </c>
      <c r="M142" s="13" t="str">
        <f>VLOOKUP(H142,基础数据!G:H,2,FALSE)</f>
        <v>SR120Ⅲ后缘</v>
      </c>
    </row>
    <row r="143" spans="1:13" s="12" customFormat="1">
      <c r="A143" s="11">
        <v>1570</v>
      </c>
      <c r="B143" s="13" t="str">
        <f>VLOOKUP(A143,基础数据!A:B,2,FALSE)</f>
        <v>德州</v>
      </c>
      <c r="C143" s="10">
        <v>44022</v>
      </c>
      <c r="D143" s="9"/>
      <c r="E143" s="11">
        <v>4500064587</v>
      </c>
      <c r="F143" s="9"/>
      <c r="G143" s="11">
        <v>1120000132</v>
      </c>
      <c r="H143" s="9" t="s">
        <v>22</v>
      </c>
      <c r="I143" s="11">
        <v>4</v>
      </c>
      <c r="J143" s="11">
        <f>53381-15673-13434-9040-9040</f>
        <v>6194</v>
      </c>
      <c r="K143" s="10">
        <v>44044</v>
      </c>
      <c r="L143" s="9" t="s">
        <v>718</v>
      </c>
      <c r="M143" s="13" t="str">
        <f>VLOOKUP(H143,基础数据!G:H,2,FALSE)</f>
        <v>SR120大梁</v>
      </c>
    </row>
    <row r="144" spans="1:13" s="12" customFormat="1">
      <c r="A144" s="11">
        <v>1570</v>
      </c>
      <c r="B144" s="13" t="str">
        <f>VLOOKUP(A144,基础数据!A:B,2,FALSE)</f>
        <v>德州</v>
      </c>
      <c r="C144" s="10">
        <v>44029</v>
      </c>
      <c r="D144" s="9"/>
      <c r="E144" s="11">
        <v>4500065092</v>
      </c>
      <c r="F144" s="9"/>
      <c r="G144" s="11">
        <v>1120000131</v>
      </c>
      <c r="H144" s="9" t="s">
        <v>21</v>
      </c>
      <c r="I144" s="11">
        <v>4</v>
      </c>
      <c r="J144" s="11">
        <v>1780</v>
      </c>
      <c r="K144" s="10">
        <v>44054</v>
      </c>
      <c r="L144" s="9" t="s">
        <v>719</v>
      </c>
      <c r="M144" s="13" t="str">
        <f>VLOOKUP(H144,基础数据!G:H,2,FALSE)</f>
        <v>SR120后缘</v>
      </c>
    </row>
    <row r="145" spans="1:13" s="12" customFormat="1">
      <c r="A145" s="11">
        <v>1570</v>
      </c>
      <c r="B145" s="13" t="str">
        <f>VLOOKUP(A145,基础数据!A:B,2,FALSE)</f>
        <v>德州</v>
      </c>
      <c r="C145" s="10">
        <v>44029</v>
      </c>
      <c r="D145" s="9"/>
      <c r="E145" s="11">
        <v>4500065092</v>
      </c>
      <c r="F145" s="9"/>
      <c r="G145" s="11">
        <v>1120000884</v>
      </c>
      <c r="H145" s="9" t="s">
        <v>101</v>
      </c>
      <c r="I145" s="11">
        <v>3</v>
      </c>
      <c r="J145" s="11">
        <v>7008</v>
      </c>
      <c r="K145" s="10">
        <v>44054</v>
      </c>
      <c r="L145" s="9" t="s">
        <v>721</v>
      </c>
      <c r="M145" s="13" t="str">
        <f>VLOOKUP(H145,基础数据!G:H,2,FALSE)</f>
        <v>SR120Ⅲ大梁</v>
      </c>
    </row>
    <row r="146" spans="1:13" s="12" customFormat="1">
      <c r="A146" s="11">
        <v>1570</v>
      </c>
      <c r="B146" s="13" t="str">
        <f>VLOOKUP(A146,基础数据!A:B,2,FALSE)</f>
        <v>德州</v>
      </c>
      <c r="C146" s="10">
        <v>44029</v>
      </c>
      <c r="D146" s="9"/>
      <c r="E146" s="11">
        <v>4500065092</v>
      </c>
      <c r="F146" s="9"/>
      <c r="G146" s="11">
        <v>1120000885</v>
      </c>
      <c r="H146" s="9" t="s">
        <v>102</v>
      </c>
      <c r="I146" s="11">
        <f>8-4</f>
        <v>4</v>
      </c>
      <c r="J146" s="11">
        <f>3736-1844</f>
        <v>1892</v>
      </c>
      <c r="K146" s="10">
        <v>44054</v>
      </c>
      <c r="L146" s="9" t="s">
        <v>720</v>
      </c>
      <c r="M146" s="13" t="str">
        <f>VLOOKUP(H146,基础数据!G:H,2,FALSE)</f>
        <v>SR120Ⅲ后缘</v>
      </c>
    </row>
    <row r="147" spans="1:13" s="12" customFormat="1">
      <c r="A147" s="11">
        <v>1570</v>
      </c>
      <c r="B147" s="13" t="str">
        <f>VLOOKUP(A147,基础数据!A:B,2,FALSE)</f>
        <v>德州</v>
      </c>
      <c r="C147" s="10">
        <v>44029</v>
      </c>
      <c r="D147" s="9"/>
      <c r="E147" s="11">
        <v>4500065092</v>
      </c>
      <c r="F147" s="9"/>
      <c r="G147" s="11">
        <v>1120000884</v>
      </c>
      <c r="H147" s="9" t="s">
        <v>101</v>
      </c>
      <c r="I147" s="11">
        <f>8-2-3</f>
        <v>3</v>
      </c>
      <c r="J147" s="11">
        <f>18646-4672-7008</f>
        <v>6966</v>
      </c>
      <c r="K147" s="10">
        <v>44054</v>
      </c>
      <c r="L147" s="9" t="s">
        <v>729</v>
      </c>
      <c r="M147" s="13" t="str">
        <f>VLOOKUP(H147,基础数据!G:H,2,FALSE)</f>
        <v>SR120Ⅲ大梁</v>
      </c>
    </row>
    <row r="148" spans="1:13" s="12" customFormat="1">
      <c r="A148" s="11">
        <v>1570</v>
      </c>
      <c r="B148" s="13" t="str">
        <f>VLOOKUP(A148,基础数据!A:B,2,FALSE)</f>
        <v>德州</v>
      </c>
      <c r="C148" s="10">
        <v>44015</v>
      </c>
      <c r="D148" s="9"/>
      <c r="E148" s="11">
        <v>4500063963</v>
      </c>
      <c r="F148" s="9"/>
      <c r="G148" s="11">
        <v>1120000885</v>
      </c>
      <c r="H148" s="9" t="s">
        <v>102</v>
      </c>
      <c r="I148" s="11">
        <v>4</v>
      </c>
      <c r="J148" s="11">
        <v>1844</v>
      </c>
      <c r="K148" s="10">
        <v>44032</v>
      </c>
      <c r="L148" s="9" t="s">
        <v>730</v>
      </c>
      <c r="M148" s="13" t="str">
        <f>VLOOKUP(H148,基础数据!G:H,2,FALSE)</f>
        <v>SR120Ⅲ后缘</v>
      </c>
    </row>
    <row r="149" spans="1:13" s="12" customFormat="1">
      <c r="A149" s="11">
        <v>1570</v>
      </c>
      <c r="B149" s="13" t="str">
        <f>VLOOKUP(A149,基础数据!A:B,2,FALSE)</f>
        <v>德州</v>
      </c>
      <c r="C149" s="10">
        <v>44029</v>
      </c>
      <c r="D149" s="9"/>
      <c r="E149" s="11">
        <v>4500065092</v>
      </c>
      <c r="F149" s="9"/>
      <c r="G149" s="11">
        <v>1120000131</v>
      </c>
      <c r="H149" s="9" t="s">
        <v>21</v>
      </c>
      <c r="I149" s="11">
        <v>4</v>
      </c>
      <c r="J149" s="11">
        <v>1780</v>
      </c>
      <c r="K149" s="10">
        <v>44054</v>
      </c>
      <c r="L149" s="9" t="s">
        <v>731</v>
      </c>
      <c r="M149" s="13" t="str">
        <f>VLOOKUP(H149,基础数据!G:H,2,FALSE)</f>
        <v>SR120后缘</v>
      </c>
    </row>
    <row r="150" spans="1:13" s="12" customFormat="1">
      <c r="A150" s="11">
        <v>1570</v>
      </c>
      <c r="B150" s="13" t="str">
        <f>VLOOKUP(A150,基础数据!A:B,2,FALSE)</f>
        <v>德州</v>
      </c>
      <c r="C150" s="10">
        <v>44029</v>
      </c>
      <c r="D150" s="9"/>
      <c r="E150" s="11">
        <v>4500065092</v>
      </c>
      <c r="F150" s="9"/>
      <c r="G150" s="11">
        <v>1120000132</v>
      </c>
      <c r="H150" s="9" t="s">
        <v>22</v>
      </c>
      <c r="I150" s="11">
        <v>4</v>
      </c>
      <c r="J150" s="11">
        <v>8956</v>
      </c>
      <c r="K150" s="10">
        <v>44054</v>
      </c>
      <c r="L150" s="9" t="s">
        <v>732</v>
      </c>
      <c r="M150" s="13" t="str">
        <f>VLOOKUP(H150,基础数据!G:H,2,FALSE)</f>
        <v>SR120大梁</v>
      </c>
    </row>
    <row r="151" spans="1:13" s="23" customFormat="1">
      <c r="A151" s="22">
        <v>1570</v>
      </c>
      <c r="B151" s="7" t="str">
        <f>VLOOKUP(A151,基础数据!A:B,2,FALSE)</f>
        <v>德州</v>
      </c>
      <c r="C151" s="21">
        <v>44010</v>
      </c>
      <c r="D151" s="20"/>
      <c r="E151" s="22">
        <v>4500063460</v>
      </c>
      <c r="F151" s="20"/>
      <c r="G151" s="22">
        <v>1120000132</v>
      </c>
      <c r="H151" s="20" t="s">
        <v>22</v>
      </c>
      <c r="I151" s="22">
        <f>24-8-7-6-1</f>
        <v>2</v>
      </c>
      <c r="J151" s="22">
        <f>53381-17912-15673-13434-2239</f>
        <v>4123</v>
      </c>
      <c r="K151" s="21">
        <v>44035</v>
      </c>
      <c r="L151" s="20" t="s">
        <v>743</v>
      </c>
      <c r="M151" s="7" t="str">
        <f>VLOOKUP(H151,基础数据!G:H,2,FALSE)</f>
        <v>SR120大梁</v>
      </c>
    </row>
    <row r="152" spans="1:13" s="12" customFormat="1">
      <c r="A152" s="11">
        <v>1570</v>
      </c>
      <c r="B152" s="13" t="str">
        <f>VLOOKUP(A152,基础数据!A:B,2,FALSE)</f>
        <v>德州</v>
      </c>
      <c r="C152" s="10">
        <v>44029</v>
      </c>
      <c r="D152" s="9"/>
      <c r="E152" s="11">
        <v>4500065092</v>
      </c>
      <c r="F152" s="9"/>
      <c r="G152" s="11">
        <v>1120000132</v>
      </c>
      <c r="H152" s="9" t="s">
        <v>22</v>
      </c>
      <c r="I152" s="11">
        <v>2</v>
      </c>
      <c r="J152" s="11">
        <v>4478</v>
      </c>
      <c r="K152" s="10">
        <v>44054</v>
      </c>
      <c r="L152" s="9" t="s">
        <v>746</v>
      </c>
      <c r="M152" s="13" t="str">
        <f>VLOOKUP(H152,基础数据!G:H,2,FALSE)</f>
        <v>SR120大梁</v>
      </c>
    </row>
    <row r="153" spans="1:13" s="12" customFormat="1">
      <c r="A153" s="11">
        <v>1570</v>
      </c>
      <c r="B153" s="13" t="str">
        <f>VLOOKUP(A153,基础数据!A:B,2,FALSE)</f>
        <v>德州</v>
      </c>
      <c r="C153" s="10">
        <v>44015</v>
      </c>
      <c r="D153" s="9"/>
      <c r="E153" s="11">
        <v>4500063963</v>
      </c>
      <c r="F153" s="9"/>
      <c r="G153" s="11">
        <v>1120000884</v>
      </c>
      <c r="H153" s="9" t="s">
        <v>101</v>
      </c>
      <c r="I153" s="11">
        <f>8-4-3</f>
        <v>1</v>
      </c>
      <c r="J153" s="11">
        <f>18646-9344-7008</f>
        <v>2294</v>
      </c>
      <c r="K153" s="10">
        <v>44032</v>
      </c>
      <c r="L153" s="9" t="s">
        <v>744</v>
      </c>
      <c r="M153" s="13" t="str">
        <f>VLOOKUP(H153,基础数据!G:H,2,FALSE)</f>
        <v>SR120Ⅲ大梁</v>
      </c>
    </row>
    <row r="154" spans="1:13" s="12" customFormat="1">
      <c r="A154" s="11">
        <v>1570</v>
      </c>
      <c r="B154" s="13" t="str">
        <f>VLOOKUP(A154,基础数据!A:B,2,FALSE)</f>
        <v>德州</v>
      </c>
      <c r="C154" s="10">
        <v>44037</v>
      </c>
      <c r="D154" s="9"/>
      <c r="E154" s="11">
        <v>4500065994</v>
      </c>
      <c r="F154" s="9"/>
      <c r="G154" s="11">
        <v>1120000884</v>
      </c>
      <c r="H154" s="9" t="s">
        <v>101</v>
      </c>
      <c r="I154" s="11">
        <v>3</v>
      </c>
      <c r="J154" s="11">
        <v>7008</v>
      </c>
      <c r="K154" s="10">
        <v>44068</v>
      </c>
      <c r="L154" s="9" t="s">
        <v>747</v>
      </c>
      <c r="M154" s="13" t="str">
        <f>VLOOKUP(H154,基础数据!G:H,2,FALSE)</f>
        <v>SR120Ⅲ大梁</v>
      </c>
    </row>
    <row r="155" spans="1:13" s="12" customFormat="1">
      <c r="A155" s="11">
        <v>1570</v>
      </c>
      <c r="B155" s="13" t="str">
        <f>VLOOKUP(A155,基础数据!A:B,2,FALSE)</f>
        <v>德州</v>
      </c>
      <c r="C155" s="10">
        <v>44022</v>
      </c>
      <c r="D155" s="9"/>
      <c r="E155" s="11">
        <v>4500064587</v>
      </c>
      <c r="F155" s="9"/>
      <c r="G155" s="11">
        <v>1120000131</v>
      </c>
      <c r="H155" s="9" t="s">
        <v>21</v>
      </c>
      <c r="I155" s="11">
        <f>24-10-12</f>
        <v>2</v>
      </c>
      <c r="J155" s="11">
        <f>11402-4450-5340</f>
        <v>1612</v>
      </c>
      <c r="K155" s="10">
        <v>44044</v>
      </c>
      <c r="L155" s="9" t="s">
        <v>745</v>
      </c>
      <c r="M155" s="13" t="str">
        <f>VLOOKUP(H155,基础数据!G:H,2,FALSE)</f>
        <v>SR120后缘</v>
      </c>
    </row>
    <row r="156" spans="1:13" s="12" customFormat="1">
      <c r="A156" s="11">
        <v>1570</v>
      </c>
      <c r="B156" s="13" t="str">
        <f>VLOOKUP(A156,基础数据!A:B,2,FALSE)</f>
        <v>德州</v>
      </c>
      <c r="C156" s="10">
        <v>44029</v>
      </c>
      <c r="D156" s="9"/>
      <c r="E156" s="11">
        <v>4500065092</v>
      </c>
      <c r="F156" s="9"/>
      <c r="G156" s="11">
        <v>1120000131</v>
      </c>
      <c r="H156" s="9" t="s">
        <v>21</v>
      </c>
      <c r="I156" s="11">
        <v>2</v>
      </c>
      <c r="J156" s="11">
        <v>890</v>
      </c>
      <c r="K156" s="10">
        <v>44054</v>
      </c>
      <c r="L156" s="9" t="s">
        <v>748</v>
      </c>
      <c r="M156" s="13" t="str">
        <f>VLOOKUP(H156,基础数据!G:H,2,FALSE)</f>
        <v>SR120后缘</v>
      </c>
    </row>
    <row r="157" spans="1:13" s="12" customFormat="1">
      <c r="A157" s="9">
        <v>1570</v>
      </c>
      <c r="B157" s="13" t="str">
        <f>VLOOKUP(A157,基础数据!A:B,2,FALSE)</f>
        <v>德州</v>
      </c>
      <c r="C157" s="10">
        <v>44046</v>
      </c>
      <c r="D157" s="9"/>
      <c r="E157" s="9">
        <v>4500066685</v>
      </c>
      <c r="F157" s="9"/>
      <c r="G157" s="9">
        <v>1120000140</v>
      </c>
      <c r="H157" s="9" t="s">
        <v>114</v>
      </c>
      <c r="I157" s="11"/>
      <c r="J157" s="11">
        <v>5544</v>
      </c>
      <c r="K157" s="10">
        <v>44050</v>
      </c>
      <c r="L157" s="9" t="s">
        <v>758</v>
      </c>
      <c r="M157" s="13" t="str">
        <f>VLOOKUP(H157,基础数据!G:H,2,FALSE)</f>
        <v>TLX1215-1.27-100</v>
      </c>
    </row>
    <row r="158" spans="1:13" s="12" customFormat="1">
      <c r="A158" s="11">
        <v>1570</v>
      </c>
      <c r="B158" s="13" t="str">
        <f>VLOOKUP(A158,基础数据!A:B,2,FALSE)</f>
        <v>德州</v>
      </c>
      <c r="C158" s="10">
        <v>44022</v>
      </c>
      <c r="D158" s="9"/>
      <c r="E158" s="11">
        <v>4500064587</v>
      </c>
      <c r="F158" s="9"/>
      <c r="G158" s="11">
        <v>1120000132</v>
      </c>
      <c r="H158" s="9" t="s">
        <v>22</v>
      </c>
      <c r="I158" s="11">
        <f>24-7-6-4-4</f>
        <v>3</v>
      </c>
      <c r="J158" s="11">
        <f>53381-15673-13434-9040-9040</f>
        <v>6194</v>
      </c>
      <c r="K158" s="10">
        <v>44044</v>
      </c>
      <c r="L158" s="9" t="s">
        <v>759</v>
      </c>
      <c r="M158" s="13" t="str">
        <f>VLOOKUP(H158,基础数据!G:H,2,FALSE)</f>
        <v>SR120大梁</v>
      </c>
    </row>
    <row r="159" spans="1:13" s="12" customFormat="1">
      <c r="A159" s="11">
        <v>1570</v>
      </c>
      <c r="B159" s="13" t="str">
        <f>VLOOKUP(A159,基础数据!A:B,2,FALSE)</f>
        <v>德州</v>
      </c>
      <c r="C159" s="10">
        <v>44029</v>
      </c>
      <c r="D159" s="9"/>
      <c r="E159" s="11">
        <v>4500065092</v>
      </c>
      <c r="F159" s="9"/>
      <c r="G159" s="11">
        <v>1120000131</v>
      </c>
      <c r="H159" s="9" t="s">
        <v>21</v>
      </c>
      <c r="I159" s="11">
        <f>24-8-4-4-2</f>
        <v>6</v>
      </c>
      <c r="J159" s="11">
        <f>11402-3560-1780-1780-890</f>
        <v>3392</v>
      </c>
      <c r="K159" s="10">
        <v>44054</v>
      </c>
      <c r="L159" s="9" t="s">
        <v>760</v>
      </c>
      <c r="M159" s="13" t="str">
        <f>VLOOKUP(H159,基础数据!G:H,2,FALSE)</f>
        <v>SR120后缘</v>
      </c>
    </row>
    <row r="160" spans="1:13" s="12" customFormat="1">
      <c r="A160" s="11">
        <v>1570</v>
      </c>
      <c r="B160" s="13" t="str">
        <f>VLOOKUP(A160,基础数据!A:B,2,FALSE)</f>
        <v>德州</v>
      </c>
      <c r="C160" s="10">
        <v>44029</v>
      </c>
      <c r="D160" s="9"/>
      <c r="E160" s="11">
        <v>4500065092</v>
      </c>
      <c r="F160" s="9"/>
      <c r="G160" s="11">
        <v>1120000132</v>
      </c>
      <c r="H160" s="9" t="s">
        <v>22</v>
      </c>
      <c r="I160" s="11">
        <v>3</v>
      </c>
      <c r="J160" s="11">
        <v>6717</v>
      </c>
      <c r="K160" s="10">
        <v>44054</v>
      </c>
      <c r="L160" s="9" t="s">
        <v>761</v>
      </c>
      <c r="M160" s="13" t="str">
        <f>VLOOKUP(H160,基础数据!G:H,2,FALSE)</f>
        <v>SR120大梁</v>
      </c>
    </row>
    <row r="161" spans="1:13" s="12" customFormat="1">
      <c r="A161" s="11">
        <v>1570</v>
      </c>
      <c r="B161" s="13" t="str">
        <f>VLOOKUP(A161,基础数据!A:B,2,FALSE)</f>
        <v>德州</v>
      </c>
      <c r="C161" s="10">
        <v>44037</v>
      </c>
      <c r="D161" s="9"/>
      <c r="E161" s="11">
        <v>4500065994</v>
      </c>
      <c r="F161" s="9"/>
      <c r="G161" s="11">
        <v>1120000131</v>
      </c>
      <c r="H161" s="9" t="s">
        <v>21</v>
      </c>
      <c r="I161" s="11">
        <v>2</v>
      </c>
      <c r="J161" s="11">
        <v>890</v>
      </c>
      <c r="K161" s="10">
        <v>44068</v>
      </c>
      <c r="L161" s="9" t="s">
        <v>762</v>
      </c>
      <c r="M161" s="13" t="str">
        <f>VLOOKUP(H161,基础数据!G:H,2,FALSE)</f>
        <v>SR120后缘</v>
      </c>
    </row>
    <row r="162" spans="1:13" s="12" customFormat="1">
      <c r="A162" s="11">
        <v>1570</v>
      </c>
      <c r="B162" s="13" t="str">
        <f>VLOOKUP(A162,基础数据!A:B,2,FALSE)</f>
        <v>德州</v>
      </c>
      <c r="C162" s="10">
        <v>44015</v>
      </c>
      <c r="D162" s="9"/>
      <c r="E162" s="11">
        <v>4500063963</v>
      </c>
      <c r="F162" s="9"/>
      <c r="G162" s="11">
        <v>1120000885</v>
      </c>
      <c r="H162" s="9" t="s">
        <v>102</v>
      </c>
      <c r="I162" s="11">
        <f>8-4</f>
        <v>4</v>
      </c>
      <c r="J162" s="11">
        <f>3736-1844</f>
        <v>1892</v>
      </c>
      <c r="K162" s="10">
        <v>44032</v>
      </c>
      <c r="L162" s="9" t="s">
        <v>763</v>
      </c>
      <c r="M162" s="13" t="str">
        <f>VLOOKUP(H162,基础数据!G:H,2,FALSE)</f>
        <v>SR120Ⅲ后缘</v>
      </c>
    </row>
    <row r="163" spans="1:13" s="12" customFormat="1">
      <c r="A163" s="9">
        <v>1570</v>
      </c>
      <c r="B163" s="13" t="str">
        <f>VLOOKUP(A163,基础数据!A:B,2,FALSE)</f>
        <v>德州</v>
      </c>
      <c r="C163" s="10">
        <v>44046</v>
      </c>
      <c r="D163" s="9"/>
      <c r="E163" s="9">
        <v>4500066685</v>
      </c>
      <c r="F163" s="9"/>
      <c r="G163" s="9">
        <v>1120000140</v>
      </c>
      <c r="H163" s="9" t="s">
        <v>114</v>
      </c>
      <c r="I163" s="11"/>
      <c r="J163" s="11">
        <v>7392</v>
      </c>
      <c r="K163" s="10">
        <v>44050</v>
      </c>
      <c r="L163" s="9" t="s">
        <v>767</v>
      </c>
      <c r="M163" s="13" t="str">
        <f>VLOOKUP(H163,基础数据!G:H,2,FALSE)</f>
        <v>TLX1215-1.27-100</v>
      </c>
    </row>
    <row r="164" spans="1:13" s="12" customFormat="1">
      <c r="A164" s="11">
        <v>1570</v>
      </c>
      <c r="B164" s="13" t="str">
        <f>VLOOKUP(A164,基础数据!A:B,2,FALSE)</f>
        <v>德州</v>
      </c>
      <c r="C164" s="10">
        <v>44029</v>
      </c>
      <c r="D164" s="9"/>
      <c r="E164" s="11">
        <v>4500065092</v>
      </c>
      <c r="F164" s="9"/>
      <c r="G164" s="11">
        <v>1120000132</v>
      </c>
      <c r="H164" s="9" t="s">
        <v>22</v>
      </c>
      <c r="I164" s="11">
        <v>5</v>
      </c>
      <c r="J164" s="11">
        <v>11195</v>
      </c>
      <c r="K164" s="10">
        <v>44054</v>
      </c>
      <c r="L164" s="9" t="s">
        <v>768</v>
      </c>
      <c r="M164" s="13" t="str">
        <f>VLOOKUP(H164,基础数据!G:H,2,FALSE)</f>
        <v>SR120大梁</v>
      </c>
    </row>
    <row r="165" spans="1:13" s="12" customFormat="1">
      <c r="A165" s="9">
        <v>1570</v>
      </c>
      <c r="B165" s="9" t="s">
        <v>756</v>
      </c>
      <c r="C165" s="10">
        <v>44047</v>
      </c>
      <c r="D165" s="9"/>
      <c r="E165" s="9">
        <v>20200809</v>
      </c>
      <c r="F165" s="9"/>
      <c r="G165" s="9"/>
      <c r="H165" s="9" t="s">
        <v>341</v>
      </c>
      <c r="I165" s="11"/>
      <c r="J165" s="11">
        <v>200</v>
      </c>
      <c r="K165" s="10">
        <v>44053</v>
      </c>
      <c r="L165" s="9" t="s">
        <v>773</v>
      </c>
      <c r="M165" s="13" t="str">
        <f>VLOOKUP(H165,基础数据!G:H,2,FALSE)</f>
        <v>WS2000</v>
      </c>
    </row>
    <row r="166" spans="1:13" s="12" customFormat="1">
      <c r="A166" s="9">
        <v>1570</v>
      </c>
      <c r="B166" s="13" t="str">
        <f>VLOOKUP(A166,基础数据!A:B,2,FALSE)</f>
        <v>德州</v>
      </c>
      <c r="C166" s="10">
        <v>44046</v>
      </c>
      <c r="D166" s="9"/>
      <c r="E166" s="9">
        <v>4500066685</v>
      </c>
      <c r="F166" s="9"/>
      <c r="G166" s="9">
        <v>1120000140</v>
      </c>
      <c r="H166" s="9" t="s">
        <v>114</v>
      </c>
      <c r="I166" s="11"/>
      <c r="J166" s="11">
        <v>5544</v>
      </c>
      <c r="K166" s="10">
        <v>44050</v>
      </c>
      <c r="L166" s="9" t="s">
        <v>772</v>
      </c>
      <c r="M166" s="13" t="str">
        <f>VLOOKUP(H166,基础数据!G:H,2,FALSE)</f>
        <v>TLX1215-1.27-100</v>
      </c>
    </row>
    <row r="167" spans="1:13" s="12" customFormat="1">
      <c r="A167" s="11">
        <v>1570</v>
      </c>
      <c r="B167" s="13" t="str">
        <f>VLOOKUP(A167,基础数据!A:B,2,FALSE)</f>
        <v>德州</v>
      </c>
      <c r="C167" s="10">
        <v>44037</v>
      </c>
      <c r="D167" s="9"/>
      <c r="E167" s="11">
        <v>4500065994</v>
      </c>
      <c r="F167" s="9"/>
      <c r="G167" s="11">
        <v>1120000131</v>
      </c>
      <c r="H167" s="9" t="s">
        <v>21</v>
      </c>
      <c r="I167" s="11">
        <v>12</v>
      </c>
      <c r="J167" s="11">
        <v>5340</v>
      </c>
      <c r="K167" s="10">
        <v>44068</v>
      </c>
      <c r="L167" s="9" t="s">
        <v>774</v>
      </c>
      <c r="M167" s="13" t="str">
        <f>VLOOKUP(H167,基础数据!G:H,2,FALSE)</f>
        <v>SR120后缘</v>
      </c>
    </row>
    <row r="168" spans="1:13" s="12" customFormat="1">
      <c r="A168" s="11">
        <v>1570</v>
      </c>
      <c r="B168" s="13" t="str">
        <f>VLOOKUP(A168,基础数据!A:B,2,FALSE)</f>
        <v>德州</v>
      </c>
      <c r="C168" s="10">
        <v>44037</v>
      </c>
      <c r="D168" s="9"/>
      <c r="E168" s="11">
        <v>4500065994</v>
      </c>
      <c r="F168" s="9"/>
      <c r="G168" s="11">
        <v>1120000885</v>
      </c>
      <c r="H168" s="9" t="s">
        <v>102</v>
      </c>
      <c r="I168" s="11">
        <v>10</v>
      </c>
      <c r="J168" s="11">
        <v>4610</v>
      </c>
      <c r="K168" s="10">
        <v>44068</v>
      </c>
      <c r="L168" s="9" t="s">
        <v>775</v>
      </c>
      <c r="M168" s="13" t="str">
        <f>VLOOKUP(H168,基础数据!G:H,2,FALSE)</f>
        <v>SR120Ⅲ后缘</v>
      </c>
    </row>
    <row r="169" spans="1:13" s="12" customFormat="1">
      <c r="A169" s="11">
        <v>1570</v>
      </c>
      <c r="B169" s="13" t="str">
        <f>VLOOKUP(A169,基础数据!A:B,2,FALSE)</f>
        <v>德州</v>
      </c>
      <c r="C169" s="10">
        <v>44029</v>
      </c>
      <c r="D169" s="9"/>
      <c r="E169" s="11">
        <v>4500065092</v>
      </c>
      <c r="F169" s="9"/>
      <c r="G169" s="11">
        <v>1120000132</v>
      </c>
      <c r="H169" s="9" t="s">
        <v>22</v>
      </c>
      <c r="I169" s="11">
        <v>6</v>
      </c>
      <c r="J169" s="11">
        <v>13434</v>
      </c>
      <c r="K169" s="10">
        <v>44054</v>
      </c>
      <c r="L169" s="9" t="s">
        <v>780</v>
      </c>
      <c r="M169" s="13" t="str">
        <f>VLOOKUP(H169,基础数据!G:H,2,FALSE)</f>
        <v>SR120大梁</v>
      </c>
    </row>
    <row r="170" spans="1:13" s="12" customFormat="1">
      <c r="A170" s="9">
        <v>1570</v>
      </c>
      <c r="B170" s="13" t="str">
        <f>VLOOKUP(A170,基础数据!A:B,2,FALSE)</f>
        <v>德州</v>
      </c>
      <c r="C170" s="10">
        <v>44046</v>
      </c>
      <c r="D170" s="9"/>
      <c r="E170" s="9">
        <v>4500066685</v>
      </c>
      <c r="F170" s="9"/>
      <c r="G170" s="9">
        <v>1120000140</v>
      </c>
      <c r="H170" s="9" t="s">
        <v>114</v>
      </c>
      <c r="I170" s="11"/>
      <c r="J170" s="11">
        <v>5544</v>
      </c>
      <c r="K170" s="10">
        <v>44050</v>
      </c>
      <c r="L170" s="9" t="s">
        <v>781</v>
      </c>
      <c r="M170" s="13" t="str">
        <f>VLOOKUP(H170,基础数据!G:H,2,FALSE)</f>
        <v>TLX1215-1.27-100</v>
      </c>
    </row>
    <row r="171" spans="1:13" s="12" customFormat="1">
      <c r="A171" s="11">
        <v>1570</v>
      </c>
      <c r="B171" s="13" t="str">
        <f>VLOOKUP(A171,基础数据!A:B,2,FALSE)</f>
        <v>德州</v>
      </c>
      <c r="C171" s="10">
        <v>44037</v>
      </c>
      <c r="D171" s="9"/>
      <c r="E171" s="11">
        <v>4500065994</v>
      </c>
      <c r="F171" s="9"/>
      <c r="G171" s="11">
        <v>1120000884</v>
      </c>
      <c r="H171" s="9" t="s">
        <v>101</v>
      </c>
      <c r="I171" s="11">
        <v>6</v>
      </c>
      <c r="J171" s="11">
        <v>14016</v>
      </c>
      <c r="K171" s="10">
        <v>44068</v>
      </c>
      <c r="L171" s="9" t="s">
        <v>787</v>
      </c>
      <c r="M171" s="13" t="str">
        <f>VLOOKUP(H171,基础数据!G:H,2,FALSE)</f>
        <v>SR120Ⅲ大梁</v>
      </c>
    </row>
    <row r="172" spans="1:13" s="12" customFormat="1">
      <c r="A172" s="9">
        <v>1570</v>
      </c>
      <c r="B172" s="13" t="str">
        <f>VLOOKUP(A172,基础数据!A:B,2,FALSE)</f>
        <v>德州</v>
      </c>
      <c r="C172" s="10">
        <v>44046</v>
      </c>
      <c r="D172" s="9"/>
      <c r="E172" s="9">
        <v>4500066685</v>
      </c>
      <c r="F172" s="9"/>
      <c r="G172" s="9">
        <v>1120000140</v>
      </c>
      <c r="H172" s="9" t="s">
        <v>114</v>
      </c>
      <c r="I172" s="11"/>
      <c r="J172" s="11">
        <v>5544</v>
      </c>
      <c r="K172" s="10">
        <v>44050</v>
      </c>
      <c r="L172" s="9" t="s">
        <v>788</v>
      </c>
      <c r="M172" s="13" t="str">
        <f>VLOOKUP(H172,基础数据!G:H,2,FALSE)</f>
        <v>TLX1215-1.27-100</v>
      </c>
    </row>
    <row r="173" spans="1:13" s="12" customFormat="1">
      <c r="A173" s="11">
        <v>1570</v>
      </c>
      <c r="B173" s="13" t="str">
        <f>VLOOKUP(A173,基础数据!A:B,2,FALSE)</f>
        <v>德州</v>
      </c>
      <c r="C173" s="10">
        <v>44037</v>
      </c>
      <c r="D173" s="9"/>
      <c r="E173" s="11">
        <v>4500065994</v>
      </c>
      <c r="F173" s="9"/>
      <c r="G173" s="11">
        <v>1120000132</v>
      </c>
      <c r="H173" s="9" t="s">
        <v>22</v>
      </c>
      <c r="I173" s="11">
        <v>6</v>
      </c>
      <c r="J173" s="11">
        <v>13434</v>
      </c>
      <c r="K173" s="10">
        <v>44068</v>
      </c>
      <c r="L173" s="9" t="s">
        <v>795</v>
      </c>
      <c r="M173" s="13" t="str">
        <f>VLOOKUP(H173,基础数据!G:H,2,FALSE)</f>
        <v>SR120大梁</v>
      </c>
    </row>
    <row r="174" spans="1:13" s="12" customFormat="1">
      <c r="A174" s="9">
        <v>1570</v>
      </c>
      <c r="B174" s="13" t="str">
        <f>VLOOKUP(A174,基础数据!A:B,2,FALSE)</f>
        <v>德州</v>
      </c>
      <c r="C174" s="10">
        <v>44046</v>
      </c>
      <c r="D174" s="9"/>
      <c r="E174" s="9">
        <v>4500066685</v>
      </c>
      <c r="F174" s="9"/>
      <c r="G174" s="9">
        <v>1120000140</v>
      </c>
      <c r="H174" s="9" t="s">
        <v>114</v>
      </c>
      <c r="I174" s="11"/>
      <c r="J174" s="11">
        <v>5544</v>
      </c>
      <c r="K174" s="10">
        <v>44050</v>
      </c>
      <c r="L174" s="9" t="s">
        <v>794</v>
      </c>
      <c r="M174" s="13" t="str">
        <f>VLOOKUP(H174,基础数据!G:H,2,FALSE)</f>
        <v>TLX1215-1.27-100</v>
      </c>
    </row>
    <row r="175" spans="1:13" s="12" customFormat="1">
      <c r="A175" s="9">
        <v>1570</v>
      </c>
      <c r="B175" s="13" t="str">
        <f>VLOOKUP(A175,基础数据!A:B,2,FALSE)</f>
        <v>德州</v>
      </c>
      <c r="C175" s="10">
        <v>44046</v>
      </c>
      <c r="D175" s="9"/>
      <c r="E175" s="9">
        <v>4500066685</v>
      </c>
      <c r="F175" s="9"/>
      <c r="G175" s="9">
        <v>1120000140</v>
      </c>
      <c r="H175" s="9" t="s">
        <v>114</v>
      </c>
      <c r="I175" s="11"/>
      <c r="J175" s="11">
        <v>13860</v>
      </c>
      <c r="K175" s="10">
        <v>44050</v>
      </c>
      <c r="L175" s="9" t="s">
        <v>797</v>
      </c>
      <c r="M175" s="13" t="str">
        <f>VLOOKUP(H175,基础数据!G:H,2,FALSE)</f>
        <v>TLX1215-1.27-100</v>
      </c>
    </row>
    <row r="176" spans="1:13" s="12" customFormat="1">
      <c r="A176" s="11">
        <v>1570</v>
      </c>
      <c r="B176" s="13" t="str">
        <f>VLOOKUP(A176,基础数据!A:B,2,FALSE)</f>
        <v>德州</v>
      </c>
      <c r="C176" s="10">
        <v>44037</v>
      </c>
      <c r="D176" s="9"/>
      <c r="E176" s="11">
        <v>4500065994</v>
      </c>
      <c r="F176" s="9"/>
      <c r="G176" s="11">
        <v>1120000132</v>
      </c>
      <c r="H176" s="9" t="s">
        <v>22</v>
      </c>
      <c r="I176" s="11">
        <v>6</v>
      </c>
      <c r="J176" s="11">
        <v>13434</v>
      </c>
      <c r="K176" s="10">
        <v>44068</v>
      </c>
      <c r="L176" s="9" t="s">
        <v>807</v>
      </c>
      <c r="M176" s="13" t="str">
        <f>VLOOKUP(H176,基础数据!G:H,2,FALSE)</f>
        <v>SR120大梁</v>
      </c>
    </row>
    <row r="177" spans="1:13" s="12" customFormat="1">
      <c r="A177" s="9">
        <v>1570</v>
      </c>
      <c r="B177" s="13" t="str">
        <f>VLOOKUP(A177,基础数据!A:B,2,FALSE)</f>
        <v>德州</v>
      </c>
      <c r="C177" s="10">
        <v>44046</v>
      </c>
      <c r="D177" s="9"/>
      <c r="E177" s="9">
        <v>4500066685</v>
      </c>
      <c r="F177" s="9"/>
      <c r="G177" s="9">
        <v>1120000140</v>
      </c>
      <c r="H177" s="9" t="s">
        <v>114</v>
      </c>
      <c r="I177" s="11"/>
      <c r="J177" s="11">
        <v>5544</v>
      </c>
      <c r="K177" s="10">
        <v>44050</v>
      </c>
      <c r="L177" s="9" t="s">
        <v>808</v>
      </c>
      <c r="M177" s="13" t="str">
        <f>VLOOKUP(H177,基础数据!G:H,2,FALSE)</f>
        <v>TLX1215-1.27-100</v>
      </c>
    </row>
    <row r="178" spans="1:13" s="12" customFormat="1">
      <c r="A178" s="9">
        <v>1570</v>
      </c>
      <c r="B178" s="13" t="str">
        <f>VLOOKUP(A178,基础数据!A:B,2,FALSE)</f>
        <v>德州</v>
      </c>
      <c r="C178" s="10">
        <v>44046</v>
      </c>
      <c r="D178" s="9"/>
      <c r="E178" s="9">
        <v>4500066685</v>
      </c>
      <c r="F178" s="9"/>
      <c r="G178" s="9">
        <v>1120000140</v>
      </c>
      <c r="H178" s="9" t="s">
        <v>114</v>
      </c>
      <c r="I178" s="11"/>
      <c r="J178" s="11">
        <v>5544</v>
      </c>
      <c r="K178" s="10">
        <v>44050</v>
      </c>
      <c r="L178" s="9" t="s">
        <v>817</v>
      </c>
      <c r="M178" s="13" t="str">
        <f>VLOOKUP(H178,基础数据!G:H,2,FALSE)</f>
        <v>TLX1215-1.27-100</v>
      </c>
    </row>
    <row r="179" spans="1:13" s="12" customFormat="1">
      <c r="A179" s="11">
        <v>1570</v>
      </c>
      <c r="B179" s="13" t="str">
        <f>VLOOKUP(A179,基础数据!A:B,2,FALSE)</f>
        <v>德州</v>
      </c>
      <c r="C179" s="10">
        <v>44037</v>
      </c>
      <c r="D179" s="9"/>
      <c r="E179" s="11">
        <v>4500065994</v>
      </c>
      <c r="F179" s="9"/>
      <c r="G179" s="11">
        <v>1120000132</v>
      </c>
      <c r="H179" s="9" t="s">
        <v>22</v>
      </c>
      <c r="I179" s="11">
        <v>6</v>
      </c>
      <c r="J179" s="11">
        <v>13434</v>
      </c>
      <c r="K179" s="10">
        <v>44068</v>
      </c>
      <c r="L179" s="9" t="s">
        <v>818</v>
      </c>
      <c r="M179" s="13" t="str">
        <f>VLOOKUP(H179,基础数据!G:H,2,FALSE)</f>
        <v>SR120大梁</v>
      </c>
    </row>
    <row r="180" spans="1:13" s="12" customFormat="1">
      <c r="A180" s="9">
        <v>1570</v>
      </c>
      <c r="B180" s="13" t="str">
        <f>VLOOKUP(A180,基础数据!A:B,2,FALSE)</f>
        <v>德州</v>
      </c>
      <c r="C180" s="10">
        <v>44046</v>
      </c>
      <c r="D180" s="9"/>
      <c r="E180" s="9">
        <v>4500066685</v>
      </c>
      <c r="F180" s="9"/>
      <c r="G180" s="9">
        <v>1120000140</v>
      </c>
      <c r="H180" s="9" t="s">
        <v>114</v>
      </c>
      <c r="I180" s="11"/>
      <c r="J180" s="11">
        <v>12012</v>
      </c>
      <c r="K180" s="10">
        <v>44050</v>
      </c>
      <c r="L180" s="9" t="s">
        <v>819</v>
      </c>
      <c r="M180" s="13" t="str">
        <f>VLOOKUP(H180,基础数据!G:H,2,FALSE)</f>
        <v>TLX1215-1.27-100</v>
      </c>
    </row>
    <row r="181" spans="1:13" s="12" customFormat="1">
      <c r="A181" s="9">
        <v>1570</v>
      </c>
      <c r="B181" s="13" t="str">
        <f>VLOOKUP(A181,基础数据!A:B,2,FALSE)</f>
        <v>德州</v>
      </c>
      <c r="C181" s="10">
        <v>44046</v>
      </c>
      <c r="D181" s="9"/>
      <c r="E181" s="9">
        <v>4500066685</v>
      </c>
      <c r="F181" s="9"/>
      <c r="G181" s="9">
        <v>1120000140</v>
      </c>
      <c r="H181" s="9" t="s">
        <v>114</v>
      </c>
      <c r="I181" s="11"/>
      <c r="J181" s="11">
        <v>5544</v>
      </c>
      <c r="K181" s="10">
        <v>44050</v>
      </c>
      <c r="L181" s="9" t="s">
        <v>829</v>
      </c>
      <c r="M181" s="13" t="str">
        <f>VLOOKUP(H181,基础数据!G:H,2,FALSE)</f>
        <v>TLX1215-1.27-100</v>
      </c>
    </row>
    <row r="182" spans="1:13" s="12" customFormat="1">
      <c r="A182" s="11">
        <v>1570</v>
      </c>
      <c r="B182" s="13" t="str">
        <f>VLOOKUP(A182,基础数据!A:B,2,FALSE)</f>
        <v>德州</v>
      </c>
      <c r="C182" s="10">
        <v>44037</v>
      </c>
      <c r="D182" s="9"/>
      <c r="E182" s="11">
        <v>4500065994</v>
      </c>
      <c r="F182" s="9"/>
      <c r="G182" s="11">
        <v>1120000132</v>
      </c>
      <c r="H182" s="9" t="s">
        <v>22</v>
      </c>
      <c r="I182" s="11">
        <v>6</v>
      </c>
      <c r="J182" s="11">
        <v>13434</v>
      </c>
      <c r="K182" s="10">
        <v>44068</v>
      </c>
      <c r="L182" s="9" t="s">
        <v>830</v>
      </c>
      <c r="M182" s="13" t="str">
        <f>VLOOKUP(H182,基础数据!G:H,2,FALSE)</f>
        <v>SR120大梁</v>
      </c>
    </row>
    <row r="183" spans="1:13" s="12" customFormat="1">
      <c r="A183" s="11">
        <v>1570</v>
      </c>
      <c r="B183" s="13" t="str">
        <f>VLOOKUP(A183,基础数据!A:B,2,FALSE)</f>
        <v>德州</v>
      </c>
      <c r="C183" s="10">
        <v>44037</v>
      </c>
      <c r="D183" s="9"/>
      <c r="E183" s="11">
        <v>4500065994</v>
      </c>
      <c r="F183" s="9"/>
      <c r="G183" s="11">
        <v>1120000131</v>
      </c>
      <c r="H183" s="9" t="s">
        <v>21</v>
      </c>
      <c r="I183" s="11">
        <v>12</v>
      </c>
      <c r="J183" s="11">
        <v>5340</v>
      </c>
      <c r="K183" s="10">
        <v>44068</v>
      </c>
      <c r="L183" s="9" t="s">
        <v>841</v>
      </c>
      <c r="M183" s="13" t="str">
        <f>VLOOKUP(H183,基础数据!G:H,2,FALSE)</f>
        <v>SR120后缘</v>
      </c>
    </row>
    <row r="184" spans="1:13" s="12" customFormat="1">
      <c r="A184" s="11">
        <v>1570</v>
      </c>
      <c r="B184" s="13" t="str">
        <f>VLOOKUP(A184,基础数据!A:B,2,FALSE)</f>
        <v>德州</v>
      </c>
      <c r="C184" s="10">
        <v>44037</v>
      </c>
      <c r="D184" s="9"/>
      <c r="E184" s="11">
        <v>4500065994</v>
      </c>
      <c r="F184" s="9"/>
      <c r="G184" s="11">
        <v>1120000132</v>
      </c>
      <c r="H184" s="9" t="s">
        <v>22</v>
      </c>
      <c r="I184" s="11">
        <v>3</v>
      </c>
      <c r="J184" s="11">
        <v>6716</v>
      </c>
      <c r="K184" s="10">
        <v>44068</v>
      </c>
      <c r="L184" s="9" t="s">
        <v>840</v>
      </c>
      <c r="M184" s="13" t="str">
        <f>VLOOKUP(H184,基础数据!G:H,2,FALSE)</f>
        <v>SR120大梁</v>
      </c>
    </row>
    <row r="185" spans="1:13" s="12" customFormat="1">
      <c r="A185" s="9">
        <v>1570</v>
      </c>
      <c r="B185" s="13" t="str">
        <f>VLOOKUP(A185,基础数据!A:B,2,FALSE)</f>
        <v>德州</v>
      </c>
      <c r="C185" s="10">
        <v>44046</v>
      </c>
      <c r="D185" s="9"/>
      <c r="E185" s="9">
        <v>4500066685</v>
      </c>
      <c r="F185" s="9"/>
      <c r="G185" s="9">
        <v>1120000140</v>
      </c>
      <c r="H185" s="9" t="s">
        <v>114</v>
      </c>
      <c r="I185" s="11"/>
      <c r="J185" s="11">
        <v>5544</v>
      </c>
      <c r="K185" s="10">
        <v>44050</v>
      </c>
      <c r="L185" s="9" t="s">
        <v>842</v>
      </c>
      <c r="M185" s="13" t="str">
        <f>VLOOKUP(H185,基础数据!G:H,2,FALSE)</f>
        <v>TLX1215-1.27-100</v>
      </c>
    </row>
    <row r="186" spans="1:13" s="12" customFormat="1">
      <c r="A186" s="11">
        <v>1570</v>
      </c>
      <c r="B186" s="13" t="str">
        <f>VLOOKUP(A186,基础数据!A:B,2,FALSE)</f>
        <v>德州</v>
      </c>
      <c r="C186" s="10">
        <v>44037</v>
      </c>
      <c r="D186" s="9"/>
      <c r="E186" s="11">
        <v>4500065994</v>
      </c>
      <c r="F186" s="9"/>
      <c r="G186" s="11">
        <v>1120000884</v>
      </c>
      <c r="H186" s="9" t="s">
        <v>101</v>
      </c>
      <c r="I186" s="11">
        <v>6</v>
      </c>
      <c r="J186" s="11">
        <v>14016</v>
      </c>
      <c r="K186" s="10">
        <v>44068</v>
      </c>
      <c r="L186" s="9" t="s">
        <v>844</v>
      </c>
      <c r="M186" s="13" t="str">
        <f>VLOOKUP(H186,基础数据!G:H,2,FALSE)</f>
        <v>SR120Ⅲ大梁</v>
      </c>
    </row>
    <row r="187" spans="1:13" s="12" customFormat="1">
      <c r="A187" s="9">
        <v>1570</v>
      </c>
      <c r="B187" s="13" t="str">
        <f>VLOOKUP(A187,基础数据!A:B,2,FALSE)</f>
        <v>德州</v>
      </c>
      <c r="C187" s="10">
        <v>44046</v>
      </c>
      <c r="D187" s="9"/>
      <c r="E187" s="9">
        <v>4500066685</v>
      </c>
      <c r="F187" s="9"/>
      <c r="G187" s="9">
        <v>1120000140</v>
      </c>
      <c r="H187" s="9" t="s">
        <v>114</v>
      </c>
      <c r="I187" s="11"/>
      <c r="J187" s="11">
        <v>4620</v>
      </c>
      <c r="K187" s="10">
        <v>44050</v>
      </c>
      <c r="L187" s="9" t="s">
        <v>845</v>
      </c>
      <c r="M187" s="13" t="str">
        <f>VLOOKUP(H187,基础数据!G:H,2,FALSE)</f>
        <v>TLX1215-1.27-100</v>
      </c>
    </row>
    <row r="188" spans="1:13" s="12" customFormat="1">
      <c r="A188" s="9">
        <v>1570</v>
      </c>
      <c r="B188" s="13" t="str">
        <f>VLOOKUP(A188,基础数据!A:B,2,FALSE)</f>
        <v>德州</v>
      </c>
      <c r="C188" s="10">
        <v>44046</v>
      </c>
      <c r="D188" s="9"/>
      <c r="E188" s="9">
        <v>4500066685</v>
      </c>
      <c r="F188" s="9"/>
      <c r="G188" s="9">
        <v>1120000140</v>
      </c>
      <c r="H188" s="9" t="s">
        <v>114</v>
      </c>
      <c r="I188" s="11"/>
      <c r="J188" s="11">
        <v>924</v>
      </c>
      <c r="K188" s="10">
        <v>44050</v>
      </c>
      <c r="L188" s="9" t="s">
        <v>934</v>
      </c>
      <c r="M188" s="13" t="str">
        <f>VLOOKUP(H188,基础数据!G:H,2,FALSE)</f>
        <v>TLX1215-1.27-100</v>
      </c>
    </row>
    <row r="189" spans="1:13" s="12" customFormat="1">
      <c r="A189" s="9">
        <v>1570</v>
      </c>
      <c r="B189" s="13" t="str">
        <f>VLOOKUP(A189,基础数据!A:B,2,FALSE)</f>
        <v>德州</v>
      </c>
      <c r="C189" s="10">
        <v>44046</v>
      </c>
      <c r="D189" s="9"/>
      <c r="E189" s="9">
        <v>4500066685</v>
      </c>
      <c r="F189" s="9"/>
      <c r="G189" s="9">
        <v>1120000148</v>
      </c>
      <c r="H189" s="9" t="s">
        <v>749</v>
      </c>
      <c r="I189" s="11"/>
      <c r="J189" s="11">
        <v>10120</v>
      </c>
      <c r="K189" s="10">
        <v>44050</v>
      </c>
      <c r="L189" s="9" t="s">
        <v>847</v>
      </c>
      <c r="M189" s="13" t="str">
        <f>VLOOKUP(H189,基础数据!G:H,2,FALSE)</f>
        <v>TLX1215-1.27-60</v>
      </c>
    </row>
    <row r="190" spans="1:13" s="12" customFormat="1">
      <c r="A190" s="11">
        <v>1570</v>
      </c>
      <c r="B190" s="13" t="str">
        <f>VLOOKUP(A190,基础数据!A:B,2,FALSE)</f>
        <v>德州</v>
      </c>
      <c r="C190" s="10">
        <v>44037</v>
      </c>
      <c r="D190" s="9"/>
      <c r="E190" s="11">
        <v>4500065994</v>
      </c>
      <c r="F190" s="9"/>
      <c r="G190" s="11">
        <v>1120000131</v>
      </c>
      <c r="H190" s="9" t="s">
        <v>21</v>
      </c>
      <c r="I190" s="11">
        <v>12</v>
      </c>
      <c r="J190" s="11">
        <f>35600-890-5340-5340-5340</f>
        <v>18690</v>
      </c>
      <c r="K190" s="10">
        <v>44068</v>
      </c>
      <c r="L190" s="9" t="s">
        <v>853</v>
      </c>
      <c r="M190" s="13" t="str">
        <f>VLOOKUP(H190,基础数据!G:H,2,FALSE)</f>
        <v>SR120后缘</v>
      </c>
    </row>
    <row r="191" spans="1:13" s="12" customFormat="1">
      <c r="A191" s="11">
        <v>1570</v>
      </c>
      <c r="B191" s="13" t="str">
        <f>VLOOKUP(A191,基础数据!A:B,2,FALSE)</f>
        <v>德州</v>
      </c>
      <c r="C191" s="10">
        <v>44037</v>
      </c>
      <c r="D191" s="9"/>
      <c r="E191" s="11">
        <v>4500065994</v>
      </c>
      <c r="F191" s="9"/>
      <c r="G191" s="11">
        <v>1120000885</v>
      </c>
      <c r="H191" s="9" t="s">
        <v>102</v>
      </c>
      <c r="I191" s="11">
        <v>6</v>
      </c>
      <c r="J191" s="11">
        <v>2766</v>
      </c>
      <c r="K191" s="10">
        <v>44068</v>
      </c>
      <c r="L191" s="9" t="s">
        <v>854</v>
      </c>
      <c r="M191" s="13" t="str">
        <f>VLOOKUP(H191,基础数据!G:H,2,FALSE)</f>
        <v>SR120Ⅲ后缘</v>
      </c>
    </row>
    <row r="192" spans="1:13" s="12" customFormat="1">
      <c r="A192" s="11">
        <v>1570</v>
      </c>
      <c r="B192" s="13" t="str">
        <f>VLOOKUP(A192,基础数据!A:B,2,FALSE)</f>
        <v>德州</v>
      </c>
      <c r="C192" s="10">
        <v>44029</v>
      </c>
      <c r="D192" s="9"/>
      <c r="E192" s="11">
        <v>4500065092</v>
      </c>
      <c r="F192" s="9"/>
      <c r="G192" s="11">
        <v>1120000132</v>
      </c>
      <c r="H192" s="9" t="s">
        <v>22</v>
      </c>
      <c r="I192" s="11">
        <v>2</v>
      </c>
      <c r="J192" s="11">
        <v>4478</v>
      </c>
      <c r="K192" s="10">
        <v>44054</v>
      </c>
      <c r="L192" s="9" t="s">
        <v>855</v>
      </c>
      <c r="M192" s="13" t="str">
        <f>VLOOKUP(H192,基础数据!G:H,2,FALSE)</f>
        <v>SR120大梁</v>
      </c>
    </row>
    <row r="193" spans="1:13" s="12" customFormat="1">
      <c r="A193" s="9">
        <v>1570</v>
      </c>
      <c r="B193" s="13" t="str">
        <f>VLOOKUP(A193,基础数据!A:B,2,FALSE)</f>
        <v>德州</v>
      </c>
      <c r="C193" s="10">
        <v>44046</v>
      </c>
      <c r="D193" s="9"/>
      <c r="E193" s="9">
        <v>4500066685</v>
      </c>
      <c r="F193" s="9"/>
      <c r="G193" s="9">
        <v>1120000140</v>
      </c>
      <c r="H193" s="9" t="s">
        <v>114</v>
      </c>
      <c r="I193" s="11"/>
      <c r="J193" s="11">
        <v>4620</v>
      </c>
      <c r="K193" s="10">
        <v>44050</v>
      </c>
      <c r="L193" s="9" t="s">
        <v>935</v>
      </c>
      <c r="M193" s="13" t="str">
        <f>VLOOKUP(H193,基础数据!G:H,2,FALSE)</f>
        <v>TLX1215-1.27-100</v>
      </c>
    </row>
    <row r="194" spans="1:13" s="12" customFormat="1">
      <c r="A194" s="11">
        <v>1570</v>
      </c>
      <c r="B194" s="13" t="str">
        <f>VLOOKUP(A194,基础数据!A:B,2,FALSE)</f>
        <v>德州</v>
      </c>
      <c r="C194" s="10">
        <v>44037</v>
      </c>
      <c r="D194" s="9"/>
      <c r="E194" s="11">
        <v>4500065994</v>
      </c>
      <c r="F194" s="9"/>
      <c r="G194" s="11">
        <v>1120000132</v>
      </c>
      <c r="H194" s="9" t="s">
        <v>22</v>
      </c>
      <c r="I194" s="11">
        <v>7</v>
      </c>
      <c r="J194" s="11">
        <v>15673</v>
      </c>
      <c r="K194" s="10">
        <v>44068</v>
      </c>
      <c r="L194" s="9" t="s">
        <v>856</v>
      </c>
      <c r="M194" s="13" t="str">
        <f>VLOOKUP(H194,基础数据!G:H,2,FALSE)</f>
        <v>SR120大梁</v>
      </c>
    </row>
    <row r="195" spans="1:13" s="12" customFormat="1">
      <c r="A195" s="9">
        <v>1570</v>
      </c>
      <c r="B195" s="13" t="str">
        <f>VLOOKUP(A195,基础数据!A:B,2,FALSE)</f>
        <v>德州</v>
      </c>
      <c r="C195" s="10">
        <v>44046</v>
      </c>
      <c r="D195" s="9"/>
      <c r="E195" s="9">
        <v>4500066685</v>
      </c>
      <c r="F195" s="9"/>
      <c r="G195" s="9">
        <v>1120000140</v>
      </c>
      <c r="H195" s="9" t="s">
        <v>114</v>
      </c>
      <c r="I195" s="11"/>
      <c r="J195" s="11">
        <v>4620</v>
      </c>
      <c r="K195" s="10">
        <v>44050</v>
      </c>
      <c r="L195" s="9" t="s">
        <v>936</v>
      </c>
      <c r="M195" s="13" t="str">
        <f>VLOOKUP(H195,基础数据!G:H,2,FALSE)</f>
        <v>TLX1215-1.27-100</v>
      </c>
    </row>
    <row r="196" spans="1:13" s="12" customFormat="1">
      <c r="A196" s="11">
        <v>1570</v>
      </c>
      <c r="B196" s="13" t="str">
        <f>VLOOKUP(A196,基础数据!A:B,2,FALSE)</f>
        <v>德州</v>
      </c>
      <c r="C196" s="10">
        <v>44037</v>
      </c>
      <c r="D196" s="9"/>
      <c r="E196" s="11">
        <v>4500065994</v>
      </c>
      <c r="F196" s="9"/>
      <c r="G196" s="11">
        <v>1120000132</v>
      </c>
      <c r="H196" s="9" t="s">
        <v>22</v>
      </c>
      <c r="I196" s="11">
        <v>6</v>
      </c>
      <c r="J196" s="11">
        <v>13434</v>
      </c>
      <c r="K196" s="10">
        <v>44068</v>
      </c>
      <c r="L196" s="9" t="s">
        <v>860</v>
      </c>
      <c r="M196" s="13" t="str">
        <f>VLOOKUP(H196,基础数据!G:H,2,FALSE)</f>
        <v>SR120大梁</v>
      </c>
    </row>
    <row r="197" spans="1:13" s="12" customFormat="1">
      <c r="A197" s="9">
        <v>1570</v>
      </c>
      <c r="B197" s="13" t="str">
        <f>VLOOKUP(A197,基础数据!A:B,2,FALSE)</f>
        <v>德州</v>
      </c>
      <c r="C197" s="10">
        <v>44046</v>
      </c>
      <c r="D197" s="9"/>
      <c r="E197" s="9">
        <v>4500066685</v>
      </c>
      <c r="F197" s="9"/>
      <c r="G197" s="9">
        <v>1120000140</v>
      </c>
      <c r="H197" s="9" t="s">
        <v>859</v>
      </c>
      <c r="I197" s="11"/>
      <c r="J197" s="11">
        <v>7392</v>
      </c>
      <c r="K197" s="10">
        <v>44050</v>
      </c>
      <c r="L197" s="9" t="s">
        <v>937</v>
      </c>
      <c r="M197" s="13" t="str">
        <f>VLOOKUP(H197,基础数据!G:H,2,FALSE)</f>
        <v>TLX1215-1.27-100</v>
      </c>
    </row>
    <row r="198" spans="1:13" s="12" customFormat="1">
      <c r="A198" s="9">
        <v>1570</v>
      </c>
      <c r="B198" s="13" t="str">
        <f>VLOOKUP(A198,基础数据!A:B,2,FALSE)</f>
        <v>德州</v>
      </c>
      <c r="C198" s="10">
        <v>44046</v>
      </c>
      <c r="D198" s="9"/>
      <c r="E198" s="9">
        <v>4500066685</v>
      </c>
      <c r="F198" s="9"/>
      <c r="G198" s="9">
        <v>1120000140</v>
      </c>
      <c r="H198" s="9" t="s">
        <v>859</v>
      </c>
      <c r="I198" s="11"/>
      <c r="J198" s="11">
        <v>6468</v>
      </c>
      <c r="K198" s="10">
        <v>44050</v>
      </c>
      <c r="L198" s="9" t="s">
        <v>938</v>
      </c>
      <c r="M198" s="13" t="str">
        <f>VLOOKUP(H198,基础数据!G:H,2,FALSE)</f>
        <v>TLX1215-1.27-100</v>
      </c>
    </row>
    <row r="199" spans="1:13" s="12" customFormat="1" ht="15.95" customHeight="1">
      <c r="A199" s="11">
        <v>1570</v>
      </c>
      <c r="B199" s="13" t="str">
        <f>VLOOKUP(A199,基础数据!A:B,2,FALSE)</f>
        <v>德州</v>
      </c>
      <c r="C199" s="10">
        <v>44037</v>
      </c>
      <c r="D199" s="9"/>
      <c r="E199" s="11">
        <v>4500065994</v>
      </c>
      <c r="F199" s="9"/>
      <c r="G199" s="11">
        <v>1120000132</v>
      </c>
      <c r="H199" s="9" t="s">
        <v>22</v>
      </c>
      <c r="I199" s="11">
        <v>6</v>
      </c>
      <c r="J199" s="11">
        <v>13434</v>
      </c>
      <c r="K199" s="10">
        <v>44068</v>
      </c>
      <c r="L199" s="9" t="s">
        <v>1217</v>
      </c>
      <c r="M199" s="13" t="str">
        <f>VLOOKUP(H199,基础数据!G:H,2,FALSE)</f>
        <v>SR120大梁</v>
      </c>
    </row>
    <row r="200" spans="1:13" s="12" customFormat="1" ht="15.95" customHeight="1">
      <c r="A200" s="9">
        <v>1570</v>
      </c>
      <c r="B200" s="13" t="str">
        <f>VLOOKUP(A200,基础数据!A:B,2,FALSE)</f>
        <v>德州</v>
      </c>
      <c r="C200" s="10">
        <v>44046</v>
      </c>
      <c r="D200" s="9"/>
      <c r="E200" s="9">
        <v>4500066685</v>
      </c>
      <c r="F200" s="9"/>
      <c r="G200" s="9">
        <v>1120000140</v>
      </c>
      <c r="H200" s="9" t="s">
        <v>859</v>
      </c>
      <c r="I200" s="11"/>
      <c r="J200" s="11">
        <v>4620</v>
      </c>
      <c r="K200" s="10">
        <v>44050</v>
      </c>
      <c r="L200" s="9" t="s">
        <v>1218</v>
      </c>
      <c r="M200" s="13" t="str">
        <f>VLOOKUP(H200,基础数据!G:H,2,FALSE)</f>
        <v>TLX1215-1.27-100</v>
      </c>
    </row>
    <row r="201" spans="1:13" s="12" customFormat="1">
      <c r="A201" s="11">
        <v>1570</v>
      </c>
      <c r="B201" s="13" t="str">
        <f>VLOOKUP(A201,基础数据!A:B,2,FALSE)</f>
        <v>德州</v>
      </c>
      <c r="C201" s="10">
        <v>44037</v>
      </c>
      <c r="D201" s="9"/>
      <c r="E201" s="11">
        <v>4500065994</v>
      </c>
      <c r="F201" s="9"/>
      <c r="G201" s="11">
        <v>1120000884</v>
      </c>
      <c r="H201" s="9" t="s">
        <v>101</v>
      </c>
      <c r="I201" s="11">
        <v>6</v>
      </c>
      <c r="J201" s="11">
        <v>14016</v>
      </c>
      <c r="K201" s="10">
        <v>44068</v>
      </c>
      <c r="L201" s="9" t="s">
        <v>871</v>
      </c>
      <c r="M201" s="13" t="str">
        <f>VLOOKUP(H201,基础数据!G:H,2,FALSE)</f>
        <v>SR120Ⅲ大梁</v>
      </c>
    </row>
    <row r="202" spans="1:13" s="12" customFormat="1">
      <c r="A202" s="9">
        <v>1570</v>
      </c>
      <c r="B202" s="13" t="str">
        <f>VLOOKUP(A202,基础数据!A:B,2,FALSE)</f>
        <v>德州</v>
      </c>
      <c r="C202" s="10">
        <v>44046</v>
      </c>
      <c r="D202" s="9"/>
      <c r="E202" s="9" t="s">
        <v>872</v>
      </c>
      <c r="F202" s="9"/>
      <c r="G202" s="9">
        <v>1120000140</v>
      </c>
      <c r="H202" s="9" t="s">
        <v>859</v>
      </c>
      <c r="I202" s="11"/>
      <c r="J202" s="11">
        <v>5544</v>
      </c>
      <c r="K202" s="10">
        <v>44050</v>
      </c>
      <c r="L202" s="9" t="s">
        <v>1219</v>
      </c>
      <c r="M202" s="13" t="str">
        <f>VLOOKUP(H202,基础数据!G:H,2,FALSE)</f>
        <v>TLX1215-1.27-100</v>
      </c>
    </row>
    <row r="203" spans="1:13" s="12" customFormat="1">
      <c r="A203" s="11">
        <v>1570</v>
      </c>
      <c r="B203" s="13" t="str">
        <f>VLOOKUP(A203,基础数据!A:B,2,FALSE)</f>
        <v>德州</v>
      </c>
      <c r="C203" s="10">
        <v>44037</v>
      </c>
      <c r="D203" s="9"/>
      <c r="E203" s="11">
        <v>4500065994</v>
      </c>
      <c r="F203" s="9"/>
      <c r="G203" s="11">
        <v>1120000132</v>
      </c>
      <c r="H203" s="9" t="s">
        <v>22</v>
      </c>
      <c r="I203" s="11">
        <v>4</v>
      </c>
      <c r="J203" s="11">
        <v>8956</v>
      </c>
      <c r="K203" s="10">
        <v>44068</v>
      </c>
      <c r="L203" s="9" t="s">
        <v>1220</v>
      </c>
      <c r="M203" s="13" t="str">
        <f>VLOOKUP(H203,基础数据!G:H,2,FALSE)</f>
        <v>SR120大梁</v>
      </c>
    </row>
    <row r="204" spans="1:13" s="12" customFormat="1">
      <c r="A204" s="9">
        <v>1570</v>
      </c>
      <c r="B204" s="13" t="str">
        <f>VLOOKUP(A204,基础数据!A:B,2,FALSE)</f>
        <v>德州</v>
      </c>
      <c r="C204" s="10">
        <v>44046</v>
      </c>
      <c r="D204" s="9"/>
      <c r="E204" s="9">
        <v>4500066685</v>
      </c>
      <c r="F204" s="9"/>
      <c r="G204" s="9">
        <v>1120000140</v>
      </c>
      <c r="H204" s="9" t="s">
        <v>859</v>
      </c>
      <c r="I204" s="11"/>
      <c r="J204" s="11">
        <v>3696</v>
      </c>
      <c r="K204" s="10">
        <v>44050</v>
      </c>
      <c r="L204" s="9" t="s">
        <v>1221</v>
      </c>
      <c r="M204" s="13" t="str">
        <f>VLOOKUP(H204,基础数据!G:H,2,FALSE)</f>
        <v>TLX1215-1.27-100</v>
      </c>
    </row>
    <row r="205" spans="1:13" s="12" customFormat="1">
      <c r="A205" s="9">
        <v>1570</v>
      </c>
      <c r="B205" s="13" t="str">
        <f>VLOOKUP(A205,基础数据!A:B,2,FALSE)</f>
        <v>德州</v>
      </c>
      <c r="C205" s="10">
        <v>44046</v>
      </c>
      <c r="D205" s="9"/>
      <c r="E205" s="9">
        <v>4500066685</v>
      </c>
      <c r="F205" s="9"/>
      <c r="G205" s="9">
        <v>1120000148</v>
      </c>
      <c r="H205" s="9" t="s">
        <v>849</v>
      </c>
      <c r="I205" s="11"/>
      <c r="J205" s="11">
        <v>2024</v>
      </c>
      <c r="K205" s="10">
        <v>44050</v>
      </c>
      <c r="L205" s="9" t="s">
        <v>878</v>
      </c>
      <c r="M205" s="13" t="str">
        <f>VLOOKUP(H205,基础数据!G:H,2,FALSE)</f>
        <v>TLX1215-1.27-60</v>
      </c>
    </row>
    <row r="206" spans="1:13" s="12" customFormat="1">
      <c r="A206" s="11">
        <v>1570</v>
      </c>
      <c r="B206" s="13" t="str">
        <f>VLOOKUP(A206,基础数据!A:B,2,FALSE)</f>
        <v>德州</v>
      </c>
      <c r="C206" s="10">
        <v>44037</v>
      </c>
      <c r="D206" s="9"/>
      <c r="E206" s="11">
        <v>4500065994</v>
      </c>
      <c r="F206" s="9"/>
      <c r="G206" s="11">
        <v>1120000885</v>
      </c>
      <c r="H206" s="9" t="s">
        <v>102</v>
      </c>
      <c r="I206" s="11">
        <v>8</v>
      </c>
      <c r="J206" s="11">
        <v>3688</v>
      </c>
      <c r="K206" s="10">
        <v>44068</v>
      </c>
      <c r="L206" s="9" t="s">
        <v>879</v>
      </c>
      <c r="M206" s="13" t="str">
        <f>VLOOKUP(H206,基础数据!G:H,2,FALSE)</f>
        <v>SR120Ⅲ后缘</v>
      </c>
    </row>
    <row r="207" spans="1:13" s="12" customFormat="1">
      <c r="A207" s="11">
        <v>1570</v>
      </c>
      <c r="B207" s="13" t="str">
        <f>VLOOKUP(A207,基础数据!A:B,2,FALSE)</f>
        <v>德州</v>
      </c>
      <c r="C207" s="10">
        <v>44037</v>
      </c>
      <c r="D207" s="9"/>
      <c r="E207" s="11">
        <v>4500065994</v>
      </c>
      <c r="F207" s="9"/>
      <c r="G207" s="11">
        <v>1120000131</v>
      </c>
      <c r="H207" s="9" t="s">
        <v>21</v>
      </c>
      <c r="I207" s="11">
        <v>12</v>
      </c>
      <c r="J207" s="11">
        <v>5340</v>
      </c>
      <c r="K207" s="10">
        <v>44068</v>
      </c>
      <c r="L207" s="9" t="s">
        <v>890</v>
      </c>
      <c r="M207" s="13" t="str">
        <f>VLOOKUP(H207,基础数据!G:H,2,FALSE)</f>
        <v>SR120后缘</v>
      </c>
    </row>
    <row r="208" spans="1:13" s="12" customFormat="1">
      <c r="A208" s="9">
        <v>1570</v>
      </c>
      <c r="B208" s="13" t="str">
        <f>VLOOKUP(A208,基础数据!A:B,2,FALSE)</f>
        <v>德州</v>
      </c>
      <c r="C208" s="10">
        <v>44046</v>
      </c>
      <c r="D208" s="9"/>
      <c r="E208" s="9">
        <v>4500066685</v>
      </c>
      <c r="F208" s="9"/>
      <c r="G208" s="9">
        <v>1120000148</v>
      </c>
      <c r="H208" s="9" t="s">
        <v>849</v>
      </c>
      <c r="I208" s="11"/>
      <c r="J208" s="11">
        <v>6072</v>
      </c>
      <c r="K208" s="10">
        <v>44050</v>
      </c>
      <c r="L208" s="9" t="s">
        <v>891</v>
      </c>
      <c r="M208" s="13" t="str">
        <f>VLOOKUP(H208,基础数据!G:H,2,FALSE)</f>
        <v>TLX1215-1.27-60</v>
      </c>
    </row>
    <row r="209" spans="1:13" s="12" customFormat="1">
      <c r="A209" s="11">
        <v>1570</v>
      </c>
      <c r="B209" s="13" t="str">
        <f>VLOOKUP(A209,基础数据!A:B,2,FALSE)</f>
        <v>德州</v>
      </c>
      <c r="C209" s="10">
        <v>44037</v>
      </c>
      <c r="D209" s="9"/>
      <c r="E209" s="11">
        <v>4500065994</v>
      </c>
      <c r="F209" s="9"/>
      <c r="G209" s="11">
        <v>1120000132</v>
      </c>
      <c r="H209" s="9" t="s">
        <v>22</v>
      </c>
      <c r="I209" s="11">
        <v>3</v>
      </c>
      <c r="J209" s="11">
        <v>6717</v>
      </c>
      <c r="K209" s="10">
        <v>44068</v>
      </c>
      <c r="L209" s="9" t="s">
        <v>1222</v>
      </c>
      <c r="M209" s="13" t="str">
        <f>VLOOKUP(H209,基础数据!G:H,2,FALSE)</f>
        <v>SR120大梁</v>
      </c>
    </row>
    <row r="210" spans="1:13" s="12" customFormat="1">
      <c r="A210" s="11">
        <v>1570</v>
      </c>
      <c r="B210" s="13" t="str">
        <f>VLOOKUP(A210,基础数据!A:B,2,FALSE)</f>
        <v>德州</v>
      </c>
      <c r="C210" s="10">
        <v>44037</v>
      </c>
      <c r="D210" s="9"/>
      <c r="E210" s="11">
        <v>4500065994</v>
      </c>
      <c r="F210" s="9"/>
      <c r="G210" s="11">
        <v>1120000131</v>
      </c>
      <c r="H210" s="9" t="s">
        <v>21</v>
      </c>
      <c r="I210" s="11">
        <v>14</v>
      </c>
      <c r="J210" s="11">
        <v>6230</v>
      </c>
      <c r="K210" s="10">
        <v>44068</v>
      </c>
      <c r="L210" s="9" t="s">
        <v>909</v>
      </c>
      <c r="M210" s="13" t="str">
        <f>VLOOKUP(H210,基础数据!G:H,2,FALSE)</f>
        <v>SR120后缘</v>
      </c>
    </row>
    <row r="211" spans="1:13" s="12" customFormat="1">
      <c r="A211" s="11">
        <v>1570</v>
      </c>
      <c r="B211" s="13" t="str">
        <f>VLOOKUP(A211,基础数据!A:B,2,FALSE)</f>
        <v>德州</v>
      </c>
      <c r="C211" s="10">
        <v>44037</v>
      </c>
      <c r="D211" s="9"/>
      <c r="E211" s="11">
        <v>4500065994</v>
      </c>
      <c r="F211" s="9"/>
      <c r="G211" s="11">
        <v>1120000132</v>
      </c>
      <c r="H211" s="9" t="s">
        <v>22</v>
      </c>
      <c r="I211" s="11">
        <v>4</v>
      </c>
      <c r="J211" s="11">
        <v>8956</v>
      </c>
      <c r="K211" s="10">
        <v>44068</v>
      </c>
      <c r="L211" s="9" t="s">
        <v>1223</v>
      </c>
      <c r="M211" s="13" t="str">
        <f>VLOOKUP(H211,基础数据!G:H,2,FALSE)</f>
        <v>SR120大梁</v>
      </c>
    </row>
    <row r="212" spans="1:13" s="12" customFormat="1">
      <c r="A212" s="9">
        <v>1570</v>
      </c>
      <c r="B212" s="13" t="str">
        <f>VLOOKUP(A212,基础数据!A:B,2,FALSE)</f>
        <v>德州</v>
      </c>
      <c r="C212" s="10">
        <v>44046</v>
      </c>
      <c r="D212" s="9"/>
      <c r="E212" s="9">
        <v>4500066685</v>
      </c>
      <c r="F212" s="9"/>
      <c r="G212" s="9">
        <v>1120000148</v>
      </c>
      <c r="H212" s="9" t="s">
        <v>849</v>
      </c>
      <c r="I212" s="11"/>
      <c r="J212" s="11">
        <f>20000-10120-2024-6072</f>
        <v>1784</v>
      </c>
      <c r="K212" s="10">
        <v>44050</v>
      </c>
      <c r="L212" s="9" t="s">
        <v>910</v>
      </c>
      <c r="M212" s="13" t="str">
        <f>VLOOKUP(H212,基础数据!G:H,2,FALSE)</f>
        <v>TLX1215-1.27-60</v>
      </c>
    </row>
    <row r="213" spans="1:13" s="12" customFormat="1">
      <c r="A213" s="9">
        <v>1570</v>
      </c>
      <c r="B213" s="13" t="str">
        <f>VLOOKUP(A213,基础数据!A:B,2,FALSE)</f>
        <v>德州</v>
      </c>
      <c r="C213" s="10">
        <v>44046</v>
      </c>
      <c r="D213" s="9"/>
      <c r="E213" s="9">
        <v>4500066685</v>
      </c>
      <c r="F213" s="9"/>
      <c r="G213" s="9">
        <v>1120000140</v>
      </c>
      <c r="H213" s="9" t="s">
        <v>859</v>
      </c>
      <c r="I213" s="11"/>
      <c r="J213" s="11">
        <v>924</v>
      </c>
      <c r="K213" s="10">
        <v>44050</v>
      </c>
      <c r="L213" s="9" t="s">
        <v>1224</v>
      </c>
      <c r="M213" s="13" t="str">
        <f>VLOOKUP(H213,基础数据!G:H,2,FALSE)</f>
        <v>TLX1215-1.27-100</v>
      </c>
    </row>
    <row r="214" spans="1:13" s="12" customFormat="1">
      <c r="A214" s="11">
        <v>1570</v>
      </c>
      <c r="B214" s="13" t="str">
        <f>VLOOKUP(A214,基础数据!A:B,2,FALSE)</f>
        <v>德州</v>
      </c>
      <c r="C214" s="10">
        <v>44037</v>
      </c>
      <c r="D214" s="9"/>
      <c r="E214" s="11">
        <v>4500065994</v>
      </c>
      <c r="F214" s="9"/>
      <c r="G214" s="11">
        <v>1120000884</v>
      </c>
      <c r="H214" s="9" t="s">
        <v>101</v>
      </c>
      <c r="I214" s="11">
        <f>28-3-6-6-6</f>
        <v>7</v>
      </c>
      <c r="J214" s="11">
        <f>65408-7008-14016-14016-14016</f>
        <v>16352</v>
      </c>
      <c r="K214" s="10">
        <v>44068</v>
      </c>
      <c r="L214" s="9" t="s">
        <v>918</v>
      </c>
      <c r="M214" s="13" t="str">
        <f>VLOOKUP(H214,基础数据!G:H,2,FALSE)</f>
        <v>SR120Ⅲ大梁</v>
      </c>
    </row>
    <row r="215" spans="1:13" s="12" customFormat="1">
      <c r="A215" s="11">
        <v>1570</v>
      </c>
      <c r="B215" s="13" t="str">
        <f>VLOOKUP(A215,基础数据!A:B,2,FALSE)</f>
        <v>德州</v>
      </c>
      <c r="C215" s="10">
        <v>44057</v>
      </c>
      <c r="D215" s="9"/>
      <c r="E215" s="11">
        <v>4500067750</v>
      </c>
      <c r="F215" s="9"/>
      <c r="G215" s="11">
        <v>1120000885</v>
      </c>
      <c r="H215" s="9" t="s">
        <v>102</v>
      </c>
      <c r="I215" s="11">
        <v>6</v>
      </c>
      <c r="J215" s="11">
        <v>2766</v>
      </c>
      <c r="K215" s="10">
        <v>44099</v>
      </c>
      <c r="L215" s="9" t="s">
        <v>919</v>
      </c>
      <c r="M215" s="13" t="str">
        <f>VLOOKUP(H215,基础数据!G:H,2,FALSE)</f>
        <v>SR120Ⅲ后缘</v>
      </c>
    </row>
    <row r="216" spans="1:13" s="12" customFormat="1">
      <c r="A216" s="11">
        <v>1570</v>
      </c>
      <c r="B216" s="13" t="str">
        <f>VLOOKUP(A216,基础数据!A:B,2,FALSE)</f>
        <v>德州</v>
      </c>
      <c r="C216" s="10">
        <v>44037</v>
      </c>
      <c r="D216" s="9"/>
      <c r="E216" s="11">
        <v>4500065994</v>
      </c>
      <c r="F216" s="9"/>
      <c r="G216" s="11">
        <v>1120000131</v>
      </c>
      <c r="H216" s="9" t="s">
        <v>21</v>
      </c>
      <c r="I216" s="11">
        <v>2</v>
      </c>
      <c r="J216" s="11">
        <v>890</v>
      </c>
      <c r="K216" s="10">
        <v>44068</v>
      </c>
      <c r="L216" s="9" t="s">
        <v>920</v>
      </c>
      <c r="M216" s="13" t="str">
        <f>VLOOKUP(H216,基础数据!G:H,2,FALSE)</f>
        <v>SR120后缘</v>
      </c>
    </row>
    <row r="217" spans="1:13" s="12" customFormat="1">
      <c r="A217" s="11">
        <v>1570</v>
      </c>
      <c r="B217" s="13" t="str">
        <f>VLOOKUP(A217,基础数据!A:B,2,FALSE)</f>
        <v>德州</v>
      </c>
      <c r="C217" s="10">
        <v>44057</v>
      </c>
      <c r="D217" s="9"/>
      <c r="E217" s="11">
        <v>4500067750</v>
      </c>
      <c r="F217" s="9"/>
      <c r="G217" s="11">
        <v>1120000131</v>
      </c>
      <c r="H217" s="9" t="s">
        <v>21</v>
      </c>
      <c r="I217" s="11">
        <v>16</v>
      </c>
      <c r="J217" s="11">
        <v>7120</v>
      </c>
      <c r="K217" s="10">
        <v>44099</v>
      </c>
      <c r="L217" s="9" t="s">
        <v>923</v>
      </c>
      <c r="M217" s="13" t="str">
        <f>VLOOKUP(H217,基础数据!G:H,2,FALSE)</f>
        <v>SR120后缘</v>
      </c>
    </row>
    <row r="218" spans="1:13" s="12" customFormat="1">
      <c r="A218" s="11">
        <v>1570</v>
      </c>
      <c r="B218" s="13" t="str">
        <f>VLOOKUP(A218,基础数据!A:B,2,FALSE)</f>
        <v>德州</v>
      </c>
      <c r="C218" s="10">
        <v>44037</v>
      </c>
      <c r="D218" s="9"/>
      <c r="E218" s="11">
        <v>4500065994</v>
      </c>
      <c r="F218" s="9"/>
      <c r="G218" s="11">
        <v>1120000132</v>
      </c>
      <c r="H218" s="9" t="s">
        <v>22</v>
      </c>
      <c r="I218" s="11">
        <v>5</v>
      </c>
      <c r="J218" s="11">
        <v>11195</v>
      </c>
      <c r="K218" s="10">
        <v>44068</v>
      </c>
      <c r="L218" s="9" t="s">
        <v>1225</v>
      </c>
      <c r="M218" s="13" t="str">
        <f>VLOOKUP(H218,基础数据!G:H,2,FALSE)</f>
        <v>SR120大梁</v>
      </c>
    </row>
    <row r="219" spans="1:13" s="12" customFormat="1">
      <c r="A219" s="11">
        <v>1570</v>
      </c>
      <c r="B219" s="13" t="str">
        <f>VLOOKUP(A219,基础数据!A:B,2,FALSE)</f>
        <v>德州</v>
      </c>
      <c r="C219" s="10">
        <v>44037</v>
      </c>
      <c r="D219" s="9"/>
      <c r="E219" s="11">
        <v>4500065994</v>
      </c>
      <c r="F219" s="9"/>
      <c r="G219" s="11">
        <v>1120000132</v>
      </c>
      <c r="H219" s="9" t="s">
        <v>22</v>
      </c>
      <c r="I219" s="11">
        <v>10</v>
      </c>
      <c r="J219" s="11">
        <v>22390</v>
      </c>
      <c r="K219" s="10">
        <v>44068</v>
      </c>
      <c r="L219" s="9" t="s">
        <v>1226</v>
      </c>
      <c r="M219" s="13" t="str">
        <f>VLOOKUP(H219,基础数据!G:H,2,FALSE)</f>
        <v>SR120大梁</v>
      </c>
    </row>
    <row r="220" spans="1:13" s="12" customFormat="1">
      <c r="A220" s="11">
        <v>1570</v>
      </c>
      <c r="B220" s="13" t="str">
        <f>VLOOKUP(A220,基础数据!A:B,2,FALSE)</f>
        <v>德州</v>
      </c>
      <c r="C220" s="10">
        <v>44057</v>
      </c>
      <c r="D220" s="9"/>
      <c r="E220" s="11">
        <v>4500067750</v>
      </c>
      <c r="F220" s="9"/>
      <c r="G220" s="11">
        <v>1120000131</v>
      </c>
      <c r="H220" s="9" t="s">
        <v>21</v>
      </c>
      <c r="I220" s="11">
        <v>18</v>
      </c>
      <c r="J220" s="11">
        <v>8010</v>
      </c>
      <c r="K220" s="10">
        <v>44099</v>
      </c>
      <c r="L220" s="9" t="s">
        <v>959</v>
      </c>
      <c r="M220" s="13" t="str">
        <f>VLOOKUP(H220,基础数据!G:H,2,FALSE)</f>
        <v>SR120后缘</v>
      </c>
    </row>
    <row r="221" spans="1:13" s="12" customFormat="1">
      <c r="A221" s="11">
        <v>1570</v>
      </c>
      <c r="B221" s="13" t="str">
        <f>VLOOKUP(A221,基础数据!A:B,2,FALSE)</f>
        <v>德州</v>
      </c>
      <c r="C221" s="10">
        <v>44037</v>
      </c>
      <c r="D221" s="9"/>
      <c r="E221" s="11">
        <v>4500065994</v>
      </c>
      <c r="F221" s="9"/>
      <c r="G221" s="11">
        <v>1120000132</v>
      </c>
      <c r="H221" s="9" t="s">
        <v>22</v>
      </c>
      <c r="I221" s="11">
        <v>7</v>
      </c>
      <c r="J221" s="11">
        <v>15673</v>
      </c>
      <c r="K221" s="10">
        <v>44068</v>
      </c>
      <c r="L221" s="9" t="s">
        <v>1227</v>
      </c>
      <c r="M221" s="13" t="str">
        <f>VLOOKUP(H221,基础数据!G:H,2,FALSE)</f>
        <v>SR120大梁</v>
      </c>
    </row>
    <row r="222" spans="1:13" s="12" customFormat="1">
      <c r="A222" s="11">
        <v>1570</v>
      </c>
      <c r="B222" s="13" t="str">
        <f>VLOOKUP(A222,基础数据!A:B,2,FALSE)</f>
        <v>德州</v>
      </c>
      <c r="C222" s="10">
        <v>44071</v>
      </c>
      <c r="D222" s="9"/>
      <c r="E222" s="11">
        <v>4500068826</v>
      </c>
      <c r="F222" s="9"/>
      <c r="G222" s="11">
        <v>1120000140</v>
      </c>
      <c r="H222" s="9" t="s">
        <v>114</v>
      </c>
      <c r="I222" s="11"/>
      <c r="J222" s="11">
        <v>8316</v>
      </c>
      <c r="K222" s="10">
        <v>44077</v>
      </c>
      <c r="L222" s="9" t="s">
        <v>960</v>
      </c>
      <c r="M222" s="13" t="str">
        <f>VLOOKUP(H222,基础数据!G:H,2,FALSE)</f>
        <v>TLX1215-1.27-100</v>
      </c>
    </row>
    <row r="223" spans="1:13" s="12" customFormat="1">
      <c r="A223" s="11">
        <v>1570</v>
      </c>
      <c r="B223" s="13" t="str">
        <f>VLOOKUP(A223,基础数据!A:B,2,FALSE)</f>
        <v>德州</v>
      </c>
      <c r="C223" s="10">
        <v>44057</v>
      </c>
      <c r="D223" s="9"/>
      <c r="E223" s="11">
        <v>4500067750</v>
      </c>
      <c r="F223" s="9"/>
      <c r="G223" s="11">
        <v>1120000884</v>
      </c>
      <c r="H223" s="9" t="s">
        <v>101</v>
      </c>
      <c r="I223" s="11">
        <v>6</v>
      </c>
      <c r="J223" s="11">
        <v>14016</v>
      </c>
      <c r="K223" s="10">
        <v>44099</v>
      </c>
      <c r="L223" s="9" t="s">
        <v>971</v>
      </c>
      <c r="M223" s="13" t="str">
        <f>VLOOKUP(H223,基础数据!G:H,2,FALSE)</f>
        <v>SR120Ⅲ大梁</v>
      </c>
    </row>
    <row r="224" spans="1:13" s="12" customFormat="1">
      <c r="A224" s="11">
        <v>1570</v>
      </c>
      <c r="B224" s="13" t="str">
        <f>VLOOKUP(A224,基础数据!A:B,2,FALSE)</f>
        <v>德州</v>
      </c>
      <c r="C224" s="10">
        <v>44057</v>
      </c>
      <c r="D224" s="9"/>
      <c r="E224" s="11">
        <v>4500067750</v>
      </c>
      <c r="F224" s="9"/>
      <c r="G224" s="11">
        <v>1120000885</v>
      </c>
      <c r="H224" s="9" t="s">
        <v>102</v>
      </c>
      <c r="I224" s="11">
        <v>8</v>
      </c>
      <c r="J224" s="11">
        <v>3688</v>
      </c>
      <c r="K224" s="10">
        <v>44099</v>
      </c>
      <c r="L224" s="9" t="s">
        <v>972</v>
      </c>
      <c r="M224" s="13" t="str">
        <f>VLOOKUP(H224,基础数据!G:H,2,FALSE)</f>
        <v>SR120Ⅲ后缘</v>
      </c>
    </row>
    <row r="225" spans="1:13" s="12" customFormat="1">
      <c r="A225" s="11">
        <v>1570</v>
      </c>
      <c r="B225" s="13" t="str">
        <f>VLOOKUP(A225,基础数据!A:B,2,FALSE)</f>
        <v>德州</v>
      </c>
      <c r="C225" s="10">
        <v>44071</v>
      </c>
      <c r="D225" s="9"/>
      <c r="E225" s="11">
        <v>4500068826</v>
      </c>
      <c r="F225" s="9"/>
      <c r="G225" s="11">
        <v>1120000140</v>
      </c>
      <c r="H225" s="9" t="s">
        <v>114</v>
      </c>
      <c r="I225" s="11"/>
      <c r="J225" s="11">
        <v>1848</v>
      </c>
      <c r="K225" s="10">
        <v>44077</v>
      </c>
      <c r="L225" s="9" t="s">
        <v>973</v>
      </c>
      <c r="M225" s="13" t="str">
        <f>VLOOKUP(H225,基础数据!G:H,2,FALSE)</f>
        <v>TLX1215-1.27-100</v>
      </c>
    </row>
    <row r="226" spans="1:13" s="12" customFormat="1">
      <c r="A226" s="11">
        <v>1570</v>
      </c>
      <c r="B226" s="13" t="str">
        <f>VLOOKUP(A226,基础数据!A:B,2,FALSE)</f>
        <v>德州</v>
      </c>
      <c r="C226" s="10">
        <v>44057</v>
      </c>
      <c r="D226" s="9"/>
      <c r="E226" s="11">
        <v>4500067750</v>
      </c>
      <c r="F226" s="9"/>
      <c r="G226" s="11">
        <v>1120000132</v>
      </c>
      <c r="H226" s="9" t="s">
        <v>22</v>
      </c>
      <c r="I226" s="11">
        <v>6</v>
      </c>
      <c r="J226" s="11">
        <v>13434</v>
      </c>
      <c r="K226" s="10">
        <v>44099</v>
      </c>
      <c r="L226" s="9" t="s">
        <v>979</v>
      </c>
      <c r="M226" s="13" t="str">
        <f>VLOOKUP(H226,基础数据!G:H,2,FALSE)</f>
        <v>SR120大梁</v>
      </c>
    </row>
    <row r="227" spans="1:13" s="12" customFormat="1">
      <c r="A227" s="11">
        <v>1570</v>
      </c>
      <c r="B227" s="13" t="str">
        <f>VLOOKUP(A227,基础数据!A:B,2,FALSE)</f>
        <v>德州</v>
      </c>
      <c r="C227" s="10">
        <v>44037</v>
      </c>
      <c r="D227" s="9"/>
      <c r="E227" s="11">
        <v>4500065994</v>
      </c>
      <c r="F227" s="9"/>
      <c r="G227" s="11">
        <v>1120000131</v>
      </c>
      <c r="H227" s="9" t="s">
        <v>21</v>
      </c>
      <c r="I227" s="11">
        <v>6</v>
      </c>
      <c r="J227" s="11">
        <v>2670</v>
      </c>
      <c r="K227" s="10">
        <v>44068</v>
      </c>
      <c r="L227" s="9" t="s">
        <v>980</v>
      </c>
      <c r="M227" s="13" t="str">
        <f>VLOOKUP(H227,基础数据!G:H,2,FALSE)</f>
        <v>SR120后缘</v>
      </c>
    </row>
    <row r="228" spans="1:13" s="12" customFormat="1">
      <c r="A228" s="11">
        <v>1570</v>
      </c>
      <c r="B228" s="13" t="str">
        <f>VLOOKUP(A228,基础数据!A:B,2,FALSE)</f>
        <v>德州</v>
      </c>
      <c r="C228" s="10">
        <v>44071</v>
      </c>
      <c r="D228" s="9"/>
      <c r="E228" s="11">
        <v>4500068826</v>
      </c>
      <c r="F228" s="9"/>
      <c r="G228" s="11">
        <v>1120000148</v>
      </c>
      <c r="H228" s="9" t="s">
        <v>749</v>
      </c>
      <c r="I228" s="11"/>
      <c r="J228" s="11">
        <v>2805</v>
      </c>
      <c r="K228" s="10">
        <v>44077</v>
      </c>
      <c r="L228" s="9" t="s">
        <v>981</v>
      </c>
      <c r="M228" s="13" t="str">
        <f>VLOOKUP(H228,基础数据!G:H,2,FALSE)</f>
        <v>TLX1215-1.27-60</v>
      </c>
    </row>
    <row r="229" spans="1:13" s="12" customFormat="1">
      <c r="A229" s="11">
        <v>1570</v>
      </c>
      <c r="B229" s="13" t="str">
        <f>VLOOKUP(A229,基础数据!A:B,2,FALSE)</f>
        <v>德州</v>
      </c>
      <c r="C229" s="10">
        <v>44029</v>
      </c>
      <c r="D229" s="9"/>
      <c r="E229" s="11">
        <v>4500065092</v>
      </c>
      <c r="F229" s="9"/>
      <c r="G229" s="11">
        <v>1120000132</v>
      </c>
      <c r="H229" s="9" t="s">
        <v>22</v>
      </c>
      <c r="I229" s="11">
        <f>24-4-2-3-5-6-2</f>
        <v>2</v>
      </c>
      <c r="J229" s="11">
        <f>53381-8956-4478-6717-11195-13434-4478</f>
        <v>4123</v>
      </c>
      <c r="K229" s="10">
        <v>44054</v>
      </c>
      <c r="L229" s="9" t="s">
        <v>987</v>
      </c>
      <c r="M229" s="13" t="str">
        <f>VLOOKUP(H229,基础数据!G:H,2,FALSE)</f>
        <v>SR120大梁</v>
      </c>
    </row>
    <row r="230" spans="1:13" s="12" customFormat="1">
      <c r="A230" s="11">
        <v>1570</v>
      </c>
      <c r="B230" s="13" t="str">
        <f>VLOOKUP(A230,基础数据!A:B,2,FALSE)</f>
        <v>德州</v>
      </c>
      <c r="C230" s="10">
        <v>44037</v>
      </c>
      <c r="D230" s="9"/>
      <c r="E230" s="11">
        <v>4500065994</v>
      </c>
      <c r="F230" s="9"/>
      <c r="G230" s="11">
        <v>1120000132</v>
      </c>
      <c r="H230" s="9" t="s">
        <v>22</v>
      </c>
      <c r="I230" s="11">
        <f>80-6-6-6-6-3-7-6-6-4-3-4-5-10-7</f>
        <v>1</v>
      </c>
      <c r="J230" s="11">
        <f>179120-13434-13434-13434-13434-6716-15673-13434-13434-8956-6717-8956-11195-22390-15673</f>
        <v>2240</v>
      </c>
      <c r="K230" s="10">
        <v>44068</v>
      </c>
      <c r="L230" s="9" t="s">
        <v>1228</v>
      </c>
      <c r="M230" s="13" t="str">
        <f>VLOOKUP(H230,基础数据!G:H,2,FALSE)</f>
        <v>SR120大梁</v>
      </c>
    </row>
    <row r="231" spans="1:13" s="12" customFormat="1">
      <c r="A231" s="11">
        <v>1570</v>
      </c>
      <c r="B231" s="13" t="str">
        <f>VLOOKUP(A231,基础数据!A:B,2,FALSE)</f>
        <v>德州</v>
      </c>
      <c r="C231" s="10">
        <v>44057</v>
      </c>
      <c r="D231" s="9"/>
      <c r="E231" s="11">
        <v>4500067750</v>
      </c>
      <c r="F231" s="9"/>
      <c r="G231" s="11">
        <v>1120000131</v>
      </c>
      <c r="H231" s="9" t="s">
        <v>21</v>
      </c>
      <c r="I231" s="11">
        <v>6</v>
      </c>
      <c r="J231" s="11">
        <v>2670</v>
      </c>
      <c r="K231" s="10">
        <v>44099</v>
      </c>
      <c r="L231" s="9" t="s">
        <v>988</v>
      </c>
      <c r="M231" s="13" t="str">
        <f>VLOOKUP(H231,基础数据!G:H,2,FALSE)</f>
        <v>SR120后缘</v>
      </c>
    </row>
    <row r="232" spans="1:13" s="12" customFormat="1">
      <c r="A232" s="11">
        <v>1570</v>
      </c>
      <c r="B232" s="13" t="str">
        <f>VLOOKUP(A232,基础数据!A:B,2,FALSE)</f>
        <v>德州</v>
      </c>
      <c r="C232" s="10">
        <v>44071</v>
      </c>
      <c r="D232" s="9"/>
      <c r="E232" s="11">
        <v>4500068826</v>
      </c>
      <c r="F232" s="9"/>
      <c r="G232" s="11">
        <v>1120000148</v>
      </c>
      <c r="H232" s="9" t="s">
        <v>749</v>
      </c>
      <c r="I232" s="11"/>
      <c r="J232" s="11">
        <v>5610</v>
      </c>
      <c r="K232" s="10">
        <v>44077</v>
      </c>
      <c r="L232" s="9" t="s">
        <v>989</v>
      </c>
      <c r="M232" s="13" t="str">
        <f>VLOOKUP(H232,基础数据!G:H,2,FALSE)</f>
        <v>TLX1215-1.27-60</v>
      </c>
    </row>
    <row r="233" spans="1:13" s="12" customFormat="1">
      <c r="A233" s="11">
        <v>1570</v>
      </c>
      <c r="B233" s="13" t="str">
        <f>VLOOKUP(A233,基础数据!A:B,2,FALSE)</f>
        <v>德州</v>
      </c>
      <c r="C233" s="10">
        <v>44057</v>
      </c>
      <c r="D233" s="9"/>
      <c r="E233" s="11">
        <v>4500067750</v>
      </c>
      <c r="F233" s="9"/>
      <c r="G233" s="11">
        <v>1120000132</v>
      </c>
      <c r="H233" s="9" t="s">
        <v>22</v>
      </c>
      <c r="I233" s="11">
        <v>4</v>
      </c>
      <c r="J233" s="11">
        <v>8956</v>
      </c>
      <c r="K233" s="10">
        <v>44099</v>
      </c>
      <c r="L233" s="9" t="s">
        <v>1001</v>
      </c>
      <c r="M233" s="13" t="str">
        <f>VLOOKUP(H233,基础数据!G:H,2,FALSE)</f>
        <v>SR120大梁</v>
      </c>
    </row>
    <row r="234" spans="1:13" s="12" customFormat="1">
      <c r="A234" s="11">
        <v>1570</v>
      </c>
      <c r="B234" s="13" t="str">
        <f>VLOOKUP(A234,基础数据!A:B,2,FALSE)</f>
        <v>德州</v>
      </c>
      <c r="C234" s="10">
        <v>44057</v>
      </c>
      <c r="D234" s="9"/>
      <c r="E234" s="11">
        <v>4500067750</v>
      </c>
      <c r="F234" s="9"/>
      <c r="G234" s="11">
        <v>1120000131</v>
      </c>
      <c r="H234" s="9" t="s">
        <v>21</v>
      </c>
      <c r="I234" s="11">
        <v>6</v>
      </c>
      <c r="J234" s="11">
        <v>2670</v>
      </c>
      <c r="K234" s="10">
        <v>44099</v>
      </c>
      <c r="L234" s="9" t="s">
        <v>1002</v>
      </c>
      <c r="M234" s="13" t="str">
        <f>VLOOKUP(H234,基础数据!G:H,2,FALSE)</f>
        <v>SR120后缘</v>
      </c>
    </row>
    <row r="235" spans="1:13" s="12" customFormat="1">
      <c r="A235" s="11">
        <v>1570</v>
      </c>
      <c r="B235" s="13" t="str">
        <f>VLOOKUP(A235,基础数据!A:B,2,FALSE)</f>
        <v>德州</v>
      </c>
      <c r="C235" s="10">
        <v>44071</v>
      </c>
      <c r="D235" s="9"/>
      <c r="E235" s="11">
        <v>4500068826</v>
      </c>
      <c r="F235" s="9"/>
      <c r="G235" s="11">
        <v>1120000148</v>
      </c>
      <c r="H235" s="9" t="s">
        <v>749</v>
      </c>
      <c r="I235" s="11"/>
      <c r="J235" s="11">
        <v>6540</v>
      </c>
      <c r="K235" s="10">
        <v>44077</v>
      </c>
      <c r="L235" s="9" t="s">
        <v>1003</v>
      </c>
      <c r="M235" s="13" t="str">
        <f>VLOOKUP(H235,基础数据!G:H,2,FALSE)</f>
        <v>TLX1215-1.27-60</v>
      </c>
    </row>
    <row r="236" spans="1:13" s="12" customFormat="1">
      <c r="A236" s="11">
        <v>1570</v>
      </c>
      <c r="B236" s="13" t="str">
        <f>VLOOKUP(A236,基础数据!A:B,2,FALSE)</f>
        <v>德州</v>
      </c>
      <c r="C236" s="10">
        <v>44037</v>
      </c>
      <c r="D236" s="9"/>
      <c r="E236" s="11">
        <v>4500065994</v>
      </c>
      <c r="F236" s="9"/>
      <c r="G236" s="11">
        <v>1120000885</v>
      </c>
      <c r="H236" s="9" t="s">
        <v>102</v>
      </c>
      <c r="I236" s="11">
        <f>28-10-6-8</f>
        <v>4</v>
      </c>
      <c r="J236" s="11">
        <f>12908-4610-2766-3688</f>
        <v>1844</v>
      </c>
      <c r="K236" s="10">
        <v>44068</v>
      </c>
      <c r="L236" s="9" t="s">
        <v>1008</v>
      </c>
      <c r="M236" s="13" t="str">
        <f>VLOOKUP(H236,基础数据!G:H,2,FALSE)</f>
        <v>SR120Ⅲ后缘</v>
      </c>
    </row>
    <row r="237" spans="1:13" s="12" customFormat="1">
      <c r="A237" s="11">
        <v>1570</v>
      </c>
      <c r="B237" s="13" t="str">
        <f>VLOOKUP(A237,基础数据!A:B,2,FALSE)</f>
        <v>德州</v>
      </c>
      <c r="C237" s="10">
        <v>44057</v>
      </c>
      <c r="D237" s="9"/>
      <c r="E237" s="11">
        <v>4500067750</v>
      </c>
      <c r="F237" s="9"/>
      <c r="G237" s="11">
        <v>1120000885</v>
      </c>
      <c r="H237" s="9" t="s">
        <v>102</v>
      </c>
      <c r="I237" s="11">
        <v>7</v>
      </c>
      <c r="J237" s="11">
        <v>3227</v>
      </c>
      <c r="K237" s="10">
        <v>44099</v>
      </c>
      <c r="L237" s="9" t="s">
        <v>1009</v>
      </c>
      <c r="M237" s="13" t="str">
        <f>VLOOKUP(H237,基础数据!G:H,2,FALSE)</f>
        <v>SR120Ⅲ后缘</v>
      </c>
    </row>
    <row r="238" spans="1:13" s="12" customFormat="1">
      <c r="A238" s="9">
        <v>1570</v>
      </c>
      <c r="B238" s="13" t="str">
        <f>VLOOKUP(A238,基础数据!A:B,2,FALSE)</f>
        <v>德州</v>
      </c>
      <c r="C238" s="10">
        <v>44046</v>
      </c>
      <c r="D238" s="9"/>
      <c r="E238" s="9">
        <v>4500066685</v>
      </c>
      <c r="F238" s="9"/>
      <c r="G238" s="9">
        <v>1120000140</v>
      </c>
      <c r="H238" s="9" t="s">
        <v>859</v>
      </c>
      <c r="I238" s="11"/>
      <c r="J238" s="11">
        <f>130000-5544-7392-5544-5544-5544-5544-13860-5544-5544-12012-5544-5544-4620-924-4620-4620-7392-6468-4620-5544-3696-924</f>
        <v>3412</v>
      </c>
      <c r="K238" s="10">
        <v>44050</v>
      </c>
      <c r="L238" s="9" t="s">
        <v>1229</v>
      </c>
      <c r="M238" s="13" t="str">
        <f>VLOOKUP(H238,基础数据!G:H,2,FALSE)</f>
        <v>TLX1215-1.27-100</v>
      </c>
    </row>
    <row r="239" spans="1:13" s="12" customFormat="1">
      <c r="A239" s="11">
        <v>1570</v>
      </c>
      <c r="B239" s="13" t="str">
        <f>VLOOKUP(A239,基础数据!A:B,2,FALSE)</f>
        <v>德州</v>
      </c>
      <c r="C239" s="10">
        <v>44071</v>
      </c>
      <c r="D239" s="9"/>
      <c r="E239" s="11">
        <v>4500068826</v>
      </c>
      <c r="F239" s="9"/>
      <c r="G239" s="11">
        <v>1120000140</v>
      </c>
      <c r="H239" s="9" t="s">
        <v>114</v>
      </c>
      <c r="I239" s="11"/>
      <c r="J239" s="11">
        <f>130000-8316-1848</f>
        <v>119836</v>
      </c>
      <c r="K239" s="10">
        <v>44077</v>
      </c>
      <c r="L239" s="9" t="s">
        <v>1012</v>
      </c>
      <c r="M239" s="13" t="str">
        <f>VLOOKUP(H239,基础数据!G:H,2,FALSE)</f>
        <v>TLX1215-1.27-100</v>
      </c>
    </row>
    <row r="240" spans="1:13" s="12" customFormat="1">
      <c r="A240" s="11">
        <v>1570</v>
      </c>
      <c r="B240" s="13" t="str">
        <f>VLOOKUP(A240,基础数据!A:B,2,FALSE)</f>
        <v>德州</v>
      </c>
      <c r="C240" s="10">
        <v>44037</v>
      </c>
      <c r="D240" s="9"/>
      <c r="E240" s="11">
        <v>4500065994</v>
      </c>
      <c r="F240" s="9"/>
      <c r="G240" s="11">
        <v>1120000131</v>
      </c>
      <c r="H240" s="9" t="s">
        <v>21</v>
      </c>
      <c r="I240" s="11">
        <v>4</v>
      </c>
      <c r="J240" s="11">
        <v>1780</v>
      </c>
      <c r="K240" s="10">
        <v>44068</v>
      </c>
      <c r="L240" s="9" t="s">
        <v>1010</v>
      </c>
      <c r="M240" s="13" t="str">
        <f>VLOOKUP(H240,基础数据!G:H,2,FALSE)</f>
        <v>SR120后缘</v>
      </c>
    </row>
    <row r="241" spans="1:13" s="12" customFormat="1">
      <c r="A241" s="11">
        <v>1570</v>
      </c>
      <c r="B241" s="13" t="str">
        <f>VLOOKUP(A241,基础数据!A:B,2,FALSE)</f>
        <v>德州</v>
      </c>
      <c r="C241" s="10">
        <v>44071</v>
      </c>
      <c r="D241" s="9"/>
      <c r="E241" s="11">
        <v>4500068826</v>
      </c>
      <c r="F241" s="9"/>
      <c r="G241" s="11">
        <v>1120000148</v>
      </c>
      <c r="H241" s="9" t="s">
        <v>749</v>
      </c>
      <c r="I241" s="11"/>
      <c r="J241" s="11">
        <v>14960</v>
      </c>
      <c r="K241" s="10">
        <v>44077</v>
      </c>
      <c r="L241" s="9" t="s">
        <v>1011</v>
      </c>
      <c r="M241" s="13" t="str">
        <f>VLOOKUP(H241,基础数据!G:H,2,FALSE)</f>
        <v>TLX1215-1.27-60</v>
      </c>
    </row>
    <row r="242" spans="1:13" s="12" customFormat="1">
      <c r="A242" s="11">
        <v>1570</v>
      </c>
      <c r="B242" s="13" t="str">
        <f>VLOOKUP(A242,基础数据!A:B,2,FALSE)</f>
        <v>德州</v>
      </c>
      <c r="C242" s="10">
        <v>44057</v>
      </c>
      <c r="D242" s="9"/>
      <c r="E242" s="11">
        <v>4500067750</v>
      </c>
      <c r="F242" s="9"/>
      <c r="G242" s="11">
        <v>1120000132</v>
      </c>
      <c r="H242" s="9" t="s">
        <v>22</v>
      </c>
      <c r="I242" s="11">
        <v>3</v>
      </c>
      <c r="J242" s="11">
        <v>6717</v>
      </c>
      <c r="K242" s="10">
        <v>44099</v>
      </c>
      <c r="L242" s="9" t="s">
        <v>1029</v>
      </c>
      <c r="M242" s="13" t="str">
        <f>VLOOKUP(H242,基础数据!G:H,2,FALSE)</f>
        <v>SR120大梁</v>
      </c>
    </row>
    <row r="243" spans="1:13" s="12" customFormat="1">
      <c r="A243" s="11">
        <v>1570</v>
      </c>
      <c r="B243" s="13" t="str">
        <f>VLOOKUP(A243,基础数据!A:B,2,FALSE)</f>
        <v>德州</v>
      </c>
      <c r="C243" s="10">
        <v>44085</v>
      </c>
      <c r="D243" s="9"/>
      <c r="E243" s="11">
        <v>4500070055</v>
      </c>
      <c r="F243" s="9"/>
      <c r="G243" s="11">
        <v>1120000133</v>
      </c>
      <c r="H243" s="9" t="s">
        <v>115</v>
      </c>
      <c r="I243" s="11"/>
      <c r="J243" s="11">
        <v>12374.4</v>
      </c>
      <c r="K243" s="10">
        <v>44091</v>
      </c>
      <c r="L243" s="9" t="s">
        <v>1033</v>
      </c>
      <c r="M243" s="13" t="str">
        <f>VLOOKUP(H243,基础数据!G:H,2,FALSE)</f>
        <v>BX800-1.27-100</v>
      </c>
    </row>
    <row r="244" spans="1:13" s="12" customFormat="1">
      <c r="A244" s="11">
        <v>1570</v>
      </c>
      <c r="B244" s="13" t="str">
        <f>VLOOKUP(A244,基础数据!A:B,2,FALSE)</f>
        <v>德州</v>
      </c>
      <c r="C244" s="10">
        <v>44057</v>
      </c>
      <c r="D244" s="9"/>
      <c r="E244" s="11">
        <v>4500067750</v>
      </c>
      <c r="F244" s="9"/>
      <c r="G244" s="11">
        <v>1120000131</v>
      </c>
      <c r="H244" s="9" t="s">
        <v>21</v>
      </c>
      <c r="I244" s="11">
        <v>10</v>
      </c>
      <c r="J244" s="11">
        <v>4450</v>
      </c>
      <c r="K244" s="10">
        <v>44099</v>
      </c>
      <c r="L244" s="9" t="s">
        <v>1041</v>
      </c>
      <c r="M244" s="13" t="str">
        <f>VLOOKUP(H244,基础数据!G:H,2,FALSE)</f>
        <v>SR120后缘</v>
      </c>
    </row>
    <row r="245" spans="1:13" s="12" customFormat="1">
      <c r="A245" s="11">
        <v>1570</v>
      </c>
      <c r="B245" s="13" t="str">
        <f>VLOOKUP(A245,基础数据!A:B,2,FALSE)</f>
        <v>德州</v>
      </c>
      <c r="C245" s="10">
        <v>44057</v>
      </c>
      <c r="D245" s="9"/>
      <c r="E245" s="11">
        <v>4500067750</v>
      </c>
      <c r="F245" s="9"/>
      <c r="G245" s="11">
        <v>1120000132</v>
      </c>
      <c r="H245" s="9" t="s">
        <v>22</v>
      </c>
      <c r="I245" s="11">
        <v>4</v>
      </c>
      <c r="J245" s="11">
        <v>8956</v>
      </c>
      <c r="K245" s="10">
        <v>44099</v>
      </c>
      <c r="L245" s="9" t="s">
        <v>1042</v>
      </c>
      <c r="M245" s="13" t="str">
        <f>VLOOKUP(H245,基础数据!G:H,2,FALSE)</f>
        <v>SR120大梁</v>
      </c>
    </row>
    <row r="246" spans="1:13" s="12" customFormat="1">
      <c r="A246" s="11">
        <v>1570</v>
      </c>
      <c r="B246" s="13" t="str">
        <f>VLOOKUP(A246,基础数据!A:B,2,FALSE)</f>
        <v>德州</v>
      </c>
      <c r="C246" s="10">
        <v>44071</v>
      </c>
      <c r="D246" s="9"/>
      <c r="E246" s="11">
        <v>4500068826</v>
      </c>
      <c r="F246" s="9"/>
      <c r="G246" s="11">
        <v>1120000148</v>
      </c>
      <c r="H246" s="9" t="s">
        <v>749</v>
      </c>
      <c r="I246" s="11"/>
      <c r="J246" s="11">
        <v>4675</v>
      </c>
      <c r="K246" s="10">
        <v>44077</v>
      </c>
      <c r="L246" s="9" t="s">
        <v>1043</v>
      </c>
      <c r="M246" s="13" t="str">
        <f>VLOOKUP(H246,基础数据!G:H,2,FALSE)</f>
        <v>TLX1215-1.27-60</v>
      </c>
    </row>
    <row r="247" spans="1:13" s="12" customFormat="1">
      <c r="A247" s="11">
        <v>1570</v>
      </c>
      <c r="B247" s="13" t="str">
        <f>VLOOKUP(A247,基础数据!A:B,2,FALSE)</f>
        <v>德州</v>
      </c>
      <c r="C247" s="10">
        <v>44057</v>
      </c>
      <c r="D247" s="9"/>
      <c r="E247" s="11">
        <v>4500067750</v>
      </c>
      <c r="F247" s="9"/>
      <c r="G247" s="11">
        <v>1120000132</v>
      </c>
      <c r="H247" s="9" t="s">
        <v>22</v>
      </c>
      <c r="I247" s="11">
        <v>3</v>
      </c>
      <c r="J247" s="11">
        <v>6717</v>
      </c>
      <c r="K247" s="10">
        <v>44099</v>
      </c>
      <c r="L247" s="9" t="s">
        <v>1047</v>
      </c>
      <c r="M247" s="13" t="str">
        <f>VLOOKUP(H247,基础数据!G:H,2,FALSE)</f>
        <v>SR120大梁</v>
      </c>
    </row>
    <row r="248" spans="1:13" s="12" customFormat="1">
      <c r="A248" s="11">
        <v>1570</v>
      </c>
      <c r="B248" s="13" t="str">
        <f>VLOOKUP(A248,基础数据!A:B,2,FALSE)</f>
        <v>德州</v>
      </c>
      <c r="C248" s="10">
        <v>44057</v>
      </c>
      <c r="D248" s="9"/>
      <c r="E248" s="11">
        <v>4500067750</v>
      </c>
      <c r="F248" s="9"/>
      <c r="G248" s="11">
        <v>1120000884</v>
      </c>
      <c r="H248" s="9" t="s">
        <v>1049</v>
      </c>
      <c r="I248" s="11">
        <v>6</v>
      </c>
      <c r="J248" s="11">
        <v>14016</v>
      </c>
      <c r="K248" s="10">
        <v>44099</v>
      </c>
      <c r="L248" s="9" t="s">
        <v>1048</v>
      </c>
      <c r="M248" s="13" t="str">
        <f>VLOOKUP(H248,基础数据!G:H,2,FALSE)</f>
        <v>SR120Ⅲ大梁</v>
      </c>
    </row>
    <row r="249" spans="1:13" s="12" customFormat="1">
      <c r="A249" s="11">
        <v>1570</v>
      </c>
      <c r="B249" s="13" t="str">
        <f>VLOOKUP(A249,基础数据!A:B,2,FALSE)</f>
        <v>德州</v>
      </c>
      <c r="C249" s="10">
        <v>44085</v>
      </c>
      <c r="D249" s="9"/>
      <c r="E249" s="11">
        <v>4500070055</v>
      </c>
      <c r="F249" s="9"/>
      <c r="G249" s="11">
        <v>1120000133</v>
      </c>
      <c r="H249" s="9" t="s">
        <v>115</v>
      </c>
      <c r="I249" s="11"/>
      <c r="J249" s="11">
        <v>11343.2</v>
      </c>
      <c r="K249" s="10">
        <v>44091</v>
      </c>
      <c r="L249" s="9" t="s">
        <v>1060</v>
      </c>
      <c r="M249" s="13" t="str">
        <f>VLOOKUP(H249,基础数据!G:H,2,FALSE)</f>
        <v>BX800-1.27-100</v>
      </c>
    </row>
    <row r="250" spans="1:13" s="12" customFormat="1">
      <c r="A250" s="11">
        <v>1570</v>
      </c>
      <c r="B250" s="13" t="str">
        <f>VLOOKUP(A250,基础数据!A:B,2,FALSE)</f>
        <v>德州</v>
      </c>
      <c r="C250" s="10">
        <v>44057</v>
      </c>
      <c r="D250" s="9"/>
      <c r="E250" s="11">
        <v>4500067750</v>
      </c>
      <c r="F250" s="9"/>
      <c r="G250" s="11">
        <v>1120000132</v>
      </c>
      <c r="H250" s="9" t="s">
        <v>22</v>
      </c>
      <c r="I250" s="11">
        <v>3</v>
      </c>
      <c r="J250" s="11">
        <v>6717</v>
      </c>
      <c r="K250" s="10">
        <v>44099</v>
      </c>
      <c r="L250" s="9" t="s">
        <v>1054</v>
      </c>
      <c r="M250" s="13" t="str">
        <f>VLOOKUP(H250,基础数据!G:H,2,FALSE)</f>
        <v>SR120大梁</v>
      </c>
    </row>
    <row r="251" spans="1:13" s="12" customFormat="1">
      <c r="A251" s="11">
        <v>1570</v>
      </c>
      <c r="B251" s="13" t="str">
        <f>VLOOKUP(A251,基础数据!A:B,2,FALSE)</f>
        <v>德州</v>
      </c>
      <c r="C251" s="10">
        <v>44085</v>
      </c>
      <c r="D251" s="9"/>
      <c r="E251" s="11">
        <v>4500070055</v>
      </c>
      <c r="F251" s="9"/>
      <c r="G251" s="11">
        <v>1120000133</v>
      </c>
      <c r="H251" s="9" t="s">
        <v>115</v>
      </c>
      <c r="I251" s="11"/>
      <c r="J251" s="11">
        <v>12374.4</v>
      </c>
      <c r="K251" s="10">
        <v>44091</v>
      </c>
      <c r="L251" s="9" t="s">
        <v>1085</v>
      </c>
      <c r="M251" s="13" t="str">
        <f>VLOOKUP(H251,基础数据!G:H,2,FALSE)</f>
        <v>BX800-1.27-100</v>
      </c>
    </row>
    <row r="252" spans="1:13" s="12" customFormat="1">
      <c r="A252" s="11">
        <v>1570</v>
      </c>
      <c r="B252" s="13" t="str">
        <f>VLOOKUP(A252,基础数据!A:B,2,FALSE)</f>
        <v>德州</v>
      </c>
      <c r="C252" s="10">
        <v>44057</v>
      </c>
      <c r="D252" s="9"/>
      <c r="E252" s="11">
        <v>4500067750</v>
      </c>
      <c r="F252" s="9"/>
      <c r="G252" s="11">
        <v>1120000132</v>
      </c>
      <c r="H252" s="9" t="s">
        <v>22</v>
      </c>
      <c r="I252" s="11">
        <v>3</v>
      </c>
      <c r="J252" s="11">
        <v>6717</v>
      </c>
      <c r="K252" s="10">
        <v>44099</v>
      </c>
      <c r="L252" s="9" t="s">
        <v>1086</v>
      </c>
      <c r="M252" s="13" t="str">
        <f>VLOOKUP(H252,基础数据!G:H,2,FALSE)</f>
        <v>SR120大梁</v>
      </c>
    </row>
    <row r="253" spans="1:13" s="12" customFormat="1">
      <c r="A253" s="11">
        <v>1570</v>
      </c>
      <c r="B253" s="13" t="str">
        <f>VLOOKUP(A253,基础数据!A:B,2,FALSE)</f>
        <v>德州</v>
      </c>
      <c r="C253" s="10">
        <v>44057</v>
      </c>
      <c r="D253" s="9"/>
      <c r="E253" s="11">
        <v>4500067750</v>
      </c>
      <c r="F253" s="9"/>
      <c r="G253" s="11">
        <v>1120000884</v>
      </c>
      <c r="H253" s="9" t="s">
        <v>101</v>
      </c>
      <c r="I253" s="11">
        <v>6</v>
      </c>
      <c r="J253" s="11">
        <v>14016</v>
      </c>
      <c r="K253" s="10">
        <v>44099</v>
      </c>
      <c r="L253" s="9" t="s">
        <v>1096</v>
      </c>
      <c r="M253" s="13" t="str">
        <f>VLOOKUP(H253,基础数据!G:H,2,FALSE)</f>
        <v>SR120Ⅲ大梁</v>
      </c>
    </row>
    <row r="254" spans="1:13" s="12" customFormat="1">
      <c r="A254" s="11">
        <v>1570</v>
      </c>
      <c r="B254" s="13" t="str">
        <f>VLOOKUP(A254,基础数据!A:B,2,FALSE)</f>
        <v>德州</v>
      </c>
      <c r="C254" s="10">
        <v>44057</v>
      </c>
      <c r="D254" s="9"/>
      <c r="E254" s="11">
        <v>4500067750</v>
      </c>
      <c r="F254" s="9"/>
      <c r="G254" s="11">
        <v>1120000132</v>
      </c>
      <c r="H254" s="9" t="s">
        <v>22</v>
      </c>
      <c r="I254" s="11">
        <v>3</v>
      </c>
      <c r="J254" s="11">
        <v>6717</v>
      </c>
      <c r="K254" s="10">
        <v>44099</v>
      </c>
      <c r="L254" s="9" t="s">
        <v>1097</v>
      </c>
      <c r="M254" s="13" t="str">
        <f>VLOOKUP(H254,基础数据!G:H,2,FALSE)</f>
        <v>SR120大梁</v>
      </c>
    </row>
    <row r="255" spans="1:13" s="12" customFormat="1">
      <c r="A255" s="11">
        <v>1570</v>
      </c>
      <c r="B255" s="13" t="str">
        <f>VLOOKUP(A255,基础数据!A:B,2,FALSE)</f>
        <v>德州</v>
      </c>
      <c r="C255" s="10">
        <v>44037</v>
      </c>
      <c r="D255" s="9"/>
      <c r="E255" s="11">
        <v>4500065994</v>
      </c>
      <c r="F255" s="9"/>
      <c r="G255" s="11">
        <v>1120000131</v>
      </c>
      <c r="H255" s="9" t="s">
        <v>21</v>
      </c>
      <c r="I255" s="11">
        <f>80-2-12-12-12-12-14-2-6-4</f>
        <v>4</v>
      </c>
      <c r="J255" s="11">
        <f>35600-890-5340-5340-5340-5340-6230-890-2670-1780</f>
        <v>1780</v>
      </c>
      <c r="K255" s="10">
        <v>44068</v>
      </c>
      <c r="L255" s="9" t="s">
        <v>1104</v>
      </c>
      <c r="M255" s="13" t="str">
        <f>VLOOKUP(H255,基础数据!G:H,2,FALSE)</f>
        <v>SR120后缘</v>
      </c>
    </row>
    <row r="256" spans="1:13" s="12" customFormat="1">
      <c r="A256" s="11">
        <v>1570</v>
      </c>
      <c r="B256" s="13" t="str">
        <f>VLOOKUP(A256,基础数据!A:B,2,FALSE)</f>
        <v>德州</v>
      </c>
      <c r="C256" s="10">
        <v>44057</v>
      </c>
      <c r="D256" s="9"/>
      <c r="E256" s="11">
        <v>4500067750</v>
      </c>
      <c r="F256" s="9"/>
      <c r="G256" s="11">
        <v>1120000131</v>
      </c>
      <c r="H256" s="9" t="s">
        <v>21</v>
      </c>
      <c r="I256" s="11">
        <v>10</v>
      </c>
      <c r="J256" s="11">
        <v>4450</v>
      </c>
      <c r="K256" s="10">
        <v>44099</v>
      </c>
      <c r="L256" s="9" t="s">
        <v>1106</v>
      </c>
      <c r="M256" s="13" t="str">
        <f>VLOOKUP(H256,基础数据!G:H,2,FALSE)</f>
        <v>SR120后缘</v>
      </c>
    </row>
    <row r="257" spans="1:13" s="12" customFormat="1">
      <c r="A257" s="11">
        <v>1570</v>
      </c>
      <c r="B257" s="13" t="str">
        <f>VLOOKUP(A257,基础数据!A:B,2,FALSE)</f>
        <v>德州</v>
      </c>
      <c r="C257" s="10">
        <v>44057</v>
      </c>
      <c r="D257" s="9"/>
      <c r="E257" s="11">
        <v>4500067750</v>
      </c>
      <c r="F257" s="9"/>
      <c r="G257" s="11">
        <v>1120000885</v>
      </c>
      <c r="H257" s="9" t="s">
        <v>102</v>
      </c>
      <c r="I257" s="11">
        <f>26-6-8-7+6</f>
        <v>11</v>
      </c>
      <c r="J257" s="11">
        <f>12142-2766-3688-3227+2766</f>
        <v>5227</v>
      </c>
      <c r="K257" s="10">
        <v>44099</v>
      </c>
      <c r="L257" s="9" t="s">
        <v>1105</v>
      </c>
      <c r="M257" s="13" t="str">
        <f>VLOOKUP(H257,基础数据!G:H,2,FALSE)</f>
        <v>SR120Ⅲ后缘</v>
      </c>
    </row>
    <row r="258" spans="1:13" s="12" customFormat="1">
      <c r="A258" s="11">
        <v>1570</v>
      </c>
      <c r="B258" s="13" t="str">
        <f>VLOOKUP(A258,基础数据!A:B,2,FALSE)</f>
        <v>德州</v>
      </c>
      <c r="C258" s="10">
        <v>44057</v>
      </c>
      <c r="D258" s="9"/>
      <c r="E258" s="11">
        <v>4500067750</v>
      </c>
      <c r="F258" s="9"/>
      <c r="G258" s="11">
        <v>1120000132</v>
      </c>
      <c r="H258" s="9" t="s">
        <v>22</v>
      </c>
      <c r="I258" s="11">
        <v>2</v>
      </c>
      <c r="J258" s="11">
        <v>4478</v>
      </c>
      <c r="K258" s="10">
        <v>44099</v>
      </c>
      <c r="L258" s="9" t="s">
        <v>1107</v>
      </c>
      <c r="M258" s="13" t="str">
        <f>VLOOKUP(H258,基础数据!G:H,2,FALSE)</f>
        <v>SR120大梁</v>
      </c>
    </row>
    <row r="259" spans="1:13" s="12" customFormat="1">
      <c r="A259" s="11">
        <v>1570</v>
      </c>
      <c r="B259" s="13" t="str">
        <f>VLOOKUP(A259,基础数据!A:B,2,FALSE)</f>
        <v>德州</v>
      </c>
      <c r="C259" s="10">
        <v>44057</v>
      </c>
      <c r="D259" s="9"/>
      <c r="E259" s="11">
        <v>4500067750</v>
      </c>
      <c r="F259" s="9"/>
      <c r="G259" s="11">
        <v>1120000132</v>
      </c>
      <c r="H259" s="9" t="s">
        <v>22</v>
      </c>
      <c r="I259" s="11">
        <v>10</v>
      </c>
      <c r="J259" s="11">
        <v>22390</v>
      </c>
      <c r="K259" s="10">
        <v>44099</v>
      </c>
      <c r="L259" s="9" t="s">
        <v>1166</v>
      </c>
      <c r="M259" s="13" t="str">
        <f>VLOOKUP(H259,基础数据!G:H,2,FALSE)</f>
        <v>SR120大梁</v>
      </c>
    </row>
    <row r="260" spans="1:13" s="12" customFormat="1">
      <c r="A260" s="11">
        <v>1570</v>
      </c>
      <c r="B260" s="13" t="str">
        <f>VLOOKUP(A260,基础数据!A:B,2,FALSE)</f>
        <v>德州</v>
      </c>
      <c r="C260" s="10">
        <v>44057</v>
      </c>
      <c r="D260" s="9"/>
      <c r="E260" s="11">
        <v>4500067750</v>
      </c>
      <c r="F260" s="9"/>
      <c r="G260" s="11">
        <v>1120000884</v>
      </c>
      <c r="H260" s="9" t="s">
        <v>101</v>
      </c>
      <c r="I260" s="11">
        <v>2</v>
      </c>
      <c r="J260" s="11">
        <v>4672</v>
      </c>
      <c r="K260" s="10">
        <v>44099</v>
      </c>
      <c r="L260" s="9" t="s">
        <v>1167</v>
      </c>
      <c r="M260" s="13" t="str">
        <f>VLOOKUP(H260,基础数据!G:H,2,FALSE)</f>
        <v>SR120Ⅲ大梁</v>
      </c>
    </row>
    <row r="261" spans="1:13" s="12" customFormat="1">
      <c r="A261" s="11">
        <v>1570</v>
      </c>
      <c r="B261" s="13" t="str">
        <f>VLOOKUP(A261,基础数据!A:B,2,FALSE)</f>
        <v>德州</v>
      </c>
      <c r="C261" s="10">
        <v>44085</v>
      </c>
      <c r="D261" s="9"/>
      <c r="E261" s="11">
        <v>4500070055</v>
      </c>
      <c r="F261" s="9"/>
      <c r="G261" s="11">
        <v>1120000133</v>
      </c>
      <c r="H261" s="9" t="s">
        <v>115</v>
      </c>
      <c r="I261" s="11"/>
      <c r="J261" s="11">
        <v>12372</v>
      </c>
      <c r="K261" s="10">
        <v>44091</v>
      </c>
      <c r="L261" s="9" t="s">
        <v>1168</v>
      </c>
      <c r="M261" s="13" t="str">
        <f>VLOOKUP(H261,基础数据!G:H,2,FALSE)</f>
        <v>BX800-1.27-100</v>
      </c>
    </row>
    <row r="262" spans="1:13" s="12" customFormat="1">
      <c r="A262" s="11">
        <v>1570</v>
      </c>
      <c r="B262" s="13" t="str">
        <f>VLOOKUP(A262,基础数据!A:B,2,FALSE)</f>
        <v>德州</v>
      </c>
      <c r="C262" s="10">
        <v>43980</v>
      </c>
      <c r="D262" s="9"/>
      <c r="E262" s="11">
        <v>4500062993</v>
      </c>
      <c r="F262" s="9"/>
      <c r="G262" s="11">
        <v>1120000884</v>
      </c>
      <c r="H262" s="9" t="s">
        <v>101</v>
      </c>
      <c r="I262" s="11">
        <v>0.5</v>
      </c>
      <c r="J262" s="11">
        <v>1185</v>
      </c>
      <c r="K262" s="10">
        <v>43980</v>
      </c>
      <c r="L262" s="9" t="s">
        <v>1315</v>
      </c>
      <c r="M262" s="13" t="str">
        <f>VLOOKUP(H262,基础数据!G:H,2,FALSE)</f>
        <v>SR120Ⅲ大梁</v>
      </c>
    </row>
    <row r="263" spans="1:13" s="12" customFormat="1">
      <c r="A263" s="11">
        <v>1570</v>
      </c>
      <c r="B263" s="13" t="str">
        <f>VLOOKUP(A263,基础数据!A:B,2,FALSE)</f>
        <v>德州</v>
      </c>
      <c r="C263" s="10">
        <v>44057</v>
      </c>
      <c r="D263" s="9"/>
      <c r="E263" s="11">
        <v>4500067750</v>
      </c>
      <c r="F263" s="9"/>
      <c r="G263" s="11">
        <v>1120000884</v>
      </c>
      <c r="H263" s="9" t="s">
        <v>101</v>
      </c>
      <c r="I263" s="11">
        <f>26-6-7-6+6-6-2</f>
        <v>5</v>
      </c>
      <c r="J263" s="11">
        <f>60601-14016-16352-14016+14016-14016-4672</f>
        <v>11545</v>
      </c>
      <c r="K263" s="10">
        <v>44099</v>
      </c>
      <c r="L263" s="9" t="s">
        <v>1314</v>
      </c>
      <c r="M263" s="13" t="str">
        <f>VLOOKUP(H263,基础数据!G:H,2,FALSE)</f>
        <v>SR120Ⅲ大梁</v>
      </c>
    </row>
    <row r="264" spans="1:13" s="12" customFormat="1">
      <c r="A264" s="11">
        <v>1570</v>
      </c>
      <c r="B264" s="13" t="str">
        <f>VLOOKUP(A264,基础数据!A:B,2,FALSE)</f>
        <v>德州</v>
      </c>
      <c r="C264" s="10">
        <v>44057</v>
      </c>
      <c r="D264" s="9"/>
      <c r="E264" s="11">
        <v>4500067750</v>
      </c>
      <c r="F264" s="9"/>
      <c r="G264" s="11">
        <v>1120000132</v>
      </c>
      <c r="H264" s="9" t="s">
        <v>22</v>
      </c>
      <c r="I264" s="11">
        <v>3</v>
      </c>
      <c r="J264" s="11">
        <v>6717</v>
      </c>
      <c r="K264" s="10">
        <v>44099</v>
      </c>
      <c r="L264" s="9" t="s">
        <v>1316</v>
      </c>
      <c r="M264" s="13" t="str">
        <f>VLOOKUP(H264,基础数据!G:H,2,FALSE)</f>
        <v>SR120大梁</v>
      </c>
    </row>
    <row r="265" spans="1:13" s="38" customFormat="1">
      <c r="A265" s="34">
        <v>1570</v>
      </c>
      <c r="B265" s="35" t="str">
        <f>VLOOKUP(A265,基础数据!A:B,2,FALSE)</f>
        <v>德州</v>
      </c>
      <c r="C265" s="36">
        <v>44085</v>
      </c>
      <c r="D265" s="37"/>
      <c r="E265" s="34">
        <v>4500070055</v>
      </c>
      <c r="F265" s="37"/>
      <c r="G265" s="34">
        <v>1120000133</v>
      </c>
      <c r="H265" s="37" t="s">
        <v>115</v>
      </c>
      <c r="I265" s="34"/>
      <c r="J265" s="34">
        <f>50000-12374.4-11343.2-12374.4-12372</f>
        <v>1535.9999999999982</v>
      </c>
      <c r="K265" s="36">
        <v>44091</v>
      </c>
      <c r="L265" s="37" t="s">
        <v>1332</v>
      </c>
      <c r="M265" s="35" t="str">
        <f>VLOOKUP(H265,基础数据!G:H,2,FALSE)</f>
        <v>BX800-1.27-100</v>
      </c>
    </row>
    <row r="266" spans="1:13" s="38" customFormat="1">
      <c r="A266" s="34">
        <v>1570</v>
      </c>
      <c r="B266" s="35" t="str">
        <f>VLOOKUP(A266,基础数据!A:B,2,FALSE)</f>
        <v>德州</v>
      </c>
      <c r="C266" s="36">
        <v>44057</v>
      </c>
      <c r="D266" s="37"/>
      <c r="E266" s="34">
        <v>4500067750</v>
      </c>
      <c r="F266" s="37"/>
      <c r="G266" s="34">
        <v>1120000131</v>
      </c>
      <c r="H266" s="37" t="s">
        <v>21</v>
      </c>
      <c r="I266" s="34">
        <v>4</v>
      </c>
      <c r="J266" s="34">
        <v>1780</v>
      </c>
      <c r="K266" s="36">
        <v>44099</v>
      </c>
      <c r="L266" s="37" t="s">
        <v>1333</v>
      </c>
      <c r="M266" s="35" t="str">
        <f>VLOOKUP(H266,基础数据!G:H,2,FALSE)</f>
        <v>SR120后缘</v>
      </c>
    </row>
    <row r="267" spans="1:13" s="38" customFormat="1">
      <c r="A267" s="34">
        <v>1570</v>
      </c>
      <c r="B267" s="35" t="str">
        <f>VLOOKUP(A267,基础数据!A:B,2,FALSE)</f>
        <v>德州</v>
      </c>
      <c r="C267" s="36">
        <v>44057</v>
      </c>
      <c r="D267" s="37"/>
      <c r="E267" s="34">
        <v>4500067750</v>
      </c>
      <c r="F267" s="37"/>
      <c r="G267" s="34">
        <v>1120000132</v>
      </c>
      <c r="H267" s="37" t="s">
        <v>22</v>
      </c>
      <c r="I267" s="34">
        <v>7</v>
      </c>
      <c r="J267" s="34">
        <v>15673</v>
      </c>
      <c r="K267" s="36">
        <v>44099</v>
      </c>
      <c r="L267" s="37" t="s">
        <v>1334</v>
      </c>
      <c r="M267" s="35" t="str">
        <f>VLOOKUP(H267,基础数据!G:H,2,FALSE)</f>
        <v>SR120大梁</v>
      </c>
    </row>
    <row r="268" spans="1:13" s="18" customFormat="1">
      <c r="A268" s="14">
        <v>1570</v>
      </c>
      <c r="B268" s="17" t="str">
        <f>VLOOKUP(A268,基础数据!A:B,2,FALSE)</f>
        <v>德州</v>
      </c>
      <c r="C268" s="16">
        <v>44057</v>
      </c>
      <c r="D268" s="15"/>
      <c r="E268" s="14">
        <v>4500067750</v>
      </c>
      <c r="F268" s="15"/>
      <c r="G268" s="14">
        <v>1120000131</v>
      </c>
      <c r="H268" s="15" t="s">
        <v>21</v>
      </c>
      <c r="I268" s="14">
        <f>75-16-18-6-6-10-10-4</f>
        <v>5</v>
      </c>
      <c r="J268" s="14">
        <f>36107-7120-8010-2670-2670-4450-4450-1780</f>
        <v>4957</v>
      </c>
      <c r="K268" s="16">
        <v>44099</v>
      </c>
      <c r="L268" s="15" t="s">
        <v>1342</v>
      </c>
      <c r="M268" s="17" t="str">
        <f>VLOOKUP(H268,基础数据!G:H,2,FALSE)</f>
        <v>SR120后缘</v>
      </c>
    </row>
    <row r="269" spans="1:13" s="18" customFormat="1">
      <c r="A269" s="14">
        <v>1570</v>
      </c>
      <c r="B269" s="17" t="str">
        <f>VLOOKUP(A269,基础数据!A:B,2,FALSE)</f>
        <v>德州</v>
      </c>
      <c r="C269" s="16">
        <v>44057</v>
      </c>
      <c r="D269" s="15"/>
      <c r="E269" s="14">
        <v>4500067750</v>
      </c>
      <c r="F269" s="15"/>
      <c r="G269" s="14">
        <v>1120000132</v>
      </c>
      <c r="H269" s="15" t="s">
        <v>22</v>
      </c>
      <c r="I269" s="14">
        <f>75-6-4-3-4-3-3-3-3-2-10-3-7</f>
        <v>24</v>
      </c>
      <c r="J269" s="14">
        <f>169039-13434-8956-6717-8956-6717-6717-6717-6717-4478-22390-6717-15673</f>
        <v>54850</v>
      </c>
      <c r="K269" s="16">
        <v>44099</v>
      </c>
      <c r="L269" s="15" t="s">
        <v>1343</v>
      </c>
      <c r="M269" s="17" t="str">
        <f>VLOOKUP(H269,基础数据!G:H,2,FALSE)</f>
        <v>SR120大梁</v>
      </c>
    </row>
    <row r="270" spans="1:13" s="18" customFormat="1">
      <c r="A270" s="15">
        <v>1570</v>
      </c>
      <c r="B270" s="17" t="str">
        <f>VLOOKUP(A270,基础数据!A:B,2,FALSE)</f>
        <v>德州</v>
      </c>
      <c r="C270" s="16">
        <v>44102</v>
      </c>
      <c r="D270" s="15"/>
      <c r="E270" s="15">
        <v>4500071483</v>
      </c>
      <c r="F270" s="15"/>
      <c r="G270" s="14">
        <v>1120000131</v>
      </c>
      <c r="H270" s="15" t="s">
        <v>21</v>
      </c>
      <c r="I270" s="14">
        <v>11</v>
      </c>
      <c r="J270" s="14">
        <v>5226</v>
      </c>
      <c r="K270" s="16">
        <v>44114</v>
      </c>
      <c r="L270" s="15" t="s">
        <v>1344</v>
      </c>
      <c r="M270" s="17" t="str">
        <f>VLOOKUP(H270,基础数据!G:H,2,FALSE)</f>
        <v>SR120后缘</v>
      </c>
    </row>
    <row r="271" spans="1:13" s="18" customFormat="1">
      <c r="A271" s="15">
        <v>1570</v>
      </c>
      <c r="B271" s="17" t="str">
        <f>VLOOKUP(A271,基础数据!A:B,2,FALSE)</f>
        <v>德州</v>
      </c>
      <c r="C271" s="16">
        <v>44102</v>
      </c>
      <c r="D271" s="15"/>
      <c r="E271" s="15">
        <v>4500071483</v>
      </c>
      <c r="F271" s="15"/>
      <c r="G271" s="14">
        <v>1120000132</v>
      </c>
      <c r="H271" s="15" t="s">
        <v>22</v>
      </c>
      <c r="I271" s="14">
        <v>2</v>
      </c>
      <c r="J271" s="14">
        <v>4448</v>
      </c>
      <c r="K271" s="16">
        <v>44114</v>
      </c>
      <c r="L271" s="15" t="s">
        <v>1345</v>
      </c>
      <c r="M271" s="17" t="str">
        <f>VLOOKUP(H271,基础数据!G:H,2,FALSE)</f>
        <v>SR120大梁</v>
      </c>
    </row>
    <row r="272" spans="1:13" s="18" customFormat="1">
      <c r="A272" s="14">
        <v>1570</v>
      </c>
      <c r="B272" s="17" t="str">
        <f>VLOOKUP(A272,基础数据!A:B,2,FALSE)</f>
        <v>德州</v>
      </c>
      <c r="C272" s="16">
        <v>44071</v>
      </c>
      <c r="D272" s="15"/>
      <c r="E272" s="14">
        <v>4500068826</v>
      </c>
      <c r="F272" s="15"/>
      <c r="G272" s="14">
        <v>1120000148</v>
      </c>
      <c r="H272" s="15" t="s">
        <v>749</v>
      </c>
      <c r="I272" s="14"/>
      <c r="J272" s="14">
        <f>50000-2805-5610-6540-14960-4675</f>
        <v>15410</v>
      </c>
      <c r="K272" s="16">
        <v>44077</v>
      </c>
      <c r="L272" s="15" t="s">
        <v>1346</v>
      </c>
      <c r="M272" s="17" t="str">
        <f>VLOOKUP(H272,基础数据!G:H,2,FALSE)</f>
        <v>TLX1215-1.27-60</v>
      </c>
    </row>
  </sheetData>
  <autoFilter ref="A1:M258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4"/>
  <sheetViews>
    <sheetView view="pageBreakPreview" zoomScaleNormal="100" zoomScaleSheetLayoutView="100" workbookViewId="0">
      <selection activeCell="M28" sqref="M28"/>
    </sheetView>
  </sheetViews>
  <sheetFormatPr defaultColWidth="9" defaultRowHeight="13.5"/>
  <cols>
    <col min="1" max="1" width="7" style="62" bestFit="1" customWidth="1"/>
    <col min="2" max="2" width="7.28515625" style="62" bestFit="1" customWidth="1"/>
    <col min="3" max="3" width="8.7109375" style="62" bestFit="1" customWidth="1"/>
    <col min="4" max="4" width="3.28515625" style="62" bestFit="1" customWidth="1"/>
    <col min="5" max="5" width="9" style="62" bestFit="1" customWidth="1"/>
    <col min="6" max="6" width="7.28515625" style="62" bestFit="1" customWidth="1"/>
    <col min="7" max="7" width="11.140625" style="62" bestFit="1" customWidth="1"/>
    <col min="8" max="8" width="33.140625" style="62" bestFit="1" customWidth="1"/>
    <col min="9" max="10" width="7" style="62" bestFit="1" customWidth="1"/>
    <col min="11" max="11" width="6.28515625" style="62" bestFit="1" customWidth="1"/>
    <col min="12" max="12" width="8.7109375" style="62" bestFit="1" customWidth="1"/>
    <col min="13" max="13" width="72.5703125" style="62" bestFit="1" customWidth="1"/>
    <col min="14" max="14" width="12.42578125" style="62" bestFit="1" customWidth="1"/>
    <col min="15" max="16384" width="9" style="62"/>
  </cols>
  <sheetData>
    <row r="1" spans="1:14" s="52" customFormat="1">
      <c r="A1" s="49" t="s">
        <v>0</v>
      </c>
      <c r="B1" s="49" t="s">
        <v>1</v>
      </c>
      <c r="C1" s="50" t="s">
        <v>216</v>
      </c>
      <c r="D1" s="49" t="s">
        <v>44</v>
      </c>
      <c r="E1" s="49" t="s">
        <v>217</v>
      </c>
      <c r="F1" s="49" t="s">
        <v>218</v>
      </c>
      <c r="G1" s="49" t="s">
        <v>219</v>
      </c>
      <c r="H1" s="49" t="s">
        <v>6</v>
      </c>
      <c r="I1" s="51" t="s">
        <v>89</v>
      </c>
      <c r="J1" s="49" t="s">
        <v>1515</v>
      </c>
      <c r="K1" s="51" t="s">
        <v>7</v>
      </c>
      <c r="L1" s="50" t="s">
        <v>8</v>
      </c>
      <c r="M1" s="49" t="s">
        <v>43</v>
      </c>
      <c r="N1" s="49" t="s">
        <v>346</v>
      </c>
    </row>
    <row r="2" spans="1:14" s="52" customFormat="1">
      <c r="A2" s="51">
        <v>1940</v>
      </c>
      <c r="B2" s="49" t="s">
        <v>655</v>
      </c>
      <c r="C2" s="50">
        <v>44025</v>
      </c>
      <c r="D2" s="49"/>
      <c r="E2" s="49">
        <v>20200740</v>
      </c>
      <c r="F2" s="49"/>
      <c r="G2" s="51">
        <v>1120001949</v>
      </c>
      <c r="H2" s="49" t="s">
        <v>13</v>
      </c>
      <c r="I2" s="53">
        <v>5</v>
      </c>
      <c r="J2" s="49"/>
      <c r="K2" s="53">
        <v>26230</v>
      </c>
      <c r="L2" s="54">
        <v>44053</v>
      </c>
      <c r="M2" s="55" t="s">
        <v>848</v>
      </c>
      <c r="N2" s="56" t="str">
        <f>VLOOKUP(H2,基础数据!G:H,2,FALSE)</f>
        <v>SR146Ⅰ大梁</v>
      </c>
    </row>
    <row r="3" spans="1:14" s="52" customFormat="1">
      <c r="A3" s="51">
        <v>1940</v>
      </c>
      <c r="B3" s="49" t="s">
        <v>655</v>
      </c>
      <c r="C3" s="50">
        <v>44025</v>
      </c>
      <c r="D3" s="49"/>
      <c r="E3" s="49">
        <v>20200740</v>
      </c>
      <c r="F3" s="49"/>
      <c r="G3" s="51">
        <v>1120001948</v>
      </c>
      <c r="H3" s="49" t="s">
        <v>14</v>
      </c>
      <c r="I3" s="51">
        <v>5</v>
      </c>
      <c r="J3" s="49"/>
      <c r="K3" s="51">
        <v>4515</v>
      </c>
      <c r="L3" s="50">
        <v>44053</v>
      </c>
      <c r="M3" s="49" t="s">
        <v>848</v>
      </c>
      <c r="N3" s="56" t="str">
        <f>VLOOKUP(H3,基础数据!G:H,2,FALSE)</f>
        <v>SR146Ⅰ后缘</v>
      </c>
    </row>
    <row r="4" spans="1:14" s="52" customFormat="1">
      <c r="A4" s="51">
        <v>1940</v>
      </c>
      <c r="B4" s="56" t="str">
        <f>VLOOKUP(A4,基础数据!A:B,2,FALSE)</f>
        <v>乌兰察布</v>
      </c>
      <c r="C4" s="50">
        <v>44063</v>
      </c>
      <c r="D4" s="49"/>
      <c r="E4" s="51">
        <v>4500068129</v>
      </c>
      <c r="F4" s="49"/>
      <c r="G4" s="51">
        <v>1120002993</v>
      </c>
      <c r="H4" s="49" t="s">
        <v>850</v>
      </c>
      <c r="I4" s="51">
        <v>4</v>
      </c>
      <c r="J4" s="49"/>
      <c r="K4" s="51">
        <v>8856</v>
      </c>
      <c r="L4" s="50">
        <v>44068</v>
      </c>
      <c r="M4" s="49" t="s">
        <v>862</v>
      </c>
      <c r="N4" s="56" t="str">
        <f>VLOOKUP(H4,基础数据!G:H,2,FALSE)</f>
        <v>SR146Ⅰ螺栓加强层</v>
      </c>
    </row>
    <row r="5" spans="1:14" s="52" customFormat="1">
      <c r="A5" s="51">
        <v>1940</v>
      </c>
      <c r="B5" s="49" t="s">
        <v>655</v>
      </c>
      <c r="C5" s="50">
        <v>44025</v>
      </c>
      <c r="D5" s="49"/>
      <c r="E5" s="49">
        <v>20200740</v>
      </c>
      <c r="F5" s="49"/>
      <c r="G5" s="51">
        <v>1120001706</v>
      </c>
      <c r="H5" s="49" t="s">
        <v>653</v>
      </c>
      <c r="I5" s="51">
        <v>4</v>
      </c>
      <c r="J5" s="49"/>
      <c r="K5" s="51">
        <v>17564</v>
      </c>
      <c r="L5" s="50">
        <v>44053</v>
      </c>
      <c r="M5" s="49" t="s">
        <v>863</v>
      </c>
      <c r="N5" s="56" t="str">
        <f>VLOOKUP(H5,基础数据!G:H,2,FALSE)</f>
        <v>SR136Ⅰ大梁</v>
      </c>
    </row>
    <row r="6" spans="1:14" s="52" customFormat="1">
      <c r="A6" s="51">
        <v>1940</v>
      </c>
      <c r="B6" s="49" t="s">
        <v>655</v>
      </c>
      <c r="C6" s="50">
        <v>44025</v>
      </c>
      <c r="D6" s="49"/>
      <c r="E6" s="49">
        <v>20200740</v>
      </c>
      <c r="F6" s="49"/>
      <c r="G6" s="51">
        <v>1120001747</v>
      </c>
      <c r="H6" s="49" t="s">
        <v>654</v>
      </c>
      <c r="I6" s="51">
        <v>4</v>
      </c>
      <c r="J6" s="49"/>
      <c r="K6" s="51">
        <v>2600</v>
      </c>
      <c r="L6" s="50">
        <v>44053</v>
      </c>
      <c r="M6" s="49" t="s">
        <v>863</v>
      </c>
      <c r="N6" s="56" t="str">
        <f>VLOOKUP(H6,基础数据!G:H,2,FALSE)</f>
        <v>SR136Ⅰ后缘</v>
      </c>
    </row>
    <row r="7" spans="1:14" s="52" customFormat="1">
      <c r="A7" s="51">
        <v>1940</v>
      </c>
      <c r="B7" s="49" t="s">
        <v>655</v>
      </c>
      <c r="C7" s="50">
        <v>44025</v>
      </c>
      <c r="D7" s="49"/>
      <c r="E7" s="49">
        <v>20200740</v>
      </c>
      <c r="F7" s="49"/>
      <c r="G7" s="51">
        <v>1120001706</v>
      </c>
      <c r="H7" s="49" t="s">
        <v>653</v>
      </c>
      <c r="I7" s="51">
        <v>4</v>
      </c>
      <c r="J7" s="49"/>
      <c r="K7" s="51">
        <v>17564</v>
      </c>
      <c r="L7" s="50">
        <v>44053</v>
      </c>
      <c r="M7" s="49" t="s">
        <v>873</v>
      </c>
      <c r="N7" s="56" t="str">
        <f>VLOOKUP(H7,基础数据!G:H,2,FALSE)</f>
        <v>SR136Ⅰ大梁</v>
      </c>
    </row>
    <row r="8" spans="1:14" s="52" customFormat="1">
      <c r="A8" s="51">
        <v>1940</v>
      </c>
      <c r="B8" s="49" t="s">
        <v>655</v>
      </c>
      <c r="C8" s="50">
        <v>44025</v>
      </c>
      <c r="D8" s="49"/>
      <c r="E8" s="49">
        <v>20200740</v>
      </c>
      <c r="F8" s="49"/>
      <c r="G8" s="51">
        <v>1120001747</v>
      </c>
      <c r="H8" s="49" t="s">
        <v>654</v>
      </c>
      <c r="I8" s="51">
        <v>4</v>
      </c>
      <c r="J8" s="49"/>
      <c r="K8" s="51">
        <v>2600</v>
      </c>
      <c r="L8" s="50">
        <v>44053</v>
      </c>
      <c r="M8" s="49" t="s">
        <v>874</v>
      </c>
      <c r="N8" s="56" t="str">
        <f>VLOOKUP(H8,基础数据!G:H,2,FALSE)</f>
        <v>SR136Ⅰ后缘</v>
      </c>
    </row>
    <row r="9" spans="1:14" s="52" customFormat="1">
      <c r="A9" s="51">
        <v>1940</v>
      </c>
      <c r="B9" s="56" t="str">
        <f>VLOOKUP(A9,基础数据!A:B,2,FALSE)</f>
        <v>乌兰察布</v>
      </c>
      <c r="C9" s="50">
        <v>44063</v>
      </c>
      <c r="D9" s="49"/>
      <c r="E9" s="51">
        <v>4500068129</v>
      </c>
      <c r="F9" s="49"/>
      <c r="G9" s="51">
        <v>1120002993</v>
      </c>
      <c r="H9" s="49" t="s">
        <v>850</v>
      </c>
      <c r="I9" s="51">
        <v>4</v>
      </c>
      <c r="J9" s="49"/>
      <c r="K9" s="51">
        <v>8856</v>
      </c>
      <c r="L9" s="50">
        <v>44068</v>
      </c>
      <c r="M9" s="49" t="s">
        <v>880</v>
      </c>
      <c r="N9" s="56" t="str">
        <f>VLOOKUP(H9,基础数据!G:H,2,FALSE)</f>
        <v>SR146Ⅰ螺栓加强层</v>
      </c>
    </row>
    <row r="10" spans="1:14" s="52" customFormat="1">
      <c r="A10" s="51">
        <v>1940</v>
      </c>
      <c r="B10" s="49" t="s">
        <v>655</v>
      </c>
      <c r="C10" s="50">
        <v>44025</v>
      </c>
      <c r="D10" s="49"/>
      <c r="E10" s="49">
        <v>20200740</v>
      </c>
      <c r="F10" s="49"/>
      <c r="G10" s="51">
        <v>1120001706</v>
      </c>
      <c r="H10" s="49" t="s">
        <v>653</v>
      </c>
      <c r="I10" s="51">
        <f>15-4-4-3</f>
        <v>4</v>
      </c>
      <c r="J10" s="49"/>
      <c r="K10" s="51">
        <v>13173</v>
      </c>
      <c r="L10" s="50">
        <v>44053</v>
      </c>
      <c r="M10" s="49" t="s">
        <v>982</v>
      </c>
      <c r="N10" s="56" t="str">
        <f>VLOOKUP(H10,基础数据!G:H,2,FALSE)</f>
        <v>SR136Ⅰ大梁</v>
      </c>
    </row>
    <row r="11" spans="1:14" s="52" customFormat="1">
      <c r="A11" s="51">
        <v>1940</v>
      </c>
      <c r="B11" s="49" t="s">
        <v>655</v>
      </c>
      <c r="C11" s="50">
        <v>44025</v>
      </c>
      <c r="D11" s="49"/>
      <c r="E11" s="49">
        <v>20200740</v>
      </c>
      <c r="F11" s="49"/>
      <c r="G11" s="51">
        <v>1120001747</v>
      </c>
      <c r="H11" s="49" t="s">
        <v>654</v>
      </c>
      <c r="I11" s="51">
        <f>15-4-4-3</f>
        <v>4</v>
      </c>
      <c r="J11" s="49"/>
      <c r="K11" s="51">
        <v>1950</v>
      </c>
      <c r="L11" s="50">
        <v>44053</v>
      </c>
      <c r="M11" s="49" t="s">
        <v>983</v>
      </c>
      <c r="N11" s="56" t="str">
        <f>VLOOKUP(H11,基础数据!G:H,2,FALSE)</f>
        <v>SR136Ⅰ后缘</v>
      </c>
    </row>
    <row r="12" spans="1:14" s="52" customFormat="1">
      <c r="A12" s="51">
        <v>1940</v>
      </c>
      <c r="B12" s="56" t="str">
        <f>VLOOKUP(A12,基础数据!A:B,2,FALSE)</f>
        <v>乌兰察布</v>
      </c>
      <c r="C12" s="50">
        <v>44071</v>
      </c>
      <c r="D12" s="49"/>
      <c r="E12" s="51">
        <v>4500070242</v>
      </c>
      <c r="F12" s="49"/>
      <c r="G12" s="51">
        <v>1120000148</v>
      </c>
      <c r="H12" s="49" t="s">
        <v>749</v>
      </c>
      <c r="I12" s="51"/>
      <c r="J12" s="49"/>
      <c r="K12" s="51">
        <v>935</v>
      </c>
      <c r="L12" s="50">
        <v>44077</v>
      </c>
      <c r="M12" s="49" t="s">
        <v>984</v>
      </c>
      <c r="N12" s="56" t="str">
        <f>VLOOKUP(H12,基础数据!G:H,2,FALSE)</f>
        <v>TLX1215-1.27-60</v>
      </c>
    </row>
    <row r="13" spans="1:14" s="52" customFormat="1">
      <c r="A13" s="51">
        <v>1940</v>
      </c>
      <c r="B13" s="56" t="str">
        <f>VLOOKUP(A13,基础数据!A:B,2,FALSE)</f>
        <v>乌兰察布</v>
      </c>
      <c r="C13" s="50">
        <v>44069</v>
      </c>
      <c r="D13" s="49"/>
      <c r="E13" s="51">
        <v>4500070242</v>
      </c>
      <c r="F13" s="49"/>
      <c r="G13" s="51">
        <v>1120001397</v>
      </c>
      <c r="H13" s="49" t="s">
        <v>10</v>
      </c>
      <c r="I13" s="51"/>
      <c r="J13" s="49"/>
      <c r="K13" s="51">
        <v>1484</v>
      </c>
      <c r="L13" s="50">
        <v>44069</v>
      </c>
      <c r="M13" s="49" t="s">
        <v>928</v>
      </c>
      <c r="N13" s="56" t="str">
        <f>VLOOKUP(H13,基础数据!G:H,2,FALSE)</f>
        <v>BX800-2.54-100</v>
      </c>
    </row>
    <row r="14" spans="1:14" s="61" customFormat="1">
      <c r="A14" s="57">
        <v>1940</v>
      </c>
      <c r="B14" s="58" t="s">
        <v>655</v>
      </c>
      <c r="C14" s="59">
        <v>44025</v>
      </c>
      <c r="D14" s="58"/>
      <c r="E14" s="58">
        <v>20200740</v>
      </c>
      <c r="F14" s="58"/>
      <c r="G14" s="57">
        <v>1120001706</v>
      </c>
      <c r="H14" s="58" t="s">
        <v>653</v>
      </c>
      <c r="I14" s="57">
        <v>4</v>
      </c>
      <c r="J14" s="58"/>
      <c r="K14" s="57">
        <v>18269</v>
      </c>
      <c r="L14" s="59">
        <v>44053</v>
      </c>
      <c r="M14" s="58" t="s">
        <v>1030</v>
      </c>
      <c r="N14" s="60" t="s">
        <v>899</v>
      </c>
    </row>
    <row r="15" spans="1:14" s="61" customFormat="1">
      <c r="A15" s="57">
        <v>1940</v>
      </c>
      <c r="B15" s="58" t="s">
        <v>655</v>
      </c>
      <c r="C15" s="59">
        <v>44025</v>
      </c>
      <c r="D15" s="58"/>
      <c r="E15" s="58">
        <v>20200740</v>
      </c>
      <c r="F15" s="58"/>
      <c r="G15" s="57">
        <v>1120001747</v>
      </c>
      <c r="H15" s="58" t="s">
        <v>654</v>
      </c>
      <c r="I15" s="57">
        <v>4</v>
      </c>
      <c r="J15" s="58"/>
      <c r="K15" s="57">
        <v>2600</v>
      </c>
      <c r="L15" s="59">
        <v>44053</v>
      </c>
      <c r="M15" s="58" t="s">
        <v>1031</v>
      </c>
      <c r="N15" s="60" t="s">
        <v>900</v>
      </c>
    </row>
    <row r="16" spans="1:14" s="52" customFormat="1">
      <c r="A16" s="51">
        <v>1940</v>
      </c>
      <c r="B16" s="49" t="s">
        <v>655</v>
      </c>
      <c r="C16" s="50">
        <v>44025</v>
      </c>
      <c r="D16" s="49"/>
      <c r="E16" s="49">
        <v>20200740</v>
      </c>
      <c r="F16" s="49"/>
      <c r="G16" s="51">
        <v>1120001949</v>
      </c>
      <c r="H16" s="49" t="s">
        <v>13</v>
      </c>
      <c r="I16" s="51">
        <f>15-5</f>
        <v>10</v>
      </c>
      <c r="J16" s="49"/>
      <c r="K16" s="51">
        <f>78930-26230</f>
        <v>52700</v>
      </c>
      <c r="L16" s="50">
        <v>44053</v>
      </c>
      <c r="M16" s="49" t="s">
        <v>1065</v>
      </c>
      <c r="N16" s="56" t="str">
        <f>VLOOKUP(H16,基础数据!G:H,2,FALSE)</f>
        <v>SR146Ⅰ大梁</v>
      </c>
    </row>
    <row r="17" spans="1:14" s="52" customFormat="1">
      <c r="A17" s="51">
        <v>1940</v>
      </c>
      <c r="B17" s="49" t="s">
        <v>655</v>
      </c>
      <c r="C17" s="50">
        <v>44025</v>
      </c>
      <c r="D17" s="49"/>
      <c r="E17" s="49">
        <v>20200740</v>
      </c>
      <c r="F17" s="49"/>
      <c r="G17" s="51">
        <v>1120001948</v>
      </c>
      <c r="H17" s="49" t="s">
        <v>14</v>
      </c>
      <c r="I17" s="51">
        <f>15-5</f>
        <v>10</v>
      </c>
      <c r="J17" s="49"/>
      <c r="K17" s="51">
        <f>13890-4515</f>
        <v>9375</v>
      </c>
      <c r="L17" s="50">
        <v>44053</v>
      </c>
      <c r="M17" s="49" t="s">
        <v>1065</v>
      </c>
      <c r="N17" s="56" t="str">
        <f>VLOOKUP(H17,基础数据!G:H,2,FALSE)</f>
        <v>SR146Ⅰ后缘</v>
      </c>
    </row>
    <row r="18" spans="1:14" s="52" customFormat="1">
      <c r="A18" s="51">
        <v>1940</v>
      </c>
      <c r="B18" s="56" t="str">
        <f>VLOOKUP(A18,基础数据!A:B,2,FALSE)</f>
        <v>乌兰察布</v>
      </c>
      <c r="C18" s="50">
        <v>44063</v>
      </c>
      <c r="D18" s="49"/>
      <c r="E18" s="51">
        <v>4500068120</v>
      </c>
      <c r="F18" s="49"/>
      <c r="G18" s="51">
        <v>1120001948</v>
      </c>
      <c r="H18" s="49" t="s">
        <v>14</v>
      </c>
      <c r="I18" s="51">
        <v>12</v>
      </c>
      <c r="J18" s="49"/>
      <c r="K18" s="51">
        <v>11112</v>
      </c>
      <c r="L18" s="50">
        <v>44089</v>
      </c>
      <c r="M18" s="49" t="s">
        <v>1066</v>
      </c>
      <c r="N18" s="56" t="str">
        <f>VLOOKUP(H18,基础数据!G:H,2,FALSE)</f>
        <v>SR146Ⅰ后缘</v>
      </c>
    </row>
    <row r="19" spans="1:14" s="52" customFormat="1">
      <c r="A19" s="51">
        <v>1940</v>
      </c>
      <c r="B19" s="56" t="str">
        <f>VLOOKUP(A19,基础数据!A:B,2,FALSE)</f>
        <v>乌兰察布</v>
      </c>
      <c r="C19" s="50">
        <v>44063</v>
      </c>
      <c r="D19" s="49"/>
      <c r="E19" s="51">
        <v>4500068120</v>
      </c>
      <c r="F19" s="49"/>
      <c r="G19" s="51">
        <v>1120001949</v>
      </c>
      <c r="H19" s="49" t="s">
        <v>13</v>
      </c>
      <c r="I19" s="51">
        <v>33</v>
      </c>
      <c r="J19" s="49"/>
      <c r="K19" s="51">
        <v>173646</v>
      </c>
      <c r="L19" s="50">
        <v>44089</v>
      </c>
      <c r="M19" s="49" t="s">
        <v>1067</v>
      </c>
      <c r="N19" s="56" t="str">
        <f>VLOOKUP(H19,基础数据!G:H,2,FALSE)</f>
        <v>SR146Ⅰ大梁</v>
      </c>
    </row>
    <row r="20" spans="1:14" s="52" customFormat="1">
      <c r="A20" s="51">
        <v>1940</v>
      </c>
      <c r="B20" s="56" t="str">
        <f>VLOOKUP(A20,基础数据!A:B,2,FALSE)</f>
        <v>乌兰察布</v>
      </c>
      <c r="C20" s="50">
        <v>44063</v>
      </c>
      <c r="D20" s="49"/>
      <c r="E20" s="51">
        <v>4500068129</v>
      </c>
      <c r="F20" s="49"/>
      <c r="G20" s="51">
        <v>1120002993</v>
      </c>
      <c r="H20" s="49" t="s">
        <v>850</v>
      </c>
      <c r="I20" s="51">
        <f>48-4-4</f>
        <v>40</v>
      </c>
      <c r="J20" s="49"/>
      <c r="K20" s="51">
        <f>2416*48-8856-8856</f>
        <v>98256</v>
      </c>
      <c r="L20" s="50">
        <v>44068</v>
      </c>
      <c r="M20" s="49" t="s">
        <v>1068</v>
      </c>
      <c r="N20" s="56" t="str">
        <f>VLOOKUP(H20,基础数据!G:H,2,FALSE)</f>
        <v>SR146Ⅰ螺栓加强层</v>
      </c>
    </row>
    <row r="21" spans="1:14" s="61" customFormat="1">
      <c r="A21" s="57">
        <v>1940</v>
      </c>
      <c r="B21" s="60" t="s">
        <v>1013</v>
      </c>
      <c r="C21" s="59">
        <v>44063</v>
      </c>
      <c r="D21" s="58"/>
      <c r="E21" s="57">
        <v>4500068120</v>
      </c>
      <c r="F21" s="58"/>
      <c r="G21" s="57">
        <v>1120001706</v>
      </c>
      <c r="H21" s="58" t="s">
        <v>653</v>
      </c>
      <c r="I21" s="57">
        <f>33</f>
        <v>33</v>
      </c>
      <c r="J21" s="58"/>
      <c r="K21" s="57">
        <f>146454</f>
        <v>146454</v>
      </c>
      <c r="L21" s="59">
        <v>44129</v>
      </c>
      <c r="M21" s="58" t="s">
        <v>1367</v>
      </c>
      <c r="N21" s="60" t="s">
        <v>899</v>
      </c>
    </row>
    <row r="22" spans="1:14" s="61" customFormat="1">
      <c r="A22" s="57">
        <v>1940</v>
      </c>
      <c r="B22" s="60" t="s">
        <v>1013</v>
      </c>
      <c r="C22" s="59">
        <v>44063</v>
      </c>
      <c r="D22" s="58"/>
      <c r="E22" s="57">
        <v>4500068120</v>
      </c>
      <c r="F22" s="58"/>
      <c r="G22" s="57">
        <v>1120001747</v>
      </c>
      <c r="H22" s="58" t="s">
        <v>654</v>
      </c>
      <c r="I22" s="57">
        <f>33</f>
        <v>33</v>
      </c>
      <c r="J22" s="58"/>
      <c r="K22" s="57">
        <f>21450</f>
        <v>21450</v>
      </c>
      <c r="L22" s="59">
        <v>44129</v>
      </c>
      <c r="M22" s="58" t="s">
        <v>1367</v>
      </c>
      <c r="N22" s="60" t="s">
        <v>900</v>
      </c>
    </row>
    <row r="23" spans="1:14" s="61" customFormat="1">
      <c r="A23" s="58">
        <v>1940</v>
      </c>
      <c r="B23" s="58" t="s">
        <v>930</v>
      </c>
      <c r="C23" s="59">
        <v>44077</v>
      </c>
      <c r="D23" s="58"/>
      <c r="E23" s="57">
        <v>20200910</v>
      </c>
      <c r="F23" s="58"/>
      <c r="G23" s="58">
        <v>1120001747</v>
      </c>
      <c r="H23" s="58" t="s">
        <v>654</v>
      </c>
      <c r="I23" s="57">
        <v>0.1</v>
      </c>
      <c r="J23" s="57">
        <v>279.45</v>
      </c>
      <c r="K23" s="57">
        <f>I23</f>
        <v>0.1</v>
      </c>
      <c r="L23" s="59">
        <v>44084</v>
      </c>
      <c r="M23" s="58" t="s">
        <v>1514</v>
      </c>
      <c r="N23" s="60" t="str">
        <f>VLOOKUP(H23,基础数据!G:H,2,FALSE)</f>
        <v>SR136Ⅰ后缘</v>
      </c>
    </row>
    <row r="24" spans="1:14" s="12" customFormat="1">
      <c r="A24" s="9">
        <v>1940</v>
      </c>
      <c r="B24" s="9" t="s">
        <v>930</v>
      </c>
      <c r="C24" s="10">
        <v>44077</v>
      </c>
      <c r="D24" s="9"/>
      <c r="E24" s="11">
        <v>20200910</v>
      </c>
      <c r="F24" s="9"/>
      <c r="G24" s="9">
        <v>1120001706</v>
      </c>
      <c r="H24" s="9" t="s">
        <v>653</v>
      </c>
      <c r="I24" s="11">
        <v>0.1</v>
      </c>
      <c r="J24" s="11">
        <v>765.45</v>
      </c>
      <c r="K24" s="11">
        <f>I24</f>
        <v>0.1</v>
      </c>
      <c r="L24" s="10">
        <v>44084</v>
      </c>
      <c r="M24" s="9" t="s">
        <v>1522</v>
      </c>
      <c r="N24" s="13" t="str">
        <f>VLOOKUP(H24,基础数据!G:H,2,FALSE)</f>
        <v>SR136Ⅰ大梁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U55"/>
  <sheetViews>
    <sheetView topLeftCell="D25" workbookViewId="0">
      <selection activeCell="G54" sqref="G54"/>
    </sheetView>
  </sheetViews>
  <sheetFormatPr defaultColWidth="9" defaultRowHeight="13.5"/>
  <cols>
    <col min="1" max="1" width="20.140625" style="3" bestFit="1" customWidth="1"/>
    <col min="2" max="2" width="15.140625" style="3" bestFit="1" customWidth="1"/>
    <col min="3" max="3" width="16.7109375" style="3" bestFit="1" customWidth="1"/>
    <col min="4" max="4" width="8.28515625" style="3" bestFit="1" customWidth="1"/>
    <col min="5" max="5" width="18.5703125" style="3" bestFit="1" customWidth="1"/>
    <col min="6" max="6" width="9" style="3"/>
    <col min="7" max="7" width="41" style="3" bestFit="1" customWidth="1"/>
    <col min="8" max="8" width="16.140625" style="3" bestFit="1" customWidth="1"/>
    <col min="9" max="9" width="18.28515625" style="3" customWidth="1"/>
    <col min="10" max="10" width="9.5703125" style="3" bestFit="1" customWidth="1"/>
    <col min="11" max="15" width="9" style="3"/>
    <col min="16" max="16" width="10.140625" style="3" bestFit="1" customWidth="1"/>
    <col min="17" max="17" width="12.140625" style="3" customWidth="1"/>
    <col min="18" max="18" width="39.28515625" style="3" bestFit="1" customWidth="1"/>
    <col min="19" max="19" width="7" style="3" bestFit="1" customWidth="1"/>
    <col min="20" max="20" width="12.7109375" style="3" bestFit="1" customWidth="1"/>
    <col min="21" max="21" width="16.140625" style="3" bestFit="1" customWidth="1"/>
    <col min="22" max="16384" width="9" style="3"/>
  </cols>
  <sheetData>
    <row r="1" spans="1:21" ht="27">
      <c r="A1" s="1" t="s">
        <v>24</v>
      </c>
      <c r="B1" s="1" t="s">
        <v>25</v>
      </c>
      <c r="C1" s="1" t="s">
        <v>29</v>
      </c>
      <c r="D1" s="2" t="s">
        <v>0</v>
      </c>
      <c r="F1" s="3" t="s">
        <v>1794</v>
      </c>
      <c r="G1" s="3" t="s">
        <v>347</v>
      </c>
      <c r="H1" s="3" t="s">
        <v>346</v>
      </c>
      <c r="I1" s="3" t="s">
        <v>1795</v>
      </c>
      <c r="J1" s="3" t="s">
        <v>1796</v>
      </c>
      <c r="P1" s="4" t="s">
        <v>678</v>
      </c>
      <c r="Q1" s="4" t="s">
        <v>543</v>
      </c>
      <c r="R1" s="4" t="s">
        <v>679</v>
      </c>
      <c r="S1" s="4" t="s">
        <v>544</v>
      </c>
      <c r="T1" s="4" t="s">
        <v>680</v>
      </c>
      <c r="U1" s="2" t="s">
        <v>1139</v>
      </c>
    </row>
    <row r="2" spans="1:21">
      <c r="A2" s="1">
        <v>1270</v>
      </c>
      <c r="B2" s="1" t="s">
        <v>30</v>
      </c>
      <c r="C2" s="1" t="s">
        <v>31</v>
      </c>
      <c r="D2" s="2">
        <v>100100726</v>
      </c>
      <c r="F2" s="3">
        <v>1120002825</v>
      </c>
      <c r="G2" s="3" t="s">
        <v>348</v>
      </c>
      <c r="H2" s="3" t="s">
        <v>351</v>
      </c>
      <c r="J2" s="3">
        <v>1121584</v>
      </c>
      <c r="P2" s="4" t="s">
        <v>1157</v>
      </c>
      <c r="Q2" s="4">
        <v>1120002745</v>
      </c>
      <c r="R2" s="4" t="s">
        <v>568</v>
      </c>
      <c r="S2" s="4" t="s">
        <v>545</v>
      </c>
      <c r="T2" s="4">
        <v>1025.5999999999999</v>
      </c>
      <c r="U2" s="2" t="s">
        <v>1141</v>
      </c>
    </row>
    <row r="3" spans="1:21">
      <c r="A3" s="1">
        <v>1530</v>
      </c>
      <c r="B3" s="1" t="s">
        <v>26</v>
      </c>
      <c r="C3" s="1" t="s">
        <v>32</v>
      </c>
      <c r="D3" s="2">
        <v>100106330</v>
      </c>
      <c r="F3" s="3">
        <v>1120000885</v>
      </c>
      <c r="G3" s="3" t="s">
        <v>349</v>
      </c>
      <c r="H3" s="3" t="s">
        <v>350</v>
      </c>
      <c r="I3" s="3">
        <v>1012843</v>
      </c>
      <c r="J3" s="3">
        <v>1106555</v>
      </c>
      <c r="P3" s="4" t="s">
        <v>1157</v>
      </c>
      <c r="Q3" s="4">
        <v>1120001397</v>
      </c>
      <c r="R3" s="4" t="s">
        <v>10</v>
      </c>
      <c r="S3" s="4" t="s">
        <v>545</v>
      </c>
      <c r="T3" s="4">
        <v>1873.8</v>
      </c>
      <c r="U3" s="2" t="s">
        <v>1143</v>
      </c>
    </row>
    <row r="4" spans="1:21">
      <c r="A4" s="1">
        <v>1570</v>
      </c>
      <c r="B4" s="1" t="s">
        <v>33</v>
      </c>
      <c r="C4" s="1" t="s">
        <v>34</v>
      </c>
      <c r="D4" s="2">
        <v>100104563</v>
      </c>
      <c r="F4" s="3">
        <v>1120000131</v>
      </c>
      <c r="G4" s="3" t="s">
        <v>352</v>
      </c>
      <c r="H4" s="3" t="s">
        <v>353</v>
      </c>
      <c r="I4" s="3">
        <v>1012844</v>
      </c>
      <c r="J4" s="3">
        <v>1106524</v>
      </c>
      <c r="P4" s="4" t="s">
        <v>1157</v>
      </c>
      <c r="Q4" s="4">
        <v>1120000145</v>
      </c>
      <c r="R4" s="4" t="s">
        <v>95</v>
      </c>
      <c r="S4" s="4" t="s">
        <v>545</v>
      </c>
      <c r="T4" s="4">
        <v>159.30000000000001</v>
      </c>
      <c r="U4" s="2" t="s">
        <v>1149</v>
      </c>
    </row>
    <row r="5" spans="1:21">
      <c r="A5" s="1">
        <v>1580</v>
      </c>
      <c r="B5" s="1" t="s">
        <v>27</v>
      </c>
      <c r="C5" s="1" t="s">
        <v>35</v>
      </c>
      <c r="D5" s="2">
        <v>100108035</v>
      </c>
      <c r="F5" s="3">
        <v>1120001948</v>
      </c>
      <c r="G5" s="3" t="s">
        <v>354</v>
      </c>
      <c r="H5" s="3" t="s">
        <v>355</v>
      </c>
      <c r="I5" s="3">
        <v>1012745</v>
      </c>
      <c r="J5" s="3">
        <v>1106592</v>
      </c>
      <c r="P5" s="4" t="s">
        <v>1157</v>
      </c>
      <c r="Q5" s="4">
        <v>1120002854</v>
      </c>
      <c r="R5" s="4" t="s">
        <v>94</v>
      </c>
      <c r="S5" s="4" t="s">
        <v>545</v>
      </c>
      <c r="T5" s="4">
        <v>1100.0999999999999</v>
      </c>
      <c r="U5" s="2" t="s">
        <v>1145</v>
      </c>
    </row>
    <row r="6" spans="1:21">
      <c r="A6" s="1">
        <v>1920</v>
      </c>
      <c r="B6" s="1" t="s">
        <v>36</v>
      </c>
      <c r="C6" s="1" t="s">
        <v>37</v>
      </c>
      <c r="D6" s="2">
        <v>100105955</v>
      </c>
      <c r="F6" s="3">
        <v>1120002747</v>
      </c>
      <c r="G6" s="3" t="s">
        <v>356</v>
      </c>
      <c r="H6" s="3" t="s">
        <v>357</v>
      </c>
      <c r="J6" s="3">
        <v>1127225</v>
      </c>
      <c r="P6" s="4" t="s">
        <v>1157</v>
      </c>
      <c r="Q6" s="4">
        <v>1120000142</v>
      </c>
      <c r="R6" s="4" t="s">
        <v>11</v>
      </c>
      <c r="S6" s="4" t="s">
        <v>545</v>
      </c>
      <c r="T6" s="4">
        <v>2421.3000000000002</v>
      </c>
      <c r="U6" s="2" t="s">
        <v>1147</v>
      </c>
    </row>
    <row r="7" spans="1:21">
      <c r="A7" s="1">
        <v>1930</v>
      </c>
      <c r="B7" s="1" t="s">
        <v>17</v>
      </c>
      <c r="C7" s="1" t="s">
        <v>38</v>
      </c>
      <c r="D7" s="2">
        <v>100106589</v>
      </c>
      <c r="F7" s="3">
        <v>1120002452</v>
      </c>
      <c r="G7" s="3" t="s">
        <v>358</v>
      </c>
      <c r="H7" s="3" t="s">
        <v>359</v>
      </c>
      <c r="I7" s="3">
        <v>1012747</v>
      </c>
      <c r="P7" s="4" t="s">
        <v>681</v>
      </c>
      <c r="Q7" s="4">
        <v>1120000142</v>
      </c>
      <c r="R7" s="4" t="s">
        <v>11</v>
      </c>
      <c r="S7" s="4" t="s">
        <v>545</v>
      </c>
      <c r="T7" s="4">
        <v>2421.3000000000002</v>
      </c>
      <c r="U7" s="2" t="s">
        <v>1147</v>
      </c>
    </row>
    <row r="8" spans="1:21">
      <c r="A8" s="5">
        <v>1390</v>
      </c>
      <c r="B8" s="6" t="s">
        <v>39</v>
      </c>
      <c r="C8" s="6" t="s">
        <v>28</v>
      </c>
      <c r="D8" s="7">
        <v>100110681</v>
      </c>
      <c r="F8" s="3">
        <v>1120002526</v>
      </c>
      <c r="G8" s="3" t="s">
        <v>360</v>
      </c>
      <c r="H8" s="3" t="s">
        <v>361</v>
      </c>
      <c r="J8" s="3">
        <v>1106628</v>
      </c>
      <c r="P8" s="4" t="s">
        <v>681</v>
      </c>
      <c r="Q8" s="4">
        <v>1120000145</v>
      </c>
      <c r="R8" s="4" t="s">
        <v>95</v>
      </c>
      <c r="S8" s="4" t="s">
        <v>545</v>
      </c>
      <c r="T8" s="4">
        <v>1254.4000000000001</v>
      </c>
      <c r="U8" s="2" t="s">
        <v>1149</v>
      </c>
    </row>
    <row r="9" spans="1:21">
      <c r="A9" s="1">
        <v>1350</v>
      </c>
      <c r="B9" s="2"/>
      <c r="C9" s="1" t="s">
        <v>40</v>
      </c>
      <c r="D9" s="2"/>
      <c r="F9" s="3">
        <v>1120001194</v>
      </c>
      <c r="G9" s="3" t="s">
        <v>362</v>
      </c>
      <c r="H9" s="3" t="s">
        <v>1784</v>
      </c>
      <c r="I9" s="3">
        <v>1012742</v>
      </c>
      <c r="J9" s="3">
        <v>1106593</v>
      </c>
      <c r="P9" s="4" t="s">
        <v>681</v>
      </c>
      <c r="Q9" s="4">
        <v>1120002854</v>
      </c>
      <c r="R9" s="4" t="s">
        <v>94</v>
      </c>
      <c r="S9" s="4" t="s">
        <v>545</v>
      </c>
      <c r="T9" s="4">
        <v>3449.7</v>
      </c>
      <c r="U9" s="2" t="s">
        <v>1150</v>
      </c>
    </row>
    <row r="10" spans="1:21">
      <c r="A10" s="1">
        <v>1390</v>
      </c>
      <c r="B10" s="1"/>
      <c r="C10" s="1" t="s">
        <v>41</v>
      </c>
      <c r="D10" s="7"/>
      <c r="F10" s="3">
        <v>1120001949</v>
      </c>
      <c r="G10" s="3" t="s">
        <v>363</v>
      </c>
      <c r="H10" s="3" t="s">
        <v>364</v>
      </c>
      <c r="I10" s="3">
        <v>840669</v>
      </c>
      <c r="P10" s="2" t="s">
        <v>1135</v>
      </c>
      <c r="Q10" s="4">
        <v>1120000145</v>
      </c>
      <c r="R10" s="4" t="s">
        <v>95</v>
      </c>
      <c r="S10" s="4" t="s">
        <v>545</v>
      </c>
      <c r="T10" s="2">
        <v>86.4</v>
      </c>
      <c r="U10" s="2" t="s">
        <v>1149</v>
      </c>
    </row>
    <row r="11" spans="1:21">
      <c r="A11" s="1">
        <v>1940</v>
      </c>
      <c r="B11" s="1" t="s">
        <v>812</v>
      </c>
      <c r="C11" s="1" t="s">
        <v>813</v>
      </c>
      <c r="D11" s="2">
        <v>100113968</v>
      </c>
      <c r="F11" s="3">
        <v>1120002746</v>
      </c>
      <c r="G11" s="3" t="s">
        <v>365</v>
      </c>
      <c r="H11" s="3" t="s">
        <v>366</v>
      </c>
      <c r="I11" s="3">
        <v>1127632</v>
      </c>
      <c r="P11" s="2" t="s">
        <v>1135</v>
      </c>
      <c r="Q11" s="4">
        <v>1120002854</v>
      </c>
      <c r="R11" s="4" t="s">
        <v>94</v>
      </c>
      <c r="S11" s="4" t="s">
        <v>545</v>
      </c>
      <c r="T11" s="4">
        <v>74.099999999999994</v>
      </c>
      <c r="U11" s="2" t="s">
        <v>1150</v>
      </c>
    </row>
    <row r="12" spans="1:21">
      <c r="A12" s="1">
        <v>1260</v>
      </c>
      <c r="B12" s="1"/>
      <c r="C12" s="1" t="s">
        <v>42</v>
      </c>
      <c r="D12" s="2"/>
      <c r="F12" s="3">
        <v>1120002527</v>
      </c>
      <c r="G12" s="3" t="s">
        <v>367</v>
      </c>
      <c r="H12" s="3" t="s">
        <v>368</v>
      </c>
      <c r="I12" s="3">
        <v>914911</v>
      </c>
      <c r="P12" s="2" t="s">
        <v>1135</v>
      </c>
      <c r="Q12" s="4">
        <v>1120000142</v>
      </c>
      <c r="R12" s="4" t="s">
        <v>11</v>
      </c>
      <c r="S12" s="4" t="s">
        <v>545</v>
      </c>
      <c r="T12" s="4">
        <v>2063.7600000000002</v>
      </c>
      <c r="U12" s="2" t="s">
        <v>1147</v>
      </c>
    </row>
    <row r="13" spans="1:21">
      <c r="A13" s="2">
        <v>1680</v>
      </c>
      <c r="B13" s="1" t="s">
        <v>17</v>
      </c>
      <c r="C13" s="2" t="s">
        <v>811</v>
      </c>
      <c r="D13" s="2">
        <v>100113995</v>
      </c>
      <c r="F13" s="3">
        <v>1120002596</v>
      </c>
      <c r="G13" s="3" t="s">
        <v>369</v>
      </c>
      <c r="H13" s="3" t="s">
        <v>370</v>
      </c>
      <c r="I13" s="3">
        <v>1029668</v>
      </c>
      <c r="J13" s="3">
        <v>1106651</v>
      </c>
      <c r="P13" s="2" t="s">
        <v>1135</v>
      </c>
      <c r="Q13" s="4">
        <v>1120001397</v>
      </c>
      <c r="R13" s="4" t="s">
        <v>10</v>
      </c>
      <c r="S13" s="4" t="s">
        <v>545</v>
      </c>
      <c r="T13" s="2">
        <v>203.2</v>
      </c>
      <c r="U13" s="2" t="s">
        <v>1143</v>
      </c>
    </row>
    <row r="14" spans="1:21">
      <c r="A14" s="2"/>
      <c r="B14" s="1"/>
      <c r="C14" s="2"/>
      <c r="D14" s="2"/>
      <c r="F14" s="3">
        <v>1120000884</v>
      </c>
      <c r="G14" s="3" t="s">
        <v>371</v>
      </c>
      <c r="H14" s="3" t="s">
        <v>372</v>
      </c>
      <c r="I14" s="3">
        <v>838148</v>
      </c>
      <c r="P14" s="2" t="s">
        <v>1137</v>
      </c>
      <c r="Q14" s="2">
        <v>1120002038</v>
      </c>
      <c r="R14" s="2" t="s">
        <v>54</v>
      </c>
      <c r="S14" s="4" t="s">
        <v>545</v>
      </c>
      <c r="T14" s="2">
        <v>217.7</v>
      </c>
      <c r="U14" s="2" t="s">
        <v>1152</v>
      </c>
    </row>
    <row r="15" spans="1:21">
      <c r="F15" s="3">
        <v>1120000132</v>
      </c>
      <c r="G15" s="3" t="s">
        <v>373</v>
      </c>
      <c r="H15" s="3" t="s">
        <v>374</v>
      </c>
      <c r="I15" s="3">
        <v>781781</v>
      </c>
      <c r="P15" s="2" t="s">
        <v>1137</v>
      </c>
      <c r="Q15" s="4">
        <v>1120001397</v>
      </c>
      <c r="R15" s="2" t="s">
        <v>10</v>
      </c>
      <c r="S15" s="4" t="s">
        <v>545</v>
      </c>
      <c r="T15" s="2">
        <v>3539.4</v>
      </c>
      <c r="U15" s="2" t="s">
        <v>1143</v>
      </c>
    </row>
    <row r="16" spans="1:21">
      <c r="F16" s="3">
        <v>1120002597</v>
      </c>
      <c r="G16" s="3" t="s">
        <v>375</v>
      </c>
      <c r="H16" s="3" t="s">
        <v>408</v>
      </c>
      <c r="I16" s="3">
        <v>1029670</v>
      </c>
      <c r="P16" s="2" t="s">
        <v>1137</v>
      </c>
      <c r="Q16" s="2">
        <v>1120001035</v>
      </c>
      <c r="R16" s="2" t="s">
        <v>12</v>
      </c>
      <c r="S16" s="4" t="s">
        <v>545</v>
      </c>
      <c r="T16" s="2">
        <v>2096.3000000000002</v>
      </c>
      <c r="U16" s="2" t="s">
        <v>1154</v>
      </c>
    </row>
    <row r="17" spans="1:21">
      <c r="F17" s="3">
        <v>1120000125</v>
      </c>
      <c r="G17" s="3" t="s">
        <v>376</v>
      </c>
      <c r="H17" s="3" t="s">
        <v>377</v>
      </c>
      <c r="I17" s="3">
        <v>755252</v>
      </c>
      <c r="P17" s="2" t="s">
        <v>1137</v>
      </c>
      <c r="Q17" s="2">
        <v>1120000149</v>
      </c>
      <c r="R17" s="2" t="s">
        <v>1138</v>
      </c>
      <c r="S17" s="4" t="s">
        <v>545</v>
      </c>
      <c r="T17" s="2">
        <v>2316</v>
      </c>
      <c r="U17" s="2" t="s">
        <v>1156</v>
      </c>
    </row>
    <row r="18" spans="1:21">
      <c r="F18" s="3">
        <v>2019000591</v>
      </c>
      <c r="G18" s="3" t="s">
        <v>317</v>
      </c>
      <c r="H18" s="3" t="s">
        <v>1799</v>
      </c>
      <c r="I18" s="3">
        <v>1130056</v>
      </c>
      <c r="J18" s="3">
        <v>1125613</v>
      </c>
      <c r="P18" s="2" t="s">
        <v>1542</v>
      </c>
      <c r="Q18" s="4">
        <v>1120001397</v>
      </c>
      <c r="R18" s="2" t="s">
        <v>10</v>
      </c>
      <c r="S18" s="4" t="s">
        <v>545</v>
      </c>
      <c r="T18" s="2">
        <f>2032+491+1846.7</f>
        <v>4369.7</v>
      </c>
      <c r="U18" s="2" t="s">
        <v>1143</v>
      </c>
    </row>
    <row r="19" spans="1:21">
      <c r="F19" s="67">
        <v>2019000544</v>
      </c>
      <c r="G19" s="3" t="s">
        <v>1797</v>
      </c>
      <c r="H19" s="3" t="s">
        <v>1798</v>
      </c>
      <c r="J19" s="3">
        <v>1118937</v>
      </c>
      <c r="P19" s="2" t="s">
        <v>1542</v>
      </c>
      <c r="Q19" s="2">
        <v>1120001035</v>
      </c>
      <c r="R19" s="2" t="s">
        <v>12</v>
      </c>
      <c r="S19" s="4" t="s">
        <v>545</v>
      </c>
      <c r="T19" s="2">
        <v>2412.0300000000002</v>
      </c>
      <c r="U19" s="2" t="s">
        <v>1154</v>
      </c>
    </row>
    <row r="20" spans="1:21">
      <c r="A20" s="89" t="s">
        <v>678</v>
      </c>
      <c r="B20" s="89" t="s">
        <v>901</v>
      </c>
      <c r="C20" s="88" t="s">
        <v>1158</v>
      </c>
      <c r="F20" s="3">
        <v>1120001035</v>
      </c>
      <c r="G20" s="3" t="s">
        <v>12</v>
      </c>
      <c r="H20" s="3" t="s">
        <v>1154</v>
      </c>
      <c r="I20" s="3">
        <v>840667</v>
      </c>
      <c r="J20" s="3">
        <v>1106540</v>
      </c>
      <c r="P20" s="2" t="s">
        <v>1542</v>
      </c>
      <c r="Q20" s="2">
        <v>1120002038</v>
      </c>
      <c r="R20" s="2" t="s">
        <v>54</v>
      </c>
      <c r="S20" s="4" t="s">
        <v>545</v>
      </c>
      <c r="T20" s="2">
        <v>476.25</v>
      </c>
      <c r="U20" s="2" t="s">
        <v>1152</v>
      </c>
    </row>
    <row r="21" spans="1:21">
      <c r="A21" s="88" t="s">
        <v>681</v>
      </c>
      <c r="B21" s="88" t="s">
        <v>1148</v>
      </c>
      <c r="C21" s="90">
        <v>1254.4000000000001</v>
      </c>
      <c r="F21" s="3">
        <v>1120002038</v>
      </c>
      <c r="G21" s="3" t="s">
        <v>54</v>
      </c>
      <c r="H21" s="3" t="s">
        <v>1152</v>
      </c>
      <c r="I21" s="3">
        <v>920591</v>
      </c>
      <c r="J21" s="3">
        <v>1106619</v>
      </c>
      <c r="P21" s="2" t="s">
        <v>1542</v>
      </c>
      <c r="Q21" s="4">
        <v>1120000142</v>
      </c>
      <c r="R21" s="4" t="s">
        <v>11</v>
      </c>
      <c r="S21" s="4" t="s">
        <v>545</v>
      </c>
      <c r="T21" s="2">
        <v>2555.15</v>
      </c>
      <c r="U21" s="2" t="s">
        <v>1147</v>
      </c>
    </row>
    <row r="22" spans="1:21">
      <c r="A22" s="88"/>
      <c r="B22" s="88" t="s">
        <v>1146</v>
      </c>
      <c r="C22" s="90">
        <v>2421.3000000000002</v>
      </c>
      <c r="F22" s="3">
        <v>1120000142</v>
      </c>
      <c r="G22" s="3" t="s">
        <v>11</v>
      </c>
      <c r="H22" s="3" t="s">
        <v>1147</v>
      </c>
      <c r="I22" s="3">
        <v>768279</v>
      </c>
      <c r="J22" s="3">
        <v>1106515</v>
      </c>
      <c r="P22" s="2" t="s">
        <v>1566</v>
      </c>
      <c r="Q22" s="11">
        <v>1120000133</v>
      </c>
      <c r="R22" s="9" t="s">
        <v>115</v>
      </c>
      <c r="S22" s="4" t="s">
        <v>545</v>
      </c>
      <c r="T22" s="44">
        <v>2564.1999999999998</v>
      </c>
      <c r="U22" s="2" t="s">
        <v>1567</v>
      </c>
    </row>
    <row r="23" spans="1:21">
      <c r="A23" s="88"/>
      <c r="B23" s="88" t="s">
        <v>1462</v>
      </c>
      <c r="C23" s="90">
        <v>3449.7</v>
      </c>
      <c r="F23" s="3">
        <v>1120002601</v>
      </c>
      <c r="G23" s="3" t="s">
        <v>20</v>
      </c>
      <c r="H23" s="3" t="s">
        <v>1433</v>
      </c>
      <c r="I23" s="3">
        <v>1030105</v>
      </c>
      <c r="J23" s="3">
        <v>1106654</v>
      </c>
      <c r="P23" s="2" t="s">
        <v>1566</v>
      </c>
      <c r="Q23" s="9">
        <v>1120002578</v>
      </c>
      <c r="R23" s="9" t="s">
        <v>1535</v>
      </c>
      <c r="S23" s="4" t="s">
        <v>545</v>
      </c>
      <c r="T23" s="44">
        <v>260</v>
      </c>
      <c r="U23" s="2" t="s">
        <v>1568</v>
      </c>
    </row>
    <row r="24" spans="1:21">
      <c r="A24" s="88" t="s">
        <v>1136</v>
      </c>
      <c r="B24" s="88" t="s">
        <v>1142</v>
      </c>
      <c r="C24" s="90">
        <v>3539.4</v>
      </c>
      <c r="F24" s="3">
        <v>1120000149</v>
      </c>
      <c r="G24" s="3" t="s">
        <v>9</v>
      </c>
      <c r="H24" s="3" t="s">
        <v>1156</v>
      </c>
      <c r="I24" s="3">
        <v>841330</v>
      </c>
      <c r="J24" s="3">
        <v>1106543</v>
      </c>
      <c r="P24" s="2" t="s">
        <v>1566</v>
      </c>
      <c r="Q24" s="9">
        <v>1120000140</v>
      </c>
      <c r="R24" s="9" t="s">
        <v>114</v>
      </c>
      <c r="S24" s="4" t="s">
        <v>545</v>
      </c>
      <c r="T24" s="44">
        <v>2359.6</v>
      </c>
      <c r="U24" s="2" t="s">
        <v>1569</v>
      </c>
    </row>
    <row r="25" spans="1:21">
      <c r="A25" s="88"/>
      <c r="B25" s="88" t="s">
        <v>1153</v>
      </c>
      <c r="C25" s="90">
        <v>2096.3000000000002</v>
      </c>
      <c r="F25" s="3">
        <v>1120001397</v>
      </c>
      <c r="G25" s="3" t="s">
        <v>10</v>
      </c>
      <c r="H25" s="3" t="s">
        <v>1143</v>
      </c>
      <c r="I25" s="3">
        <v>915173</v>
      </c>
      <c r="J25" s="3">
        <v>1106595</v>
      </c>
      <c r="R25" s="8"/>
      <c r="S25" s="8"/>
      <c r="T25" s="8"/>
    </row>
    <row r="26" spans="1:21">
      <c r="A26" s="88"/>
      <c r="B26" s="88" t="s">
        <v>1151</v>
      </c>
      <c r="C26" s="90">
        <v>217.7</v>
      </c>
      <c r="F26" s="3">
        <v>1120000126</v>
      </c>
      <c r="G26" s="3" t="s">
        <v>382</v>
      </c>
      <c r="H26" s="3" t="s">
        <v>383</v>
      </c>
      <c r="J26" s="3">
        <v>1118921</v>
      </c>
      <c r="R26" s="8"/>
      <c r="S26" s="8"/>
      <c r="T26" s="8"/>
    </row>
    <row r="27" spans="1:21">
      <c r="A27" s="88"/>
      <c r="B27" s="88" t="s">
        <v>1155</v>
      </c>
      <c r="C27" s="90">
        <v>2316</v>
      </c>
      <c r="F27" s="3">
        <v>1120002772</v>
      </c>
      <c r="G27" s="3" t="s">
        <v>492</v>
      </c>
      <c r="H27" s="3" t="s">
        <v>493</v>
      </c>
      <c r="J27" s="3">
        <v>1118953</v>
      </c>
      <c r="R27" s="8"/>
      <c r="S27" s="8"/>
      <c r="T27" s="8"/>
    </row>
    <row r="28" spans="1:21">
      <c r="A28" s="88" t="s">
        <v>1543</v>
      </c>
      <c r="B28" s="88" t="s">
        <v>1142</v>
      </c>
      <c r="C28" s="90">
        <v>203.2</v>
      </c>
      <c r="F28" s="3">
        <v>1120000145</v>
      </c>
      <c r="G28" s="3" t="s">
        <v>95</v>
      </c>
      <c r="H28" s="3" t="s">
        <v>1149</v>
      </c>
      <c r="I28" s="3">
        <v>767735</v>
      </c>
      <c r="R28" s="8"/>
      <c r="S28" s="8"/>
      <c r="T28" s="8"/>
    </row>
    <row r="29" spans="1:21">
      <c r="A29" s="88"/>
      <c r="B29" s="88" t="s">
        <v>1148</v>
      </c>
      <c r="C29" s="90">
        <v>86.4</v>
      </c>
      <c r="F29" s="3">
        <v>1120002854</v>
      </c>
      <c r="G29" s="3" t="s">
        <v>94</v>
      </c>
      <c r="H29" s="3" t="s">
        <v>1145</v>
      </c>
      <c r="I29" s="3">
        <v>1116828</v>
      </c>
      <c r="J29" s="3">
        <v>1118935</v>
      </c>
      <c r="R29" s="8"/>
      <c r="S29" s="8"/>
      <c r="T29" s="8"/>
    </row>
    <row r="30" spans="1:21">
      <c r="A30" s="88"/>
      <c r="B30" s="88" t="s">
        <v>1146</v>
      </c>
      <c r="C30" s="90">
        <v>2063.7600000000002</v>
      </c>
      <c r="F30" s="3">
        <v>2019000496</v>
      </c>
      <c r="G30" s="3" t="s">
        <v>506</v>
      </c>
      <c r="H30" s="3" t="s">
        <v>507</v>
      </c>
      <c r="I30" s="3">
        <v>1132879</v>
      </c>
      <c r="R30" s="8"/>
      <c r="S30" s="8"/>
      <c r="T30" s="8"/>
    </row>
    <row r="31" spans="1:21">
      <c r="A31" s="88"/>
      <c r="B31" s="88" t="s">
        <v>1462</v>
      </c>
      <c r="C31" s="90">
        <v>74.099999999999994</v>
      </c>
      <c r="F31" s="3">
        <v>1120002745</v>
      </c>
      <c r="G31" s="3" t="s">
        <v>537</v>
      </c>
      <c r="H31" s="3" t="s">
        <v>1141</v>
      </c>
      <c r="I31" s="3">
        <v>1131362</v>
      </c>
      <c r="J31" s="3">
        <v>1130654</v>
      </c>
      <c r="R31" s="8"/>
      <c r="S31" s="8"/>
      <c r="T31" s="8"/>
    </row>
    <row r="32" spans="1:21">
      <c r="A32" s="88" t="s">
        <v>1544</v>
      </c>
      <c r="B32" s="88" t="s">
        <v>1140</v>
      </c>
      <c r="C32" s="90">
        <v>1025.5999999999999</v>
      </c>
      <c r="F32" s="3">
        <v>1120002891</v>
      </c>
      <c r="G32" s="3" t="s">
        <v>577</v>
      </c>
      <c r="H32" s="3" t="s">
        <v>578</v>
      </c>
      <c r="J32" s="3">
        <v>1127225</v>
      </c>
      <c r="R32" s="8"/>
      <c r="S32" s="8"/>
      <c r="T32" s="8"/>
    </row>
    <row r="33" spans="1:20">
      <c r="A33" s="88"/>
      <c r="B33" s="88" t="s">
        <v>1142</v>
      </c>
      <c r="C33" s="90">
        <v>1873.8</v>
      </c>
      <c r="F33" s="3">
        <v>1120001706</v>
      </c>
      <c r="G33" s="3" t="s">
        <v>656</v>
      </c>
      <c r="H33" s="3" t="s">
        <v>658</v>
      </c>
      <c r="I33" s="3">
        <v>873531</v>
      </c>
      <c r="R33" s="8"/>
      <c r="S33" s="8"/>
      <c r="T33" s="8"/>
    </row>
    <row r="34" spans="1:20">
      <c r="A34" s="88"/>
      <c r="B34" s="88" t="s">
        <v>1144</v>
      </c>
      <c r="C34" s="90">
        <v>1100.0999999999999</v>
      </c>
      <c r="F34" s="3">
        <v>1120001747</v>
      </c>
      <c r="G34" s="3" t="s">
        <v>657</v>
      </c>
      <c r="H34" s="3" t="s">
        <v>659</v>
      </c>
      <c r="J34" s="3">
        <v>1132887</v>
      </c>
      <c r="R34" s="8"/>
      <c r="S34" s="8"/>
      <c r="T34" s="8"/>
    </row>
    <row r="35" spans="1:20">
      <c r="A35" s="88"/>
      <c r="B35" s="88" t="s">
        <v>1148</v>
      </c>
      <c r="C35" s="90">
        <v>159.30000000000001</v>
      </c>
      <c r="F35" s="3">
        <v>1120000140</v>
      </c>
      <c r="G35" s="3" t="s">
        <v>114</v>
      </c>
      <c r="H35" s="3" t="s">
        <v>1434</v>
      </c>
      <c r="I35" s="3">
        <v>773096</v>
      </c>
      <c r="J35" s="3">
        <v>1106522</v>
      </c>
      <c r="R35" s="8"/>
      <c r="S35" s="8"/>
      <c r="T35" s="8"/>
    </row>
    <row r="36" spans="1:20">
      <c r="A36" s="88"/>
      <c r="B36" s="88" t="s">
        <v>1146</v>
      </c>
      <c r="C36" s="90">
        <v>2421.3000000000002</v>
      </c>
      <c r="F36" s="3">
        <v>1120000148</v>
      </c>
      <c r="G36" s="3" t="s">
        <v>749</v>
      </c>
      <c r="H36" s="3" t="s">
        <v>1435</v>
      </c>
      <c r="I36" s="3">
        <v>620057</v>
      </c>
      <c r="J36" s="3">
        <v>1106488</v>
      </c>
      <c r="R36" s="8"/>
      <c r="S36" s="8"/>
      <c r="T36" s="8"/>
    </row>
    <row r="37" spans="1:20">
      <c r="A37" s="88" t="s">
        <v>1541</v>
      </c>
      <c r="B37" s="88" t="s">
        <v>1142</v>
      </c>
      <c r="C37" s="90">
        <v>4369.7</v>
      </c>
      <c r="F37" s="3">
        <v>1120002993</v>
      </c>
      <c r="G37" s="3" t="s">
        <v>851</v>
      </c>
      <c r="H37" s="3" t="s">
        <v>1800</v>
      </c>
      <c r="J37" s="3">
        <v>1134751</v>
      </c>
    </row>
    <row r="38" spans="1:20">
      <c r="A38" s="88"/>
      <c r="B38" s="88" t="s">
        <v>1153</v>
      </c>
      <c r="C38" s="90">
        <v>2412.0300000000002</v>
      </c>
      <c r="F38" s="3">
        <v>1120000133</v>
      </c>
      <c r="G38" s="3" t="s">
        <v>115</v>
      </c>
      <c r="H38" s="3" t="s">
        <v>1436</v>
      </c>
      <c r="I38" s="3">
        <v>773094</v>
      </c>
    </row>
    <row r="39" spans="1:20">
      <c r="A39" s="88"/>
      <c r="B39" s="88" t="s">
        <v>1151</v>
      </c>
      <c r="C39" s="90">
        <v>476.25</v>
      </c>
      <c r="F39" s="3">
        <v>1120002589</v>
      </c>
      <c r="G39" s="3" t="s">
        <v>1072</v>
      </c>
      <c r="H39" s="3" t="s">
        <v>1468</v>
      </c>
      <c r="I39" s="3">
        <v>881473</v>
      </c>
    </row>
    <row r="40" spans="1:20">
      <c r="A40" s="88"/>
      <c r="B40" s="88" t="s">
        <v>1146</v>
      </c>
      <c r="C40" s="90">
        <v>2555.15</v>
      </c>
      <c r="F40" s="3">
        <v>1120002904</v>
      </c>
      <c r="G40" s="3" t="s">
        <v>1077</v>
      </c>
      <c r="H40" s="3" t="s">
        <v>1078</v>
      </c>
      <c r="I40" s="3" t="s">
        <v>1801</v>
      </c>
    </row>
    <row r="41" spans="1:20">
      <c r="A41" s="88" t="s">
        <v>1565</v>
      </c>
      <c r="B41" s="88" t="s">
        <v>1540</v>
      </c>
      <c r="C41" s="90">
        <v>2564.1999999999998</v>
      </c>
      <c r="F41" s="3">
        <v>1120002905</v>
      </c>
      <c r="G41" s="3" t="s">
        <v>1074</v>
      </c>
      <c r="H41" s="3" t="s">
        <v>1079</v>
      </c>
      <c r="I41" s="3" t="s">
        <v>1802</v>
      </c>
    </row>
    <row r="42" spans="1:20">
      <c r="A42" s="88"/>
      <c r="B42" s="88" t="s">
        <v>1536</v>
      </c>
      <c r="C42" s="90">
        <v>260</v>
      </c>
      <c r="F42" s="3">
        <v>1120002891</v>
      </c>
      <c r="G42" s="3" t="s">
        <v>1473</v>
      </c>
      <c r="H42" s="3" t="s">
        <v>1476</v>
      </c>
      <c r="J42" s="3">
        <v>1127225</v>
      </c>
    </row>
    <row r="43" spans="1:20">
      <c r="A43" s="88"/>
      <c r="B43" s="88" t="s">
        <v>1538</v>
      </c>
      <c r="C43" s="90">
        <v>2359.6</v>
      </c>
      <c r="F43" s="3">
        <v>1120002325</v>
      </c>
      <c r="G43" s="3" t="s">
        <v>1474</v>
      </c>
      <c r="H43" s="3" t="s">
        <v>1477</v>
      </c>
      <c r="J43" s="3">
        <v>1174530</v>
      </c>
    </row>
    <row r="44" spans="1:20">
      <c r="A44" s="88" t="s">
        <v>1900</v>
      </c>
      <c r="B44" s="88"/>
      <c r="C44" s="90">
        <v>39299.289999999986</v>
      </c>
      <c r="F44" s="3">
        <v>1120002326</v>
      </c>
      <c r="G44" s="3" t="s">
        <v>1475</v>
      </c>
      <c r="H44" s="3" t="s">
        <v>1479</v>
      </c>
      <c r="I44" s="3">
        <v>925343</v>
      </c>
    </row>
    <row r="45" spans="1:20" ht="15">
      <c r="A45"/>
      <c r="B45"/>
      <c r="C45"/>
      <c r="F45" s="3">
        <v>1120002578</v>
      </c>
      <c r="G45" s="3" t="s">
        <v>1535</v>
      </c>
      <c r="H45" s="3" t="s">
        <v>1537</v>
      </c>
      <c r="J45" s="3">
        <v>1175141</v>
      </c>
    </row>
    <row r="46" spans="1:20" ht="15">
      <c r="A46"/>
      <c r="B46"/>
      <c r="F46" s="3">
        <v>1120002587</v>
      </c>
      <c r="G46" s="3" t="s">
        <v>1555</v>
      </c>
      <c r="H46" s="3" t="s">
        <v>1559</v>
      </c>
      <c r="J46" s="3">
        <v>1172146</v>
      </c>
    </row>
    <row r="47" spans="1:20" ht="15">
      <c r="A47"/>
      <c r="B47"/>
      <c r="F47" s="3">
        <v>1120002602</v>
      </c>
      <c r="G47" s="3" t="s">
        <v>1556</v>
      </c>
      <c r="H47" s="3" t="s">
        <v>1561</v>
      </c>
      <c r="I47" s="3">
        <v>922227</v>
      </c>
    </row>
    <row r="48" spans="1:20" ht="15">
      <c r="A48"/>
      <c r="B48"/>
      <c r="F48" s="3">
        <v>1120000146</v>
      </c>
      <c r="G48" s="3" t="s">
        <v>1554</v>
      </c>
      <c r="H48" s="3" t="s">
        <v>1562</v>
      </c>
    </row>
    <row r="49" spans="6:10">
      <c r="F49" s="3">
        <v>1120003060</v>
      </c>
      <c r="G49" s="3" t="s">
        <v>1630</v>
      </c>
      <c r="H49" s="3" t="s">
        <v>1631</v>
      </c>
    </row>
    <row r="50" spans="6:10">
      <c r="F50" s="3">
        <v>1120003105</v>
      </c>
      <c r="G50" s="3" t="s">
        <v>1632</v>
      </c>
      <c r="H50" s="3" t="s">
        <v>1633</v>
      </c>
    </row>
    <row r="51" spans="6:10">
      <c r="F51" s="3">
        <v>1120003106</v>
      </c>
      <c r="G51" s="3" t="s">
        <v>1634</v>
      </c>
      <c r="H51" s="3" t="s">
        <v>1635</v>
      </c>
    </row>
    <row r="52" spans="6:10">
      <c r="F52" s="3">
        <v>1120003061</v>
      </c>
      <c r="G52" s="3" t="s">
        <v>1636</v>
      </c>
      <c r="H52" s="3" t="s">
        <v>1637</v>
      </c>
    </row>
    <row r="53" spans="6:10">
      <c r="G53" s="3" t="s">
        <v>341</v>
      </c>
      <c r="H53" s="3" t="s">
        <v>379</v>
      </c>
    </row>
    <row r="54" spans="6:10">
      <c r="F54" s="67">
        <v>1120003037</v>
      </c>
      <c r="G54" s="3" t="s">
        <v>1862</v>
      </c>
      <c r="H54" s="3" t="s">
        <v>1864</v>
      </c>
      <c r="J54" s="3">
        <v>1171208</v>
      </c>
    </row>
    <row r="55" spans="6:10">
      <c r="F55" s="3">
        <v>1120003284</v>
      </c>
      <c r="G55" s="3" t="s">
        <v>2112</v>
      </c>
      <c r="H55" s="3" t="s">
        <v>2110</v>
      </c>
    </row>
  </sheetData>
  <autoFilter ref="F1:J57">
    <filterColumn colId="0">
      <filters>
        <filter val="1120002772"/>
      </filters>
    </filterColumn>
  </autoFilter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T64"/>
  <sheetViews>
    <sheetView tabSelected="1" view="pageBreakPreview" topLeftCell="J1" zoomScaleNormal="100" zoomScaleSheetLayoutView="100" workbookViewId="0">
      <selection activeCell="J24" sqref="A24:XFD24"/>
    </sheetView>
  </sheetViews>
  <sheetFormatPr defaultColWidth="11.28515625" defaultRowHeight="13.5"/>
  <cols>
    <col min="1" max="1" width="9.28515625" style="9" bestFit="1" customWidth="1"/>
    <col min="2" max="2" width="9.5703125" style="9" bestFit="1" customWidth="1"/>
    <col min="3" max="3" width="9" style="10" bestFit="1" customWidth="1"/>
    <col min="4" max="4" width="5.85546875" style="9" bestFit="1" customWidth="1"/>
    <col min="5" max="5" width="15" style="9" bestFit="1" customWidth="1"/>
    <col min="6" max="6" width="9.85546875" style="9" bestFit="1" customWidth="1"/>
    <col min="7" max="7" width="13.5703125" style="9" bestFit="1" customWidth="1"/>
    <col min="8" max="8" width="41.28515625" style="9" bestFit="1" customWidth="1"/>
    <col min="9" max="9" width="9.28515625" style="11" bestFit="1" customWidth="1"/>
    <col min="10" max="10" width="8.7109375" style="93" bestFit="1" customWidth="1"/>
    <col min="11" max="11" width="8.28515625" style="11" bestFit="1" customWidth="1"/>
    <col min="12" max="12" width="8.7109375" style="10" bestFit="1" customWidth="1"/>
    <col min="13" max="13" width="147" style="9" bestFit="1" customWidth="1"/>
    <col min="14" max="14" width="16.140625" style="9" bestFit="1" customWidth="1"/>
    <col min="15" max="16384" width="11.28515625" style="12"/>
  </cols>
  <sheetData>
    <row r="1" spans="1:20">
      <c r="A1" s="9" t="s">
        <v>0</v>
      </c>
      <c r="B1" s="9" t="s">
        <v>1</v>
      </c>
      <c r="C1" s="10" t="s">
        <v>216</v>
      </c>
      <c r="D1" s="9" t="s">
        <v>44</v>
      </c>
      <c r="E1" s="9" t="s">
        <v>217</v>
      </c>
      <c r="F1" s="9" t="s">
        <v>218</v>
      </c>
      <c r="G1" s="9" t="s">
        <v>219</v>
      </c>
      <c r="H1" s="9" t="s">
        <v>6</v>
      </c>
      <c r="I1" s="11" t="s">
        <v>89</v>
      </c>
      <c r="J1" s="93" t="s">
        <v>7</v>
      </c>
      <c r="K1" s="11" t="s">
        <v>1432</v>
      </c>
      <c r="L1" s="10" t="s">
        <v>8</v>
      </c>
      <c r="M1" s="9" t="s">
        <v>43</v>
      </c>
      <c r="N1" s="9" t="s">
        <v>346</v>
      </c>
      <c r="T1" s="42">
        <f>SUBTOTAL(109,K2:K54)</f>
        <v>515576.35</v>
      </c>
    </row>
    <row r="2" spans="1:20">
      <c r="A2" s="11">
        <v>1680</v>
      </c>
      <c r="B2" s="13" t="str">
        <f>VLOOKUP(A2,基础数据!A:B,2,FALSE)</f>
        <v>大丰</v>
      </c>
      <c r="C2" s="10">
        <v>44069</v>
      </c>
      <c r="E2" s="9">
        <v>4500067597</v>
      </c>
      <c r="G2" s="11">
        <v>1120002526</v>
      </c>
      <c r="H2" s="9" t="s">
        <v>167</v>
      </c>
      <c r="I2" s="11">
        <v>10</v>
      </c>
      <c r="J2" s="93">
        <v>14020</v>
      </c>
      <c r="K2" s="11">
        <f t="shared" ref="K2:K33" si="0">IF(I2="",J2,I2)</f>
        <v>10</v>
      </c>
      <c r="L2" s="10">
        <v>44069</v>
      </c>
      <c r="M2" s="9" t="s">
        <v>998</v>
      </c>
      <c r="N2" s="13" t="str">
        <f>VLOOKUP(H2,基础数据!G:H,2,FALSE)</f>
        <v>SR152Ⅳ后缘</v>
      </c>
    </row>
    <row r="3" spans="1:20">
      <c r="A3" s="11">
        <v>1680</v>
      </c>
      <c r="B3" s="13" t="str">
        <f>VLOOKUP(A3,基础数据!A:B,2,FALSE)</f>
        <v>大丰</v>
      </c>
      <c r="C3" s="10">
        <v>44069</v>
      </c>
      <c r="E3" s="9">
        <v>4500067597</v>
      </c>
      <c r="G3" s="11">
        <v>1120002527</v>
      </c>
      <c r="H3" s="9" t="s">
        <v>846</v>
      </c>
      <c r="I3" s="11">
        <v>1</v>
      </c>
      <c r="J3" s="93">
        <v>7020</v>
      </c>
      <c r="K3" s="83">
        <f t="shared" si="0"/>
        <v>1</v>
      </c>
      <c r="L3" s="10">
        <v>44069</v>
      </c>
      <c r="M3" s="9" t="s">
        <v>999</v>
      </c>
      <c r="N3" s="13" t="str">
        <f>VLOOKUP(H3,基础数据!G:H,2,FALSE)</f>
        <v>SR152Ⅳ大梁</v>
      </c>
    </row>
    <row r="4" spans="1:20" s="107" customFormat="1">
      <c r="A4" s="103">
        <v>1270</v>
      </c>
      <c r="B4" s="104" t="str">
        <f>VLOOKUP(A4,基础数据!A:B,2,FALSE)</f>
        <v>洛阳</v>
      </c>
      <c r="C4" s="105">
        <v>44148</v>
      </c>
      <c r="D4" s="106"/>
      <c r="E4" s="103">
        <v>4500073963</v>
      </c>
      <c r="F4" s="106"/>
      <c r="G4" s="103">
        <v>1120000140</v>
      </c>
      <c r="H4" s="106" t="s">
        <v>114</v>
      </c>
      <c r="I4" s="103"/>
      <c r="J4" s="103">
        <v>0</v>
      </c>
      <c r="K4" s="103">
        <f t="shared" si="0"/>
        <v>0</v>
      </c>
      <c r="L4" s="105">
        <v>44151</v>
      </c>
      <c r="M4" s="106" t="s">
        <v>2155</v>
      </c>
      <c r="N4" s="104" t="str">
        <f>VLOOKUP(H4,基础数据!G:H,2,FALSE)</f>
        <v>TLX1215-1.27-100</v>
      </c>
    </row>
    <row r="5" spans="1:20">
      <c r="A5" s="11">
        <v>1270</v>
      </c>
      <c r="B5" s="13" t="str">
        <f>VLOOKUP(A5,基础数据!A:B,2,FALSE)</f>
        <v>洛阳</v>
      </c>
      <c r="C5" s="10">
        <v>44152</v>
      </c>
      <c r="E5" s="11">
        <v>4500074226</v>
      </c>
      <c r="G5" s="11">
        <v>1120000140</v>
      </c>
      <c r="H5" s="9" t="s">
        <v>114</v>
      </c>
      <c r="J5" s="93">
        <v>20062</v>
      </c>
      <c r="K5" s="83">
        <f t="shared" si="0"/>
        <v>20062</v>
      </c>
      <c r="L5" s="10">
        <v>44166</v>
      </c>
      <c r="M5" s="9" t="s">
        <v>2156</v>
      </c>
      <c r="N5" s="13" t="str">
        <f>VLOOKUP(H5,基础数据!G:H,2,FALSE)</f>
        <v>TLX1215-1.27-100</v>
      </c>
    </row>
    <row r="6" spans="1:20" s="107" customFormat="1">
      <c r="A6" s="103">
        <v>1270</v>
      </c>
      <c r="B6" s="104" t="str">
        <f>VLOOKUP(A6,基础数据!A:B,2,FALSE)</f>
        <v>洛阳</v>
      </c>
      <c r="C6" s="105">
        <v>44152</v>
      </c>
      <c r="D6" s="106"/>
      <c r="E6" s="103">
        <v>4500074226</v>
      </c>
      <c r="F6" s="106"/>
      <c r="G6" s="103">
        <v>1120002578</v>
      </c>
      <c r="H6" s="106" t="s">
        <v>1535</v>
      </c>
      <c r="I6" s="103"/>
      <c r="J6" s="103">
        <f>3120-3386</f>
        <v>-266</v>
      </c>
      <c r="K6" s="103">
        <f t="shared" si="0"/>
        <v>-266</v>
      </c>
      <c r="L6" s="105">
        <v>44166</v>
      </c>
      <c r="M6" s="106" t="s">
        <v>2145</v>
      </c>
      <c r="N6" s="104" t="str">
        <f>VLOOKUP(H6,基础数据!G:H,2,FALSE)</f>
        <v>BX1000-1.27-100</v>
      </c>
    </row>
    <row r="7" spans="1:20" s="107" customFormat="1">
      <c r="A7" s="103">
        <v>1270</v>
      </c>
      <c r="B7" s="104" t="str">
        <f>VLOOKUP(A7,[1]基础数据!A:B,2,FALSE)</f>
        <v>洛阳</v>
      </c>
      <c r="C7" s="105">
        <v>44152</v>
      </c>
      <c r="D7" s="106"/>
      <c r="E7" s="103">
        <v>4500074226</v>
      </c>
      <c r="F7" s="106"/>
      <c r="G7" s="103">
        <v>1120002587</v>
      </c>
      <c r="H7" s="106" t="s">
        <v>1555</v>
      </c>
      <c r="I7" s="103">
        <v>25</v>
      </c>
      <c r="J7" s="103">
        <v>15719</v>
      </c>
      <c r="K7" s="103">
        <f t="shared" si="0"/>
        <v>25</v>
      </c>
      <c r="L7" s="105">
        <v>44166</v>
      </c>
      <c r="M7" s="106" t="s">
        <v>2157</v>
      </c>
      <c r="N7" s="104" t="str">
        <f>VLOOKUP(H7,[1]基础数据!G:H,2,FALSE)</f>
        <v>GW68.6D后缘</v>
      </c>
    </row>
    <row r="8" spans="1:20" s="107" customFormat="1">
      <c r="A8" s="103">
        <v>1270</v>
      </c>
      <c r="B8" s="104" t="str">
        <f>VLOOKUP(A8,[1]基础数据!A:B,2,FALSE)</f>
        <v>洛阳</v>
      </c>
      <c r="C8" s="105">
        <v>44152</v>
      </c>
      <c r="D8" s="106"/>
      <c r="E8" s="103">
        <v>4500074226</v>
      </c>
      <c r="F8" s="106"/>
      <c r="G8" s="103">
        <v>1120002589</v>
      </c>
      <c r="H8" s="106" t="s">
        <v>1072</v>
      </c>
      <c r="I8" s="103">
        <f>40-1-2-3-2-1-3-3-3-3-3-3</f>
        <v>13</v>
      </c>
      <c r="J8" s="103">
        <f>121048-3020-6040-9060-6040-3020-9060-9060-9060-9060-9060-9060</f>
        <v>39508</v>
      </c>
      <c r="K8" s="103">
        <f t="shared" si="0"/>
        <v>13</v>
      </c>
      <c r="L8" s="105">
        <v>44166</v>
      </c>
      <c r="M8" s="106" t="s">
        <v>2144</v>
      </c>
      <c r="N8" s="104" t="str">
        <f>VLOOKUP(H8,[1]基础数据!G:H,2,FALSE)</f>
        <v>GW68.6D大梁</v>
      </c>
    </row>
    <row r="9" spans="1:20" s="84" customFormat="1">
      <c r="A9" s="83">
        <v>1270</v>
      </c>
      <c r="B9" s="85" t="str">
        <f>VLOOKUP(A9,[2]基础数据!A:B,2,FALSE)</f>
        <v>洛阳</v>
      </c>
      <c r="C9" s="82">
        <v>44158</v>
      </c>
      <c r="D9" s="81"/>
      <c r="E9" s="83">
        <v>4500074608</v>
      </c>
      <c r="F9" s="81"/>
      <c r="G9" s="83">
        <v>1120002597</v>
      </c>
      <c r="H9" s="81" t="s">
        <v>19</v>
      </c>
      <c r="I9" s="83">
        <f>30-2-3-2-5-5-3-2-2-2-3</f>
        <v>1</v>
      </c>
      <c r="J9" s="93">
        <f>91980-6132-9198-6132-15330-15330-9198-6132-6132-6132-9198</f>
        <v>3066</v>
      </c>
      <c r="K9" s="83">
        <f t="shared" si="0"/>
        <v>1</v>
      </c>
      <c r="L9" s="82">
        <v>44163</v>
      </c>
      <c r="M9" s="81" t="s">
        <v>2083</v>
      </c>
      <c r="N9" s="85" t="str">
        <f>VLOOKUP(H9,[2]基础数据!G:H,2,FALSE)</f>
        <v>SR140大梁</v>
      </c>
    </row>
    <row r="10" spans="1:20" s="107" customFormat="1">
      <c r="A10" s="103">
        <v>1270</v>
      </c>
      <c r="B10" s="104" t="str">
        <f>VLOOKUP(A10,[2]基础数据!A:B,2,FALSE)</f>
        <v>洛阳</v>
      </c>
      <c r="C10" s="105">
        <v>44158</v>
      </c>
      <c r="D10" s="106"/>
      <c r="E10" s="103">
        <v>4500074608</v>
      </c>
      <c r="F10" s="106"/>
      <c r="G10" s="103">
        <v>1120000133</v>
      </c>
      <c r="H10" s="106" t="s">
        <v>115</v>
      </c>
      <c r="I10" s="103"/>
      <c r="J10" s="103">
        <v>0</v>
      </c>
      <c r="K10" s="103">
        <f t="shared" si="0"/>
        <v>0</v>
      </c>
      <c r="L10" s="105">
        <v>44163</v>
      </c>
      <c r="M10" s="106" t="s">
        <v>2153</v>
      </c>
      <c r="N10" s="104" t="str">
        <f>VLOOKUP(H10,[2]基础数据!G:H,2,FALSE)</f>
        <v>BX800-1.27-100</v>
      </c>
    </row>
    <row r="11" spans="1:20" s="94" customFormat="1">
      <c r="A11" s="93">
        <v>1270</v>
      </c>
      <c r="B11" s="95" t="str">
        <f>VLOOKUP(A11,基础数据!A:B,2,FALSE)</f>
        <v>洛阳</v>
      </c>
      <c r="C11" s="92">
        <v>44158</v>
      </c>
      <c r="D11" s="91"/>
      <c r="E11" s="93">
        <v>4500074608</v>
      </c>
      <c r="F11" s="91"/>
      <c r="G11" s="93">
        <v>1120000140</v>
      </c>
      <c r="H11" s="91" t="s">
        <v>114</v>
      </c>
      <c r="I11" s="93"/>
      <c r="J11" s="93">
        <v>36225</v>
      </c>
      <c r="K11" s="93">
        <f t="shared" si="0"/>
        <v>36225</v>
      </c>
      <c r="L11" s="92">
        <v>44163</v>
      </c>
      <c r="M11" s="91" t="s">
        <v>1921</v>
      </c>
      <c r="N11" s="95" t="str">
        <f>VLOOKUP(H11,基础数据!G:H,2,FALSE)</f>
        <v>TLX1215-1.27-100</v>
      </c>
    </row>
    <row r="12" spans="1:20" s="84" customFormat="1">
      <c r="A12" s="83">
        <v>1680</v>
      </c>
      <c r="B12" s="85" t="str">
        <f>VLOOKUP(A12,基础数据!A:B,2,FALSE)</f>
        <v>大丰</v>
      </c>
      <c r="C12" s="82">
        <v>44204</v>
      </c>
      <c r="D12" s="81"/>
      <c r="E12" s="83">
        <v>4500077604</v>
      </c>
      <c r="F12" s="81"/>
      <c r="G12" s="83">
        <v>1120002746</v>
      </c>
      <c r="H12" s="81" t="s">
        <v>288</v>
      </c>
      <c r="I12" s="83">
        <v>10</v>
      </c>
      <c r="J12" s="93">
        <v>35395</v>
      </c>
      <c r="K12" s="83">
        <f t="shared" si="0"/>
        <v>10</v>
      </c>
      <c r="L12" s="82">
        <v>44256</v>
      </c>
      <c r="M12" s="81"/>
      <c r="N12" s="85" t="str">
        <f>VLOOKUP(H12,基础数据!G:H,2,FALSE)</f>
        <v>SR146Ⅱ大梁</v>
      </c>
    </row>
    <row r="13" spans="1:20" s="84" customFormat="1">
      <c r="A13" s="83">
        <v>1680</v>
      </c>
      <c r="B13" s="85" t="str">
        <f>VLOOKUP(A13,基础数据!A:B,2,FALSE)</f>
        <v>大丰</v>
      </c>
      <c r="C13" s="82">
        <v>44204</v>
      </c>
      <c r="D13" s="81"/>
      <c r="E13" s="83">
        <v>4500077604</v>
      </c>
      <c r="F13" s="81"/>
      <c r="G13" s="83">
        <v>1120002747</v>
      </c>
      <c r="H13" s="81" t="s">
        <v>289</v>
      </c>
      <c r="I13" s="83">
        <v>10</v>
      </c>
      <c r="J13" s="93">
        <v>6146</v>
      </c>
      <c r="K13" s="83">
        <f t="shared" si="0"/>
        <v>10</v>
      </c>
      <c r="L13" s="82">
        <v>44256</v>
      </c>
      <c r="M13" s="81"/>
      <c r="N13" s="85" t="str">
        <f>VLOOKUP(H13,基础数据!G:H,2,FALSE)</f>
        <v>SR146Ⅱ后缘</v>
      </c>
    </row>
    <row r="14" spans="1:20" s="84" customFormat="1">
      <c r="A14" s="83">
        <v>1680</v>
      </c>
      <c r="B14" s="85" t="str">
        <f>VLOOKUP(A14,基础数据!A:B,2,FALSE)</f>
        <v>大丰</v>
      </c>
      <c r="C14" s="82">
        <v>44204</v>
      </c>
      <c r="D14" s="81"/>
      <c r="E14" s="83">
        <v>4500077604</v>
      </c>
      <c r="F14" s="81"/>
      <c r="G14" s="83">
        <v>1120002746</v>
      </c>
      <c r="H14" s="81" t="s">
        <v>288</v>
      </c>
      <c r="I14" s="83">
        <v>15</v>
      </c>
      <c r="J14" s="93">
        <v>55045</v>
      </c>
      <c r="K14" s="83">
        <f t="shared" si="0"/>
        <v>15</v>
      </c>
      <c r="L14" s="82">
        <v>44256</v>
      </c>
      <c r="M14" s="81"/>
      <c r="N14" s="85" t="str">
        <f>VLOOKUP(H14,基础数据!G:H,2,FALSE)</f>
        <v>SR146Ⅱ大梁</v>
      </c>
    </row>
    <row r="15" spans="1:20" s="84" customFormat="1">
      <c r="A15" s="83">
        <v>1680</v>
      </c>
      <c r="B15" s="85" t="str">
        <f>VLOOKUP(A15,基础数据!A:B,2,FALSE)</f>
        <v>大丰</v>
      </c>
      <c r="C15" s="82">
        <v>44204</v>
      </c>
      <c r="D15" s="81"/>
      <c r="E15" s="83">
        <v>4500077604</v>
      </c>
      <c r="F15" s="81"/>
      <c r="G15" s="83">
        <v>1120002747</v>
      </c>
      <c r="H15" s="81" t="s">
        <v>289</v>
      </c>
      <c r="I15" s="83">
        <v>5</v>
      </c>
      <c r="J15" s="93">
        <v>4674.6000000000004</v>
      </c>
      <c r="K15" s="83">
        <f t="shared" si="0"/>
        <v>5</v>
      </c>
      <c r="L15" s="82">
        <v>44256</v>
      </c>
      <c r="M15" s="81"/>
      <c r="N15" s="85" t="str">
        <f>VLOOKUP(H15,基础数据!G:H,2,FALSE)</f>
        <v>SR146Ⅱ后缘</v>
      </c>
    </row>
    <row r="16" spans="1:20" s="84" customFormat="1">
      <c r="A16" s="83">
        <v>1680</v>
      </c>
      <c r="B16" s="85" t="str">
        <f>VLOOKUP(A16,基础数据!A:B,2,FALSE)</f>
        <v>大丰</v>
      </c>
      <c r="C16" s="82">
        <v>44204</v>
      </c>
      <c r="D16" s="81"/>
      <c r="E16" s="83">
        <v>4500077604</v>
      </c>
      <c r="F16" s="81"/>
      <c r="G16" s="83">
        <v>1120001194</v>
      </c>
      <c r="H16" s="81" t="s">
        <v>2006</v>
      </c>
      <c r="I16" s="83">
        <v>14</v>
      </c>
      <c r="J16" s="93">
        <v>18474</v>
      </c>
      <c r="K16" s="83">
        <f t="shared" si="0"/>
        <v>14</v>
      </c>
      <c r="L16" s="82">
        <v>44256</v>
      </c>
      <c r="M16" s="81"/>
      <c r="N16" s="85" t="str">
        <f>VLOOKUP(H16,基础数据!G:H,2,FALSE)</f>
        <v>WB171I后缘</v>
      </c>
    </row>
    <row r="17" spans="1:14" s="84" customFormat="1">
      <c r="A17" s="83">
        <v>1680</v>
      </c>
      <c r="B17" s="85" t="str">
        <f>VLOOKUP(A17,基础数据!A:B,2,FALSE)</f>
        <v>大丰</v>
      </c>
      <c r="C17" s="82">
        <v>44204</v>
      </c>
      <c r="D17" s="81"/>
      <c r="E17" s="83">
        <v>4500077604</v>
      </c>
      <c r="F17" s="81"/>
      <c r="G17" s="83">
        <v>1120001194</v>
      </c>
      <c r="H17" s="81" t="s">
        <v>2006</v>
      </c>
      <c r="I17" s="83">
        <v>20</v>
      </c>
      <c r="J17" s="93">
        <v>25080</v>
      </c>
      <c r="K17" s="83">
        <f t="shared" si="0"/>
        <v>20</v>
      </c>
      <c r="L17" s="82">
        <v>44256</v>
      </c>
      <c r="M17" s="81"/>
      <c r="N17" s="85" t="str">
        <f>VLOOKUP(H17,基础数据!G:H,2,FALSE)</f>
        <v>WB171I后缘</v>
      </c>
    </row>
    <row r="18" spans="1:14" s="94" customFormat="1">
      <c r="A18" s="93">
        <v>1270</v>
      </c>
      <c r="B18" s="95" t="str">
        <f>VLOOKUP(A18,[1]基础数据!A:B,2,FALSE)</f>
        <v>洛阳</v>
      </c>
      <c r="C18" s="92">
        <v>44211</v>
      </c>
      <c r="D18" s="91"/>
      <c r="E18" s="93">
        <v>4500078167</v>
      </c>
      <c r="F18" s="91"/>
      <c r="G18" s="93">
        <v>1120002602</v>
      </c>
      <c r="H18" s="91" t="s">
        <v>1556</v>
      </c>
      <c r="I18" s="93"/>
      <c r="J18" s="93">
        <f>12261.3-8520-2867</f>
        <v>874.29999999999927</v>
      </c>
      <c r="K18" s="93">
        <f t="shared" si="0"/>
        <v>874.29999999999927</v>
      </c>
      <c r="L18" s="92">
        <v>44263</v>
      </c>
      <c r="M18" s="91" t="s">
        <v>2118</v>
      </c>
      <c r="N18" s="95" t="str">
        <f>VLOOKUP(H18,[1]基础数据!G:H,2,FALSE)</f>
        <v>BX600-1.27-100</v>
      </c>
    </row>
    <row r="19" spans="1:14" s="84" customFormat="1">
      <c r="A19" s="83">
        <v>1580</v>
      </c>
      <c r="B19" s="85" t="str">
        <f>VLOOKUP(A19,基础数据!A:B,2,FALSE)</f>
        <v>大连</v>
      </c>
      <c r="C19" s="82">
        <v>44211</v>
      </c>
      <c r="D19" s="81"/>
      <c r="E19" s="83">
        <v>4500078173</v>
      </c>
      <c r="F19" s="81"/>
      <c r="G19" s="83">
        <v>1120001194</v>
      </c>
      <c r="H19" s="81" t="s">
        <v>1905</v>
      </c>
      <c r="I19" s="83">
        <v>6</v>
      </c>
      <c r="J19" s="93">
        <v>7578</v>
      </c>
      <c r="K19" s="83">
        <f t="shared" si="0"/>
        <v>6</v>
      </c>
      <c r="L19" s="82">
        <v>44251</v>
      </c>
      <c r="M19" s="81" t="s">
        <v>2077</v>
      </c>
      <c r="N19" s="85" t="str">
        <f>VLOOKUP(H19,基础数据!G:H,2,FALSE)</f>
        <v>WB171I后缘</v>
      </c>
    </row>
    <row r="20" spans="1:14" s="84" customFormat="1">
      <c r="A20" s="83">
        <v>1680</v>
      </c>
      <c r="B20" s="85" t="str">
        <f>VLOOKUP(A20,基础数据!A:B,2,FALSE)</f>
        <v>大丰</v>
      </c>
      <c r="C20" s="82">
        <v>44211</v>
      </c>
      <c r="D20" s="81"/>
      <c r="E20" s="83">
        <v>4500078193</v>
      </c>
      <c r="F20" s="81"/>
      <c r="G20" s="83">
        <v>1120003037</v>
      </c>
      <c r="H20" s="81" t="s">
        <v>1862</v>
      </c>
      <c r="I20" s="83">
        <f>8-7</f>
        <v>1</v>
      </c>
      <c r="J20" s="93">
        <f>14914.4-13006</f>
        <v>1908.3999999999996</v>
      </c>
      <c r="K20" s="83">
        <f t="shared" si="0"/>
        <v>1</v>
      </c>
      <c r="L20" s="82">
        <v>44256</v>
      </c>
      <c r="M20" s="81" t="s">
        <v>2105</v>
      </c>
      <c r="N20" s="85" t="str">
        <f>VLOOKUP(H20,基础数据!G:H,2,FALSE)</f>
        <v>SR171Ⅴ后缘</v>
      </c>
    </row>
    <row r="21" spans="1:14" s="84" customFormat="1">
      <c r="A21" s="83">
        <v>1680</v>
      </c>
      <c r="B21" s="85" t="str">
        <f>VLOOKUP(A21,基础数据!A:B,2,FALSE)</f>
        <v>大丰</v>
      </c>
      <c r="C21" s="82">
        <v>44211</v>
      </c>
      <c r="D21" s="81"/>
      <c r="E21" s="83">
        <v>4500078193</v>
      </c>
      <c r="F21" s="81"/>
      <c r="G21" s="83">
        <v>1120002746</v>
      </c>
      <c r="H21" s="81" t="s">
        <v>288</v>
      </c>
      <c r="I21" s="83">
        <v>10</v>
      </c>
      <c r="J21" s="93">
        <v>35395</v>
      </c>
      <c r="K21" s="83">
        <f t="shared" si="0"/>
        <v>10</v>
      </c>
      <c r="L21" s="82">
        <v>44256</v>
      </c>
      <c r="M21" s="81"/>
      <c r="N21" s="85" t="str">
        <f>VLOOKUP(H21,基础数据!G:H,2,FALSE)</f>
        <v>SR146Ⅱ大梁</v>
      </c>
    </row>
    <row r="22" spans="1:14">
      <c r="A22" s="11">
        <v>1680</v>
      </c>
      <c r="B22" s="13" t="str">
        <f>VLOOKUP(A22,基础数据!A:B,2,FALSE)</f>
        <v>大丰</v>
      </c>
      <c r="C22" s="10">
        <v>44211</v>
      </c>
      <c r="E22" s="11">
        <v>4500078193</v>
      </c>
      <c r="G22" s="11">
        <v>1120002747</v>
      </c>
      <c r="H22" s="9" t="s">
        <v>289</v>
      </c>
      <c r="I22" s="11">
        <v>10</v>
      </c>
      <c r="J22" s="93">
        <v>6146</v>
      </c>
      <c r="K22" s="83">
        <f t="shared" si="0"/>
        <v>10</v>
      </c>
      <c r="L22" s="10">
        <v>44256</v>
      </c>
      <c r="N22" s="13" t="str">
        <f>VLOOKUP(H22,基础数据!G:H,2,FALSE)</f>
        <v>SR146Ⅱ后缘</v>
      </c>
    </row>
    <row r="23" spans="1:14" s="94" customFormat="1">
      <c r="A23" s="93">
        <v>1680</v>
      </c>
      <c r="B23" s="95" t="str">
        <f>VLOOKUP(A23,基础数据!A:B,2,FALSE)</f>
        <v>大丰</v>
      </c>
      <c r="C23" s="92">
        <v>44211</v>
      </c>
      <c r="D23" s="91"/>
      <c r="E23" s="93">
        <v>4500078193</v>
      </c>
      <c r="F23" s="91"/>
      <c r="G23" s="93">
        <v>1120002772</v>
      </c>
      <c r="H23" s="91" t="s">
        <v>2007</v>
      </c>
      <c r="I23" s="93">
        <f>24-5</f>
        <v>19</v>
      </c>
      <c r="J23" s="93">
        <f>59040-15240-9125</f>
        <v>34675</v>
      </c>
      <c r="K23" s="93">
        <f t="shared" si="0"/>
        <v>19</v>
      </c>
      <c r="L23" s="92">
        <v>44256</v>
      </c>
      <c r="M23" s="91" t="s">
        <v>2132</v>
      </c>
      <c r="N23" s="95" t="str">
        <f>VLOOKUP(H23,基础数据!G:H,2,FALSE)</f>
        <v>GW171后缘</v>
      </c>
    </row>
    <row r="24" spans="1:14" s="114" customFormat="1">
      <c r="A24" s="110">
        <v>1680</v>
      </c>
      <c r="B24" s="111" t="str">
        <f>VLOOKUP(A24,基础数据!A:B,2,FALSE)</f>
        <v>大丰</v>
      </c>
      <c r="C24" s="112">
        <v>44229</v>
      </c>
      <c r="D24" s="113"/>
      <c r="E24" s="110">
        <v>4500079277</v>
      </c>
      <c r="F24" s="113"/>
      <c r="G24" s="110">
        <v>1120000142</v>
      </c>
      <c r="H24" s="113" t="s">
        <v>2029</v>
      </c>
      <c r="I24" s="110"/>
      <c r="J24" s="110">
        <f>97672.25-6460-8075-3230-12920-8075-3230-16150-9690-16150</f>
        <v>13692.25</v>
      </c>
      <c r="K24" s="110">
        <f t="shared" si="0"/>
        <v>13692.25</v>
      </c>
      <c r="L24" s="112">
        <v>44256</v>
      </c>
      <c r="M24" s="113" t="s">
        <v>2152</v>
      </c>
      <c r="N24" s="111" t="str">
        <f>VLOOKUP(H24,[2]基础数据!G:H,2,FALSE)</f>
        <v>TTX1250(60)-2.54-100</v>
      </c>
    </row>
    <row r="25" spans="1:14">
      <c r="A25" s="11">
        <v>1680</v>
      </c>
      <c r="B25" s="13" t="str">
        <f>VLOOKUP(A25,基础数据!A:B,2,FALSE)</f>
        <v>大丰</v>
      </c>
      <c r="C25" s="10">
        <v>44229</v>
      </c>
      <c r="E25" s="11">
        <v>4500079277</v>
      </c>
      <c r="G25" s="11">
        <v>1120002038</v>
      </c>
      <c r="H25" s="9" t="s">
        <v>54</v>
      </c>
      <c r="J25" s="93">
        <v>3816</v>
      </c>
      <c r="K25" s="83">
        <f t="shared" si="0"/>
        <v>3816</v>
      </c>
      <c r="L25" s="10">
        <v>44256</v>
      </c>
      <c r="N25" s="13" t="str">
        <f>VLOOKUP(H25,基础数据!G:H,2,FALSE)</f>
        <v>TTX1250(45)-2.54-100</v>
      </c>
    </row>
    <row r="26" spans="1:14" s="84" customFormat="1">
      <c r="A26" s="83">
        <v>1680</v>
      </c>
      <c r="B26" s="85" t="str">
        <f>VLOOKUP(A26,基础数据!A:B,2,FALSE)</f>
        <v>大丰</v>
      </c>
      <c r="C26" s="82">
        <v>44229</v>
      </c>
      <c r="D26" s="81"/>
      <c r="E26" s="83">
        <v>4500079277</v>
      </c>
      <c r="F26" s="81"/>
      <c r="G26" s="81">
        <v>1120002038</v>
      </c>
      <c r="H26" s="81" t="s">
        <v>2078</v>
      </c>
      <c r="I26" s="83"/>
      <c r="J26" s="93">
        <v>5597</v>
      </c>
      <c r="K26" s="83">
        <f t="shared" si="0"/>
        <v>5597</v>
      </c>
      <c r="L26" s="82">
        <v>44256</v>
      </c>
      <c r="M26" s="81"/>
      <c r="N26" s="85" t="str">
        <f>VLOOKUP(H26,基础数据!G:H,2,FALSE)</f>
        <v>TTX1250(45)-2.54-100</v>
      </c>
    </row>
    <row r="27" spans="1:14" s="84" customFormat="1">
      <c r="A27" s="83">
        <v>1680</v>
      </c>
      <c r="B27" s="85" t="str">
        <f>VLOOKUP(A27,基础数据!A:B,2,FALSE)</f>
        <v>大丰</v>
      </c>
      <c r="C27" s="82">
        <v>44229</v>
      </c>
      <c r="D27" s="81"/>
      <c r="E27" s="83">
        <v>4500079277</v>
      </c>
      <c r="F27" s="81"/>
      <c r="G27" s="81">
        <v>1120002854</v>
      </c>
      <c r="H27" s="81" t="s">
        <v>2011</v>
      </c>
      <c r="I27" s="83"/>
      <c r="J27" s="93">
        <f>105202.86-34650.36</f>
        <v>70552.5</v>
      </c>
      <c r="K27" s="83">
        <f t="shared" si="0"/>
        <v>70552.5</v>
      </c>
      <c r="L27" s="82">
        <v>44256</v>
      </c>
      <c r="M27" s="81" t="s">
        <v>2126</v>
      </c>
      <c r="N27" s="85" t="str">
        <f>VLOOKUP(H27,基础数据!G:H,2,FALSE)</f>
        <v>TLX1215-2.54-100</v>
      </c>
    </row>
    <row r="28" spans="1:14" s="94" customFormat="1">
      <c r="A28" s="93">
        <v>1680</v>
      </c>
      <c r="B28" s="95" t="str">
        <f>VLOOKUP(A28,基础数据!A:B,2,FALSE)</f>
        <v>大丰</v>
      </c>
      <c r="C28" s="92">
        <v>44229</v>
      </c>
      <c r="D28" s="91"/>
      <c r="E28" s="93">
        <v>4500079277</v>
      </c>
      <c r="F28" s="91"/>
      <c r="G28" s="91">
        <v>1120001035</v>
      </c>
      <c r="H28" s="91" t="s">
        <v>2040</v>
      </c>
      <c r="I28" s="93"/>
      <c r="J28" s="93">
        <f>9152-4173</f>
        <v>4979</v>
      </c>
      <c r="K28" s="93">
        <f t="shared" si="0"/>
        <v>4979</v>
      </c>
      <c r="L28" s="92">
        <v>44256</v>
      </c>
      <c r="M28" s="91" t="s">
        <v>2123</v>
      </c>
      <c r="N28" s="95" t="str">
        <f>VLOOKUP(H28,基础数据!G:H,2,FALSE)</f>
        <v>TLX1250-2.54-100</v>
      </c>
    </row>
    <row r="29" spans="1:14" s="84" customFormat="1">
      <c r="A29" s="83">
        <v>1680</v>
      </c>
      <c r="B29" s="85" t="str">
        <f>VLOOKUP(A29,基础数据!A:B,2,FALSE)</f>
        <v>大丰</v>
      </c>
      <c r="C29" s="82">
        <v>44229</v>
      </c>
      <c r="D29" s="81"/>
      <c r="E29" s="83">
        <v>4500079277</v>
      </c>
      <c r="F29" s="81"/>
      <c r="G29" s="81">
        <v>1120001035</v>
      </c>
      <c r="H29" s="81" t="s">
        <v>2040</v>
      </c>
      <c r="I29" s="83"/>
      <c r="J29" s="93">
        <v>25340</v>
      </c>
      <c r="K29" s="83">
        <f t="shared" si="0"/>
        <v>25340</v>
      </c>
      <c r="L29" s="82">
        <v>44256</v>
      </c>
      <c r="M29" s="81"/>
      <c r="N29" s="85" t="str">
        <f>VLOOKUP(H29,基础数据!G:H,2,FALSE)</f>
        <v>TLX1250-2.54-100</v>
      </c>
    </row>
    <row r="30" spans="1:14" s="84" customFormat="1">
      <c r="A30" s="83">
        <v>1680</v>
      </c>
      <c r="B30" s="85" t="str">
        <f>VLOOKUP(A30,基础数据!A:B,2,FALSE)</f>
        <v>大丰</v>
      </c>
      <c r="C30" s="82">
        <v>44229</v>
      </c>
      <c r="D30" s="81"/>
      <c r="E30" s="83">
        <v>4500079277</v>
      </c>
      <c r="F30" s="81"/>
      <c r="G30" s="81">
        <v>1120002745</v>
      </c>
      <c r="H30" s="81" t="s">
        <v>2079</v>
      </c>
      <c r="I30" s="83"/>
      <c r="J30" s="93">
        <f>36972-1422</f>
        <v>35550</v>
      </c>
      <c r="K30" s="83">
        <f t="shared" si="0"/>
        <v>35550</v>
      </c>
      <c r="L30" s="82">
        <v>44256</v>
      </c>
      <c r="M30" s="81" t="s">
        <v>2102</v>
      </c>
      <c r="N30" s="85" t="str">
        <f>VLOOKUP(H30,基础数据!G:H,2,FALSE)</f>
        <v>BX600-2.54-100</v>
      </c>
    </row>
    <row r="31" spans="1:14" s="114" customFormat="1">
      <c r="A31" s="110">
        <v>1680</v>
      </c>
      <c r="B31" s="111" t="str">
        <f>VLOOKUP(A31,基础数据!A:B,2,FALSE)</f>
        <v>大丰</v>
      </c>
      <c r="C31" s="112">
        <v>44229</v>
      </c>
      <c r="D31" s="113"/>
      <c r="E31" s="110">
        <v>4500079277</v>
      </c>
      <c r="F31" s="113"/>
      <c r="G31" s="113" t="s">
        <v>2150</v>
      </c>
      <c r="H31" s="113" t="s">
        <v>2010</v>
      </c>
      <c r="I31" s="110"/>
      <c r="J31" s="110">
        <f>42885-4665-3110-4665-3110-4033-1550-4650</f>
        <v>17102</v>
      </c>
      <c r="K31" s="110">
        <f t="shared" si="0"/>
        <v>17102</v>
      </c>
      <c r="L31" s="112">
        <v>44256</v>
      </c>
      <c r="M31" s="113" t="s">
        <v>2151</v>
      </c>
      <c r="N31" s="111" t="str">
        <f>VLOOKUP(H31,基础数据!G:H,2,FALSE)</f>
        <v>TTX1215(45)-2.54-100</v>
      </c>
    </row>
    <row r="32" spans="1:14" s="114" customFormat="1">
      <c r="A32" s="110">
        <v>1680</v>
      </c>
      <c r="B32" s="111" t="str">
        <f>VLOOKUP(A32,基础数据!A:B,2,FALSE)</f>
        <v>大丰</v>
      </c>
      <c r="C32" s="112">
        <v>44229</v>
      </c>
      <c r="D32" s="113"/>
      <c r="E32" s="110">
        <v>4500079277</v>
      </c>
      <c r="F32" s="113"/>
      <c r="G32" s="113">
        <v>1120002854</v>
      </c>
      <c r="H32" s="113" t="s">
        <v>2011</v>
      </c>
      <c r="I32" s="110"/>
      <c r="J32" s="110">
        <f>77830-10675-12200-10675-6100-10675-9190-10745</f>
        <v>7570</v>
      </c>
      <c r="K32" s="110">
        <f t="shared" si="0"/>
        <v>7570</v>
      </c>
      <c r="L32" s="112">
        <v>44256</v>
      </c>
      <c r="M32" s="113" t="s">
        <v>2149</v>
      </c>
      <c r="N32" s="111" t="str">
        <f>VLOOKUP(H32,基础数据!G:H,2,FALSE)</f>
        <v>TLX1215-2.54-100</v>
      </c>
    </row>
    <row r="33" spans="1:14" s="107" customFormat="1">
      <c r="A33" s="103">
        <v>1270</v>
      </c>
      <c r="B33" s="104" t="str">
        <f>VLOOKUP(A33,[1]基础数据!A:B,2,FALSE)</f>
        <v>洛阳</v>
      </c>
      <c r="C33" s="105">
        <v>44256</v>
      </c>
      <c r="D33" s="106"/>
      <c r="E33" s="103">
        <v>4500080283</v>
      </c>
      <c r="F33" s="106"/>
      <c r="G33" s="106">
        <v>1120002601</v>
      </c>
      <c r="H33" s="106" t="s">
        <v>2041</v>
      </c>
      <c r="I33" s="103"/>
      <c r="J33" s="103">
        <f>9288-4762-95</f>
        <v>4431</v>
      </c>
      <c r="K33" s="103">
        <f t="shared" si="0"/>
        <v>4431</v>
      </c>
      <c r="L33" s="105">
        <v>44267</v>
      </c>
      <c r="M33" s="106" t="s">
        <v>2148</v>
      </c>
      <c r="N33" s="104" t="str">
        <f>VLOOKUP(H33,[1]基础数据!G:H,2,FALSE)</f>
        <v>TTX1500H-1.27-100</v>
      </c>
    </row>
    <row r="34" spans="1:14" s="84" customFormat="1">
      <c r="A34" s="83">
        <v>1270</v>
      </c>
      <c r="B34" s="85" t="str">
        <f>VLOOKUP(A34,基础数据!A:B,2,FALSE)</f>
        <v>洛阳</v>
      </c>
      <c r="C34" s="82">
        <v>44256</v>
      </c>
      <c r="D34" s="81"/>
      <c r="E34" s="83">
        <v>4500080283</v>
      </c>
      <c r="F34" s="81"/>
      <c r="G34" s="81">
        <v>1120002602</v>
      </c>
      <c r="H34" s="81" t="s">
        <v>2042</v>
      </c>
      <c r="I34" s="83"/>
      <c r="J34" s="93">
        <v>1594.7</v>
      </c>
      <c r="K34" s="83">
        <f t="shared" ref="K34:K62" si="1">IF(I34="",J34,I34)</f>
        <v>1594.7</v>
      </c>
      <c r="L34" s="82">
        <v>44267</v>
      </c>
      <c r="M34" s="81" t="s">
        <v>2043</v>
      </c>
      <c r="N34" s="85" t="str">
        <f>VLOOKUP(H34,基础数据!G:H,2,FALSE)</f>
        <v>BX600-1.27-100</v>
      </c>
    </row>
    <row r="35" spans="1:14" s="84" customFormat="1">
      <c r="A35" s="83">
        <v>1680</v>
      </c>
      <c r="B35" s="85" t="str">
        <f>VLOOKUP(A35,基础数据!A:B,2,FALSE)</f>
        <v>大丰</v>
      </c>
      <c r="C35" s="82">
        <v>44257</v>
      </c>
      <c r="D35" s="81"/>
      <c r="E35" s="83">
        <v>4500080407</v>
      </c>
      <c r="F35" s="81"/>
      <c r="G35" s="81">
        <v>1120001397</v>
      </c>
      <c r="H35" s="81" t="s">
        <v>2021</v>
      </c>
      <c r="I35" s="83"/>
      <c r="J35" s="93">
        <f>35560-5762.4-4326-8652-2884-13596</f>
        <v>339.59999999999854</v>
      </c>
      <c r="K35" s="83">
        <f t="shared" si="1"/>
        <v>339.59999999999854</v>
      </c>
      <c r="L35" s="82">
        <v>44271</v>
      </c>
      <c r="M35" s="81" t="s">
        <v>2088</v>
      </c>
      <c r="N35" s="85" t="str">
        <f>VLOOKUP(H35,基础数据!G:H,2,FALSE)</f>
        <v>BX800-2.54-100</v>
      </c>
    </row>
    <row r="36" spans="1:14" s="84" customFormat="1">
      <c r="A36" s="83">
        <v>1680</v>
      </c>
      <c r="B36" s="85" t="str">
        <f>VLOOKUP(A36,基础数据!A:B,2,FALSE)</f>
        <v>大丰</v>
      </c>
      <c r="C36" s="82">
        <v>44257</v>
      </c>
      <c r="D36" s="81"/>
      <c r="E36" s="83">
        <v>4500080407</v>
      </c>
      <c r="F36" s="81"/>
      <c r="G36" s="81">
        <v>1120001035</v>
      </c>
      <c r="H36" s="81" t="s">
        <v>2040</v>
      </c>
      <c r="I36" s="83"/>
      <c r="J36" s="93">
        <v>15875</v>
      </c>
      <c r="K36" s="83">
        <f t="shared" si="1"/>
        <v>15875</v>
      </c>
      <c r="L36" s="82">
        <v>44271</v>
      </c>
      <c r="M36" s="81" t="s">
        <v>2080</v>
      </c>
      <c r="N36" s="85" t="str">
        <f>VLOOKUP(H36,基础数据!G:H,2,FALSE)</f>
        <v>TLX1250-2.54-100</v>
      </c>
    </row>
    <row r="37" spans="1:14" s="84" customFormat="1">
      <c r="A37" s="83">
        <v>1680</v>
      </c>
      <c r="B37" s="85" t="str">
        <f>VLOOKUP(A37,基础数据!A:B,2,FALSE)</f>
        <v>大丰</v>
      </c>
      <c r="C37" s="82">
        <v>44257</v>
      </c>
      <c r="D37" s="81"/>
      <c r="E37" s="83">
        <v>4500080407</v>
      </c>
      <c r="F37" s="81"/>
      <c r="G37" s="81">
        <v>1120000142</v>
      </c>
      <c r="H37" s="81" t="s">
        <v>2029</v>
      </c>
      <c r="I37" s="83"/>
      <c r="J37" s="93">
        <v>12700</v>
      </c>
      <c r="K37" s="83">
        <f t="shared" si="1"/>
        <v>12700</v>
      </c>
      <c r="L37" s="82">
        <v>44271</v>
      </c>
      <c r="M37" s="81" t="s">
        <v>2081</v>
      </c>
      <c r="N37" s="85" t="str">
        <f>VLOOKUP(H37,基础数据!G:H,2,FALSE)</f>
        <v>TTX1250(60)-2.54-100</v>
      </c>
    </row>
    <row r="38" spans="1:14" s="84" customFormat="1">
      <c r="A38" s="83">
        <v>1680</v>
      </c>
      <c r="B38" s="85" t="str">
        <f>VLOOKUP(A38,基础数据!A:B,2,FALSE)</f>
        <v>大丰</v>
      </c>
      <c r="C38" s="82">
        <v>44193</v>
      </c>
      <c r="D38" s="81"/>
      <c r="E38" s="81">
        <v>4500076875</v>
      </c>
      <c r="F38" s="81"/>
      <c r="G38" s="83">
        <v>1120002904</v>
      </c>
      <c r="H38" s="81" t="s">
        <v>1073</v>
      </c>
      <c r="I38" s="83">
        <v>12</v>
      </c>
      <c r="J38" s="93">
        <v>6168</v>
      </c>
      <c r="K38" s="83">
        <f t="shared" si="1"/>
        <v>12</v>
      </c>
      <c r="L38" s="82">
        <v>44207</v>
      </c>
      <c r="M38" s="81" t="s">
        <v>2062</v>
      </c>
      <c r="N38" s="85" t="str">
        <f>VLOOKUP(H38,基础数据!G:H,2,FALSE)</f>
        <v>SR146Ⅱ腹板套裁</v>
      </c>
    </row>
    <row r="39" spans="1:14" s="84" customFormat="1">
      <c r="A39" s="83">
        <v>1680</v>
      </c>
      <c r="B39" s="85" t="str">
        <f>VLOOKUP(A39,基础数据!A:B,2,FALSE)</f>
        <v>大丰</v>
      </c>
      <c r="C39" s="82">
        <v>44193</v>
      </c>
      <c r="D39" s="81"/>
      <c r="E39" s="81">
        <v>4500076875</v>
      </c>
      <c r="F39" s="81"/>
      <c r="G39" s="83">
        <v>1120002905</v>
      </c>
      <c r="H39" s="81" t="s">
        <v>1074</v>
      </c>
      <c r="I39" s="83">
        <v>12</v>
      </c>
      <c r="J39" s="93">
        <v>31896</v>
      </c>
      <c r="K39" s="83">
        <f t="shared" si="1"/>
        <v>12</v>
      </c>
      <c r="L39" s="82">
        <v>44207</v>
      </c>
      <c r="M39" s="81" t="s">
        <v>2062</v>
      </c>
      <c r="N39" s="85" t="str">
        <f>VLOOKUP(H39,基础数据!G:H,2,FALSE)</f>
        <v>SR146Ⅱ壳体套裁</v>
      </c>
    </row>
    <row r="40" spans="1:14" s="94" customFormat="1">
      <c r="A40" s="93">
        <v>1680</v>
      </c>
      <c r="B40" s="95" t="str">
        <f>VLOOKUP(A40,基础数据!A:B,2,FALSE)</f>
        <v>大丰</v>
      </c>
      <c r="C40" s="92">
        <v>44260</v>
      </c>
      <c r="D40" s="91"/>
      <c r="E40" s="93">
        <v>4500080676</v>
      </c>
      <c r="F40" s="91"/>
      <c r="G40" s="93">
        <v>1120003037</v>
      </c>
      <c r="H40" s="91" t="s">
        <v>1861</v>
      </c>
      <c r="I40" s="93">
        <v>6</v>
      </c>
      <c r="J40" s="93">
        <v>11185.8</v>
      </c>
      <c r="K40" s="93">
        <f t="shared" si="1"/>
        <v>6</v>
      </c>
      <c r="L40" s="92">
        <v>44284</v>
      </c>
      <c r="M40" s="91" t="s">
        <v>1904</v>
      </c>
      <c r="N40" s="95" t="str">
        <f>VLOOKUP(H40,基础数据!G:H,2,FALSE)</f>
        <v>SR171Ⅴ后缘</v>
      </c>
    </row>
    <row r="41" spans="1:14" s="94" customFormat="1">
      <c r="A41" s="93">
        <v>1270</v>
      </c>
      <c r="B41" s="95" t="str">
        <f>VLOOKUP(A41,基础数据!A:B,2,FALSE)</f>
        <v>洛阳</v>
      </c>
      <c r="C41" s="92">
        <v>44267</v>
      </c>
      <c r="D41" s="91"/>
      <c r="E41" s="93">
        <v>4500081184</v>
      </c>
      <c r="F41" s="91"/>
      <c r="G41" s="93">
        <v>1120002596</v>
      </c>
      <c r="H41" s="91" t="s">
        <v>18</v>
      </c>
      <c r="I41" s="93">
        <v>6</v>
      </c>
      <c r="J41" s="93">
        <v>3884</v>
      </c>
      <c r="K41" s="93">
        <f t="shared" si="1"/>
        <v>6</v>
      </c>
      <c r="L41" s="92">
        <v>44292</v>
      </c>
      <c r="M41" s="91" t="s">
        <v>1904</v>
      </c>
      <c r="N41" s="95" t="str">
        <f>VLOOKUP(H41,基础数据!G:H,2,FALSE)</f>
        <v>SR140后缘</v>
      </c>
    </row>
    <row r="42" spans="1:14" s="94" customFormat="1">
      <c r="A42" s="93">
        <v>1270</v>
      </c>
      <c r="B42" s="95" t="str">
        <f>VLOOKUP(A42,基础数据!A:B,2,FALSE)</f>
        <v>洛阳</v>
      </c>
      <c r="C42" s="92">
        <v>44267</v>
      </c>
      <c r="D42" s="91"/>
      <c r="E42" s="93">
        <v>4500081184</v>
      </c>
      <c r="F42" s="91"/>
      <c r="G42" s="93">
        <v>1120002597</v>
      </c>
      <c r="H42" s="91" t="s">
        <v>19</v>
      </c>
      <c r="I42" s="93">
        <v>6</v>
      </c>
      <c r="J42" s="93">
        <v>18418</v>
      </c>
      <c r="K42" s="93">
        <f t="shared" si="1"/>
        <v>6</v>
      </c>
      <c r="L42" s="92">
        <v>44292</v>
      </c>
      <c r="M42" s="91" t="s">
        <v>1904</v>
      </c>
      <c r="N42" s="95" t="str">
        <f>VLOOKUP(H42,基础数据!G:H,2,FALSE)</f>
        <v>SR140大梁</v>
      </c>
    </row>
    <row r="43" spans="1:14" s="94" customFormat="1">
      <c r="A43" s="93">
        <v>1680</v>
      </c>
      <c r="B43" s="95" t="str">
        <f>VLOOKUP(A43,基础数据!A:B,2,FALSE)</f>
        <v>大丰</v>
      </c>
      <c r="C43" s="92">
        <v>44267</v>
      </c>
      <c r="D43" s="91"/>
      <c r="E43" s="93">
        <v>4500081229</v>
      </c>
      <c r="F43" s="91"/>
      <c r="G43" s="93">
        <v>1120003037</v>
      </c>
      <c r="H43" s="91" t="s">
        <v>1861</v>
      </c>
      <c r="I43" s="93">
        <v>6</v>
      </c>
      <c r="J43" s="93">
        <v>11185.8</v>
      </c>
      <c r="K43" s="93">
        <f t="shared" si="1"/>
        <v>6</v>
      </c>
      <c r="L43" s="92">
        <v>44291</v>
      </c>
      <c r="M43" s="91" t="s">
        <v>2101</v>
      </c>
      <c r="N43" s="95" t="str">
        <f>VLOOKUP(H43,基础数据!G:H,2,FALSE)</f>
        <v>SR171Ⅴ后缘</v>
      </c>
    </row>
    <row r="44" spans="1:14" s="94" customFormat="1">
      <c r="A44" s="93">
        <v>1680</v>
      </c>
      <c r="B44" s="95" t="str">
        <f>VLOOKUP(A44,基础数据!A:B,2,FALSE)</f>
        <v>大丰</v>
      </c>
      <c r="C44" s="92">
        <v>44270</v>
      </c>
      <c r="D44" s="91"/>
      <c r="E44" s="96">
        <v>4500081481</v>
      </c>
      <c r="F44" s="91"/>
      <c r="G44" s="93">
        <v>1120003284</v>
      </c>
      <c r="H44" s="91" t="s">
        <v>2111</v>
      </c>
      <c r="I44" s="93">
        <v>6</v>
      </c>
      <c r="J44" s="93">
        <v>8460</v>
      </c>
      <c r="K44" s="93">
        <f t="shared" si="1"/>
        <v>6</v>
      </c>
      <c r="L44" s="92">
        <v>44274</v>
      </c>
      <c r="M44" s="91" t="s">
        <v>2108</v>
      </c>
      <c r="N44" s="95" t="str">
        <f>VLOOKUP(H44,基础数据!G:H,2,FALSE)</f>
        <v>SR152Ⅴ后缘</v>
      </c>
    </row>
    <row r="45" spans="1:14" s="18" customFormat="1">
      <c r="A45" s="14">
        <v>1680</v>
      </c>
      <c r="B45" s="17" t="str">
        <f>VLOOKUP(A45,基础数据!A:B,2,FALSE)</f>
        <v>大丰</v>
      </c>
      <c r="C45" s="16">
        <v>44273</v>
      </c>
      <c r="D45" s="15"/>
      <c r="E45" s="14">
        <v>4500081658</v>
      </c>
      <c r="F45" s="15"/>
      <c r="G45" s="14">
        <v>1120000145</v>
      </c>
      <c r="H45" s="15" t="s">
        <v>95</v>
      </c>
      <c r="I45" s="14"/>
      <c r="J45" s="14">
        <v>8265</v>
      </c>
      <c r="K45" s="14">
        <f t="shared" si="1"/>
        <v>8265</v>
      </c>
      <c r="L45" s="16">
        <v>44287</v>
      </c>
      <c r="M45" s="15" t="s">
        <v>2128</v>
      </c>
      <c r="N45" s="17" t="str">
        <f>VLOOKUP(H45,基础数据!G:H,2,FALSE)</f>
        <v>TTX1215(45)-2.54-100</v>
      </c>
    </row>
    <row r="46" spans="1:14" s="18" customFormat="1">
      <c r="A46" s="14">
        <v>1680</v>
      </c>
      <c r="B46" s="17" t="str">
        <f>VLOOKUP(A46,基础数据!A:B,2,FALSE)</f>
        <v>大丰</v>
      </c>
      <c r="C46" s="16">
        <v>44273</v>
      </c>
      <c r="D46" s="15"/>
      <c r="E46" s="14">
        <v>4500081658</v>
      </c>
      <c r="F46" s="15"/>
      <c r="G46" s="14">
        <v>1120000142</v>
      </c>
      <c r="H46" s="15" t="s">
        <v>11</v>
      </c>
      <c r="I46" s="14"/>
      <c r="J46" s="14">
        <v>24932</v>
      </c>
      <c r="K46" s="14">
        <f t="shared" si="1"/>
        <v>24932</v>
      </c>
      <c r="L46" s="16">
        <v>44287</v>
      </c>
      <c r="M46" s="15" t="s">
        <v>2129</v>
      </c>
      <c r="N46" s="17" t="str">
        <f>VLOOKUP(H46,基础数据!G:H,2,FALSE)</f>
        <v>TTX1250(60)-2.54-100</v>
      </c>
    </row>
    <row r="47" spans="1:14" s="38" customFormat="1">
      <c r="A47" s="34">
        <v>1270</v>
      </c>
      <c r="B47" s="35" t="str">
        <f>VLOOKUP(A47,基础数据!A:B,2,FALSE)</f>
        <v>洛阳</v>
      </c>
      <c r="C47" s="36">
        <v>44274</v>
      </c>
      <c r="D47" s="37"/>
      <c r="E47" s="34">
        <v>4500081810</v>
      </c>
      <c r="F47" s="37"/>
      <c r="G47" s="34">
        <v>1120000133</v>
      </c>
      <c r="H47" s="37" t="s">
        <v>115</v>
      </c>
      <c r="I47" s="34"/>
      <c r="J47" s="34">
        <v>59602</v>
      </c>
      <c r="K47" s="34">
        <f t="shared" si="1"/>
        <v>59602</v>
      </c>
      <c r="L47" s="36">
        <v>44299</v>
      </c>
      <c r="M47" s="37" t="s">
        <v>2154</v>
      </c>
      <c r="N47" s="35" t="str">
        <f>VLOOKUP(H47,基础数据!G:H,2,FALSE)</f>
        <v>BX800-1.27-100</v>
      </c>
    </row>
    <row r="48" spans="1:14" s="38" customFormat="1">
      <c r="A48" s="34">
        <v>1270</v>
      </c>
      <c r="B48" s="35" t="str">
        <f>VLOOKUP(A48,基础数据!A:B,2,FALSE)</f>
        <v>洛阳</v>
      </c>
      <c r="C48" s="36">
        <v>44274</v>
      </c>
      <c r="D48" s="37"/>
      <c r="E48" s="34">
        <v>4500081810</v>
      </c>
      <c r="F48" s="37"/>
      <c r="G48" s="34">
        <v>1120002601</v>
      </c>
      <c r="H48" s="37" t="s">
        <v>20</v>
      </c>
      <c r="I48" s="34"/>
      <c r="J48" s="34">
        <v>75816</v>
      </c>
      <c r="K48" s="34">
        <f t="shared" si="1"/>
        <v>75816</v>
      </c>
      <c r="L48" s="36">
        <v>44299</v>
      </c>
      <c r="M48" s="37" t="s">
        <v>2137</v>
      </c>
      <c r="N48" s="35" t="str">
        <f>VLOOKUP(H48,基础数据!G:H,2,FALSE)</f>
        <v>TTX1500H-1.27-100</v>
      </c>
    </row>
    <row r="49" spans="1:14" s="38" customFormat="1">
      <c r="A49" s="34">
        <v>1270</v>
      </c>
      <c r="B49" s="35" t="str">
        <f>VLOOKUP(A49,基础数据!A:B,2,FALSE)</f>
        <v>洛阳</v>
      </c>
      <c r="C49" s="36">
        <v>44274</v>
      </c>
      <c r="D49" s="37"/>
      <c r="E49" s="34">
        <v>4500081810</v>
      </c>
      <c r="F49" s="37"/>
      <c r="G49" s="34">
        <v>1120002602</v>
      </c>
      <c r="H49" s="37" t="s">
        <v>1556</v>
      </c>
      <c r="I49" s="34"/>
      <c r="J49" s="34">
        <v>37597</v>
      </c>
      <c r="K49" s="34">
        <f t="shared" si="1"/>
        <v>37597</v>
      </c>
      <c r="L49" s="36">
        <v>44299</v>
      </c>
      <c r="M49" s="37" t="s">
        <v>2138</v>
      </c>
      <c r="N49" s="35" t="str">
        <f>VLOOKUP(H49,基础数据!G:H,2,FALSE)</f>
        <v>BX600-1.27-100</v>
      </c>
    </row>
    <row r="50" spans="1:14" s="38" customFormat="1">
      <c r="A50" s="34">
        <v>1270</v>
      </c>
      <c r="B50" s="35" t="str">
        <f>VLOOKUP(A50,基础数据!A:B,2,FALSE)</f>
        <v>洛阳</v>
      </c>
      <c r="C50" s="36">
        <v>44274</v>
      </c>
      <c r="D50" s="37"/>
      <c r="E50" s="34">
        <v>4500081810</v>
      </c>
      <c r="F50" s="37"/>
      <c r="G50" s="34">
        <v>1120002596</v>
      </c>
      <c r="H50" s="37" t="s">
        <v>18</v>
      </c>
      <c r="I50" s="34">
        <v>49</v>
      </c>
      <c r="J50" s="34">
        <v>31481</v>
      </c>
      <c r="K50" s="34">
        <f t="shared" si="1"/>
        <v>49</v>
      </c>
      <c r="L50" s="36">
        <v>44299</v>
      </c>
      <c r="M50" s="37" t="s">
        <v>2139</v>
      </c>
      <c r="N50" s="35" t="str">
        <f>VLOOKUP(H50,基础数据!G:H,2,FALSE)</f>
        <v>SR140后缘</v>
      </c>
    </row>
    <row r="51" spans="1:14" s="38" customFormat="1">
      <c r="A51" s="34">
        <v>1270</v>
      </c>
      <c r="B51" s="35" t="str">
        <f>VLOOKUP(A51,基础数据!A:B,2,FALSE)</f>
        <v>洛阳</v>
      </c>
      <c r="C51" s="36">
        <v>44274</v>
      </c>
      <c r="D51" s="37"/>
      <c r="E51" s="34">
        <v>4500081810</v>
      </c>
      <c r="F51" s="37"/>
      <c r="G51" s="34">
        <v>1120002597</v>
      </c>
      <c r="H51" s="37" t="s">
        <v>19</v>
      </c>
      <c r="I51" s="34">
        <v>48</v>
      </c>
      <c r="J51" s="34">
        <v>147146</v>
      </c>
      <c r="K51" s="34">
        <f t="shared" si="1"/>
        <v>48</v>
      </c>
      <c r="L51" s="36">
        <v>44299</v>
      </c>
      <c r="M51" s="37" t="s">
        <v>2140</v>
      </c>
      <c r="N51" s="35" t="str">
        <f>VLOOKUP(H51,基础数据!G:H,2,FALSE)</f>
        <v>SR140大梁</v>
      </c>
    </row>
    <row r="52" spans="1:14" s="38" customFormat="1">
      <c r="A52" s="34">
        <v>1270</v>
      </c>
      <c r="B52" s="35" t="str">
        <f>VLOOKUP(A52,基础数据!A:B,2,FALSE)</f>
        <v>洛阳</v>
      </c>
      <c r="C52" s="36">
        <v>44274</v>
      </c>
      <c r="D52" s="37"/>
      <c r="E52" s="34">
        <v>4500081810</v>
      </c>
      <c r="F52" s="37"/>
      <c r="G52" s="34">
        <v>1120002589</v>
      </c>
      <c r="H52" s="37" t="s">
        <v>1072</v>
      </c>
      <c r="I52" s="34">
        <v>9</v>
      </c>
      <c r="J52" s="34">
        <v>26932</v>
      </c>
      <c r="K52" s="34">
        <f t="shared" si="1"/>
        <v>9</v>
      </c>
      <c r="L52" s="36">
        <v>44299</v>
      </c>
      <c r="M52" s="37" t="s">
        <v>2141</v>
      </c>
      <c r="N52" s="35" t="str">
        <f>VLOOKUP(H52,基础数据!G:H,2,FALSE)</f>
        <v>GW68.6D大梁</v>
      </c>
    </row>
    <row r="53" spans="1:14" s="38" customFormat="1">
      <c r="A53" s="34">
        <v>1680</v>
      </c>
      <c r="B53" s="35" t="str">
        <f>VLOOKUP(A53,基础数据!A:B,2,FALSE)</f>
        <v>大丰</v>
      </c>
      <c r="C53" s="36">
        <v>44274</v>
      </c>
      <c r="D53" s="37"/>
      <c r="E53" s="34">
        <v>4500081839</v>
      </c>
      <c r="F53" s="37"/>
      <c r="G53" s="34">
        <v>1120001397</v>
      </c>
      <c r="H53" s="37" t="s">
        <v>10</v>
      </c>
      <c r="I53" s="34"/>
      <c r="J53" s="34">
        <v>33000</v>
      </c>
      <c r="K53" s="34">
        <f t="shared" si="1"/>
        <v>33000</v>
      </c>
      <c r="L53" s="36">
        <v>44288</v>
      </c>
      <c r="M53" s="37" t="s">
        <v>2142</v>
      </c>
      <c r="N53" s="35" t="str">
        <f>VLOOKUP(H53,基础数据!G:H,2,FALSE)</f>
        <v>BX800-2.54-100</v>
      </c>
    </row>
    <row r="54" spans="1:14">
      <c r="B54" s="85" t="e">
        <f>VLOOKUP(A54,基础数据!A:B,2,FALSE)</f>
        <v>#N/A</v>
      </c>
      <c r="K54" s="83">
        <f t="shared" si="1"/>
        <v>0</v>
      </c>
      <c r="N54" s="85" t="e">
        <f>VLOOKUP(H54,基础数据!G:H,2,FALSE)</f>
        <v>#N/A</v>
      </c>
    </row>
    <row r="55" spans="1:14">
      <c r="B55" s="85" t="e">
        <f>VLOOKUP(A55,基础数据!A:B,2,FALSE)</f>
        <v>#N/A</v>
      </c>
      <c r="K55" s="83">
        <f t="shared" si="1"/>
        <v>0</v>
      </c>
      <c r="N55" s="85" t="e">
        <f>VLOOKUP(H55,基础数据!G:H,2,FALSE)</f>
        <v>#N/A</v>
      </c>
    </row>
    <row r="56" spans="1:14">
      <c r="B56" s="85" t="e">
        <f>VLOOKUP(A56,基础数据!A:B,2,FALSE)</f>
        <v>#N/A</v>
      </c>
      <c r="K56" s="83">
        <f t="shared" si="1"/>
        <v>0</v>
      </c>
      <c r="N56" s="85" t="e">
        <f>VLOOKUP(H56,基础数据!G:H,2,FALSE)</f>
        <v>#N/A</v>
      </c>
    </row>
    <row r="57" spans="1:14">
      <c r="B57" s="85" t="e">
        <f>VLOOKUP(A57,基础数据!A:B,2,FALSE)</f>
        <v>#N/A</v>
      </c>
      <c r="K57" s="83">
        <f t="shared" si="1"/>
        <v>0</v>
      </c>
      <c r="N57" s="85" t="e">
        <f>VLOOKUP(H57,基础数据!G:H,2,FALSE)</f>
        <v>#N/A</v>
      </c>
    </row>
    <row r="58" spans="1:14">
      <c r="B58" s="85" t="e">
        <f>VLOOKUP(A58,基础数据!A:B,2,FALSE)</f>
        <v>#N/A</v>
      </c>
      <c r="K58" s="83">
        <f t="shared" si="1"/>
        <v>0</v>
      </c>
      <c r="N58" s="85" t="e">
        <f>VLOOKUP(H58,基础数据!G:H,2,FALSE)</f>
        <v>#N/A</v>
      </c>
    </row>
    <row r="59" spans="1:14">
      <c r="B59" s="85" t="e">
        <f>VLOOKUP(A59,基础数据!A:B,2,FALSE)</f>
        <v>#N/A</v>
      </c>
      <c r="K59" s="83">
        <f t="shared" si="1"/>
        <v>0</v>
      </c>
      <c r="N59" s="85" t="e">
        <f>VLOOKUP(H59,基础数据!G:H,2,FALSE)</f>
        <v>#N/A</v>
      </c>
    </row>
    <row r="60" spans="1:14">
      <c r="B60" s="85" t="e">
        <f>VLOOKUP(A60,基础数据!A:B,2,FALSE)</f>
        <v>#N/A</v>
      </c>
      <c r="K60" s="83">
        <f t="shared" si="1"/>
        <v>0</v>
      </c>
      <c r="N60" s="85" t="e">
        <f>VLOOKUP(H60,基础数据!G:H,2,FALSE)</f>
        <v>#N/A</v>
      </c>
    </row>
    <row r="61" spans="1:14">
      <c r="B61" s="85" t="e">
        <f>VLOOKUP(A61,基础数据!A:B,2,FALSE)</f>
        <v>#N/A</v>
      </c>
      <c r="K61" s="83">
        <f t="shared" si="1"/>
        <v>0</v>
      </c>
      <c r="N61" s="85" t="e">
        <f>VLOOKUP(H61,基础数据!G:H,2,FALSE)</f>
        <v>#N/A</v>
      </c>
    </row>
    <row r="62" spans="1:14">
      <c r="B62" s="85" t="e">
        <f>VLOOKUP(A62,基础数据!A:B,2,FALSE)</f>
        <v>#N/A</v>
      </c>
      <c r="K62" s="83">
        <f t="shared" si="1"/>
        <v>0</v>
      </c>
      <c r="N62" s="85" t="e">
        <f>VLOOKUP(H62,基础数据!G:H,2,FALSE)</f>
        <v>#N/A</v>
      </c>
    </row>
    <row r="63" spans="1:14">
      <c r="B63" s="85" t="e">
        <f>VLOOKUP(A63,基础数据!A:B,2,FALSE)</f>
        <v>#N/A</v>
      </c>
      <c r="K63" s="83">
        <f t="shared" ref="K63:K64" si="2">IF(I63="",J63,I63)</f>
        <v>0</v>
      </c>
      <c r="N63" s="85" t="e">
        <f>VLOOKUP(H63,基础数据!G:H,2,FALSE)</f>
        <v>#N/A</v>
      </c>
    </row>
    <row r="64" spans="1:14">
      <c r="B64" s="85" t="e">
        <f>VLOOKUP(A64,基础数据!A:B,2,FALSE)</f>
        <v>#N/A</v>
      </c>
      <c r="K64" s="83">
        <f t="shared" si="2"/>
        <v>0</v>
      </c>
      <c r="N64" s="85" t="e">
        <f>VLOOKUP(H64,基础数据!G:H,2,FALSE)</f>
        <v>#N/A</v>
      </c>
    </row>
  </sheetData>
  <phoneticPr fontId="1" type="noConversion"/>
  <pageMargins left="0.7" right="0.7" top="0.75" bottom="0.75" header="0.3" footer="0.3"/>
  <pageSetup paperSize="9" scale="48" orientation="portrait" r:id="rId1"/>
  <colBreaks count="2" manualBreakCount="2">
    <brk id="9" max="1048575" man="1"/>
    <brk id="13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87"/>
  <sheetViews>
    <sheetView view="pageBreakPreview" topLeftCell="A58" zoomScaleNormal="100" zoomScaleSheetLayoutView="100" workbookViewId="0">
      <selection activeCell="H84" sqref="H84"/>
    </sheetView>
  </sheetViews>
  <sheetFormatPr defaultColWidth="8.5703125" defaultRowHeight="13.5"/>
  <cols>
    <col min="1" max="1" width="9" style="8" bestFit="1" customWidth="1"/>
    <col min="2" max="2" width="9.28515625" style="8" bestFit="1" customWidth="1"/>
    <col min="3" max="3" width="8.7109375" style="8" bestFit="1" customWidth="1"/>
    <col min="4" max="4" width="8.28515625" style="8" bestFit="1" customWidth="1"/>
    <col min="5" max="5" width="9" style="8" bestFit="1" customWidth="1"/>
    <col min="6" max="6" width="12.85546875" style="8" bestFit="1" customWidth="1"/>
    <col min="7" max="7" width="13.140625" style="8" bestFit="1" customWidth="1"/>
    <col min="8" max="8" width="34" style="8" bestFit="1" customWidth="1"/>
    <col min="9" max="9" width="9" style="8" bestFit="1" customWidth="1"/>
    <col min="10" max="10" width="8.28515625" style="8" bestFit="1" customWidth="1"/>
    <col min="11" max="11" width="8.28515625" style="8" customWidth="1"/>
    <col min="12" max="12" width="8.7109375" style="8" bestFit="1" customWidth="1"/>
    <col min="13" max="13" width="95.42578125" style="8" bestFit="1" customWidth="1"/>
    <col min="14" max="14" width="12.42578125" style="8" bestFit="1" customWidth="1"/>
    <col min="15" max="16384" width="8.5703125" style="8"/>
  </cols>
  <sheetData>
    <row r="1" spans="1:14" s="12" customFormat="1">
      <c r="A1" s="9" t="s">
        <v>0</v>
      </c>
      <c r="B1" s="9" t="s">
        <v>1</v>
      </c>
      <c r="C1" s="10" t="s">
        <v>216</v>
      </c>
      <c r="D1" s="9" t="s">
        <v>44</v>
      </c>
      <c r="E1" s="9" t="s">
        <v>217</v>
      </c>
      <c r="F1" s="9" t="s">
        <v>218</v>
      </c>
      <c r="G1" s="9" t="s">
        <v>219</v>
      </c>
      <c r="H1" s="9" t="s">
        <v>6</v>
      </c>
      <c r="I1" s="11" t="s">
        <v>89</v>
      </c>
      <c r="J1" s="11" t="s">
        <v>7</v>
      </c>
      <c r="K1" s="11" t="s">
        <v>1438</v>
      </c>
      <c r="L1" s="10" t="s">
        <v>8</v>
      </c>
      <c r="M1" s="9" t="s">
        <v>43</v>
      </c>
    </row>
    <row r="2" spans="1:14" s="12" customFormat="1">
      <c r="A2" s="11">
        <v>1530</v>
      </c>
      <c r="B2" s="13" t="str">
        <f>VLOOKUP(A2,基础数据!A:B,2,FALSE)</f>
        <v>张家口</v>
      </c>
      <c r="C2" s="10">
        <v>43921</v>
      </c>
      <c r="D2" s="13">
        <v>101335837</v>
      </c>
      <c r="E2" s="11">
        <v>4500055925</v>
      </c>
      <c r="F2" s="9">
        <v>1029666</v>
      </c>
      <c r="G2" s="11">
        <v>1120002596</v>
      </c>
      <c r="H2" s="9" t="s">
        <v>18</v>
      </c>
      <c r="I2" s="11">
        <v>3</v>
      </c>
      <c r="J2" s="11">
        <v>1929</v>
      </c>
      <c r="K2" s="11"/>
      <c r="L2" s="10">
        <v>43935</v>
      </c>
      <c r="M2" s="9" t="s">
        <v>210</v>
      </c>
    </row>
    <row r="3" spans="1:14" s="12" customFormat="1">
      <c r="A3" s="11">
        <v>1530</v>
      </c>
      <c r="B3" s="13" t="str">
        <f>VLOOKUP(A3,基础数据!A:B,2,FALSE)</f>
        <v>张家口</v>
      </c>
      <c r="C3" s="10">
        <v>43921</v>
      </c>
      <c r="D3" s="13">
        <v>101335837</v>
      </c>
      <c r="E3" s="11">
        <v>4500055925</v>
      </c>
      <c r="F3" s="9" t="s">
        <v>90</v>
      </c>
      <c r="G3" s="11">
        <v>1120002597</v>
      </c>
      <c r="H3" s="9" t="s">
        <v>19</v>
      </c>
      <c r="I3" s="11">
        <v>3</v>
      </c>
      <c r="J3" s="11">
        <v>9198</v>
      </c>
      <c r="K3" s="11"/>
      <c r="L3" s="10">
        <v>43935</v>
      </c>
      <c r="M3" s="9" t="s">
        <v>210</v>
      </c>
    </row>
    <row r="4" spans="1:14" s="12" customFormat="1">
      <c r="A4" s="11">
        <v>1530</v>
      </c>
      <c r="B4" s="13" t="str">
        <f>VLOOKUP(A4,基础数据!A:B,2,FALSE)</f>
        <v>张家口</v>
      </c>
      <c r="C4" s="10">
        <v>43927</v>
      </c>
      <c r="D4" s="9"/>
      <c r="E4" s="9">
        <v>4500058424</v>
      </c>
      <c r="F4" s="9">
        <v>1125613</v>
      </c>
      <c r="G4" s="11">
        <v>2019000591</v>
      </c>
      <c r="H4" s="9" t="s">
        <v>317</v>
      </c>
      <c r="I4" s="11">
        <v>4</v>
      </c>
      <c r="J4" s="11">
        <f>1474*4</f>
        <v>5896</v>
      </c>
      <c r="K4" s="11"/>
      <c r="L4" s="10">
        <v>43936</v>
      </c>
      <c r="M4" s="9" t="s">
        <v>316</v>
      </c>
    </row>
    <row r="5" spans="1:14" s="12" customFormat="1">
      <c r="A5" s="11">
        <v>1530</v>
      </c>
      <c r="B5" s="9" t="s">
        <v>342</v>
      </c>
      <c r="C5" s="10">
        <v>43957</v>
      </c>
      <c r="D5" s="9"/>
      <c r="E5" s="9">
        <v>20200507</v>
      </c>
      <c r="F5" s="9"/>
      <c r="G5" s="9"/>
      <c r="H5" s="9" t="s">
        <v>341</v>
      </c>
      <c r="I5" s="11"/>
      <c r="J5" s="11">
        <v>200</v>
      </c>
      <c r="K5" s="11"/>
      <c r="L5" s="10">
        <v>43964</v>
      </c>
      <c r="M5" s="9" t="s">
        <v>401</v>
      </c>
      <c r="N5" s="19" t="str">
        <f>VLOOKUP(H5,基础数据!G:H,2,FALSE)</f>
        <v>WS2000</v>
      </c>
    </row>
    <row r="6" spans="1:14" s="12" customFormat="1">
      <c r="A6" s="11">
        <v>1530</v>
      </c>
      <c r="B6" s="13" t="str">
        <f>VLOOKUP(A6,基础数据!A:B,2,FALSE)</f>
        <v>张家口</v>
      </c>
      <c r="C6" s="10">
        <v>43966</v>
      </c>
      <c r="D6" s="9"/>
      <c r="E6" s="11">
        <v>4500059730</v>
      </c>
      <c r="F6" s="9" t="s">
        <v>407</v>
      </c>
      <c r="G6" s="11">
        <v>1120001397</v>
      </c>
      <c r="H6" s="9" t="s">
        <v>10</v>
      </c>
      <c r="I6" s="11"/>
      <c r="J6" s="11">
        <v>2954</v>
      </c>
      <c r="K6" s="11"/>
      <c r="L6" s="10">
        <v>43969</v>
      </c>
      <c r="M6" s="9" t="s">
        <v>406</v>
      </c>
      <c r="N6" s="19" t="str">
        <f>VLOOKUP(H6,基础数据!G:H,2,FALSE)</f>
        <v>BX800-2.54-100</v>
      </c>
    </row>
    <row r="7" spans="1:14" s="12" customFormat="1">
      <c r="A7" s="11">
        <v>1530</v>
      </c>
      <c r="B7" s="13" t="str">
        <f>VLOOKUP(A7,基础数据!A:B,2,FALSE)</f>
        <v>张家口</v>
      </c>
      <c r="C7" s="10">
        <v>43973</v>
      </c>
      <c r="D7" s="9"/>
      <c r="E7" s="11">
        <v>4500060332</v>
      </c>
      <c r="F7" s="9"/>
      <c r="G7" s="11">
        <v>2019000591</v>
      </c>
      <c r="H7" s="9" t="s">
        <v>439</v>
      </c>
      <c r="I7" s="11">
        <v>8</v>
      </c>
      <c r="J7" s="11">
        <v>11792</v>
      </c>
      <c r="K7" s="11"/>
      <c r="L7" s="10">
        <v>43980</v>
      </c>
      <c r="M7" s="9" t="s">
        <v>480</v>
      </c>
      <c r="N7" s="13" t="e">
        <f>VLOOKUP(H7,基础数据!G:H,2,FALSE)</f>
        <v>#N/A</v>
      </c>
    </row>
    <row r="8" spans="1:14" s="12" customFormat="1">
      <c r="A8" s="11">
        <v>1530</v>
      </c>
      <c r="B8" s="13" t="str">
        <f>VLOOKUP(A8,基础数据!A:B,2,FALSE)</f>
        <v>张家口</v>
      </c>
      <c r="C8" s="10">
        <v>43973</v>
      </c>
      <c r="D8" s="9"/>
      <c r="E8" s="11">
        <v>4500060332</v>
      </c>
      <c r="F8" s="9"/>
      <c r="G8" s="11">
        <v>2019000591</v>
      </c>
      <c r="H8" s="9" t="s">
        <v>439</v>
      </c>
      <c r="I8" s="11">
        <v>8</v>
      </c>
      <c r="J8" s="11">
        <v>11792</v>
      </c>
      <c r="K8" s="11"/>
      <c r="L8" s="10">
        <v>43980</v>
      </c>
      <c r="M8" s="9" t="s">
        <v>546</v>
      </c>
      <c r="N8" s="13" t="e">
        <f>VLOOKUP(H8,基础数据!G:H,2,FALSE)</f>
        <v>#N/A</v>
      </c>
    </row>
    <row r="9" spans="1:14" s="12" customFormat="1">
      <c r="A9" s="11">
        <v>1530</v>
      </c>
      <c r="B9" s="13" t="str">
        <f>VLOOKUP(A9,基础数据!A:B,2,FALSE)</f>
        <v>张家口</v>
      </c>
      <c r="C9" s="10">
        <v>43973</v>
      </c>
      <c r="D9" s="9"/>
      <c r="E9" s="11">
        <v>4500060332</v>
      </c>
      <c r="F9" s="9"/>
      <c r="G9" s="11">
        <v>2019000591</v>
      </c>
      <c r="H9" s="9" t="s">
        <v>439</v>
      </c>
      <c r="I9" s="11">
        <v>8</v>
      </c>
      <c r="J9" s="11">
        <v>11776</v>
      </c>
      <c r="K9" s="11"/>
      <c r="L9" s="10">
        <v>43980</v>
      </c>
      <c r="M9" s="9" t="s">
        <v>561</v>
      </c>
      <c r="N9" s="13" t="e">
        <f>VLOOKUP(H9,基础数据!G:H,2,FALSE)</f>
        <v>#N/A</v>
      </c>
    </row>
    <row r="10" spans="1:14" s="12" customFormat="1">
      <c r="A10" s="11">
        <v>1530</v>
      </c>
      <c r="B10" s="13" t="str">
        <f>VLOOKUP(A10,基础数据!A:B,2,FALSE)</f>
        <v>张家口</v>
      </c>
      <c r="C10" s="10">
        <v>43927</v>
      </c>
      <c r="D10" s="9"/>
      <c r="E10" s="9">
        <v>4500058424</v>
      </c>
      <c r="F10" s="9"/>
      <c r="G10" s="11">
        <v>2019000591</v>
      </c>
      <c r="H10" s="9" t="s">
        <v>222</v>
      </c>
      <c r="I10" s="11">
        <f>8-4</f>
        <v>4</v>
      </c>
      <c r="J10" s="11">
        <f>1590*8-1474*4</f>
        <v>6824</v>
      </c>
      <c r="K10" s="11"/>
      <c r="L10" s="10">
        <v>43936</v>
      </c>
      <c r="M10" s="9" t="s">
        <v>604</v>
      </c>
      <c r="N10" s="13" t="str">
        <f>VLOOKUP(H10,基础数据!G:H,2,FALSE)</f>
        <v>SR140Ⅲ螺栓加强层</v>
      </c>
    </row>
    <row r="11" spans="1:14" s="12" customFormat="1">
      <c r="A11" s="11">
        <v>1530</v>
      </c>
      <c r="B11" s="13" t="str">
        <f>VLOOKUP(A11,基础数据!A:B,2,FALSE)</f>
        <v>张家口</v>
      </c>
      <c r="C11" s="10">
        <v>43973</v>
      </c>
      <c r="D11" s="9"/>
      <c r="E11" s="11">
        <v>4500060332</v>
      </c>
      <c r="F11" s="9"/>
      <c r="G11" s="11">
        <v>2019000591</v>
      </c>
      <c r="H11" s="9" t="s">
        <v>439</v>
      </c>
      <c r="I11" s="11">
        <f>28-8-8-8</f>
        <v>4</v>
      </c>
      <c r="J11" s="11">
        <f>1474*28-11792-11792-11776</f>
        <v>5912</v>
      </c>
      <c r="K11" s="11"/>
      <c r="L11" s="10">
        <v>43980</v>
      </c>
      <c r="M11" s="9" t="s">
        <v>605</v>
      </c>
      <c r="N11" s="13" t="e">
        <f>VLOOKUP(H11,基础数据!G:H,2,FALSE)</f>
        <v>#N/A</v>
      </c>
    </row>
    <row r="12" spans="1:14" s="12" customFormat="1">
      <c r="A12" s="11">
        <v>1530</v>
      </c>
      <c r="B12" s="13" t="str">
        <f>VLOOKUP(A12,基础数据!A:B,2,FALSE)</f>
        <v>张家口</v>
      </c>
      <c r="C12" s="10">
        <v>44004</v>
      </c>
      <c r="D12" s="9"/>
      <c r="E12" s="9">
        <v>20200669</v>
      </c>
      <c r="F12" s="9"/>
      <c r="G12" s="9"/>
      <c r="H12" s="9" t="s">
        <v>341</v>
      </c>
      <c r="I12" s="11"/>
      <c r="J12" s="11">
        <v>200</v>
      </c>
      <c r="K12" s="11"/>
      <c r="L12" s="10">
        <v>44007</v>
      </c>
      <c r="M12" s="9" t="s">
        <v>606</v>
      </c>
      <c r="N12" s="13" t="str">
        <f>VLOOKUP(H12,基础数据!G:H,2,FALSE)</f>
        <v>WS2000</v>
      </c>
    </row>
    <row r="13" spans="1:14" s="12" customFormat="1">
      <c r="A13" s="11">
        <v>1530</v>
      </c>
      <c r="B13" s="13" t="str">
        <f>VLOOKUP(A13,基础数据!A:B,2,FALSE)</f>
        <v>张家口</v>
      </c>
      <c r="C13" s="10">
        <v>44010</v>
      </c>
      <c r="D13" s="9"/>
      <c r="E13" s="11">
        <v>4500063456</v>
      </c>
      <c r="F13" s="9"/>
      <c r="G13" s="11">
        <v>2019000591</v>
      </c>
      <c r="H13" s="9" t="s">
        <v>436</v>
      </c>
      <c r="I13" s="11">
        <v>9</v>
      </c>
      <c r="J13" s="11">
        <v>13248</v>
      </c>
      <c r="K13" s="11"/>
      <c r="L13" s="10">
        <v>44029</v>
      </c>
      <c r="M13" s="9" t="s">
        <v>617</v>
      </c>
      <c r="N13" s="13" t="e">
        <f>VLOOKUP(H13,基础数据!G:H,2,FALSE)</f>
        <v>#N/A</v>
      </c>
    </row>
    <row r="14" spans="1:14" s="12" customFormat="1">
      <c r="A14" s="11">
        <v>1530</v>
      </c>
      <c r="B14" s="13" t="str">
        <f>VLOOKUP(A14,基础数据!A:B,2,FALSE)</f>
        <v>张家口</v>
      </c>
      <c r="C14" s="10">
        <v>44010</v>
      </c>
      <c r="D14" s="9"/>
      <c r="E14" s="11">
        <v>4500063456</v>
      </c>
      <c r="F14" s="9"/>
      <c r="G14" s="11">
        <v>2019000591</v>
      </c>
      <c r="H14" s="9" t="s">
        <v>436</v>
      </c>
      <c r="I14" s="11">
        <f>16-9</f>
        <v>7</v>
      </c>
      <c r="J14" s="11">
        <f>1474*16-13248</f>
        <v>10336</v>
      </c>
      <c r="K14" s="11"/>
      <c r="L14" s="10">
        <v>44029</v>
      </c>
      <c r="M14" s="9" t="s">
        <v>636</v>
      </c>
      <c r="N14" s="13" t="e">
        <f>VLOOKUP(H14,基础数据!G:H,2,FALSE)</f>
        <v>#N/A</v>
      </c>
    </row>
    <row r="15" spans="1:14" s="12" customFormat="1">
      <c r="A15" s="11">
        <v>1530</v>
      </c>
      <c r="B15" s="13" t="str">
        <f>VLOOKUP(A15,基础数据!A:B,2,FALSE)</f>
        <v>张家口</v>
      </c>
      <c r="C15" s="10">
        <v>44022</v>
      </c>
      <c r="D15" s="9"/>
      <c r="E15" s="11">
        <v>4500064674</v>
      </c>
      <c r="F15" s="9"/>
      <c r="G15" s="11">
        <v>1120002745</v>
      </c>
      <c r="H15" s="9" t="s">
        <v>537</v>
      </c>
      <c r="I15" s="11"/>
      <c r="J15" s="11">
        <v>3021</v>
      </c>
      <c r="K15" s="11"/>
      <c r="L15" s="10">
        <v>43993</v>
      </c>
      <c r="M15" s="9" t="s">
        <v>637</v>
      </c>
      <c r="N15" s="13" t="str">
        <f>VLOOKUP(H15,基础数据!G:H,2,FALSE)</f>
        <v>BX600-2.54-100</v>
      </c>
    </row>
    <row r="16" spans="1:14" s="12" customFormat="1">
      <c r="A16" s="11">
        <v>1530</v>
      </c>
      <c r="B16" s="13" t="str">
        <f>VLOOKUP(A16,基础数据!A:B,2,FALSE)</f>
        <v>张家口</v>
      </c>
      <c r="C16" s="10">
        <v>44021</v>
      </c>
      <c r="D16" s="9"/>
      <c r="E16" s="9">
        <v>4500064518</v>
      </c>
      <c r="F16" s="9"/>
      <c r="G16" s="11">
        <v>2019000591</v>
      </c>
      <c r="H16" s="9" t="s">
        <v>436</v>
      </c>
      <c r="I16" s="11">
        <v>8</v>
      </c>
      <c r="J16" s="11">
        <v>11776</v>
      </c>
      <c r="K16" s="11"/>
      <c r="L16" s="10">
        <v>44029</v>
      </c>
      <c r="M16" s="9" t="s">
        <v>668</v>
      </c>
      <c r="N16" s="13" t="e">
        <f>VLOOKUP(H16,基础数据!G:H,2,FALSE)</f>
        <v>#N/A</v>
      </c>
    </row>
    <row r="17" spans="1:14" s="12" customFormat="1">
      <c r="A17" s="11">
        <v>1530</v>
      </c>
      <c r="B17" s="13" t="str">
        <f>VLOOKUP(A17,基础数据!A:B,2,FALSE)</f>
        <v>张家口</v>
      </c>
      <c r="C17" s="10">
        <v>44021</v>
      </c>
      <c r="D17" s="9"/>
      <c r="E17" s="9">
        <v>4500064518</v>
      </c>
      <c r="F17" s="9"/>
      <c r="G17" s="11">
        <v>2019000591</v>
      </c>
      <c r="H17" s="9" t="s">
        <v>436</v>
      </c>
      <c r="I17" s="11">
        <v>8</v>
      </c>
      <c r="J17" s="11">
        <v>11776</v>
      </c>
      <c r="K17" s="11"/>
      <c r="L17" s="10">
        <v>44029</v>
      </c>
      <c r="M17" s="9" t="s">
        <v>682</v>
      </c>
      <c r="N17" s="13" t="e">
        <f>VLOOKUP(H17,基础数据!G:H,2,FALSE)</f>
        <v>#N/A</v>
      </c>
    </row>
    <row r="18" spans="1:14" s="12" customFormat="1">
      <c r="A18" s="11">
        <v>1530</v>
      </c>
      <c r="B18" s="13" t="str">
        <f>VLOOKUP(A18,基础数据!A:B,2,FALSE)</f>
        <v>张家口</v>
      </c>
      <c r="C18" s="10">
        <v>44021</v>
      </c>
      <c r="D18" s="9"/>
      <c r="E18" s="9">
        <v>4500064518</v>
      </c>
      <c r="F18" s="9"/>
      <c r="G18" s="11">
        <v>2019000591</v>
      </c>
      <c r="H18" s="9" t="s">
        <v>436</v>
      </c>
      <c r="I18" s="11">
        <v>12</v>
      </c>
      <c r="J18" s="11">
        <v>17664</v>
      </c>
      <c r="K18" s="11"/>
      <c r="L18" s="10">
        <v>44029</v>
      </c>
      <c r="M18" s="9" t="s">
        <v>697</v>
      </c>
      <c r="N18" s="13" t="e">
        <f>VLOOKUP(H18,基础数据!G:H,2,FALSE)</f>
        <v>#N/A</v>
      </c>
    </row>
    <row r="19" spans="1:14" s="12" customFormat="1">
      <c r="A19" s="11">
        <v>1530</v>
      </c>
      <c r="B19" s="13" t="str">
        <f>VLOOKUP(A19,基础数据!A:B,2,FALSE)</f>
        <v>张家口</v>
      </c>
      <c r="C19" s="10">
        <v>44021</v>
      </c>
      <c r="D19" s="9"/>
      <c r="E19" s="9">
        <v>4500064518</v>
      </c>
      <c r="F19" s="9"/>
      <c r="G19" s="11">
        <v>2019000591</v>
      </c>
      <c r="H19" s="9" t="s">
        <v>436</v>
      </c>
      <c r="I19" s="11">
        <v>4</v>
      </c>
      <c r="J19" s="11">
        <v>5888</v>
      </c>
      <c r="K19" s="11"/>
      <c r="L19" s="10">
        <v>44029</v>
      </c>
      <c r="M19" s="9" t="s">
        <v>714</v>
      </c>
      <c r="N19" s="13" t="e">
        <f>VLOOKUP(H19,基础数据!G:H,2,FALSE)</f>
        <v>#N/A</v>
      </c>
    </row>
    <row r="20" spans="1:14" s="12" customFormat="1">
      <c r="A20" s="11">
        <v>1530</v>
      </c>
      <c r="B20" s="13" t="str">
        <f>VLOOKUP(A20,基础数据!A:B,2,FALSE)</f>
        <v>张家口</v>
      </c>
      <c r="C20" s="10">
        <v>44037</v>
      </c>
      <c r="D20" s="9"/>
      <c r="E20" s="11">
        <v>4500065991</v>
      </c>
      <c r="F20" s="9"/>
      <c r="G20" s="11">
        <v>2019000591</v>
      </c>
      <c r="H20" s="9" t="s">
        <v>436</v>
      </c>
      <c r="I20" s="11">
        <v>8</v>
      </c>
      <c r="J20" s="11">
        <v>11776</v>
      </c>
      <c r="K20" s="11"/>
      <c r="L20" s="10">
        <v>44068</v>
      </c>
      <c r="M20" s="9" t="s">
        <v>736</v>
      </c>
      <c r="N20" s="13" t="e">
        <f>VLOOKUP(H20,基础数据!G:H,2,FALSE)</f>
        <v>#N/A</v>
      </c>
    </row>
    <row r="21" spans="1:14" s="12" customFormat="1">
      <c r="A21" s="11">
        <v>1530</v>
      </c>
      <c r="B21" s="13" t="str">
        <f>VLOOKUP(A21,基础数据!A:B,2,FALSE)</f>
        <v>张家口</v>
      </c>
      <c r="C21" s="10">
        <v>44037</v>
      </c>
      <c r="D21" s="9"/>
      <c r="E21" s="11">
        <v>4500065991</v>
      </c>
      <c r="F21" s="9"/>
      <c r="G21" s="11">
        <v>1120001233</v>
      </c>
      <c r="H21" s="9" t="s">
        <v>341</v>
      </c>
      <c r="I21" s="11"/>
      <c r="J21" s="11">
        <v>340</v>
      </c>
      <c r="K21" s="11"/>
      <c r="L21" s="10">
        <v>44061</v>
      </c>
      <c r="M21" s="9" t="s">
        <v>737</v>
      </c>
      <c r="N21" s="13" t="str">
        <f>VLOOKUP(H21,基础数据!G:H,2,FALSE)</f>
        <v>WS2000</v>
      </c>
    </row>
    <row r="22" spans="1:14" s="12" customFormat="1">
      <c r="A22" s="11">
        <v>1530</v>
      </c>
      <c r="B22" s="9" t="s">
        <v>727</v>
      </c>
      <c r="C22" s="10">
        <v>44043</v>
      </c>
      <c r="D22" s="9"/>
      <c r="E22" s="9">
        <v>202007106</v>
      </c>
      <c r="F22" s="9"/>
      <c r="G22" s="11">
        <v>1120002854</v>
      </c>
      <c r="H22" s="9" t="s">
        <v>94</v>
      </c>
      <c r="I22" s="11"/>
      <c r="J22" s="11">
        <v>1570</v>
      </c>
      <c r="K22" s="11"/>
      <c r="L22" s="10">
        <v>44049</v>
      </c>
      <c r="M22" s="9" t="s">
        <v>725</v>
      </c>
      <c r="N22" s="13" t="str">
        <f>VLOOKUP(H22,基础数据!G:H,2,FALSE)</f>
        <v>TLX1215-2.54-100</v>
      </c>
    </row>
    <row r="23" spans="1:14" s="12" customFormat="1">
      <c r="A23" s="11">
        <v>1530</v>
      </c>
      <c r="B23" s="9" t="s">
        <v>342</v>
      </c>
      <c r="C23" s="10">
        <v>44043</v>
      </c>
      <c r="D23" s="9"/>
      <c r="E23" s="9">
        <v>202007106</v>
      </c>
      <c r="F23" s="9"/>
      <c r="G23" s="11">
        <v>1120001397</v>
      </c>
      <c r="H23" s="9" t="s">
        <v>10</v>
      </c>
      <c r="I23" s="11"/>
      <c r="J23" s="11">
        <v>2949.1</v>
      </c>
      <c r="K23" s="11"/>
      <c r="L23" s="10">
        <v>44049</v>
      </c>
      <c r="M23" s="9" t="s">
        <v>738</v>
      </c>
      <c r="N23" s="13" t="str">
        <f>VLOOKUP(H23,基础数据!G:H,2,FALSE)</f>
        <v>BX800-2.54-100</v>
      </c>
    </row>
    <row r="24" spans="1:14" s="12" customFormat="1">
      <c r="A24" s="9">
        <v>1530</v>
      </c>
      <c r="B24" s="13" t="str">
        <f>VLOOKUP(A24,基础数据!A:B,2,FALSE)</f>
        <v>张家口</v>
      </c>
      <c r="C24" s="10">
        <v>44046</v>
      </c>
      <c r="D24" s="9"/>
      <c r="E24" s="9">
        <v>4500066659</v>
      </c>
      <c r="F24" s="9"/>
      <c r="G24" s="11">
        <v>1120002596</v>
      </c>
      <c r="H24" s="9" t="s">
        <v>18</v>
      </c>
      <c r="I24" s="11">
        <v>9</v>
      </c>
      <c r="J24" s="11">
        <v>5787</v>
      </c>
      <c r="K24" s="11"/>
      <c r="L24" s="10">
        <v>44050</v>
      </c>
      <c r="M24" s="9" t="s">
        <v>750</v>
      </c>
      <c r="N24" s="13" t="str">
        <f>VLOOKUP(H24,基础数据!G:H,2,FALSE)</f>
        <v>SR140后缘</v>
      </c>
    </row>
    <row r="25" spans="1:14" s="12" customFormat="1">
      <c r="A25" s="11">
        <v>1530</v>
      </c>
      <c r="B25" s="13" t="str">
        <f>VLOOKUP(A25,基础数据!A:B,2,FALSE)</f>
        <v>张家口</v>
      </c>
      <c r="C25" s="10">
        <v>44021</v>
      </c>
      <c r="D25" s="9"/>
      <c r="E25" s="9">
        <v>4500064518</v>
      </c>
      <c r="F25" s="9"/>
      <c r="G25" s="11">
        <v>2019000591</v>
      </c>
      <c r="H25" s="9" t="s">
        <v>436</v>
      </c>
      <c r="I25" s="11">
        <v>8</v>
      </c>
      <c r="J25" s="11">
        <v>11776</v>
      </c>
      <c r="K25" s="11"/>
      <c r="L25" s="10">
        <v>44029</v>
      </c>
      <c r="M25" s="9" t="s">
        <v>776</v>
      </c>
      <c r="N25" s="13" t="e">
        <f>VLOOKUP(H25,基础数据!G:H,2,FALSE)</f>
        <v>#N/A</v>
      </c>
    </row>
    <row r="26" spans="1:14" s="12" customFormat="1">
      <c r="A26" s="9">
        <v>1530</v>
      </c>
      <c r="B26" s="13" t="str">
        <f>VLOOKUP(A26,基础数据!A:B,2,FALSE)</f>
        <v>张家口</v>
      </c>
      <c r="C26" s="10">
        <v>44056</v>
      </c>
      <c r="D26" s="9"/>
      <c r="E26" s="9">
        <v>4500067448</v>
      </c>
      <c r="F26" s="9"/>
      <c r="G26" s="11">
        <v>1120002596</v>
      </c>
      <c r="H26" s="9" t="s">
        <v>18</v>
      </c>
      <c r="I26" s="11">
        <v>6</v>
      </c>
      <c r="J26" s="11">
        <v>3858</v>
      </c>
      <c r="K26" s="11"/>
      <c r="L26" s="10">
        <v>44058</v>
      </c>
      <c r="M26" s="9" t="s">
        <v>814</v>
      </c>
      <c r="N26" s="13" t="str">
        <f>VLOOKUP(H26,基础数据!G:H,2,FALSE)</f>
        <v>SR140后缘</v>
      </c>
    </row>
    <row r="27" spans="1:14" s="12" customFormat="1">
      <c r="A27" s="9">
        <v>1530</v>
      </c>
      <c r="B27" s="13" t="str">
        <f>VLOOKUP(A27,基础数据!A:B,2,FALSE)</f>
        <v>张家口</v>
      </c>
      <c r="C27" s="10">
        <v>44056</v>
      </c>
      <c r="D27" s="9"/>
      <c r="E27" s="9">
        <v>4500067448</v>
      </c>
      <c r="F27" s="9"/>
      <c r="G27" s="11">
        <v>1120002597</v>
      </c>
      <c r="H27" s="9" t="s">
        <v>19</v>
      </c>
      <c r="I27" s="11">
        <v>6</v>
      </c>
      <c r="J27" s="11">
        <v>18396</v>
      </c>
      <c r="K27" s="11"/>
      <c r="L27" s="10">
        <v>44058</v>
      </c>
      <c r="M27" s="9" t="s">
        <v>814</v>
      </c>
      <c r="N27" s="13" t="str">
        <f>VLOOKUP(H27,基础数据!G:H,2,FALSE)</f>
        <v>SR140大梁</v>
      </c>
    </row>
    <row r="28" spans="1:14" s="12" customFormat="1">
      <c r="A28" s="9">
        <v>1530</v>
      </c>
      <c r="B28" s="13" t="str">
        <f>VLOOKUP(A28,基础数据!A:B,2,FALSE)</f>
        <v>张家口</v>
      </c>
      <c r="C28" s="10">
        <v>44056</v>
      </c>
      <c r="D28" s="9"/>
      <c r="E28" s="9">
        <v>4500067448</v>
      </c>
      <c r="F28" s="9"/>
      <c r="G28" s="11">
        <v>1120002596</v>
      </c>
      <c r="H28" s="9" t="s">
        <v>18</v>
      </c>
      <c r="I28" s="11">
        <f>9-6</f>
        <v>3</v>
      </c>
      <c r="J28" s="11">
        <f>5787-3858</f>
        <v>1929</v>
      </c>
      <c r="K28" s="11"/>
      <c r="L28" s="10">
        <v>44058</v>
      </c>
      <c r="M28" s="9" t="s">
        <v>826</v>
      </c>
      <c r="N28" s="13" t="str">
        <f>VLOOKUP(H28,基础数据!G:H,2,FALSE)</f>
        <v>SR140后缘</v>
      </c>
    </row>
    <row r="29" spans="1:14" s="12" customFormat="1">
      <c r="A29" s="9">
        <v>1530</v>
      </c>
      <c r="B29" s="13" t="str">
        <f>VLOOKUP(A29,基础数据!A:B,2,FALSE)</f>
        <v>张家口</v>
      </c>
      <c r="C29" s="10">
        <v>44056</v>
      </c>
      <c r="D29" s="9"/>
      <c r="E29" s="9">
        <v>4500067448</v>
      </c>
      <c r="F29" s="9"/>
      <c r="G29" s="11">
        <v>1120002597</v>
      </c>
      <c r="H29" s="9" t="s">
        <v>19</v>
      </c>
      <c r="I29" s="11">
        <f>9-6</f>
        <v>3</v>
      </c>
      <c r="J29" s="11">
        <f>27594-18396</f>
        <v>9198</v>
      </c>
      <c r="K29" s="11"/>
      <c r="L29" s="10">
        <v>44058</v>
      </c>
      <c r="M29" s="9" t="s">
        <v>826</v>
      </c>
      <c r="N29" s="13" t="str">
        <f>VLOOKUP(H29,基础数据!G:H,2,FALSE)</f>
        <v>SR140大梁</v>
      </c>
    </row>
    <row r="30" spans="1:14" s="12" customFormat="1">
      <c r="A30" s="11">
        <v>1530</v>
      </c>
      <c r="B30" s="13" t="str">
        <f>VLOOKUP(A30,基础数据!A:B,2,FALSE)</f>
        <v>张家口</v>
      </c>
      <c r="C30" s="10">
        <v>44021</v>
      </c>
      <c r="D30" s="9"/>
      <c r="E30" s="9">
        <v>4500064518</v>
      </c>
      <c r="F30" s="9"/>
      <c r="G30" s="11">
        <v>2019000591</v>
      </c>
      <c r="H30" s="9" t="s">
        <v>436</v>
      </c>
      <c r="I30" s="11">
        <v>8</v>
      </c>
      <c r="J30" s="11">
        <v>11776</v>
      </c>
      <c r="K30" s="11"/>
      <c r="L30" s="10">
        <v>44029</v>
      </c>
      <c r="M30" s="9" t="s">
        <v>827</v>
      </c>
      <c r="N30" s="13" t="e">
        <f>VLOOKUP(H30,基础数据!G:H,2,FALSE)</f>
        <v>#N/A</v>
      </c>
    </row>
    <row r="31" spans="1:14" s="12" customFormat="1">
      <c r="A31" s="11">
        <v>1530</v>
      </c>
      <c r="B31" s="13" t="str">
        <f>VLOOKUP(A31,基础数据!A:B,2,FALSE)</f>
        <v>张家口</v>
      </c>
      <c r="C31" s="10">
        <v>44021</v>
      </c>
      <c r="D31" s="9"/>
      <c r="E31" s="9">
        <v>4500064518</v>
      </c>
      <c r="F31" s="9"/>
      <c r="G31" s="11">
        <v>2019000591</v>
      </c>
      <c r="H31" s="9" t="s">
        <v>436</v>
      </c>
      <c r="I31" s="11">
        <v>8</v>
      </c>
      <c r="J31" s="11">
        <v>11776</v>
      </c>
      <c r="K31" s="11"/>
      <c r="L31" s="10">
        <v>44029</v>
      </c>
      <c r="M31" s="9" t="s">
        <v>838</v>
      </c>
      <c r="N31" s="13" t="e">
        <f>VLOOKUP(H31,基础数据!G:H,2,FALSE)</f>
        <v>#N/A</v>
      </c>
    </row>
    <row r="32" spans="1:14" s="12" customFormat="1">
      <c r="A32" s="9">
        <v>1530</v>
      </c>
      <c r="B32" s="13" t="str">
        <f>VLOOKUP(A32,基础数据!A:B,2,FALSE)</f>
        <v>张家口</v>
      </c>
      <c r="C32" s="10">
        <v>44060</v>
      </c>
      <c r="D32" s="9"/>
      <c r="E32" s="9">
        <v>4500067448</v>
      </c>
      <c r="F32" s="9"/>
      <c r="G32" s="11">
        <v>1120002596</v>
      </c>
      <c r="H32" s="9" t="s">
        <v>18</v>
      </c>
      <c r="I32" s="11">
        <v>3</v>
      </c>
      <c r="J32" s="11">
        <v>1929</v>
      </c>
      <c r="K32" s="11"/>
      <c r="L32" s="10">
        <v>44064</v>
      </c>
      <c r="M32" s="9" t="s">
        <v>839</v>
      </c>
      <c r="N32" s="13" t="str">
        <f>VLOOKUP(H32,基础数据!G:H,2,FALSE)</f>
        <v>SR140后缘</v>
      </c>
    </row>
    <row r="33" spans="1:14" s="12" customFormat="1">
      <c r="A33" s="9">
        <v>1530</v>
      </c>
      <c r="B33" s="13" t="str">
        <f>VLOOKUP(A33,基础数据!A:B,2,FALSE)</f>
        <v>张家口</v>
      </c>
      <c r="C33" s="10">
        <v>44060</v>
      </c>
      <c r="D33" s="9"/>
      <c r="E33" s="9">
        <v>4500067448</v>
      </c>
      <c r="F33" s="9"/>
      <c r="G33" s="11">
        <v>1120002597</v>
      </c>
      <c r="H33" s="9" t="s">
        <v>375</v>
      </c>
      <c r="I33" s="11">
        <v>3</v>
      </c>
      <c r="J33" s="11">
        <v>9198</v>
      </c>
      <c r="K33" s="11"/>
      <c r="L33" s="10">
        <v>44064</v>
      </c>
      <c r="M33" s="9" t="s">
        <v>839</v>
      </c>
      <c r="N33" s="13" t="str">
        <f>VLOOKUP(H33,基础数据!G:H,2,FALSE)</f>
        <v>SR140大梁</v>
      </c>
    </row>
    <row r="34" spans="1:14" s="12" customFormat="1">
      <c r="A34" s="11">
        <v>1530</v>
      </c>
      <c r="B34" s="13" t="str">
        <f>VLOOKUP(A34,基础数据!A:B,2,FALSE)</f>
        <v>张家口</v>
      </c>
      <c r="C34" s="10">
        <v>44022</v>
      </c>
      <c r="D34" s="9"/>
      <c r="E34" s="11">
        <v>4500064580</v>
      </c>
      <c r="F34" s="9"/>
      <c r="G34" s="11">
        <v>2019000591</v>
      </c>
      <c r="H34" s="9" t="s">
        <v>436</v>
      </c>
      <c r="I34" s="11">
        <f>16-8</f>
        <v>8</v>
      </c>
      <c r="J34" s="11">
        <v>11776</v>
      </c>
      <c r="K34" s="11"/>
      <c r="L34" s="10">
        <v>44036</v>
      </c>
      <c r="M34" s="9" t="s">
        <v>852</v>
      </c>
      <c r="N34" s="13" t="e">
        <f>VLOOKUP(H34,基础数据!G:H,2,FALSE)</f>
        <v>#N/A</v>
      </c>
    </row>
    <row r="35" spans="1:14" s="23" customFormat="1">
      <c r="A35" s="20">
        <v>1530</v>
      </c>
      <c r="B35" s="7" t="str">
        <f>VLOOKUP(A35,基础数据!A:B,2,FALSE)</f>
        <v>张家口</v>
      </c>
      <c r="C35" s="21">
        <v>44060</v>
      </c>
      <c r="D35" s="20"/>
      <c r="E35" s="20">
        <v>4500067448</v>
      </c>
      <c r="F35" s="20"/>
      <c r="G35" s="22">
        <v>1120002597</v>
      </c>
      <c r="H35" s="20" t="s">
        <v>375</v>
      </c>
      <c r="I35" s="22">
        <v>4</v>
      </c>
      <c r="J35" s="22">
        <v>12264</v>
      </c>
      <c r="K35" s="22"/>
      <c r="L35" s="21">
        <v>44064</v>
      </c>
      <c r="M35" s="20" t="s">
        <v>857</v>
      </c>
      <c r="N35" s="7" t="str">
        <f>VLOOKUP(H35,基础数据!G:H,2,FALSE)</f>
        <v>SR140大梁</v>
      </c>
    </row>
    <row r="36" spans="1:14" s="12" customFormat="1">
      <c r="A36" s="11">
        <v>1530</v>
      </c>
      <c r="B36" s="13" t="str">
        <f>VLOOKUP(A36,基础数据!A:B,2,FALSE)</f>
        <v>张家口</v>
      </c>
      <c r="C36" s="10">
        <v>44022</v>
      </c>
      <c r="D36" s="9"/>
      <c r="E36" s="11">
        <v>4500064580</v>
      </c>
      <c r="F36" s="9"/>
      <c r="G36" s="11">
        <v>2019000591</v>
      </c>
      <c r="H36" s="9" t="s">
        <v>436</v>
      </c>
      <c r="I36" s="11">
        <f>16-8</f>
        <v>8</v>
      </c>
      <c r="J36" s="11">
        <f>16*1474-11776</f>
        <v>11808</v>
      </c>
      <c r="K36" s="11"/>
      <c r="L36" s="10">
        <v>44036</v>
      </c>
      <c r="M36" s="9" t="s">
        <v>1174</v>
      </c>
      <c r="N36" s="13" t="e">
        <f>VLOOKUP(H36,基础数据!G:H,2,FALSE)</f>
        <v>#N/A</v>
      </c>
    </row>
    <row r="37" spans="1:14" s="12" customFormat="1">
      <c r="A37" s="11">
        <v>1530</v>
      </c>
      <c r="B37" s="13" t="str">
        <f>VLOOKUP(A37,基础数据!A:B,2,FALSE)</f>
        <v>张家口</v>
      </c>
      <c r="C37" s="10">
        <v>44037</v>
      </c>
      <c r="D37" s="9"/>
      <c r="E37" s="11">
        <v>4500065991</v>
      </c>
      <c r="F37" s="9"/>
      <c r="G37" s="11">
        <v>2019000591</v>
      </c>
      <c r="H37" s="9" t="s">
        <v>436</v>
      </c>
      <c r="I37" s="11">
        <v>8</v>
      </c>
      <c r="J37" s="11">
        <v>11776</v>
      </c>
      <c r="K37" s="11"/>
      <c r="L37" s="10">
        <v>44068</v>
      </c>
      <c r="M37" s="9" t="s">
        <v>904</v>
      </c>
      <c r="N37" s="13" t="e">
        <f>VLOOKUP(H37,基础数据!G:H,2,FALSE)</f>
        <v>#N/A</v>
      </c>
    </row>
    <row r="38" spans="1:14" s="12" customFormat="1">
      <c r="A38" s="11">
        <v>1530</v>
      </c>
      <c r="B38" s="9" t="s">
        <v>342</v>
      </c>
      <c r="C38" s="10">
        <v>44043</v>
      </c>
      <c r="D38" s="9"/>
      <c r="E38" s="9">
        <v>202007106</v>
      </c>
      <c r="F38" s="9"/>
      <c r="G38" s="11">
        <v>1120001397</v>
      </c>
      <c r="H38" s="9" t="s">
        <v>10</v>
      </c>
      <c r="I38" s="11"/>
      <c r="J38" s="11">
        <v>2907.8</v>
      </c>
      <c r="K38" s="11"/>
      <c r="L38" s="10">
        <v>44049</v>
      </c>
      <c r="M38" s="9" t="s">
        <v>905</v>
      </c>
      <c r="N38" s="13" t="str">
        <f>VLOOKUP(H38,基础数据!G:H,2,FALSE)</f>
        <v>BX800-2.54-100</v>
      </c>
    </row>
    <row r="39" spans="1:14" s="12" customFormat="1">
      <c r="A39" s="11">
        <v>1530</v>
      </c>
      <c r="B39" s="13" t="str">
        <f>VLOOKUP(A39,基础数据!A:B,2,FALSE)</f>
        <v>张家口</v>
      </c>
      <c r="C39" s="10">
        <v>44037</v>
      </c>
      <c r="D39" s="9"/>
      <c r="E39" s="11">
        <v>4500065991</v>
      </c>
      <c r="F39" s="9"/>
      <c r="G39" s="11">
        <v>2019000591</v>
      </c>
      <c r="H39" s="9" t="s">
        <v>436</v>
      </c>
      <c r="I39" s="11">
        <v>8</v>
      </c>
      <c r="J39" s="11">
        <v>11776</v>
      </c>
      <c r="K39" s="11"/>
      <c r="L39" s="10">
        <v>44068</v>
      </c>
      <c r="M39" s="9" t="s">
        <v>924</v>
      </c>
      <c r="N39" s="13" t="e">
        <f>VLOOKUP(H39,基础数据!G:H,2,FALSE)</f>
        <v>#N/A</v>
      </c>
    </row>
    <row r="40" spans="1:14" s="12" customFormat="1">
      <c r="A40" s="11">
        <v>1530</v>
      </c>
      <c r="B40" s="13" t="str">
        <f>VLOOKUP(A40,基础数据!A:B,2,FALSE)</f>
        <v>张家口</v>
      </c>
      <c r="C40" s="10">
        <v>44037</v>
      </c>
      <c r="D40" s="9"/>
      <c r="E40" s="11">
        <v>4500065991</v>
      </c>
      <c r="F40" s="9"/>
      <c r="G40" s="11">
        <v>2019000591</v>
      </c>
      <c r="H40" s="9" t="s">
        <v>436</v>
      </c>
      <c r="I40" s="11">
        <v>8</v>
      </c>
      <c r="J40" s="11">
        <v>11776</v>
      </c>
      <c r="K40" s="11"/>
      <c r="L40" s="10">
        <v>44068</v>
      </c>
      <c r="M40" s="9" t="s">
        <v>966</v>
      </c>
      <c r="N40" s="13" t="e">
        <f>VLOOKUP(H40,基础数据!G:H,2,FALSE)</f>
        <v>#N/A</v>
      </c>
    </row>
    <row r="41" spans="1:14" s="12" customFormat="1">
      <c r="A41" s="11">
        <v>1530</v>
      </c>
      <c r="B41" s="13" t="str">
        <f>VLOOKUP(A41,基础数据!A:B,2,FALSE)</f>
        <v>张家口</v>
      </c>
      <c r="C41" s="10">
        <v>44037</v>
      </c>
      <c r="D41" s="9"/>
      <c r="E41" s="11">
        <v>4500065991</v>
      </c>
      <c r="F41" s="9"/>
      <c r="G41" s="11">
        <v>2019000591</v>
      </c>
      <c r="H41" s="9" t="s">
        <v>436</v>
      </c>
      <c r="I41" s="11">
        <v>8</v>
      </c>
      <c r="J41" s="11">
        <v>11776</v>
      </c>
      <c r="K41" s="11"/>
      <c r="L41" s="10">
        <v>44068</v>
      </c>
      <c r="M41" s="9" t="s">
        <v>978</v>
      </c>
      <c r="N41" s="13" t="e">
        <f>VLOOKUP(H41,基础数据!G:H,2,FALSE)</f>
        <v>#N/A</v>
      </c>
    </row>
    <row r="42" spans="1:14" s="18" customFormat="1">
      <c r="A42" s="15">
        <v>1530</v>
      </c>
      <c r="B42" s="17" t="str">
        <f>VLOOKUP(A42,基础数据!A:B,2,FALSE)</f>
        <v>张家口</v>
      </c>
      <c r="C42" s="16">
        <v>44060</v>
      </c>
      <c r="D42" s="15"/>
      <c r="E42" s="15">
        <v>4500067448</v>
      </c>
      <c r="F42" s="15"/>
      <c r="G42" s="14">
        <v>1120002596</v>
      </c>
      <c r="H42" s="15" t="s">
        <v>18</v>
      </c>
      <c r="I42" s="14">
        <f>9-3</f>
        <v>6</v>
      </c>
      <c r="J42" s="14">
        <f>5787-1929</f>
        <v>3858</v>
      </c>
      <c r="K42" s="14"/>
      <c r="L42" s="16">
        <v>44064</v>
      </c>
      <c r="M42" s="15" t="s">
        <v>1006</v>
      </c>
      <c r="N42" s="17" t="str">
        <f>VLOOKUP(H42,基础数据!G:H,2,FALSE)</f>
        <v>SR140后缘</v>
      </c>
    </row>
    <row r="43" spans="1:14" s="18" customFormat="1">
      <c r="A43" s="15">
        <v>1530</v>
      </c>
      <c r="B43" s="17" t="str">
        <f>VLOOKUP(A43,基础数据!A:B,2,FALSE)</f>
        <v>张家口</v>
      </c>
      <c r="C43" s="16">
        <v>44060</v>
      </c>
      <c r="D43" s="15"/>
      <c r="E43" s="15">
        <v>4500067448</v>
      </c>
      <c r="F43" s="15"/>
      <c r="G43" s="14">
        <v>1120002597</v>
      </c>
      <c r="H43" s="15" t="s">
        <v>375</v>
      </c>
      <c r="I43" s="14">
        <f>9-3-4</f>
        <v>2</v>
      </c>
      <c r="J43" s="14">
        <f>27594-9198-12264</f>
        <v>6132</v>
      </c>
      <c r="K43" s="14"/>
      <c r="L43" s="16">
        <v>44064</v>
      </c>
      <c r="M43" s="15" t="s">
        <v>1007</v>
      </c>
      <c r="N43" s="17" t="str">
        <f>VLOOKUP(H43,基础数据!G:H,2,FALSE)</f>
        <v>SR140大梁</v>
      </c>
    </row>
    <row r="44" spans="1:14" s="12" customFormat="1">
      <c r="A44" s="11">
        <v>1530</v>
      </c>
      <c r="B44" s="13" t="str">
        <f>VLOOKUP(A44,基础数据!A:B,2,FALSE)</f>
        <v>张家口</v>
      </c>
      <c r="C44" s="10">
        <v>44037</v>
      </c>
      <c r="D44" s="9"/>
      <c r="E44" s="11">
        <v>4500065991</v>
      </c>
      <c r="F44" s="9"/>
      <c r="G44" s="11">
        <v>2019000591</v>
      </c>
      <c r="H44" s="9" t="s">
        <v>436</v>
      </c>
      <c r="I44" s="11">
        <f>56-8-8-8-8-8-8</f>
        <v>8</v>
      </c>
      <c r="J44" s="11">
        <v>11776</v>
      </c>
      <c r="K44" s="11"/>
      <c r="L44" s="10">
        <v>44068</v>
      </c>
      <c r="M44" s="9" t="s">
        <v>1020</v>
      </c>
      <c r="N44" s="13" t="e">
        <f>VLOOKUP(H44,基础数据!G:H,2,FALSE)</f>
        <v>#N/A</v>
      </c>
    </row>
    <row r="45" spans="1:14" s="18" customFormat="1">
      <c r="A45" s="14">
        <v>1530</v>
      </c>
      <c r="B45" s="17" t="str">
        <f>VLOOKUP(A45,基础数据!A:B,2,FALSE)</f>
        <v>张家口</v>
      </c>
      <c r="C45" s="16">
        <v>44021</v>
      </c>
      <c r="D45" s="15"/>
      <c r="E45" s="15">
        <v>4500064518</v>
      </c>
      <c r="F45" s="15"/>
      <c r="G45" s="14">
        <v>2019000591</v>
      </c>
      <c r="H45" s="15" t="s">
        <v>436</v>
      </c>
      <c r="I45" s="14">
        <f>60-8-8-12-4-8-8-8</f>
        <v>4</v>
      </c>
      <c r="J45" s="14">
        <f>1474*60-11776-11776-17664-5888-11776-11776-11776</f>
        <v>6008</v>
      </c>
      <c r="K45" s="14"/>
      <c r="L45" s="16">
        <v>44029</v>
      </c>
      <c r="M45" s="15" t="s">
        <v>1021</v>
      </c>
      <c r="N45" s="17" t="e">
        <f>VLOOKUP(H45,基础数据!G:H,2,FALSE)</f>
        <v>#N/A</v>
      </c>
    </row>
    <row r="46" spans="1:14" s="18" customFormat="1">
      <c r="A46" s="14">
        <v>1530</v>
      </c>
      <c r="B46" s="17" t="str">
        <f>VLOOKUP(A46,基础数据!A:B,2,FALSE)</f>
        <v>张家口</v>
      </c>
      <c r="C46" s="16">
        <v>44037</v>
      </c>
      <c r="D46" s="15"/>
      <c r="E46" s="14">
        <v>4500065991</v>
      </c>
      <c r="F46" s="15"/>
      <c r="G46" s="14">
        <v>2019000591</v>
      </c>
      <c r="H46" s="15" t="s">
        <v>436</v>
      </c>
      <c r="I46" s="14">
        <f>56-8-8-8-8-8-8</f>
        <v>8</v>
      </c>
      <c r="J46" s="14">
        <f>56*1474-11776-11776-11776-11776-11776-11776</f>
        <v>11888</v>
      </c>
      <c r="K46" s="14"/>
      <c r="L46" s="16">
        <v>44068</v>
      </c>
      <c r="M46" s="15" t="s">
        <v>1022</v>
      </c>
      <c r="N46" s="17" t="e">
        <f>VLOOKUP(H46,基础数据!G:H,2,FALSE)</f>
        <v>#N/A</v>
      </c>
    </row>
    <row r="47" spans="1:14" s="18" customFormat="1">
      <c r="A47" s="14">
        <v>1530</v>
      </c>
      <c r="B47" s="17" t="str">
        <f>VLOOKUP(A47,基础数据!A:B,2,FALSE)</f>
        <v>张家口</v>
      </c>
      <c r="C47" s="16">
        <v>44057</v>
      </c>
      <c r="D47" s="15"/>
      <c r="E47" s="14">
        <v>4500067749</v>
      </c>
      <c r="F47" s="15"/>
      <c r="G47" s="14">
        <v>2019000591</v>
      </c>
      <c r="H47" s="15" t="s">
        <v>436</v>
      </c>
      <c r="I47" s="14">
        <v>50</v>
      </c>
      <c r="J47" s="14">
        <v>73600</v>
      </c>
      <c r="K47" s="14"/>
      <c r="L47" s="16">
        <v>44099</v>
      </c>
      <c r="M47" s="15" t="s">
        <v>1341</v>
      </c>
      <c r="N47" s="17" t="e">
        <f>VLOOKUP(H47,基础数据!G:H,2,FALSE)</f>
        <v>#N/A</v>
      </c>
    </row>
    <row r="48" spans="1:14" s="18" customFormat="1">
      <c r="A48" s="14">
        <v>1530</v>
      </c>
      <c r="B48" s="15" t="s">
        <v>727</v>
      </c>
      <c r="C48" s="16">
        <v>44043</v>
      </c>
      <c r="D48" s="15"/>
      <c r="E48" s="15">
        <v>202007106</v>
      </c>
      <c r="F48" s="15"/>
      <c r="G48" s="14">
        <v>1120001397</v>
      </c>
      <c r="H48" s="15" t="s">
        <v>10</v>
      </c>
      <c r="I48" s="14"/>
      <c r="J48" s="14">
        <f>12672-2949.1-2907.8</f>
        <v>6815.0999999999995</v>
      </c>
      <c r="K48" s="14"/>
      <c r="L48" s="16">
        <v>44049</v>
      </c>
      <c r="M48" s="15" t="s">
        <v>1023</v>
      </c>
      <c r="N48" s="17" t="str">
        <f>VLOOKUP(H48,基础数据!G:H,2,FALSE)</f>
        <v>BX800-2.54-100</v>
      </c>
    </row>
    <row r="49" spans="1:14" s="12" customFormat="1">
      <c r="A49" s="11">
        <v>1530</v>
      </c>
      <c r="B49" s="13" t="str">
        <f>VLOOKUP(A49,基础数据!A:B,2,FALSE)</f>
        <v>张家口</v>
      </c>
      <c r="C49" s="10">
        <v>44057</v>
      </c>
      <c r="D49" s="9"/>
      <c r="E49" s="11">
        <v>4500067749</v>
      </c>
      <c r="F49" s="9"/>
      <c r="G49" s="11">
        <v>2019000591</v>
      </c>
      <c r="H49" s="9" t="s">
        <v>436</v>
      </c>
      <c r="I49" s="11">
        <f>56-50</f>
        <v>6</v>
      </c>
      <c r="J49" s="11">
        <f>1474*56-73600</f>
        <v>8944</v>
      </c>
      <c r="K49" s="11"/>
      <c r="L49" s="10">
        <v>44099</v>
      </c>
      <c r="M49" s="9" t="s">
        <v>1122</v>
      </c>
      <c r="N49" s="13" t="e">
        <f>VLOOKUP(H49,基础数据!G:H,2,FALSE)</f>
        <v>#N/A</v>
      </c>
    </row>
    <row r="50" spans="1:14" s="12" customFormat="1">
      <c r="A50" s="11">
        <v>1530</v>
      </c>
      <c r="B50" s="13" t="str">
        <f>VLOOKUP(A50,基础数据!A:B,2,FALSE)</f>
        <v>张家口</v>
      </c>
      <c r="C50" s="10">
        <v>44057</v>
      </c>
      <c r="D50" s="9"/>
      <c r="E50" s="11">
        <v>4500067749</v>
      </c>
      <c r="F50" s="9"/>
      <c r="G50" s="11">
        <v>2019000591</v>
      </c>
      <c r="H50" s="9" t="s">
        <v>436</v>
      </c>
      <c r="I50" s="11">
        <v>9</v>
      </c>
      <c r="J50" s="11">
        <v>13248</v>
      </c>
      <c r="K50" s="11"/>
      <c r="L50" s="10">
        <v>44099</v>
      </c>
      <c r="M50" s="9" t="s">
        <v>1347</v>
      </c>
      <c r="N50" s="13" t="e">
        <f>VLOOKUP(H50,基础数据!G:H,2,FALSE)</f>
        <v>#N/A</v>
      </c>
    </row>
    <row r="51" spans="1:14" s="12" customFormat="1">
      <c r="A51" s="11">
        <v>1530</v>
      </c>
      <c r="B51" s="13" t="str">
        <f>VLOOKUP(A51,基础数据!A:B,2,FALSE)</f>
        <v>张家口</v>
      </c>
      <c r="C51" s="10">
        <v>44057</v>
      </c>
      <c r="D51" s="9"/>
      <c r="E51" s="11">
        <v>4500067749</v>
      </c>
      <c r="F51" s="9"/>
      <c r="G51" s="11">
        <v>2019000591</v>
      </c>
      <c r="H51" s="9" t="s">
        <v>436</v>
      </c>
      <c r="I51" s="11">
        <v>13</v>
      </c>
      <c r="J51" s="11">
        <v>19136</v>
      </c>
      <c r="K51" s="11"/>
      <c r="L51" s="10">
        <v>44099</v>
      </c>
      <c r="M51" s="9" t="s">
        <v>1354</v>
      </c>
      <c r="N51" s="13" t="e">
        <f>VLOOKUP(H51,基础数据!G:H,2,FALSE)</f>
        <v>#N/A</v>
      </c>
    </row>
    <row r="52" spans="1:14" s="12" customFormat="1">
      <c r="A52" s="11">
        <v>1530</v>
      </c>
      <c r="B52" s="13" t="str">
        <f>VLOOKUP(A52,基础数据!A:B,2,FALSE)</f>
        <v>张家口</v>
      </c>
      <c r="C52" s="10">
        <v>44117</v>
      </c>
      <c r="D52" s="9"/>
      <c r="E52" s="11">
        <v>4500071936</v>
      </c>
      <c r="F52" s="9"/>
      <c r="G52" s="11">
        <v>1120002596</v>
      </c>
      <c r="H52" s="9" t="s">
        <v>18</v>
      </c>
      <c r="I52" s="11">
        <v>3</v>
      </c>
      <c r="J52" s="11">
        <v>1929</v>
      </c>
      <c r="K52" s="11"/>
      <c r="L52" s="10">
        <v>44124</v>
      </c>
      <c r="M52" s="9" t="s">
        <v>1409</v>
      </c>
      <c r="N52" s="13" t="str">
        <f>VLOOKUP(H52,基础数据!G:H,2,FALSE)</f>
        <v>SR140后缘</v>
      </c>
    </row>
    <row r="53" spans="1:14" s="12" customFormat="1">
      <c r="A53" s="11">
        <v>1530</v>
      </c>
      <c r="B53" s="13" t="str">
        <f>VLOOKUP(A53,基础数据!A:B,2,FALSE)</f>
        <v>张家口</v>
      </c>
      <c r="C53" s="10">
        <v>44117</v>
      </c>
      <c r="D53" s="9"/>
      <c r="E53" s="11">
        <v>4500071936</v>
      </c>
      <c r="F53" s="9"/>
      <c r="G53" s="11">
        <v>1120002597</v>
      </c>
      <c r="H53" s="9" t="s">
        <v>19</v>
      </c>
      <c r="I53" s="11">
        <v>3</v>
      </c>
      <c r="J53" s="11">
        <v>9198</v>
      </c>
      <c r="K53" s="11"/>
      <c r="L53" s="10">
        <v>44124</v>
      </c>
      <c r="M53" s="9" t="s">
        <v>1410</v>
      </c>
      <c r="N53" s="13" t="str">
        <f>VLOOKUP(H53,基础数据!G:H,2,FALSE)</f>
        <v>SR140大梁</v>
      </c>
    </row>
    <row r="54" spans="1:14" s="12" customFormat="1">
      <c r="A54" s="11">
        <v>1530</v>
      </c>
      <c r="B54" s="13" t="str">
        <f>VLOOKUP(A54,基础数据!A:B,2,FALSE)</f>
        <v>张家口</v>
      </c>
      <c r="C54" s="10">
        <v>44117</v>
      </c>
      <c r="D54" s="9"/>
      <c r="E54" s="11">
        <v>4500071936</v>
      </c>
      <c r="F54" s="9"/>
      <c r="G54" s="11">
        <v>1120002596</v>
      </c>
      <c r="H54" s="9" t="s">
        <v>18</v>
      </c>
      <c r="I54" s="11">
        <v>3</v>
      </c>
      <c r="J54" s="11">
        <v>1929</v>
      </c>
      <c r="K54" s="11"/>
      <c r="L54" s="10">
        <v>44124</v>
      </c>
      <c r="M54" s="9" t="s">
        <v>1416</v>
      </c>
      <c r="N54" s="13" t="str">
        <f>VLOOKUP(H54,基础数据!G:H,2,FALSE)</f>
        <v>SR140后缘</v>
      </c>
    </row>
    <row r="55" spans="1:14" s="12" customFormat="1">
      <c r="A55" s="11">
        <v>1530</v>
      </c>
      <c r="B55" s="13" t="str">
        <f>VLOOKUP(A55,基础数据!A:B,2,FALSE)</f>
        <v>张家口</v>
      </c>
      <c r="C55" s="10">
        <v>44117</v>
      </c>
      <c r="D55" s="9"/>
      <c r="E55" s="11">
        <v>4500071936</v>
      </c>
      <c r="F55" s="9"/>
      <c r="G55" s="11">
        <v>1120002597</v>
      </c>
      <c r="H55" s="9" t="s">
        <v>19</v>
      </c>
      <c r="I55" s="11">
        <v>3</v>
      </c>
      <c r="J55" s="11">
        <v>9198</v>
      </c>
      <c r="K55" s="11"/>
      <c r="L55" s="10">
        <v>44124</v>
      </c>
      <c r="M55" s="9" t="s">
        <v>1417</v>
      </c>
      <c r="N55" s="13" t="str">
        <f>VLOOKUP(H55,基础数据!G:H,2,FALSE)</f>
        <v>SR140大梁</v>
      </c>
    </row>
    <row r="56" spans="1:14" s="12" customFormat="1">
      <c r="A56" s="11">
        <v>1530</v>
      </c>
      <c r="B56" s="13" t="str">
        <f>VLOOKUP(A56,基础数据!A:B,2,FALSE)</f>
        <v>张家口</v>
      </c>
      <c r="C56" s="10">
        <v>44117</v>
      </c>
      <c r="D56" s="9"/>
      <c r="E56" s="11">
        <v>4500071936</v>
      </c>
      <c r="F56" s="9"/>
      <c r="G56" s="11">
        <v>1120002596</v>
      </c>
      <c r="H56" s="9" t="s">
        <v>18</v>
      </c>
      <c r="I56" s="11">
        <v>3</v>
      </c>
      <c r="J56" s="11">
        <v>1929</v>
      </c>
      <c r="K56" s="11">
        <f t="shared" ref="K56:K57" si="0">I56</f>
        <v>3</v>
      </c>
      <c r="L56" s="10">
        <v>44124</v>
      </c>
      <c r="M56" s="9" t="s">
        <v>1439</v>
      </c>
      <c r="N56" s="13" t="str">
        <f>VLOOKUP(H56,基础数据!G:H,2,FALSE)</f>
        <v>SR140后缘</v>
      </c>
    </row>
    <row r="57" spans="1:14" s="12" customFormat="1">
      <c r="A57" s="11">
        <v>1530</v>
      </c>
      <c r="B57" s="13" t="str">
        <f>VLOOKUP(A57,基础数据!A:B,2,FALSE)</f>
        <v>张家口</v>
      </c>
      <c r="C57" s="10">
        <v>44117</v>
      </c>
      <c r="D57" s="9"/>
      <c r="E57" s="11">
        <v>4500071936</v>
      </c>
      <c r="F57" s="9"/>
      <c r="G57" s="11">
        <v>1120002597</v>
      </c>
      <c r="H57" s="9" t="s">
        <v>19</v>
      </c>
      <c r="I57" s="11">
        <v>3</v>
      </c>
      <c r="J57" s="11">
        <v>9198</v>
      </c>
      <c r="K57" s="11">
        <f t="shared" si="0"/>
        <v>3</v>
      </c>
      <c r="L57" s="10">
        <v>44124</v>
      </c>
      <c r="M57" s="9" t="s">
        <v>1440</v>
      </c>
      <c r="N57" s="13" t="str">
        <f>VLOOKUP(H57,基础数据!G:H,2,FALSE)</f>
        <v>SR140大梁</v>
      </c>
    </row>
    <row r="58" spans="1:14" s="12" customFormat="1">
      <c r="A58" s="11">
        <v>1530</v>
      </c>
      <c r="B58" s="13" t="str">
        <f>VLOOKUP(A58,基础数据!A:B,2,FALSE)</f>
        <v>张家口</v>
      </c>
      <c r="C58" s="10">
        <v>44118</v>
      </c>
      <c r="D58" s="9"/>
      <c r="E58" s="11">
        <v>4500072046</v>
      </c>
      <c r="F58" s="9"/>
      <c r="G58" s="11">
        <v>1120002596</v>
      </c>
      <c r="H58" s="9" t="s">
        <v>18</v>
      </c>
      <c r="I58" s="11">
        <v>0.1</v>
      </c>
      <c r="J58" s="11">
        <v>170</v>
      </c>
      <c r="K58" s="11">
        <f>I58</f>
        <v>0.1</v>
      </c>
      <c r="L58" s="10">
        <v>44124</v>
      </c>
      <c r="M58" s="9" t="s">
        <v>1447</v>
      </c>
      <c r="N58" s="13" t="str">
        <f>VLOOKUP(H58,基础数据!G:H,2,FALSE)</f>
        <v>SR140后缘</v>
      </c>
    </row>
    <row r="59" spans="1:14" s="12" customFormat="1">
      <c r="A59" s="11">
        <v>1530</v>
      </c>
      <c r="B59" s="13" t="str">
        <f>VLOOKUP(A59,基础数据!A:B,2,FALSE)</f>
        <v>张家口</v>
      </c>
      <c r="C59" s="10">
        <v>44117</v>
      </c>
      <c r="D59" s="9"/>
      <c r="E59" s="11">
        <v>4500071936</v>
      </c>
      <c r="F59" s="9"/>
      <c r="G59" s="11">
        <v>1120002596</v>
      </c>
      <c r="H59" s="9" t="s">
        <v>18</v>
      </c>
      <c r="I59" s="11">
        <v>3</v>
      </c>
      <c r="J59" s="11">
        <v>1929</v>
      </c>
      <c r="K59" s="11">
        <f>I59</f>
        <v>3</v>
      </c>
      <c r="L59" s="10">
        <v>44124</v>
      </c>
      <c r="M59" s="9" t="s">
        <v>1448</v>
      </c>
      <c r="N59" s="13" t="str">
        <f>VLOOKUP(H59,基础数据!G:H,2,FALSE)</f>
        <v>SR140后缘</v>
      </c>
    </row>
    <row r="60" spans="1:14" s="12" customFormat="1">
      <c r="A60" s="11">
        <v>1530</v>
      </c>
      <c r="B60" s="13" t="str">
        <f>VLOOKUP(A60,基础数据!A:B,2,FALSE)</f>
        <v>张家口</v>
      </c>
      <c r="C60" s="10">
        <v>44117</v>
      </c>
      <c r="D60" s="9"/>
      <c r="E60" s="11">
        <v>4500071936</v>
      </c>
      <c r="F60" s="9"/>
      <c r="G60" s="11">
        <v>1120002597</v>
      </c>
      <c r="H60" s="9" t="s">
        <v>19</v>
      </c>
      <c r="I60" s="11">
        <v>3</v>
      </c>
      <c r="J60" s="11">
        <v>9198</v>
      </c>
      <c r="K60" s="11">
        <f>I60</f>
        <v>3</v>
      </c>
      <c r="L60" s="10">
        <v>44124</v>
      </c>
      <c r="M60" s="9" t="s">
        <v>1449</v>
      </c>
      <c r="N60" s="13" t="str">
        <f>VLOOKUP(H60,基础数据!G:H,2,FALSE)</f>
        <v>SR140大梁</v>
      </c>
    </row>
    <row r="61" spans="1:14" s="12" customFormat="1">
      <c r="A61" s="11">
        <v>1530</v>
      </c>
      <c r="B61" s="13" t="str">
        <f>VLOOKUP(A61,基础数据!A:B,2,FALSE)</f>
        <v>张家口</v>
      </c>
      <c r="C61" s="10">
        <v>44117</v>
      </c>
      <c r="D61" s="9"/>
      <c r="E61" s="11">
        <v>4500071936</v>
      </c>
      <c r="F61" s="9"/>
      <c r="G61" s="11">
        <v>1120002596</v>
      </c>
      <c r="H61" s="9" t="s">
        <v>18</v>
      </c>
      <c r="I61" s="11">
        <v>3</v>
      </c>
      <c r="J61" s="11">
        <v>1929</v>
      </c>
      <c r="K61" s="11">
        <f t="shared" ref="K61:K62" si="1">I61</f>
        <v>3</v>
      </c>
      <c r="L61" s="10">
        <v>44124</v>
      </c>
      <c r="M61" s="9" t="s">
        <v>1460</v>
      </c>
      <c r="N61" s="13" t="str">
        <f>VLOOKUP(H61,基础数据!G:H,2,FALSE)</f>
        <v>SR140后缘</v>
      </c>
    </row>
    <row r="62" spans="1:14" s="12" customFormat="1">
      <c r="A62" s="11">
        <v>1530</v>
      </c>
      <c r="B62" s="13" t="str">
        <f>VLOOKUP(A62,基础数据!A:B,2,FALSE)</f>
        <v>张家口</v>
      </c>
      <c r="C62" s="10">
        <v>44117</v>
      </c>
      <c r="D62" s="9"/>
      <c r="E62" s="11">
        <v>4500071936</v>
      </c>
      <c r="F62" s="9"/>
      <c r="G62" s="11">
        <v>1120002597</v>
      </c>
      <c r="H62" s="9" t="s">
        <v>19</v>
      </c>
      <c r="I62" s="11">
        <v>3</v>
      </c>
      <c r="J62" s="11">
        <v>9198</v>
      </c>
      <c r="K62" s="11">
        <f t="shared" si="1"/>
        <v>3</v>
      </c>
      <c r="L62" s="10">
        <v>44124</v>
      </c>
      <c r="M62" s="9" t="s">
        <v>1461</v>
      </c>
      <c r="N62" s="13" t="str">
        <f>VLOOKUP(H62,基础数据!G:H,2,FALSE)</f>
        <v>SR140大梁</v>
      </c>
    </row>
    <row r="63" spans="1:14" s="12" customFormat="1">
      <c r="A63" s="11">
        <v>1530</v>
      </c>
      <c r="B63" s="13" t="str">
        <f>VLOOKUP(A63,基础数据!A:B,2,FALSE)</f>
        <v>张家口</v>
      </c>
      <c r="C63" s="10">
        <v>44117</v>
      </c>
      <c r="D63" s="9"/>
      <c r="E63" s="11">
        <v>4500071936</v>
      </c>
      <c r="F63" s="9"/>
      <c r="G63" s="11">
        <v>1120002596</v>
      </c>
      <c r="H63" s="9" t="s">
        <v>18</v>
      </c>
      <c r="I63" s="11">
        <f>17-3-3-3-3-3</f>
        <v>2</v>
      </c>
      <c r="J63" s="11">
        <f>10931-1929-1929-1929-1929-1929</f>
        <v>1286</v>
      </c>
      <c r="K63" s="11">
        <f t="shared" ref="K63:K72" si="2">I63</f>
        <v>2</v>
      </c>
      <c r="L63" s="10">
        <v>44124</v>
      </c>
      <c r="M63" s="9" t="s">
        <v>1480</v>
      </c>
      <c r="N63" s="13" t="str">
        <f>VLOOKUP(H63,基础数据!G:H,2,FALSE)</f>
        <v>SR140后缘</v>
      </c>
    </row>
    <row r="64" spans="1:14" s="12" customFormat="1">
      <c r="A64" s="11">
        <v>1530</v>
      </c>
      <c r="B64" s="13" t="str">
        <f>VLOOKUP(A64,基础数据!A:B,2,FALSE)</f>
        <v>张家口</v>
      </c>
      <c r="C64" s="10">
        <v>44117</v>
      </c>
      <c r="D64" s="9"/>
      <c r="E64" s="11">
        <v>4500071936</v>
      </c>
      <c r="F64" s="9"/>
      <c r="G64" s="11">
        <v>1120002597</v>
      </c>
      <c r="H64" s="9" t="s">
        <v>19</v>
      </c>
      <c r="I64" s="11">
        <v>3</v>
      </c>
      <c r="J64" s="11">
        <v>9198</v>
      </c>
      <c r="K64" s="11">
        <f t="shared" si="2"/>
        <v>3</v>
      </c>
      <c r="L64" s="10">
        <v>44124</v>
      </c>
      <c r="M64" s="9" t="s">
        <v>1481</v>
      </c>
      <c r="N64" s="13" t="str">
        <f>VLOOKUP(H64,基础数据!G:H,2,FALSE)</f>
        <v>SR140大梁</v>
      </c>
    </row>
    <row r="65" spans="1:14" s="12" customFormat="1">
      <c r="A65" s="11">
        <v>1530</v>
      </c>
      <c r="B65" s="13" t="str">
        <f>VLOOKUP(A65,基础数据!A:B,2,FALSE)</f>
        <v>张家口</v>
      </c>
      <c r="C65" s="10">
        <v>44117</v>
      </c>
      <c r="D65" s="9"/>
      <c r="E65" s="11">
        <v>4500071936</v>
      </c>
      <c r="F65" s="9"/>
      <c r="G65" s="11">
        <v>1120002597</v>
      </c>
      <c r="H65" s="9" t="s">
        <v>19</v>
      </c>
      <c r="I65" s="11">
        <f>20-3-3-3-3-3-3</f>
        <v>2</v>
      </c>
      <c r="J65" s="11">
        <f>61320-9198-9198-9198-9198-9198-9198</f>
        <v>6132</v>
      </c>
      <c r="K65" s="11">
        <f t="shared" si="2"/>
        <v>2</v>
      </c>
      <c r="L65" s="10">
        <v>44124</v>
      </c>
      <c r="M65" s="9" t="s">
        <v>1494</v>
      </c>
      <c r="N65" s="13" t="str">
        <f>VLOOKUP(H65,基础数据!G:H,2,FALSE)</f>
        <v>SR140大梁</v>
      </c>
    </row>
    <row r="66" spans="1:14" s="12" customFormat="1">
      <c r="A66" s="11">
        <v>1530</v>
      </c>
      <c r="B66" s="13" t="str">
        <f>VLOOKUP(A66,基础数据!A:B,2,FALSE)</f>
        <v>张家口</v>
      </c>
      <c r="C66" s="10">
        <v>44118</v>
      </c>
      <c r="D66" s="9"/>
      <c r="E66" s="11">
        <v>4500072046</v>
      </c>
      <c r="F66" s="9"/>
      <c r="G66" s="11">
        <v>1120002597</v>
      </c>
      <c r="H66" s="9" t="s">
        <v>19</v>
      </c>
      <c r="I66" s="11">
        <v>2</v>
      </c>
      <c r="J66" s="11">
        <v>6132</v>
      </c>
      <c r="K66" s="11">
        <f t="shared" si="2"/>
        <v>2</v>
      </c>
      <c r="L66" s="10">
        <v>44124</v>
      </c>
      <c r="M66" s="9" t="s">
        <v>1493</v>
      </c>
      <c r="N66" s="13" t="str">
        <f>VLOOKUP(H66,基础数据!G:H,2,FALSE)</f>
        <v>SR140大梁</v>
      </c>
    </row>
    <row r="67" spans="1:14" s="12" customFormat="1">
      <c r="A67" s="11">
        <v>1530</v>
      </c>
      <c r="B67" s="13" t="str">
        <f>VLOOKUP(A67,基础数据!A:B,2,FALSE)</f>
        <v>张家口</v>
      </c>
      <c r="C67" s="10">
        <v>44118</v>
      </c>
      <c r="D67" s="9"/>
      <c r="E67" s="11">
        <v>4500072046</v>
      </c>
      <c r="F67" s="9"/>
      <c r="G67" s="11">
        <v>1120002597</v>
      </c>
      <c r="H67" s="9" t="s">
        <v>19</v>
      </c>
      <c r="I67" s="11">
        <f>10-2-3</f>
        <v>5</v>
      </c>
      <c r="J67" s="11">
        <f>31485-6132-9198</f>
        <v>16155</v>
      </c>
      <c r="K67" s="11">
        <f t="shared" si="2"/>
        <v>5</v>
      </c>
      <c r="L67" s="10">
        <v>44124</v>
      </c>
      <c r="M67" s="9" t="s">
        <v>1503</v>
      </c>
      <c r="N67" s="13" t="str">
        <f>VLOOKUP(H67,基础数据!G:H,2,FALSE)</f>
        <v>SR140大梁</v>
      </c>
    </row>
    <row r="68" spans="1:14" s="12" customFormat="1">
      <c r="A68" s="11">
        <v>1530</v>
      </c>
      <c r="B68" s="13" t="str">
        <f>VLOOKUP(A68,基础数据!A:B,2,FALSE)</f>
        <v>张家口</v>
      </c>
      <c r="C68" s="10">
        <v>44057</v>
      </c>
      <c r="D68" s="9"/>
      <c r="E68" s="11">
        <v>4500067749</v>
      </c>
      <c r="F68" s="9"/>
      <c r="G68" s="11">
        <v>2019000591</v>
      </c>
      <c r="H68" s="9" t="s">
        <v>436</v>
      </c>
      <c r="I68" s="11">
        <f>30-9-13</f>
        <v>8</v>
      </c>
      <c r="J68" s="11">
        <f>44160-13248-19136</f>
        <v>11776</v>
      </c>
      <c r="K68" s="11">
        <f t="shared" si="2"/>
        <v>8</v>
      </c>
      <c r="L68" s="10">
        <v>44099</v>
      </c>
      <c r="M68" s="9" t="s">
        <v>1552</v>
      </c>
      <c r="N68" s="13" t="e">
        <f>VLOOKUP(H68,基础数据!G:H,2,FALSE)</f>
        <v>#N/A</v>
      </c>
    </row>
    <row r="69" spans="1:14" s="12" customFormat="1">
      <c r="A69" s="11">
        <v>1530</v>
      </c>
      <c r="B69" s="13" t="str">
        <f>VLOOKUP(A69,基础数据!A:B,2,FALSE)</f>
        <v>张家口</v>
      </c>
      <c r="C69" s="10">
        <v>44127</v>
      </c>
      <c r="D69" s="9"/>
      <c r="E69" s="11">
        <v>4500072678</v>
      </c>
      <c r="F69" s="9"/>
      <c r="G69" s="11">
        <v>1120002746</v>
      </c>
      <c r="H69" s="9" t="s">
        <v>288</v>
      </c>
      <c r="I69" s="11">
        <v>4</v>
      </c>
      <c r="J69" s="11">
        <v>14016</v>
      </c>
      <c r="K69" s="11">
        <f t="shared" si="2"/>
        <v>4</v>
      </c>
      <c r="L69" s="10">
        <v>44150</v>
      </c>
      <c r="M69" s="9" t="s">
        <v>1553</v>
      </c>
      <c r="N69" s="13" t="str">
        <f>VLOOKUP(H69,基础数据!G:H,2,FALSE)</f>
        <v>SR146Ⅱ大梁</v>
      </c>
    </row>
    <row r="70" spans="1:14" s="12" customFormat="1">
      <c r="A70" s="11">
        <v>1530</v>
      </c>
      <c r="B70" s="13" t="str">
        <f>VLOOKUP(A70,基础数据!A:B,2,FALSE)</f>
        <v>张家口</v>
      </c>
      <c r="C70" s="10">
        <v>44127</v>
      </c>
      <c r="D70" s="9"/>
      <c r="E70" s="11">
        <v>4500072678</v>
      </c>
      <c r="F70" s="9"/>
      <c r="G70" s="11">
        <v>1120002747</v>
      </c>
      <c r="H70" s="9" t="s">
        <v>289</v>
      </c>
      <c r="I70" s="11">
        <v>4</v>
      </c>
      <c r="J70" s="11">
        <v>2344</v>
      </c>
      <c r="K70" s="11">
        <f t="shared" si="2"/>
        <v>4</v>
      </c>
      <c r="L70" s="10">
        <v>44150</v>
      </c>
      <c r="M70" s="9" t="s">
        <v>1553</v>
      </c>
      <c r="N70" s="13" t="str">
        <f>VLOOKUP(H70,基础数据!G:H,2,FALSE)</f>
        <v>SR146Ⅱ后缘</v>
      </c>
    </row>
    <row r="71" spans="1:14" s="12" customFormat="1">
      <c r="A71" s="11">
        <v>1530</v>
      </c>
      <c r="B71" s="13" t="str">
        <f>VLOOKUP(A71,基础数据!A:B,2,FALSE)</f>
        <v>张家口</v>
      </c>
      <c r="C71" s="10">
        <v>44127</v>
      </c>
      <c r="D71" s="9"/>
      <c r="E71" s="11">
        <v>4500072678</v>
      </c>
      <c r="F71" s="9"/>
      <c r="G71" s="11">
        <v>1120002746</v>
      </c>
      <c r="H71" s="9" t="s">
        <v>288</v>
      </c>
      <c r="I71" s="11">
        <v>4</v>
      </c>
      <c r="J71" s="11">
        <v>14016</v>
      </c>
      <c r="K71" s="11">
        <f t="shared" si="2"/>
        <v>4</v>
      </c>
      <c r="L71" s="10">
        <v>44150</v>
      </c>
      <c r="M71" s="9" t="s">
        <v>1673</v>
      </c>
      <c r="N71" s="13" t="str">
        <f>VLOOKUP(H71,基础数据!G:H,2,FALSE)</f>
        <v>SR146Ⅱ大梁</v>
      </c>
    </row>
    <row r="72" spans="1:14" s="12" customFormat="1">
      <c r="A72" s="11">
        <v>1530</v>
      </c>
      <c r="B72" s="13" t="str">
        <f>VLOOKUP(A72,基础数据!A:B,2,FALSE)</f>
        <v>张家口</v>
      </c>
      <c r="C72" s="10">
        <v>44127</v>
      </c>
      <c r="D72" s="9"/>
      <c r="E72" s="11">
        <v>4500072678</v>
      </c>
      <c r="F72" s="9"/>
      <c r="G72" s="11">
        <v>1120002747</v>
      </c>
      <c r="H72" s="9" t="s">
        <v>289</v>
      </c>
      <c r="I72" s="11">
        <v>4</v>
      </c>
      <c r="J72" s="11">
        <v>2344</v>
      </c>
      <c r="K72" s="11">
        <f t="shared" si="2"/>
        <v>4</v>
      </c>
      <c r="L72" s="10">
        <v>44150</v>
      </c>
      <c r="M72" s="9" t="s">
        <v>1673</v>
      </c>
      <c r="N72" s="13" t="str">
        <f>VLOOKUP(H72,基础数据!G:H,2,FALSE)</f>
        <v>SR146Ⅱ后缘</v>
      </c>
    </row>
    <row r="73" spans="1:14" s="12" customFormat="1">
      <c r="A73" s="11">
        <v>1530</v>
      </c>
      <c r="B73" s="13" t="str">
        <f>VLOOKUP(A73,基础数据!A:B,2,FALSE)</f>
        <v>张家口</v>
      </c>
      <c r="C73" s="10">
        <v>44127</v>
      </c>
      <c r="D73" s="9"/>
      <c r="E73" s="11">
        <v>4500072678</v>
      </c>
      <c r="F73" s="9"/>
      <c r="G73" s="11">
        <v>1120002891</v>
      </c>
      <c r="H73" s="9" t="s">
        <v>1469</v>
      </c>
      <c r="I73" s="11">
        <v>33</v>
      </c>
      <c r="J73" s="11">
        <v>620.4</v>
      </c>
      <c r="K73" s="11">
        <f>I73</f>
        <v>33</v>
      </c>
      <c r="L73" s="10">
        <v>44150</v>
      </c>
      <c r="M73" s="9" t="s">
        <v>1690</v>
      </c>
      <c r="N73" s="13" t="str">
        <f>VLOOKUP(H73,基础数据!G:H,2,FALSE)</f>
        <v>SR146Ⅱ前缘</v>
      </c>
    </row>
    <row r="74" spans="1:14" s="12" customFormat="1">
      <c r="A74" s="11">
        <v>1530</v>
      </c>
      <c r="B74" s="13" t="str">
        <f>VLOOKUP(A74,基础数据!A:B,2,FALSE)</f>
        <v>张家口</v>
      </c>
      <c r="C74" s="10">
        <v>44127</v>
      </c>
      <c r="D74" s="9"/>
      <c r="E74" s="11">
        <v>4500072678</v>
      </c>
      <c r="F74" s="9"/>
      <c r="G74" s="11">
        <v>1120002746</v>
      </c>
      <c r="H74" s="9" t="s">
        <v>288</v>
      </c>
      <c r="I74" s="11">
        <v>3</v>
      </c>
      <c r="J74" s="11">
        <v>10512</v>
      </c>
      <c r="K74" s="11">
        <f>I74</f>
        <v>3</v>
      </c>
      <c r="L74" s="10">
        <v>44150</v>
      </c>
      <c r="M74" s="9" t="s">
        <v>1691</v>
      </c>
      <c r="N74" s="13" t="str">
        <f>VLOOKUP(H74,基础数据!G:H,2,FALSE)</f>
        <v>SR146Ⅱ大梁</v>
      </c>
    </row>
    <row r="75" spans="1:14" s="12" customFormat="1">
      <c r="A75" s="11">
        <v>1530</v>
      </c>
      <c r="B75" s="13" t="str">
        <f>VLOOKUP(A75,基础数据!A:B,2,FALSE)</f>
        <v>张家口</v>
      </c>
      <c r="C75" s="10">
        <v>44127</v>
      </c>
      <c r="D75" s="9"/>
      <c r="E75" s="11">
        <v>4500072678</v>
      </c>
      <c r="F75" s="9"/>
      <c r="G75" s="11">
        <v>1120002747</v>
      </c>
      <c r="H75" s="9" t="s">
        <v>289</v>
      </c>
      <c r="I75" s="11">
        <v>3</v>
      </c>
      <c r="J75" s="11">
        <v>1758</v>
      </c>
      <c r="K75" s="11">
        <f>I75</f>
        <v>3</v>
      </c>
      <c r="L75" s="10">
        <v>44150</v>
      </c>
      <c r="M75" s="9" t="s">
        <v>1691</v>
      </c>
      <c r="N75" s="13" t="str">
        <f>VLOOKUP(H75,基础数据!G:H,2,FALSE)</f>
        <v>SR146Ⅱ后缘</v>
      </c>
    </row>
    <row r="76" spans="1:14" s="12" customFormat="1">
      <c r="A76" s="11">
        <v>1530</v>
      </c>
      <c r="B76" s="13" t="str">
        <f>VLOOKUP(A76,基础数据!A:B,2,FALSE)</f>
        <v>张家口</v>
      </c>
      <c r="C76" s="10">
        <v>44127</v>
      </c>
      <c r="D76" s="9"/>
      <c r="E76" s="11">
        <v>4500072678</v>
      </c>
      <c r="F76" s="9"/>
      <c r="G76" s="11">
        <v>1120002746</v>
      </c>
      <c r="H76" s="9" t="s">
        <v>288</v>
      </c>
      <c r="I76" s="11">
        <v>4</v>
      </c>
      <c r="J76" s="11">
        <v>14016</v>
      </c>
      <c r="K76" s="11">
        <f t="shared" ref="K76:K79" si="3">I76</f>
        <v>4</v>
      </c>
      <c r="L76" s="10">
        <v>44150</v>
      </c>
      <c r="M76" s="9" t="s">
        <v>1718</v>
      </c>
      <c r="N76" s="13" t="str">
        <f>VLOOKUP(H76,基础数据!G:H,2,FALSE)</f>
        <v>SR146Ⅱ大梁</v>
      </c>
    </row>
    <row r="77" spans="1:14" s="12" customFormat="1">
      <c r="A77" s="11">
        <v>1530</v>
      </c>
      <c r="B77" s="13" t="str">
        <f>VLOOKUP(A77,基础数据!A:B,2,FALSE)</f>
        <v>张家口</v>
      </c>
      <c r="C77" s="10">
        <v>44127</v>
      </c>
      <c r="D77" s="9"/>
      <c r="E77" s="11">
        <v>4500072678</v>
      </c>
      <c r="F77" s="9"/>
      <c r="G77" s="11">
        <v>1120002747</v>
      </c>
      <c r="H77" s="9" t="s">
        <v>289</v>
      </c>
      <c r="I77" s="11">
        <v>4</v>
      </c>
      <c r="J77" s="11">
        <v>2344</v>
      </c>
      <c r="K77" s="11">
        <f t="shared" si="3"/>
        <v>4</v>
      </c>
      <c r="L77" s="10">
        <v>44150</v>
      </c>
      <c r="M77" s="9" t="s">
        <v>1718</v>
      </c>
      <c r="N77" s="13" t="str">
        <f>VLOOKUP(H77,基础数据!G:H,2,FALSE)</f>
        <v>SR146Ⅱ后缘</v>
      </c>
    </row>
    <row r="78" spans="1:14" s="12" customFormat="1">
      <c r="A78" s="11">
        <v>1530</v>
      </c>
      <c r="B78" s="13" t="str">
        <f>VLOOKUP(A78,基础数据!A:B,2,FALSE)</f>
        <v>张家口</v>
      </c>
      <c r="C78" s="10">
        <v>44127</v>
      </c>
      <c r="D78" s="9"/>
      <c r="E78" s="11">
        <v>4500072678</v>
      </c>
      <c r="F78" s="9"/>
      <c r="G78" s="11">
        <v>1120002746</v>
      </c>
      <c r="H78" s="9" t="s">
        <v>288</v>
      </c>
      <c r="I78" s="11">
        <v>4</v>
      </c>
      <c r="J78" s="11">
        <v>14016</v>
      </c>
      <c r="K78" s="11">
        <f t="shared" si="3"/>
        <v>4</v>
      </c>
      <c r="L78" s="10">
        <v>44150</v>
      </c>
      <c r="M78" s="9" t="s">
        <v>1790</v>
      </c>
      <c r="N78" s="13" t="str">
        <f>VLOOKUP(H78,基础数据!G:H,2,FALSE)</f>
        <v>SR146Ⅱ大梁</v>
      </c>
    </row>
    <row r="79" spans="1:14" s="12" customFormat="1">
      <c r="A79" s="11">
        <v>1530</v>
      </c>
      <c r="B79" s="13" t="str">
        <f>VLOOKUP(A79,基础数据!A:B,2,FALSE)</f>
        <v>张家口</v>
      </c>
      <c r="C79" s="10">
        <v>44127</v>
      </c>
      <c r="D79" s="9"/>
      <c r="E79" s="11">
        <v>4500072678</v>
      </c>
      <c r="F79" s="9"/>
      <c r="G79" s="11">
        <v>1120002747</v>
      </c>
      <c r="H79" s="9" t="s">
        <v>289</v>
      </c>
      <c r="I79" s="11">
        <v>4</v>
      </c>
      <c r="J79" s="11">
        <v>2344</v>
      </c>
      <c r="K79" s="11">
        <f t="shared" si="3"/>
        <v>4</v>
      </c>
      <c r="L79" s="10">
        <v>44150</v>
      </c>
      <c r="M79" s="9" t="s">
        <v>1791</v>
      </c>
      <c r="N79" s="13" t="str">
        <f>VLOOKUP(H79,基础数据!G:H,2,FALSE)</f>
        <v>SR146Ⅱ后缘</v>
      </c>
    </row>
    <row r="80" spans="1:14" s="12" customFormat="1">
      <c r="A80" s="11">
        <v>1530</v>
      </c>
      <c r="B80" s="13" t="str">
        <f>VLOOKUP(A80,基础数据!A:B,2,FALSE)</f>
        <v>张家口</v>
      </c>
      <c r="C80" s="10">
        <v>44127</v>
      </c>
      <c r="D80" s="9"/>
      <c r="E80" s="11">
        <v>4500072678</v>
      </c>
      <c r="F80" s="9"/>
      <c r="G80" s="11">
        <v>1120002746</v>
      </c>
      <c r="H80" s="9" t="s">
        <v>288</v>
      </c>
      <c r="I80" s="11">
        <v>4</v>
      </c>
      <c r="J80" s="11">
        <v>14016</v>
      </c>
      <c r="K80" s="11">
        <f>I80</f>
        <v>4</v>
      </c>
      <c r="L80" s="10">
        <v>44150</v>
      </c>
      <c r="M80" s="9" t="s">
        <v>1807</v>
      </c>
      <c r="N80" s="13" t="str">
        <f>VLOOKUP(H80,基础数据!G:H,2,FALSE)</f>
        <v>SR146Ⅱ大梁</v>
      </c>
    </row>
    <row r="81" spans="1:14" s="12" customFormat="1">
      <c r="A81" s="11">
        <v>1530</v>
      </c>
      <c r="B81" s="13" t="str">
        <f>VLOOKUP(A81,基础数据!A:B,2,FALSE)</f>
        <v>张家口</v>
      </c>
      <c r="C81" s="10">
        <v>44127</v>
      </c>
      <c r="D81" s="9"/>
      <c r="E81" s="11">
        <v>4500072678</v>
      </c>
      <c r="F81" s="9"/>
      <c r="G81" s="11">
        <v>1120002747</v>
      </c>
      <c r="H81" s="9" t="s">
        <v>289</v>
      </c>
      <c r="I81" s="11">
        <v>4</v>
      </c>
      <c r="J81" s="11">
        <v>2344</v>
      </c>
      <c r="K81" s="11">
        <f>I81</f>
        <v>4</v>
      </c>
      <c r="L81" s="10">
        <v>44150</v>
      </c>
      <c r="M81" s="9" t="s">
        <v>1807</v>
      </c>
      <c r="N81" s="13" t="str">
        <f>VLOOKUP(H81,基础数据!G:H,2,FALSE)</f>
        <v>SR146Ⅱ后缘</v>
      </c>
    </row>
    <row r="82" spans="1:14" s="12" customFormat="1">
      <c r="A82" s="11">
        <v>1530</v>
      </c>
      <c r="B82" s="13" t="str">
        <f>VLOOKUP(A82,基础数据!A:B,2,FALSE)</f>
        <v>张家口</v>
      </c>
      <c r="C82" s="10">
        <v>44127</v>
      </c>
      <c r="D82" s="9"/>
      <c r="E82" s="11">
        <v>4500072678</v>
      </c>
      <c r="F82" s="9"/>
      <c r="G82" s="11">
        <v>1120002746</v>
      </c>
      <c r="H82" s="9" t="s">
        <v>288</v>
      </c>
      <c r="I82" s="11">
        <v>4</v>
      </c>
      <c r="J82" s="11">
        <v>14016</v>
      </c>
      <c r="K82" s="11">
        <f t="shared" ref="K82:K83" si="4">I82</f>
        <v>4</v>
      </c>
      <c r="L82" s="10">
        <v>44150</v>
      </c>
      <c r="M82" s="9" t="s">
        <v>1815</v>
      </c>
      <c r="N82" s="13" t="str">
        <f>VLOOKUP(H82,基础数据!G:H,2,FALSE)</f>
        <v>SR146Ⅱ大梁</v>
      </c>
    </row>
    <row r="83" spans="1:14" s="12" customFormat="1">
      <c r="A83" s="11">
        <v>1530</v>
      </c>
      <c r="B83" s="13" t="str">
        <f>VLOOKUP(A83,基础数据!A:B,2,FALSE)</f>
        <v>张家口</v>
      </c>
      <c r="C83" s="10">
        <v>44127</v>
      </c>
      <c r="D83" s="9"/>
      <c r="E83" s="11">
        <v>4500072678</v>
      </c>
      <c r="F83" s="9"/>
      <c r="G83" s="11">
        <v>1120002747</v>
      </c>
      <c r="H83" s="9" t="s">
        <v>289</v>
      </c>
      <c r="I83" s="11">
        <v>4</v>
      </c>
      <c r="J83" s="11">
        <v>2344</v>
      </c>
      <c r="K83" s="11">
        <f t="shared" si="4"/>
        <v>4</v>
      </c>
      <c r="L83" s="10">
        <v>44150</v>
      </c>
      <c r="M83" s="9" t="s">
        <v>1816</v>
      </c>
      <c r="N83" s="13" t="str">
        <f>VLOOKUP(H83,基础数据!G:H,2,FALSE)</f>
        <v>SR146Ⅱ后缘</v>
      </c>
    </row>
    <row r="84" spans="1:14" s="38" customFormat="1">
      <c r="A84" s="37">
        <v>1530</v>
      </c>
      <c r="B84" s="35" t="str">
        <f>VLOOKUP(A84,基础数据!A:B,2,FALSE)</f>
        <v>张家口</v>
      </c>
      <c r="C84" s="36">
        <v>44174</v>
      </c>
      <c r="D84" s="37"/>
      <c r="E84" s="37">
        <v>4500075618</v>
      </c>
      <c r="F84" s="37"/>
      <c r="G84" s="34">
        <v>1120002746</v>
      </c>
      <c r="H84" s="37" t="s">
        <v>288</v>
      </c>
      <c r="I84" s="34"/>
      <c r="J84" s="34">
        <v>212</v>
      </c>
      <c r="K84" s="34">
        <v>0.05</v>
      </c>
      <c r="L84" s="36">
        <v>44177</v>
      </c>
      <c r="M84" s="37" t="s">
        <v>1825</v>
      </c>
      <c r="N84" s="35" t="str">
        <f>VLOOKUP(H84,基础数据!G:H,2,FALSE)</f>
        <v>SR146Ⅱ大梁</v>
      </c>
    </row>
    <row r="85" spans="1:14" s="38" customFormat="1">
      <c r="A85" s="37">
        <v>1530</v>
      </c>
      <c r="B85" s="35" t="str">
        <f>VLOOKUP(A85,基础数据!A:B,2,FALSE)</f>
        <v>张家口</v>
      </c>
      <c r="C85" s="36">
        <v>44174</v>
      </c>
      <c r="D85" s="37"/>
      <c r="E85" s="37">
        <v>4500075618</v>
      </c>
      <c r="F85" s="37"/>
      <c r="G85" s="34">
        <v>1120001397</v>
      </c>
      <c r="H85" s="37" t="s">
        <v>10</v>
      </c>
      <c r="I85" s="34"/>
      <c r="J85" s="34">
        <v>2940</v>
      </c>
      <c r="K85" s="34">
        <f>J85</f>
        <v>2940</v>
      </c>
      <c r="L85" s="36">
        <v>44177</v>
      </c>
      <c r="M85" s="37" t="s">
        <v>1826</v>
      </c>
      <c r="N85" s="35" t="str">
        <f>VLOOKUP(H85,基础数据!G:H,2,FALSE)</f>
        <v>BX800-2.54-100</v>
      </c>
    </row>
    <row r="86" spans="1:14" s="38" customFormat="1">
      <c r="A86" s="34">
        <v>1530</v>
      </c>
      <c r="B86" s="35" t="str">
        <f>VLOOKUP(A86,基础数据!A:B,2,FALSE)</f>
        <v>张家口</v>
      </c>
      <c r="C86" s="36">
        <v>44127</v>
      </c>
      <c r="D86" s="37"/>
      <c r="E86" s="34">
        <v>4500072678</v>
      </c>
      <c r="F86" s="37"/>
      <c r="G86" s="34">
        <v>1120002746</v>
      </c>
      <c r="H86" s="37" t="s">
        <v>288</v>
      </c>
      <c r="I86" s="34">
        <v>4</v>
      </c>
      <c r="J86" s="34">
        <v>14016</v>
      </c>
      <c r="K86" s="34">
        <f t="shared" ref="K86:K87" si="5">I86</f>
        <v>4</v>
      </c>
      <c r="L86" s="36">
        <v>44150</v>
      </c>
      <c r="M86" s="37" t="s">
        <v>1827</v>
      </c>
      <c r="N86" s="35" t="str">
        <f>VLOOKUP(H86,基础数据!G:H,2,FALSE)</f>
        <v>SR146Ⅱ大梁</v>
      </c>
    </row>
    <row r="87" spans="1:14" s="38" customFormat="1">
      <c r="A87" s="34">
        <v>1530</v>
      </c>
      <c r="B87" s="35" t="str">
        <f>VLOOKUP(A87,基础数据!A:B,2,FALSE)</f>
        <v>张家口</v>
      </c>
      <c r="C87" s="36">
        <v>44127</v>
      </c>
      <c r="D87" s="37"/>
      <c r="E87" s="34">
        <v>4500072678</v>
      </c>
      <c r="F87" s="37"/>
      <c r="G87" s="34">
        <v>1120002747</v>
      </c>
      <c r="H87" s="37" t="s">
        <v>289</v>
      </c>
      <c r="I87" s="34">
        <v>4</v>
      </c>
      <c r="J87" s="34">
        <v>2344</v>
      </c>
      <c r="K87" s="34">
        <f t="shared" si="5"/>
        <v>4</v>
      </c>
      <c r="L87" s="36">
        <v>44150</v>
      </c>
      <c r="M87" s="37" t="s">
        <v>1827</v>
      </c>
      <c r="N87" s="35" t="str">
        <f>VLOOKUP(H87,基础数据!G:H,2,FALSE)</f>
        <v>SR146Ⅱ后缘</v>
      </c>
    </row>
  </sheetData>
  <autoFilter ref="A1:N77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38"/>
  <sheetViews>
    <sheetView topLeftCell="A112" zoomScaleNormal="100" workbookViewId="0">
      <selection activeCell="E137" sqref="E137"/>
    </sheetView>
  </sheetViews>
  <sheetFormatPr defaultColWidth="8.5703125" defaultRowHeight="13.5"/>
  <cols>
    <col min="1" max="1" width="7" style="8" bestFit="1" customWidth="1"/>
    <col min="2" max="2" width="7.28515625" style="8" bestFit="1" customWidth="1"/>
    <col min="3" max="3" width="8.7109375" style="39" bestFit="1" customWidth="1"/>
    <col min="4" max="4" width="8.28515625" style="8" bestFit="1" customWidth="1"/>
    <col min="5" max="5" width="9.140625" style="8" bestFit="1" customWidth="1"/>
    <col min="6" max="6" width="12.5703125" style="8" bestFit="1" customWidth="1"/>
    <col min="7" max="7" width="11.7109375" style="8" bestFit="1" customWidth="1"/>
    <col min="8" max="8" width="39.28515625" style="8" bestFit="1" customWidth="1"/>
    <col min="9" max="9" width="7" style="8" bestFit="1" customWidth="1"/>
    <col min="10" max="10" width="6.42578125" style="8" bestFit="1" customWidth="1"/>
    <col min="11" max="11" width="6.42578125" style="8" customWidth="1"/>
    <col min="12" max="12" width="8.7109375" style="39" bestFit="1" customWidth="1"/>
    <col min="13" max="13" width="78.28515625" style="8" bestFit="1" customWidth="1"/>
    <col min="14" max="14" width="8.28515625" style="8" bestFit="1" customWidth="1"/>
    <col min="15" max="16384" width="8.5703125" style="8"/>
  </cols>
  <sheetData>
    <row r="1" spans="1:13" s="19" customFormat="1">
      <c r="A1" s="13" t="s">
        <v>0</v>
      </c>
      <c r="B1" s="13" t="s">
        <v>1</v>
      </c>
      <c r="C1" s="29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13" t="s">
        <v>1438</v>
      </c>
      <c r="L1" s="29" t="s">
        <v>8</v>
      </c>
      <c r="M1" s="13" t="s">
        <v>43</v>
      </c>
    </row>
    <row r="2" spans="1:13" s="19" customFormat="1">
      <c r="A2" s="13">
        <v>1390</v>
      </c>
      <c r="B2" s="13" t="s">
        <v>171</v>
      </c>
      <c r="C2" s="29">
        <v>43813</v>
      </c>
      <c r="D2" s="13">
        <v>101333607</v>
      </c>
      <c r="E2" s="13">
        <v>4500049838</v>
      </c>
      <c r="F2" s="13">
        <v>1012844</v>
      </c>
      <c r="G2" s="13">
        <v>1120000131</v>
      </c>
      <c r="H2" s="13" t="s">
        <v>21</v>
      </c>
      <c r="I2" s="13">
        <v>6</v>
      </c>
      <c r="J2" s="13">
        <v>2851</v>
      </c>
      <c r="K2" s="13"/>
      <c r="L2" s="29">
        <v>43842</v>
      </c>
      <c r="M2" s="13" t="s">
        <v>168</v>
      </c>
    </row>
    <row r="3" spans="1:13" s="19" customFormat="1">
      <c r="A3" s="13">
        <v>1390</v>
      </c>
      <c r="B3" s="13" t="s">
        <v>171</v>
      </c>
      <c r="C3" s="29">
        <v>43813</v>
      </c>
      <c r="D3" s="13">
        <v>101333607</v>
      </c>
      <c r="E3" s="13">
        <v>4500049838</v>
      </c>
      <c r="F3" s="13" t="s">
        <v>64</v>
      </c>
      <c r="G3" s="13">
        <v>1120000132</v>
      </c>
      <c r="H3" s="13" t="s">
        <v>22</v>
      </c>
      <c r="I3" s="13">
        <v>6</v>
      </c>
      <c r="J3" s="13">
        <v>13345</v>
      </c>
      <c r="K3" s="13"/>
      <c r="L3" s="29">
        <v>43842</v>
      </c>
      <c r="M3" s="13" t="s">
        <v>168</v>
      </c>
    </row>
    <row r="4" spans="1:13" s="19" customFormat="1">
      <c r="A4" s="13">
        <v>1390</v>
      </c>
      <c r="B4" s="13" t="s">
        <v>171</v>
      </c>
      <c r="C4" s="29">
        <v>43843</v>
      </c>
      <c r="D4" s="13">
        <v>101333605</v>
      </c>
      <c r="E4" s="13">
        <v>4500051943</v>
      </c>
      <c r="F4" s="13">
        <v>755252</v>
      </c>
      <c r="G4" s="13">
        <v>1120000125</v>
      </c>
      <c r="H4" s="13" t="s">
        <v>87</v>
      </c>
      <c r="I4" s="13">
        <v>2</v>
      </c>
      <c r="J4" s="13">
        <v>6592</v>
      </c>
      <c r="K4" s="13"/>
      <c r="L4" s="29">
        <v>43864</v>
      </c>
      <c r="M4" s="13" t="s">
        <v>169</v>
      </c>
    </row>
    <row r="5" spans="1:13" s="19" customFormat="1">
      <c r="A5" s="13">
        <v>1390</v>
      </c>
      <c r="B5" s="13" t="s">
        <v>171</v>
      </c>
      <c r="C5" s="29">
        <v>43843</v>
      </c>
      <c r="D5" s="13">
        <v>101333605</v>
      </c>
      <c r="E5" s="13">
        <v>4500051943</v>
      </c>
      <c r="F5" s="13" t="s">
        <v>99</v>
      </c>
      <c r="G5" s="13">
        <v>1120000126</v>
      </c>
      <c r="H5" s="13" t="s">
        <v>88</v>
      </c>
      <c r="I5" s="13">
        <v>0</v>
      </c>
      <c r="J5" s="13">
        <v>3008</v>
      </c>
      <c r="K5" s="13"/>
      <c r="L5" s="29">
        <v>43864</v>
      </c>
      <c r="M5" s="13" t="s">
        <v>170</v>
      </c>
    </row>
    <row r="6" spans="1:13" s="19" customFormat="1">
      <c r="A6" s="13">
        <v>1390</v>
      </c>
      <c r="B6" s="13" t="str">
        <f>VLOOKUP(A6,基础数据!A:B,2,FALSE)</f>
        <v>哈密</v>
      </c>
      <c r="C6" s="29">
        <v>43851</v>
      </c>
      <c r="D6" s="13">
        <v>101334021</v>
      </c>
      <c r="E6" s="13" t="s">
        <v>93</v>
      </c>
      <c r="F6" s="13">
        <v>755252</v>
      </c>
      <c r="G6" s="13" t="s">
        <v>91</v>
      </c>
      <c r="H6" s="13" t="s">
        <v>21</v>
      </c>
      <c r="I6" s="13">
        <v>6</v>
      </c>
      <c r="J6" s="13">
        <v>2670</v>
      </c>
      <c r="K6" s="13"/>
      <c r="L6" s="29">
        <v>43833</v>
      </c>
      <c r="M6" s="13" t="s">
        <v>178</v>
      </c>
    </row>
    <row r="7" spans="1:13" s="19" customFormat="1">
      <c r="A7" s="13">
        <v>1390</v>
      </c>
      <c r="B7" s="13" t="str">
        <f>VLOOKUP(A7,基础数据!A:B,2,FALSE)</f>
        <v>哈密</v>
      </c>
      <c r="C7" s="29">
        <v>43851</v>
      </c>
      <c r="D7" s="13">
        <v>101334021</v>
      </c>
      <c r="E7" s="13" t="s">
        <v>93</v>
      </c>
      <c r="F7" s="13" t="s">
        <v>64</v>
      </c>
      <c r="G7" s="13" t="s">
        <v>92</v>
      </c>
      <c r="H7" s="13" t="s">
        <v>22</v>
      </c>
      <c r="I7" s="13">
        <v>5</v>
      </c>
      <c r="J7" s="13">
        <v>11195</v>
      </c>
      <c r="K7" s="13"/>
      <c r="L7" s="29">
        <v>43833</v>
      </c>
      <c r="M7" s="13" t="s">
        <v>179</v>
      </c>
    </row>
    <row r="8" spans="1:13" s="19" customFormat="1">
      <c r="A8" s="13">
        <v>1390</v>
      </c>
      <c r="B8" s="13" t="str">
        <f>VLOOKUP(A8,基础数据!A:B,2,FALSE)</f>
        <v>哈密</v>
      </c>
      <c r="C8" s="29">
        <v>43843</v>
      </c>
      <c r="D8" s="13">
        <v>101334018</v>
      </c>
      <c r="E8" s="13">
        <v>4500051943</v>
      </c>
      <c r="F8" s="13" t="s">
        <v>99</v>
      </c>
      <c r="G8" s="13">
        <v>1120000126</v>
      </c>
      <c r="H8" s="13" t="s">
        <v>88</v>
      </c>
      <c r="I8" s="13">
        <v>12</v>
      </c>
      <c r="J8" s="13">
        <f>4536-3008</f>
        <v>1528</v>
      </c>
      <c r="K8" s="13"/>
      <c r="L8" s="29">
        <v>43864</v>
      </c>
      <c r="M8" s="13" t="s">
        <v>180</v>
      </c>
    </row>
    <row r="9" spans="1:13" s="19" customFormat="1">
      <c r="A9" s="13">
        <v>1390</v>
      </c>
      <c r="B9" s="13" t="str">
        <f>VLOOKUP(A9,基础数据!A:B,2,FALSE)</f>
        <v>哈密</v>
      </c>
      <c r="C9" s="29">
        <v>43882</v>
      </c>
      <c r="D9" s="13">
        <v>101334018</v>
      </c>
      <c r="E9" s="13" t="s">
        <v>111</v>
      </c>
      <c r="F9" s="13" t="s">
        <v>99</v>
      </c>
      <c r="G9" s="13" t="s">
        <v>106</v>
      </c>
      <c r="H9" s="13" t="s">
        <v>88</v>
      </c>
      <c r="I9" s="13">
        <v>0</v>
      </c>
      <c r="J9" s="13">
        <v>4296</v>
      </c>
      <c r="K9" s="13"/>
      <c r="L9" s="29">
        <v>43903</v>
      </c>
      <c r="M9" s="13" t="s">
        <v>181</v>
      </c>
    </row>
    <row r="10" spans="1:13" s="19" customFormat="1">
      <c r="A10" s="13">
        <v>1390</v>
      </c>
      <c r="B10" s="13" t="str">
        <f>VLOOKUP(A10,基础数据!A:B,2,FALSE)</f>
        <v>哈密</v>
      </c>
      <c r="C10" s="29">
        <v>43843</v>
      </c>
      <c r="D10" s="13">
        <v>101334020</v>
      </c>
      <c r="E10" s="13">
        <v>4500051943</v>
      </c>
      <c r="F10" s="13">
        <v>755252</v>
      </c>
      <c r="G10" s="13">
        <v>1120000125</v>
      </c>
      <c r="H10" s="13" t="s">
        <v>87</v>
      </c>
      <c r="I10" s="13">
        <v>2</v>
      </c>
      <c r="J10" s="13">
        <f>39888-6592-6592</f>
        <v>26704</v>
      </c>
      <c r="K10" s="13"/>
      <c r="L10" s="29">
        <v>43864</v>
      </c>
      <c r="M10" s="13" t="s">
        <v>182</v>
      </c>
    </row>
    <row r="11" spans="1:13" s="19" customFormat="1">
      <c r="A11" s="13">
        <v>1390</v>
      </c>
      <c r="B11" s="13" t="str">
        <f>VLOOKUP(A11,基础数据!A:B,2,FALSE)</f>
        <v>哈密</v>
      </c>
      <c r="C11" s="29">
        <v>43851</v>
      </c>
      <c r="D11" s="13">
        <v>101334855</v>
      </c>
      <c r="E11" s="13" t="s">
        <v>93</v>
      </c>
      <c r="F11" s="13">
        <v>1012844</v>
      </c>
      <c r="G11" s="13" t="s">
        <v>91</v>
      </c>
      <c r="H11" s="13" t="s">
        <v>21</v>
      </c>
      <c r="I11" s="13">
        <v>8</v>
      </c>
      <c r="J11" s="13">
        <v>3560</v>
      </c>
      <c r="K11" s="13"/>
      <c r="L11" s="29">
        <v>43833</v>
      </c>
      <c r="M11" s="13" t="s">
        <v>193</v>
      </c>
    </row>
    <row r="12" spans="1:13" s="19" customFormat="1">
      <c r="A12" s="13">
        <v>1390</v>
      </c>
      <c r="B12" s="13" t="str">
        <f>VLOOKUP(A12,基础数据!A:B,2,FALSE)</f>
        <v>哈密</v>
      </c>
      <c r="C12" s="29">
        <v>43843</v>
      </c>
      <c r="D12" s="13">
        <v>101334858</v>
      </c>
      <c r="E12" s="13">
        <v>4500051943</v>
      </c>
      <c r="F12" s="13">
        <v>755252</v>
      </c>
      <c r="G12" s="13">
        <v>1120000125</v>
      </c>
      <c r="H12" s="13" t="s">
        <v>87</v>
      </c>
      <c r="I12" s="13">
        <v>3</v>
      </c>
      <c r="J12" s="13">
        <v>9888</v>
      </c>
      <c r="K12" s="13"/>
      <c r="L12" s="29">
        <v>43864</v>
      </c>
      <c r="M12" s="13" t="s">
        <v>194</v>
      </c>
    </row>
    <row r="13" spans="1:13" s="19" customFormat="1">
      <c r="A13" s="13">
        <v>1390</v>
      </c>
      <c r="B13" s="13" t="str">
        <f>VLOOKUP(A13,基础数据!A:B,2,FALSE)</f>
        <v>哈密</v>
      </c>
      <c r="C13" s="29">
        <v>43851</v>
      </c>
      <c r="D13" s="13">
        <v>101334855</v>
      </c>
      <c r="E13" s="13" t="s">
        <v>93</v>
      </c>
      <c r="F13" s="13" t="s">
        <v>197</v>
      </c>
      <c r="G13" s="13" t="s">
        <v>92</v>
      </c>
      <c r="H13" s="13" t="s">
        <v>22</v>
      </c>
      <c r="I13" s="13">
        <v>4</v>
      </c>
      <c r="J13" s="13">
        <v>8956</v>
      </c>
      <c r="K13" s="13"/>
      <c r="L13" s="29">
        <v>43833</v>
      </c>
      <c r="M13" s="13" t="s">
        <v>195</v>
      </c>
    </row>
    <row r="14" spans="1:13" s="19" customFormat="1">
      <c r="A14" s="13">
        <v>1390</v>
      </c>
      <c r="B14" s="13" t="str">
        <f>VLOOKUP(A14,基础数据!A:B,2,FALSE)</f>
        <v>哈密</v>
      </c>
      <c r="C14" s="10">
        <v>43851</v>
      </c>
      <c r="D14" s="13">
        <v>101335652</v>
      </c>
      <c r="E14" s="13" t="s">
        <v>93</v>
      </c>
      <c r="F14" s="13">
        <v>1012844</v>
      </c>
      <c r="G14" s="13" t="s">
        <v>91</v>
      </c>
      <c r="H14" s="13" t="s">
        <v>21</v>
      </c>
      <c r="I14" s="11">
        <f>15-6-8</f>
        <v>1</v>
      </c>
      <c r="J14" s="11">
        <f>7126-2670-3560</f>
        <v>896</v>
      </c>
      <c r="K14" s="11"/>
      <c r="L14" s="10">
        <v>43833</v>
      </c>
      <c r="M14" s="13" t="s">
        <v>231</v>
      </c>
    </row>
    <row r="15" spans="1:13" s="19" customFormat="1">
      <c r="A15" s="13">
        <v>1390</v>
      </c>
      <c r="B15" s="13" t="str">
        <f>VLOOKUP(A15,基础数据!A:B,2,FALSE)</f>
        <v>哈密</v>
      </c>
      <c r="C15" s="10">
        <v>43851</v>
      </c>
      <c r="D15" s="13">
        <v>101335652</v>
      </c>
      <c r="E15" s="13" t="s">
        <v>93</v>
      </c>
      <c r="F15" s="13" t="s">
        <v>196</v>
      </c>
      <c r="G15" s="13" t="s">
        <v>92</v>
      </c>
      <c r="H15" s="13" t="s">
        <v>22</v>
      </c>
      <c r="I15" s="11">
        <f>11-5-4</f>
        <v>2</v>
      </c>
      <c r="J15" s="11">
        <f>24491-11195-8956</f>
        <v>4340</v>
      </c>
      <c r="K15" s="11"/>
      <c r="L15" s="10">
        <v>43833</v>
      </c>
      <c r="M15" s="13" t="s">
        <v>230</v>
      </c>
    </row>
    <row r="16" spans="1:13" s="12" customFormat="1">
      <c r="A16" s="9">
        <v>1390</v>
      </c>
      <c r="B16" s="13" t="str">
        <f>VLOOKUP(A16,基础数据!A:B,2,FALSE)</f>
        <v>哈密</v>
      </c>
      <c r="C16" s="10">
        <v>43927</v>
      </c>
      <c r="D16" s="9">
        <v>101335649</v>
      </c>
      <c r="E16" s="9">
        <v>4500056340</v>
      </c>
      <c r="F16" s="9">
        <v>1106524</v>
      </c>
      <c r="G16" s="9" t="s">
        <v>91</v>
      </c>
      <c r="H16" s="9" t="s">
        <v>21</v>
      </c>
      <c r="I16" s="11">
        <v>9</v>
      </c>
      <c r="J16" s="11">
        <v>4005</v>
      </c>
      <c r="K16" s="11"/>
      <c r="L16" s="10">
        <v>43936</v>
      </c>
      <c r="M16" s="9" t="s">
        <v>229</v>
      </c>
    </row>
    <row r="17" spans="1:13" s="12" customFormat="1">
      <c r="A17" s="9">
        <v>1390</v>
      </c>
      <c r="B17" s="13" t="str">
        <f>VLOOKUP(A17,基础数据!A:B,2,FALSE)</f>
        <v>哈密</v>
      </c>
      <c r="C17" s="10">
        <v>43927</v>
      </c>
      <c r="D17" s="9">
        <v>101335649</v>
      </c>
      <c r="E17" s="9">
        <v>4500056340</v>
      </c>
      <c r="F17" s="13" t="s">
        <v>64</v>
      </c>
      <c r="G17" s="9" t="s">
        <v>92</v>
      </c>
      <c r="H17" s="9" t="s">
        <v>22</v>
      </c>
      <c r="I17" s="11">
        <v>9</v>
      </c>
      <c r="J17" s="11">
        <v>20151</v>
      </c>
      <c r="K17" s="11"/>
      <c r="L17" s="10">
        <v>43936</v>
      </c>
      <c r="M17" s="9" t="s">
        <v>229</v>
      </c>
    </row>
    <row r="18" spans="1:13" s="12" customFormat="1">
      <c r="A18" s="9">
        <v>1390</v>
      </c>
      <c r="B18" s="13" t="str">
        <f>VLOOKUP(A18,基础数据!A:B,2,FALSE)</f>
        <v>哈密</v>
      </c>
      <c r="C18" s="10">
        <v>43927</v>
      </c>
      <c r="D18" s="9">
        <v>101335949</v>
      </c>
      <c r="E18" s="9">
        <v>4500056340</v>
      </c>
      <c r="F18" s="9">
        <v>1012844</v>
      </c>
      <c r="G18" s="11">
        <v>1120000131</v>
      </c>
      <c r="H18" s="9" t="s">
        <v>21</v>
      </c>
      <c r="I18" s="11">
        <v>2</v>
      </c>
      <c r="J18" s="11">
        <v>890</v>
      </c>
      <c r="K18" s="11"/>
      <c r="L18" s="10">
        <v>43936</v>
      </c>
      <c r="M18" s="9" t="s">
        <v>242</v>
      </c>
    </row>
    <row r="19" spans="1:13" s="19" customFormat="1">
      <c r="A19" s="13">
        <v>1390</v>
      </c>
      <c r="B19" s="13" t="str">
        <f>VLOOKUP(A19,基础数据!A:B,2,FALSE)</f>
        <v>哈密</v>
      </c>
      <c r="C19" s="10">
        <v>43843</v>
      </c>
      <c r="D19" s="13">
        <v>101335950</v>
      </c>
      <c r="E19" s="13">
        <v>4500051943</v>
      </c>
      <c r="F19" s="13">
        <v>755252</v>
      </c>
      <c r="G19" s="13">
        <v>1120000125</v>
      </c>
      <c r="H19" s="13" t="s">
        <v>87</v>
      </c>
      <c r="I19" s="11">
        <f>12-2-2-3</f>
        <v>5</v>
      </c>
      <c r="J19" s="11">
        <f>39888-6592-6592-9888</f>
        <v>16816</v>
      </c>
      <c r="K19" s="11"/>
      <c r="L19" s="10">
        <v>43864</v>
      </c>
      <c r="M19" s="13" t="s">
        <v>243</v>
      </c>
    </row>
    <row r="20" spans="1:13" s="12" customFormat="1">
      <c r="A20" s="9">
        <v>1390</v>
      </c>
      <c r="B20" s="13" t="str">
        <f>VLOOKUP(A20,基础数据!A:B,2,FALSE)</f>
        <v>哈密</v>
      </c>
      <c r="C20" s="10">
        <v>43927</v>
      </c>
      <c r="D20" s="9">
        <v>101335949</v>
      </c>
      <c r="E20" s="9">
        <v>4500056340</v>
      </c>
      <c r="F20" s="9" t="s">
        <v>245</v>
      </c>
      <c r="G20" s="11">
        <v>1120000132</v>
      </c>
      <c r="H20" s="9" t="s">
        <v>22</v>
      </c>
      <c r="I20" s="11">
        <f>12-9</f>
        <v>3</v>
      </c>
      <c r="J20" s="11">
        <f>26690-20151</f>
        <v>6539</v>
      </c>
      <c r="K20" s="11"/>
      <c r="L20" s="10">
        <v>43936</v>
      </c>
      <c r="M20" s="9" t="s">
        <v>244</v>
      </c>
    </row>
    <row r="21" spans="1:13" s="12" customFormat="1">
      <c r="A21" s="9">
        <v>1390</v>
      </c>
      <c r="B21" s="13" t="str">
        <f>VLOOKUP(A21,基础数据!A:B,2,FALSE)</f>
        <v>哈密</v>
      </c>
      <c r="C21" s="10">
        <v>43927</v>
      </c>
      <c r="D21" s="9">
        <v>101336115</v>
      </c>
      <c r="E21" s="9">
        <v>4500056340</v>
      </c>
      <c r="F21" s="9">
        <v>1106524</v>
      </c>
      <c r="G21" s="11">
        <v>1120000131</v>
      </c>
      <c r="H21" s="9" t="s">
        <v>21</v>
      </c>
      <c r="I21" s="11">
        <f>12-9-2</f>
        <v>1</v>
      </c>
      <c r="J21" s="11">
        <f>5701-4005-890</f>
        <v>806</v>
      </c>
      <c r="K21" s="11"/>
      <c r="L21" s="10">
        <v>43936</v>
      </c>
      <c r="M21" s="9" t="s">
        <v>257</v>
      </c>
    </row>
    <row r="22" spans="1:13" s="12" customFormat="1">
      <c r="A22" s="11">
        <v>1390</v>
      </c>
      <c r="B22" s="13" t="str">
        <f>VLOOKUP(A22,基础数据!A:B,2,FALSE)</f>
        <v>哈密</v>
      </c>
      <c r="C22" s="10">
        <v>43931</v>
      </c>
      <c r="D22" s="9">
        <v>101336114</v>
      </c>
      <c r="E22" s="11">
        <v>4500056688</v>
      </c>
      <c r="F22" s="9" t="s">
        <v>64</v>
      </c>
      <c r="G22" s="9">
        <v>1120000132</v>
      </c>
      <c r="H22" s="9" t="s">
        <v>22</v>
      </c>
      <c r="I22" s="11">
        <v>11</v>
      </c>
      <c r="J22" s="11">
        <v>24629</v>
      </c>
      <c r="K22" s="11"/>
      <c r="L22" s="10">
        <v>43961</v>
      </c>
      <c r="M22" s="9" t="s">
        <v>255</v>
      </c>
    </row>
    <row r="23" spans="1:13" s="12" customFormat="1">
      <c r="A23" s="11">
        <v>1390</v>
      </c>
      <c r="B23" s="13" t="str">
        <f>VLOOKUP(A23,基础数据!A:B,2,FALSE)</f>
        <v>哈密</v>
      </c>
      <c r="C23" s="10">
        <v>43931</v>
      </c>
      <c r="D23" s="9">
        <v>101336114</v>
      </c>
      <c r="E23" s="11">
        <v>4500056688</v>
      </c>
      <c r="F23" s="9">
        <v>1106524</v>
      </c>
      <c r="G23" s="9">
        <v>1120000131</v>
      </c>
      <c r="H23" s="9" t="s">
        <v>21</v>
      </c>
      <c r="I23" s="11">
        <v>7</v>
      </c>
      <c r="J23" s="11">
        <v>3115</v>
      </c>
      <c r="K23" s="11"/>
      <c r="L23" s="10">
        <v>43961</v>
      </c>
      <c r="M23" s="9" t="s">
        <v>256</v>
      </c>
    </row>
    <row r="24" spans="1:13" s="19" customFormat="1">
      <c r="A24" s="13">
        <v>1390</v>
      </c>
      <c r="B24" s="13" t="str">
        <f>VLOOKUP(A24,基础数据!A:B,2,FALSE)</f>
        <v>哈密</v>
      </c>
      <c r="C24" s="10">
        <v>43882</v>
      </c>
      <c r="D24" s="13">
        <v>101336801</v>
      </c>
      <c r="E24" s="11">
        <v>4500053029</v>
      </c>
      <c r="F24" s="13">
        <v>755252</v>
      </c>
      <c r="G24" s="11">
        <v>1120000125</v>
      </c>
      <c r="H24" s="13" t="s">
        <v>87</v>
      </c>
      <c r="I24" s="11">
        <v>8</v>
      </c>
      <c r="J24" s="11">
        <v>26368</v>
      </c>
      <c r="K24" s="11"/>
      <c r="L24" s="10">
        <v>43903</v>
      </c>
      <c r="M24" s="13" t="s">
        <v>276</v>
      </c>
    </row>
    <row r="25" spans="1:13" s="12" customFormat="1">
      <c r="A25" s="11">
        <v>1390</v>
      </c>
      <c r="B25" s="13" t="str">
        <f>VLOOKUP(A25,基础数据!A:B,2,FALSE)</f>
        <v>哈密</v>
      </c>
      <c r="C25" s="10">
        <v>43938</v>
      </c>
      <c r="D25" s="9">
        <v>101336799</v>
      </c>
      <c r="E25" s="11">
        <v>4500057350</v>
      </c>
      <c r="F25" s="9">
        <v>1106524</v>
      </c>
      <c r="G25" s="11">
        <v>1120000131</v>
      </c>
      <c r="H25" s="9" t="s">
        <v>21</v>
      </c>
      <c r="I25" s="11">
        <v>10</v>
      </c>
      <c r="J25" s="11">
        <v>4450</v>
      </c>
      <c r="K25" s="11"/>
      <c r="L25" s="10">
        <v>43959</v>
      </c>
      <c r="M25" s="9" t="s">
        <v>277</v>
      </c>
    </row>
    <row r="26" spans="1:13" s="12" customFormat="1">
      <c r="A26" s="11">
        <v>1390</v>
      </c>
      <c r="B26" s="13" t="str">
        <f>VLOOKUP(A26,基础数据!A:B,2,FALSE)</f>
        <v>哈密</v>
      </c>
      <c r="C26" s="10">
        <v>43931</v>
      </c>
      <c r="D26" s="9">
        <v>101336800</v>
      </c>
      <c r="E26" s="11">
        <v>4500056688</v>
      </c>
      <c r="F26" s="9" t="s">
        <v>64</v>
      </c>
      <c r="G26" s="9">
        <v>1120000132</v>
      </c>
      <c r="H26" s="9" t="s">
        <v>22</v>
      </c>
      <c r="I26" s="11">
        <v>3</v>
      </c>
      <c r="J26" s="11">
        <f>31139-24629</f>
        <v>6510</v>
      </c>
      <c r="K26" s="11"/>
      <c r="L26" s="10">
        <v>43961</v>
      </c>
      <c r="M26" s="9" t="s">
        <v>255</v>
      </c>
    </row>
    <row r="27" spans="1:13" s="12" customFormat="1">
      <c r="A27" s="11">
        <v>1390</v>
      </c>
      <c r="B27" s="13" t="str">
        <f>VLOOKUP(A27,基础数据!A:B,2,FALSE)</f>
        <v>哈密</v>
      </c>
      <c r="C27" s="10">
        <v>43938</v>
      </c>
      <c r="D27" s="9">
        <v>101336799</v>
      </c>
      <c r="E27" s="11">
        <v>4500057350</v>
      </c>
      <c r="F27" s="9" t="s">
        <v>64</v>
      </c>
      <c r="G27" s="11">
        <v>1120000132</v>
      </c>
      <c r="H27" s="9" t="s">
        <v>22</v>
      </c>
      <c r="I27" s="11">
        <v>6</v>
      </c>
      <c r="J27" s="11">
        <v>13434</v>
      </c>
      <c r="K27" s="11"/>
      <c r="L27" s="10">
        <v>43959</v>
      </c>
      <c r="M27" s="9" t="s">
        <v>278</v>
      </c>
    </row>
    <row r="28" spans="1:13" s="19" customFormat="1">
      <c r="A28" s="13">
        <v>1390</v>
      </c>
      <c r="B28" s="13" t="str">
        <f>VLOOKUP(A28,基础数据!A:B,2,FALSE)</f>
        <v>哈密</v>
      </c>
      <c r="C28" s="10">
        <v>43882</v>
      </c>
      <c r="D28" s="13" t="s">
        <v>46</v>
      </c>
      <c r="E28" s="11">
        <v>4500053029</v>
      </c>
      <c r="F28" s="13">
        <v>755252</v>
      </c>
      <c r="G28" s="11">
        <v>1120000125</v>
      </c>
      <c r="H28" s="13" t="s">
        <v>87</v>
      </c>
      <c r="I28" s="11">
        <v>4</v>
      </c>
      <c r="J28" s="11">
        <v>13184</v>
      </c>
      <c r="K28" s="11"/>
      <c r="L28" s="10">
        <v>43903</v>
      </c>
      <c r="M28" s="13" t="s">
        <v>292</v>
      </c>
    </row>
    <row r="29" spans="1:13" s="19" customFormat="1">
      <c r="A29" s="13">
        <v>1390</v>
      </c>
      <c r="B29" s="13" t="str">
        <f>VLOOKUP(A29,基础数据!A:B,2,FALSE)</f>
        <v>哈密</v>
      </c>
      <c r="C29" s="10">
        <v>43882</v>
      </c>
      <c r="D29" s="13" t="s">
        <v>46</v>
      </c>
      <c r="E29" s="11">
        <v>4500053029</v>
      </c>
      <c r="F29" s="30"/>
      <c r="G29" s="11">
        <v>1120000126</v>
      </c>
      <c r="H29" s="13" t="s">
        <v>88</v>
      </c>
      <c r="I29" s="11">
        <v>6</v>
      </c>
      <c r="J29" s="11">
        <f>6804-4296</f>
        <v>2508</v>
      </c>
      <c r="K29" s="11"/>
      <c r="L29" s="10">
        <v>43903</v>
      </c>
      <c r="M29" s="13" t="s">
        <v>310</v>
      </c>
    </row>
    <row r="30" spans="1:13" s="12" customFormat="1">
      <c r="A30" s="11">
        <v>1390</v>
      </c>
      <c r="B30" s="13" t="str">
        <f>VLOOKUP(A30,基础数据!A:B,2,FALSE)</f>
        <v>哈密</v>
      </c>
      <c r="C30" s="10">
        <v>43931</v>
      </c>
      <c r="D30" s="9"/>
      <c r="E30" s="11">
        <v>4500056688</v>
      </c>
      <c r="F30" s="9">
        <v>1106524</v>
      </c>
      <c r="G30" s="9">
        <v>1120000131</v>
      </c>
      <c r="H30" s="9" t="s">
        <v>21</v>
      </c>
      <c r="I30" s="11">
        <v>7</v>
      </c>
      <c r="J30" s="11">
        <f>6651-3115</f>
        <v>3536</v>
      </c>
      <c r="K30" s="11"/>
      <c r="L30" s="10">
        <v>43961</v>
      </c>
      <c r="M30" s="9" t="s">
        <v>311</v>
      </c>
    </row>
    <row r="31" spans="1:13" s="12" customFormat="1">
      <c r="A31" s="11">
        <v>1390</v>
      </c>
      <c r="B31" s="13" t="str">
        <f>VLOOKUP(A31,基础数据!A:B,2,FALSE)</f>
        <v>哈密</v>
      </c>
      <c r="C31" s="10">
        <v>43938</v>
      </c>
      <c r="D31" s="9"/>
      <c r="E31" s="11">
        <v>4500057350</v>
      </c>
      <c r="F31" s="9">
        <v>1106524</v>
      </c>
      <c r="G31" s="11">
        <v>1120000131</v>
      </c>
      <c r="H31" s="9" t="s">
        <v>21</v>
      </c>
      <c r="I31" s="11">
        <v>1</v>
      </c>
      <c r="J31" s="11">
        <f>7601-4450-445</f>
        <v>2706</v>
      </c>
      <c r="K31" s="11"/>
      <c r="L31" s="10">
        <v>43959</v>
      </c>
      <c r="M31" s="9" t="s">
        <v>309</v>
      </c>
    </row>
    <row r="32" spans="1:13" s="12" customFormat="1">
      <c r="A32" s="11">
        <v>1390</v>
      </c>
      <c r="B32" s="13" t="str">
        <f>VLOOKUP(A32,基础数据!A:B,2,FALSE)</f>
        <v>哈密</v>
      </c>
      <c r="C32" s="10">
        <v>43938</v>
      </c>
      <c r="D32" s="9"/>
      <c r="E32" s="11">
        <v>4500057350</v>
      </c>
      <c r="F32" s="9" t="s">
        <v>64</v>
      </c>
      <c r="G32" s="11">
        <v>1120000132</v>
      </c>
      <c r="H32" s="9" t="s">
        <v>22</v>
      </c>
      <c r="I32" s="11">
        <v>8</v>
      </c>
      <c r="J32" s="11">
        <v>17912</v>
      </c>
      <c r="K32" s="11"/>
      <c r="L32" s="10">
        <v>43959</v>
      </c>
      <c r="M32" s="9" t="s">
        <v>305</v>
      </c>
    </row>
    <row r="33" spans="1:14" s="12" customFormat="1">
      <c r="A33" s="11">
        <v>1390</v>
      </c>
      <c r="B33" s="13" t="str">
        <f>VLOOKUP(A33,基础数据!A:B,2,FALSE)</f>
        <v>哈密</v>
      </c>
      <c r="C33" s="10">
        <v>43938</v>
      </c>
      <c r="D33" s="9"/>
      <c r="E33" s="11">
        <v>4500057350</v>
      </c>
      <c r="F33" s="9" t="s">
        <v>280</v>
      </c>
      <c r="G33" s="11">
        <v>1120000132</v>
      </c>
      <c r="H33" s="9" t="s">
        <v>22</v>
      </c>
      <c r="I33" s="11">
        <f>16-6-8</f>
        <v>2</v>
      </c>
      <c r="J33" s="11">
        <f>35587-13434-17912</f>
        <v>4241</v>
      </c>
      <c r="K33" s="11"/>
      <c r="L33" s="10">
        <v>43959</v>
      </c>
      <c r="M33" s="9" t="s">
        <v>314</v>
      </c>
    </row>
    <row r="34" spans="1:14" s="12" customFormat="1">
      <c r="A34" s="11">
        <v>1390</v>
      </c>
      <c r="B34" s="9" t="s">
        <v>258</v>
      </c>
      <c r="C34" s="10">
        <v>43935</v>
      </c>
      <c r="D34" s="9"/>
      <c r="E34" s="9">
        <v>20200446</v>
      </c>
      <c r="F34" s="9" t="s">
        <v>279</v>
      </c>
      <c r="G34" s="9"/>
      <c r="H34" s="9" t="s">
        <v>9</v>
      </c>
      <c r="I34" s="11"/>
      <c r="J34" s="11">
        <v>1524</v>
      </c>
      <c r="K34" s="11"/>
      <c r="L34" s="10">
        <v>43941</v>
      </c>
      <c r="M34" s="9" t="s">
        <v>315</v>
      </c>
    </row>
    <row r="35" spans="1:14" s="19" customFormat="1">
      <c r="A35" s="13">
        <v>1390</v>
      </c>
      <c r="B35" s="13" t="str">
        <f>VLOOKUP(A35,基础数据!A:B,2,FALSE)</f>
        <v>哈密</v>
      </c>
      <c r="C35" s="10">
        <v>43882</v>
      </c>
      <c r="D35" s="13" t="s">
        <v>46</v>
      </c>
      <c r="E35" s="11">
        <v>4500053029</v>
      </c>
      <c r="F35" s="13">
        <v>755252</v>
      </c>
      <c r="G35" s="11">
        <v>1120000125</v>
      </c>
      <c r="H35" s="13" t="s">
        <v>87</v>
      </c>
      <c r="I35" s="11">
        <v>5</v>
      </c>
      <c r="J35" s="11">
        <v>16480</v>
      </c>
      <c r="K35" s="11"/>
      <c r="L35" s="10">
        <v>43903</v>
      </c>
      <c r="M35" s="13" t="s">
        <v>313</v>
      </c>
    </row>
    <row r="36" spans="1:14" s="12" customFormat="1">
      <c r="A36" s="11">
        <v>1390</v>
      </c>
      <c r="B36" s="13" t="str">
        <f>VLOOKUP(A36,基础数据!A:B,2,FALSE)</f>
        <v>哈密</v>
      </c>
      <c r="C36" s="10">
        <v>43951</v>
      </c>
      <c r="D36" s="9"/>
      <c r="E36" s="11">
        <v>4500058615</v>
      </c>
      <c r="F36" s="9">
        <v>1106524</v>
      </c>
      <c r="G36" s="11">
        <v>1120000131</v>
      </c>
      <c r="H36" s="9" t="s">
        <v>21</v>
      </c>
      <c r="I36" s="11">
        <v>10</v>
      </c>
      <c r="J36" s="11">
        <v>4450</v>
      </c>
      <c r="K36" s="11"/>
      <c r="L36" s="10">
        <v>43971</v>
      </c>
      <c r="M36" s="9" t="s">
        <v>338</v>
      </c>
    </row>
    <row r="37" spans="1:14" s="12" customFormat="1">
      <c r="A37" s="11">
        <v>1390</v>
      </c>
      <c r="B37" s="13" t="str">
        <f>VLOOKUP(A37,基础数据!A:B,2,FALSE)</f>
        <v>哈密</v>
      </c>
      <c r="C37" s="10">
        <v>43951</v>
      </c>
      <c r="D37" s="9"/>
      <c r="E37" s="11">
        <v>4500058615</v>
      </c>
      <c r="F37" s="9"/>
      <c r="G37" s="11">
        <v>1120000132</v>
      </c>
      <c r="H37" s="9" t="s">
        <v>22</v>
      </c>
      <c r="I37" s="11">
        <v>11</v>
      </c>
      <c r="J37" s="11">
        <v>24629</v>
      </c>
      <c r="K37" s="11"/>
      <c r="L37" s="10">
        <v>43971</v>
      </c>
      <c r="M37" s="9" t="s">
        <v>339</v>
      </c>
    </row>
    <row r="38" spans="1:14" s="19" customFormat="1">
      <c r="A38" s="13">
        <v>1390</v>
      </c>
      <c r="B38" s="13" t="str">
        <f>VLOOKUP(A38,基础数据!A:B,2,FALSE)</f>
        <v>哈密</v>
      </c>
      <c r="C38" s="10">
        <v>43882</v>
      </c>
      <c r="D38" s="13" t="s">
        <v>46</v>
      </c>
      <c r="E38" s="11">
        <v>4500053029</v>
      </c>
      <c r="F38" s="13">
        <v>755252</v>
      </c>
      <c r="G38" s="11">
        <v>1120000125</v>
      </c>
      <c r="H38" s="13" t="s">
        <v>87</v>
      </c>
      <c r="I38" s="11">
        <v>1</v>
      </c>
      <c r="J38" s="11">
        <v>3296</v>
      </c>
      <c r="K38" s="11"/>
      <c r="L38" s="10">
        <v>43903</v>
      </c>
      <c r="M38" s="13" t="s">
        <v>387</v>
      </c>
      <c r="N38" s="19" t="str">
        <f>VLOOKUP(H38,基础数据!G:H,2,FALSE)</f>
        <v>SR113大梁</v>
      </c>
    </row>
    <row r="39" spans="1:14" s="12" customFormat="1">
      <c r="A39" s="11">
        <v>1390</v>
      </c>
      <c r="B39" s="9" t="s">
        <v>258</v>
      </c>
      <c r="C39" s="10">
        <v>43934</v>
      </c>
      <c r="D39" s="9"/>
      <c r="E39" s="9">
        <v>20200441</v>
      </c>
      <c r="F39" s="13">
        <v>755252</v>
      </c>
      <c r="G39" s="11">
        <v>1120000125</v>
      </c>
      <c r="H39" s="9" t="s">
        <v>87</v>
      </c>
      <c r="I39" s="11"/>
      <c r="J39" s="11">
        <v>246</v>
      </c>
      <c r="K39" s="11"/>
      <c r="L39" s="10">
        <v>43941</v>
      </c>
      <c r="M39" s="9" t="s">
        <v>388</v>
      </c>
      <c r="N39" s="19" t="str">
        <f>VLOOKUP(H39,基础数据!G:H,2,FALSE)</f>
        <v>SR113大梁</v>
      </c>
    </row>
    <row r="40" spans="1:14" s="12" customFormat="1">
      <c r="A40" s="11">
        <v>1390</v>
      </c>
      <c r="B40" s="13" t="str">
        <f>VLOOKUP(A40,基础数据!A:B,2,FALSE)</f>
        <v>哈密</v>
      </c>
      <c r="C40" s="10">
        <v>43951</v>
      </c>
      <c r="D40" s="9"/>
      <c r="E40" s="11">
        <v>4500058615</v>
      </c>
      <c r="F40" s="9">
        <v>1106524</v>
      </c>
      <c r="G40" s="11">
        <v>1120000131</v>
      </c>
      <c r="H40" s="9" t="s">
        <v>21</v>
      </c>
      <c r="I40" s="11">
        <v>6</v>
      </c>
      <c r="J40" s="11">
        <v>2670</v>
      </c>
      <c r="K40" s="11"/>
      <c r="L40" s="10">
        <v>43971</v>
      </c>
      <c r="M40" s="9" t="s">
        <v>389</v>
      </c>
      <c r="N40" s="19" t="str">
        <f>VLOOKUP(H40,基础数据!G:H,2,FALSE)</f>
        <v>SR120后缘</v>
      </c>
    </row>
    <row r="41" spans="1:14" s="12" customFormat="1">
      <c r="A41" s="11">
        <v>1390</v>
      </c>
      <c r="B41" s="13" t="str">
        <f>VLOOKUP(A41,基础数据!A:B,2,FALSE)</f>
        <v>哈密</v>
      </c>
      <c r="C41" s="10">
        <v>43959</v>
      </c>
      <c r="D41" s="9"/>
      <c r="E41" s="11">
        <v>4500059009</v>
      </c>
      <c r="F41" s="9" t="s">
        <v>340</v>
      </c>
      <c r="G41" s="11">
        <v>1120000132</v>
      </c>
      <c r="H41" s="9" t="s">
        <v>22</v>
      </c>
      <c r="I41" s="11">
        <v>6</v>
      </c>
      <c r="J41" s="11">
        <v>13434</v>
      </c>
      <c r="K41" s="11"/>
      <c r="L41" s="10">
        <v>43980</v>
      </c>
      <c r="M41" s="9" t="s">
        <v>390</v>
      </c>
      <c r="N41" s="19" t="str">
        <f>VLOOKUP(H41,基础数据!G:H,2,FALSE)</f>
        <v>SR120大梁</v>
      </c>
    </row>
    <row r="42" spans="1:14" s="12" customFormat="1">
      <c r="A42" s="11">
        <v>1390</v>
      </c>
      <c r="B42" s="13" t="str">
        <f>VLOOKUP(A42,基础数据!A:B,2,FALSE)</f>
        <v>哈密</v>
      </c>
      <c r="C42" s="10">
        <v>43959</v>
      </c>
      <c r="D42" s="9"/>
      <c r="E42" s="11">
        <v>4500059009</v>
      </c>
      <c r="F42" s="9">
        <v>1106524</v>
      </c>
      <c r="G42" s="11">
        <v>1120000131</v>
      </c>
      <c r="H42" s="9" t="s">
        <v>21</v>
      </c>
      <c r="I42" s="11">
        <f>20-10</f>
        <v>10</v>
      </c>
      <c r="J42" s="11">
        <v>4450</v>
      </c>
      <c r="K42" s="11"/>
      <c r="L42" s="10">
        <v>43980</v>
      </c>
      <c r="M42" s="9" t="s">
        <v>432</v>
      </c>
      <c r="N42" s="19" t="str">
        <f>VLOOKUP(H42,基础数据!G:H,2,FALSE)</f>
        <v>SR120后缘</v>
      </c>
    </row>
    <row r="43" spans="1:14" s="12" customFormat="1">
      <c r="A43" s="11">
        <v>1390</v>
      </c>
      <c r="B43" s="13" t="str">
        <f>VLOOKUP(A43,基础数据!A:B,2,FALSE)</f>
        <v>哈密</v>
      </c>
      <c r="C43" s="10">
        <v>43951</v>
      </c>
      <c r="D43" s="9"/>
      <c r="E43" s="11">
        <v>4500058615</v>
      </c>
      <c r="F43" s="9" t="s">
        <v>340</v>
      </c>
      <c r="G43" s="11">
        <v>1120000132</v>
      </c>
      <c r="H43" s="9" t="s">
        <v>22</v>
      </c>
      <c r="I43" s="11">
        <v>5</v>
      </c>
      <c r="J43" s="11">
        <f>35587-24629</f>
        <v>10958</v>
      </c>
      <c r="K43" s="11"/>
      <c r="L43" s="10">
        <v>43971</v>
      </c>
      <c r="M43" s="9" t="s">
        <v>433</v>
      </c>
      <c r="N43" s="19" t="str">
        <f>VLOOKUP(H43,基础数据!G:H,2,FALSE)</f>
        <v>SR120大梁</v>
      </c>
    </row>
    <row r="44" spans="1:14" s="12" customFormat="1">
      <c r="A44" s="11">
        <v>1390</v>
      </c>
      <c r="B44" s="13" t="str">
        <f>VLOOKUP(A44,基础数据!A:B,2,FALSE)</f>
        <v>哈密</v>
      </c>
      <c r="C44" s="10">
        <v>43959</v>
      </c>
      <c r="D44" s="9"/>
      <c r="E44" s="11">
        <v>4500059009</v>
      </c>
      <c r="F44" s="9" t="s">
        <v>340</v>
      </c>
      <c r="G44" s="11">
        <v>1120000132</v>
      </c>
      <c r="H44" s="9" t="s">
        <v>22</v>
      </c>
      <c r="I44" s="11">
        <v>4</v>
      </c>
      <c r="J44" s="11">
        <v>8956</v>
      </c>
      <c r="K44" s="11"/>
      <c r="L44" s="10">
        <v>43980</v>
      </c>
      <c r="M44" s="9" t="s">
        <v>434</v>
      </c>
      <c r="N44" s="19" t="str">
        <f>VLOOKUP(H44,基础数据!G:H,2,FALSE)</f>
        <v>SR120大梁</v>
      </c>
    </row>
    <row r="45" spans="1:14" s="12" customFormat="1">
      <c r="A45" s="11">
        <v>1390</v>
      </c>
      <c r="B45" s="13" t="str">
        <f>VLOOKUP(A45,基础数据!A:B,2,FALSE)</f>
        <v>哈密</v>
      </c>
      <c r="C45" s="10">
        <v>43959</v>
      </c>
      <c r="D45" s="9"/>
      <c r="E45" s="11">
        <v>4500059009</v>
      </c>
      <c r="F45" s="9"/>
      <c r="G45" s="11">
        <v>1120000126</v>
      </c>
      <c r="H45" s="9" t="s">
        <v>88</v>
      </c>
      <c r="I45" s="11">
        <v>4</v>
      </c>
      <c r="J45" s="11">
        <v>1444</v>
      </c>
      <c r="K45" s="11"/>
      <c r="L45" s="10">
        <v>43981</v>
      </c>
      <c r="M45" s="9" t="s">
        <v>435</v>
      </c>
      <c r="N45" s="19" t="str">
        <f>VLOOKUP(H45,基础数据!G:H,2,FALSE)</f>
        <v>SR113后缘</v>
      </c>
    </row>
    <row r="46" spans="1:14" s="12" customFormat="1">
      <c r="A46" s="11">
        <v>1390</v>
      </c>
      <c r="B46" s="13" t="str">
        <f>VLOOKUP(A46,基础数据!A:B,2,FALSE)</f>
        <v>哈密</v>
      </c>
      <c r="C46" s="10">
        <v>43938</v>
      </c>
      <c r="D46" s="9"/>
      <c r="E46" s="11">
        <v>4500057350</v>
      </c>
      <c r="F46" s="9">
        <v>1106524</v>
      </c>
      <c r="G46" s="11">
        <v>1120000131</v>
      </c>
      <c r="H46" s="9" t="s">
        <v>21</v>
      </c>
      <c r="I46" s="11">
        <v>2</v>
      </c>
      <c r="J46" s="11">
        <v>890</v>
      </c>
      <c r="K46" s="11"/>
      <c r="L46" s="10">
        <v>43959</v>
      </c>
      <c r="M46" s="9" t="s">
        <v>475</v>
      </c>
      <c r="N46" s="19" t="str">
        <f>VLOOKUP(H46,基础数据!G:H,2,FALSE)</f>
        <v>SR120后缘</v>
      </c>
    </row>
    <row r="47" spans="1:14" s="12" customFormat="1">
      <c r="A47" s="11">
        <v>1390</v>
      </c>
      <c r="B47" s="13" t="str">
        <f>VLOOKUP(A47,基础数据!A:B,2,FALSE)</f>
        <v>哈密</v>
      </c>
      <c r="C47" s="10">
        <v>43959</v>
      </c>
      <c r="D47" s="9"/>
      <c r="E47" s="11">
        <v>4500059009</v>
      </c>
      <c r="F47" s="9">
        <v>1106524</v>
      </c>
      <c r="G47" s="11">
        <v>1120000131</v>
      </c>
      <c r="H47" s="9" t="s">
        <v>21</v>
      </c>
      <c r="I47" s="11">
        <v>10</v>
      </c>
      <c r="J47" s="11">
        <v>4450</v>
      </c>
      <c r="K47" s="11"/>
      <c r="L47" s="10">
        <v>43980</v>
      </c>
      <c r="M47" s="9" t="s">
        <v>476</v>
      </c>
      <c r="N47" s="19" t="str">
        <f>VLOOKUP(H47,基础数据!G:H,2,FALSE)</f>
        <v>SR120后缘</v>
      </c>
    </row>
    <row r="48" spans="1:14" s="12" customFormat="1">
      <c r="A48" s="11">
        <v>1390</v>
      </c>
      <c r="B48" s="13" t="str">
        <f>VLOOKUP(A48,基础数据!A:B,2,FALSE)</f>
        <v>哈密</v>
      </c>
      <c r="C48" s="10">
        <v>43959</v>
      </c>
      <c r="D48" s="9"/>
      <c r="E48" s="11">
        <v>4500059009</v>
      </c>
      <c r="F48" s="9" t="s">
        <v>340</v>
      </c>
      <c r="G48" s="11">
        <v>1120000132</v>
      </c>
      <c r="H48" s="9" t="s">
        <v>22</v>
      </c>
      <c r="I48" s="11">
        <v>8</v>
      </c>
      <c r="J48" s="11">
        <v>17912</v>
      </c>
      <c r="K48" s="11"/>
      <c r="L48" s="10">
        <v>43980</v>
      </c>
      <c r="M48" s="9" t="s">
        <v>477</v>
      </c>
      <c r="N48" s="19" t="str">
        <f>VLOOKUP(H48,基础数据!G:H,2,FALSE)</f>
        <v>SR120大梁</v>
      </c>
    </row>
    <row r="49" spans="1:14" s="12" customFormat="1">
      <c r="A49" s="11">
        <v>1390</v>
      </c>
      <c r="B49" s="13" t="str">
        <f>VLOOKUP(A49,基础数据!A:B,2,FALSE)</f>
        <v>哈密</v>
      </c>
      <c r="C49" s="10">
        <v>43959</v>
      </c>
      <c r="D49" s="9"/>
      <c r="E49" s="11">
        <v>4500059009</v>
      </c>
      <c r="F49" s="9"/>
      <c r="G49" s="11">
        <v>1120000126</v>
      </c>
      <c r="H49" s="9" t="s">
        <v>88</v>
      </c>
      <c r="I49" s="11">
        <v>4</v>
      </c>
      <c r="J49" s="11">
        <v>1444</v>
      </c>
      <c r="K49" s="11"/>
      <c r="L49" s="10">
        <v>43981</v>
      </c>
      <c r="M49" s="9" t="s">
        <v>479</v>
      </c>
      <c r="N49" s="19" t="str">
        <f>VLOOKUP(H49,基础数据!G:H,2,FALSE)</f>
        <v>SR113后缘</v>
      </c>
    </row>
    <row r="50" spans="1:14" s="12" customFormat="1">
      <c r="A50" s="11">
        <v>1390</v>
      </c>
      <c r="B50" s="13" t="str">
        <f>VLOOKUP(A50,基础数据!A:B,2,FALSE)</f>
        <v>哈密</v>
      </c>
      <c r="C50" s="10">
        <v>43966</v>
      </c>
      <c r="D50" s="9"/>
      <c r="E50" s="11">
        <v>4500059586</v>
      </c>
      <c r="F50" s="9"/>
      <c r="G50" s="11">
        <v>1120000126</v>
      </c>
      <c r="H50" s="9" t="s">
        <v>88</v>
      </c>
      <c r="I50" s="11">
        <v>6</v>
      </c>
      <c r="J50" s="11">
        <v>2166</v>
      </c>
      <c r="K50" s="11"/>
      <c r="L50" s="10">
        <v>43986</v>
      </c>
      <c r="M50" s="9" t="s">
        <v>478</v>
      </c>
      <c r="N50" s="19" t="str">
        <f>VLOOKUP(H50,基础数据!G:H,2,FALSE)</f>
        <v>SR113后缘</v>
      </c>
    </row>
    <row r="51" spans="1:14" s="12" customFormat="1">
      <c r="A51" s="11">
        <v>1390</v>
      </c>
      <c r="B51" s="13" t="str">
        <f>VLOOKUP(A51,基础数据!A:B,2,FALSE)</f>
        <v>哈密</v>
      </c>
      <c r="C51" s="10">
        <v>43973</v>
      </c>
      <c r="D51" s="9"/>
      <c r="E51" s="11">
        <v>4500060304</v>
      </c>
      <c r="F51" s="9"/>
      <c r="G51" s="11">
        <v>1120000131</v>
      </c>
      <c r="H51" s="9" t="s">
        <v>21</v>
      </c>
      <c r="I51" s="11">
        <v>12</v>
      </c>
      <c r="J51" s="11">
        <v>5340</v>
      </c>
      <c r="K51" s="11"/>
      <c r="L51" s="10">
        <v>43995</v>
      </c>
      <c r="M51" s="9" t="s">
        <v>483</v>
      </c>
      <c r="N51" s="13" t="str">
        <f>VLOOKUP(H51,基础数据!G:H,2,FALSE)</f>
        <v>SR120后缘</v>
      </c>
    </row>
    <row r="52" spans="1:14" s="12" customFormat="1">
      <c r="A52" s="11">
        <v>1390</v>
      </c>
      <c r="B52" s="13" t="str">
        <f>VLOOKUP(A52,基础数据!A:B,2,FALSE)</f>
        <v>哈密</v>
      </c>
      <c r="C52" s="10">
        <v>43966</v>
      </c>
      <c r="D52" s="9"/>
      <c r="E52" s="11">
        <v>4500059586</v>
      </c>
      <c r="F52" s="9"/>
      <c r="G52" s="11">
        <v>1120000126</v>
      </c>
      <c r="H52" s="9" t="s">
        <v>88</v>
      </c>
      <c r="I52" s="11">
        <v>4</v>
      </c>
      <c r="J52" s="11">
        <v>1444</v>
      </c>
      <c r="K52" s="11"/>
      <c r="L52" s="10">
        <v>43986</v>
      </c>
      <c r="M52" s="9" t="s">
        <v>484</v>
      </c>
      <c r="N52" s="13" t="str">
        <f>VLOOKUP(H52,基础数据!G:H,2,FALSE)</f>
        <v>SR113后缘</v>
      </c>
    </row>
    <row r="53" spans="1:14" s="12" customFormat="1">
      <c r="A53" s="11">
        <v>1390</v>
      </c>
      <c r="B53" s="13" t="str">
        <f>VLOOKUP(A53,基础数据!A:B,2,FALSE)</f>
        <v>哈密</v>
      </c>
      <c r="C53" s="10">
        <v>43959</v>
      </c>
      <c r="D53" s="9"/>
      <c r="E53" s="11">
        <v>4500059009</v>
      </c>
      <c r="F53" s="9"/>
      <c r="G53" s="11">
        <v>1120000125</v>
      </c>
      <c r="H53" s="9" t="s">
        <v>87</v>
      </c>
      <c r="I53" s="11">
        <v>5</v>
      </c>
      <c r="J53" s="11">
        <v>16480</v>
      </c>
      <c r="K53" s="11"/>
      <c r="L53" s="10">
        <v>43981</v>
      </c>
      <c r="M53" s="9" t="s">
        <v>485</v>
      </c>
      <c r="N53" s="13" t="str">
        <f>VLOOKUP(H53,基础数据!G:H,2,FALSE)</f>
        <v>SR113大梁</v>
      </c>
    </row>
    <row r="54" spans="1:14" s="12" customFormat="1">
      <c r="A54" s="11">
        <v>1390</v>
      </c>
      <c r="B54" s="13" t="str">
        <f>VLOOKUP(A54,基础数据!A:B,2,FALSE)</f>
        <v>哈密</v>
      </c>
      <c r="C54" s="10">
        <v>43966</v>
      </c>
      <c r="D54" s="9"/>
      <c r="E54" s="11">
        <v>4500059586</v>
      </c>
      <c r="F54" s="9"/>
      <c r="G54" s="11">
        <v>1120000125</v>
      </c>
      <c r="H54" s="9" t="s">
        <v>87</v>
      </c>
      <c r="I54" s="11">
        <v>5</v>
      </c>
      <c r="J54" s="11">
        <v>16480</v>
      </c>
      <c r="K54" s="11"/>
      <c r="L54" s="10">
        <v>43986</v>
      </c>
      <c r="M54" s="9" t="s">
        <v>502</v>
      </c>
      <c r="N54" s="13" t="str">
        <f>VLOOKUP(H54,基础数据!G:H,2,FALSE)</f>
        <v>SR113大梁</v>
      </c>
    </row>
    <row r="55" spans="1:14" s="12" customFormat="1">
      <c r="A55" s="11">
        <v>1390</v>
      </c>
      <c r="B55" s="13" t="str">
        <f>VLOOKUP(A55,基础数据!A:B,2,FALSE)</f>
        <v>哈密</v>
      </c>
      <c r="C55" s="10">
        <v>43966</v>
      </c>
      <c r="D55" s="9"/>
      <c r="E55" s="11">
        <v>4500059586</v>
      </c>
      <c r="F55" s="9"/>
      <c r="G55" s="11">
        <v>1120000126</v>
      </c>
      <c r="H55" s="9" t="s">
        <v>88</v>
      </c>
      <c r="I55" s="11">
        <f>18-6-4</f>
        <v>8</v>
      </c>
      <c r="J55" s="11">
        <f>6804-2166-1444</f>
        <v>3194</v>
      </c>
      <c r="K55" s="11"/>
      <c r="L55" s="10">
        <v>43986</v>
      </c>
      <c r="M55" s="9" t="s">
        <v>503</v>
      </c>
      <c r="N55" s="13" t="str">
        <f>VLOOKUP(H55,基础数据!G:H,2,FALSE)</f>
        <v>SR113后缘</v>
      </c>
    </row>
    <row r="56" spans="1:14" s="12" customFormat="1">
      <c r="A56" s="11">
        <v>1390</v>
      </c>
      <c r="B56" s="13" t="str">
        <f>VLOOKUP(A56,基础数据!A:B,2,FALSE)</f>
        <v>哈密</v>
      </c>
      <c r="C56" s="10">
        <v>43980</v>
      </c>
      <c r="D56" s="9"/>
      <c r="E56" s="11">
        <v>4500060994</v>
      </c>
      <c r="F56" s="9"/>
      <c r="G56" s="11">
        <v>1120000131</v>
      </c>
      <c r="H56" s="9" t="s">
        <v>21</v>
      </c>
      <c r="I56" s="11">
        <v>8</v>
      </c>
      <c r="J56" s="11">
        <v>3560</v>
      </c>
      <c r="K56" s="11"/>
      <c r="L56" s="10">
        <v>43994</v>
      </c>
      <c r="M56" s="9" t="s">
        <v>504</v>
      </c>
      <c r="N56" s="13" t="str">
        <f>VLOOKUP(H56,基础数据!G:H,2,FALSE)</f>
        <v>SR120后缘</v>
      </c>
    </row>
    <row r="57" spans="1:14" s="12" customFormat="1">
      <c r="A57" s="11">
        <v>1390</v>
      </c>
      <c r="B57" s="13" t="str">
        <f>VLOOKUP(A57,基础数据!A:B,2,FALSE)</f>
        <v>哈密</v>
      </c>
      <c r="C57" s="10">
        <v>43973</v>
      </c>
      <c r="D57" s="9"/>
      <c r="E57" s="11">
        <v>4500060304</v>
      </c>
      <c r="F57" s="9"/>
      <c r="G57" s="11">
        <v>1120000132</v>
      </c>
      <c r="H57" s="9" t="s">
        <v>22</v>
      </c>
      <c r="I57" s="11">
        <v>4</v>
      </c>
      <c r="J57" s="11">
        <v>8956</v>
      </c>
      <c r="K57" s="11"/>
      <c r="L57" s="10">
        <v>43995</v>
      </c>
      <c r="M57" s="9" t="s">
        <v>511</v>
      </c>
      <c r="N57" s="13" t="str">
        <f>VLOOKUP(H57,基础数据!G:H,2,FALSE)</f>
        <v>SR120大梁</v>
      </c>
    </row>
    <row r="58" spans="1:14" s="12" customFormat="1">
      <c r="A58" s="11">
        <v>1390</v>
      </c>
      <c r="B58" s="13" t="str">
        <f>VLOOKUP(A58,基础数据!A:B,2,FALSE)</f>
        <v>哈密</v>
      </c>
      <c r="C58" s="10">
        <v>43973</v>
      </c>
      <c r="D58" s="9"/>
      <c r="E58" s="11">
        <v>4500060304</v>
      </c>
      <c r="F58" s="9"/>
      <c r="G58" s="11">
        <v>1120000132</v>
      </c>
      <c r="H58" s="9" t="s">
        <v>22</v>
      </c>
      <c r="I58" s="11">
        <v>4</v>
      </c>
      <c r="J58" s="11">
        <v>8956</v>
      </c>
      <c r="K58" s="11"/>
      <c r="L58" s="10">
        <v>43995</v>
      </c>
      <c r="M58" s="9" t="s">
        <v>512</v>
      </c>
      <c r="N58" s="13" t="str">
        <f>VLOOKUP(H58,基础数据!G:H,2,FALSE)</f>
        <v>SR120大梁</v>
      </c>
    </row>
    <row r="59" spans="1:14" s="12" customFormat="1">
      <c r="A59" s="11">
        <v>1390</v>
      </c>
      <c r="B59" s="13" t="str">
        <f>VLOOKUP(A59,基础数据!A:B,2,FALSE)</f>
        <v>哈密</v>
      </c>
      <c r="C59" s="10">
        <v>43938</v>
      </c>
      <c r="D59" s="9"/>
      <c r="E59" s="11">
        <v>4500057350</v>
      </c>
      <c r="F59" s="9">
        <v>1106524</v>
      </c>
      <c r="G59" s="11">
        <v>1120000131</v>
      </c>
      <c r="H59" s="9" t="s">
        <v>21</v>
      </c>
      <c r="I59" s="11">
        <f>16-10-1-2</f>
        <v>3</v>
      </c>
      <c r="J59" s="11">
        <f>7601-4450-445-890</f>
        <v>1816</v>
      </c>
      <c r="K59" s="11"/>
      <c r="L59" s="10">
        <v>43959</v>
      </c>
      <c r="M59" s="9" t="s">
        <v>475</v>
      </c>
      <c r="N59" s="13" t="str">
        <f>VLOOKUP(H59,基础数据!G:H,2,FALSE)</f>
        <v>SR120后缘</v>
      </c>
    </row>
    <row r="60" spans="1:14" s="12" customFormat="1">
      <c r="A60" s="11">
        <v>1390</v>
      </c>
      <c r="B60" s="13" t="str">
        <f>VLOOKUP(A60,基础数据!A:B,2,FALSE)</f>
        <v>哈密</v>
      </c>
      <c r="C60" s="10">
        <v>43980</v>
      </c>
      <c r="D60" s="9"/>
      <c r="E60" s="11">
        <v>4500060994</v>
      </c>
      <c r="F60" s="9"/>
      <c r="G60" s="11">
        <v>1120000131</v>
      </c>
      <c r="H60" s="9" t="s">
        <v>21</v>
      </c>
      <c r="I60" s="11">
        <f>12-8</f>
        <v>4</v>
      </c>
      <c r="J60" s="11">
        <f>5701-3560</f>
        <v>2141</v>
      </c>
      <c r="K60" s="11"/>
      <c r="L60" s="10">
        <v>43994</v>
      </c>
      <c r="M60" s="9" t="s">
        <v>504</v>
      </c>
      <c r="N60" s="13" t="str">
        <f>VLOOKUP(H60,基础数据!G:H,2,FALSE)</f>
        <v>SR120后缘</v>
      </c>
    </row>
    <row r="61" spans="1:14" s="12" customFormat="1">
      <c r="A61" s="11">
        <v>1390</v>
      </c>
      <c r="B61" s="13" t="str">
        <f>VLOOKUP(A61,基础数据!A:B,2,FALSE)</f>
        <v>哈密</v>
      </c>
      <c r="C61" s="10">
        <v>43987</v>
      </c>
      <c r="D61" s="9"/>
      <c r="E61" s="11">
        <v>4500061544</v>
      </c>
      <c r="F61" s="9"/>
      <c r="G61" s="11">
        <v>1120000131</v>
      </c>
      <c r="H61" s="9" t="s">
        <v>21</v>
      </c>
      <c r="I61" s="11">
        <f>12+5</f>
        <v>17</v>
      </c>
      <c r="J61" s="11">
        <f>5701+2760</f>
        <v>8461</v>
      </c>
      <c r="K61" s="11"/>
      <c r="L61" s="10">
        <v>44009</v>
      </c>
      <c r="M61" s="9" t="s">
        <v>521</v>
      </c>
      <c r="N61" s="13" t="str">
        <f>VLOOKUP(H61,基础数据!G:H,2,FALSE)</f>
        <v>SR120后缘</v>
      </c>
    </row>
    <row r="62" spans="1:14" s="12" customFormat="1">
      <c r="A62" s="11">
        <v>1390</v>
      </c>
      <c r="B62" s="31" t="str">
        <f>VLOOKUP(A62,基础数据!A:B,2,FALSE)</f>
        <v>哈密</v>
      </c>
      <c r="C62" s="10">
        <v>43959</v>
      </c>
      <c r="D62" s="9"/>
      <c r="E62" s="11">
        <v>4500059009</v>
      </c>
      <c r="F62" s="9"/>
      <c r="G62" s="11">
        <v>1120000125</v>
      </c>
      <c r="H62" s="9" t="s">
        <v>87</v>
      </c>
      <c r="I62" s="11">
        <f>8-5</f>
        <v>3</v>
      </c>
      <c r="J62" s="11">
        <f>26592-16480</f>
        <v>10112</v>
      </c>
      <c r="K62" s="11"/>
      <c r="L62" s="10">
        <v>43981</v>
      </c>
      <c r="M62" s="9" t="s">
        <v>520</v>
      </c>
      <c r="N62" s="13" t="str">
        <f>VLOOKUP(H62,基础数据!G:H,2,FALSE)</f>
        <v>SR113大梁</v>
      </c>
    </row>
    <row r="63" spans="1:14" s="12" customFormat="1">
      <c r="A63" s="11">
        <v>1390</v>
      </c>
      <c r="B63" s="31" t="str">
        <f>VLOOKUP(A63,基础数据!A:B,2,FALSE)</f>
        <v>哈密</v>
      </c>
      <c r="C63" s="10">
        <v>43959</v>
      </c>
      <c r="D63" s="9"/>
      <c r="E63" s="11">
        <v>4500059009</v>
      </c>
      <c r="F63" s="9" t="s">
        <v>340</v>
      </c>
      <c r="G63" s="11">
        <v>1120000132</v>
      </c>
      <c r="H63" s="9" t="s">
        <v>22</v>
      </c>
      <c r="I63" s="11">
        <f>20-6-4-8</f>
        <v>2</v>
      </c>
      <c r="J63" s="11">
        <f>44484-13434-8956-17912</f>
        <v>4182</v>
      </c>
      <c r="K63" s="11"/>
      <c r="L63" s="10">
        <v>43980</v>
      </c>
      <c r="M63" s="9" t="s">
        <v>519</v>
      </c>
      <c r="N63" s="13" t="str">
        <f>VLOOKUP(H63,基础数据!G:H,2,FALSE)</f>
        <v>SR120大梁</v>
      </c>
    </row>
    <row r="64" spans="1:14" s="12" customFormat="1">
      <c r="A64" s="11">
        <v>1390</v>
      </c>
      <c r="B64" s="13" t="str">
        <f>VLOOKUP(A64,基础数据!A:B,2,FALSE)</f>
        <v>哈密</v>
      </c>
      <c r="C64" s="10">
        <v>43966</v>
      </c>
      <c r="D64" s="9"/>
      <c r="E64" s="11">
        <v>4500059586</v>
      </c>
      <c r="F64" s="9"/>
      <c r="G64" s="11">
        <v>1120000125</v>
      </c>
      <c r="H64" s="9" t="s">
        <v>87</v>
      </c>
      <c r="I64" s="11">
        <v>3</v>
      </c>
      <c r="J64" s="11">
        <v>9888</v>
      </c>
      <c r="K64" s="11"/>
      <c r="L64" s="10">
        <v>43986</v>
      </c>
      <c r="M64" s="9" t="s">
        <v>529</v>
      </c>
      <c r="N64" s="13" t="str">
        <f>VLOOKUP(H64,基础数据!G:H,2,FALSE)</f>
        <v>SR113大梁</v>
      </c>
    </row>
    <row r="65" spans="1:14" s="12" customFormat="1">
      <c r="A65" s="11">
        <v>1390</v>
      </c>
      <c r="B65" s="13" t="str">
        <f>VLOOKUP(A65,基础数据!A:B,2,FALSE)</f>
        <v>哈密</v>
      </c>
      <c r="C65" s="10">
        <v>43980</v>
      </c>
      <c r="D65" s="9"/>
      <c r="E65" s="11">
        <v>4500060994</v>
      </c>
      <c r="F65" s="9"/>
      <c r="G65" s="11">
        <v>1120000132</v>
      </c>
      <c r="H65" s="9" t="s">
        <v>22</v>
      </c>
      <c r="I65" s="11">
        <v>5</v>
      </c>
      <c r="J65" s="11">
        <v>11195</v>
      </c>
      <c r="K65" s="11"/>
      <c r="L65" s="10">
        <v>43994</v>
      </c>
      <c r="M65" s="9" t="s">
        <v>530</v>
      </c>
      <c r="N65" s="13" t="str">
        <f>VLOOKUP(H65,基础数据!G:H,2,FALSE)</f>
        <v>SR120大梁</v>
      </c>
    </row>
    <row r="66" spans="1:14" s="33" customFormat="1">
      <c r="A66" s="11">
        <v>1390</v>
      </c>
      <c r="B66" s="13" t="str">
        <f>VLOOKUP(A66,基础数据!A:B,2,FALSE)</f>
        <v>哈密</v>
      </c>
      <c r="C66" s="10">
        <v>43992</v>
      </c>
      <c r="D66" s="32"/>
      <c r="E66" s="32">
        <v>20200638</v>
      </c>
      <c r="F66" s="32"/>
      <c r="G66" s="11">
        <v>1120001397</v>
      </c>
      <c r="H66" s="9" t="s">
        <v>10</v>
      </c>
      <c r="I66" s="32"/>
      <c r="J66" s="32">
        <v>2898</v>
      </c>
      <c r="K66" s="32"/>
      <c r="L66" s="10">
        <v>43999</v>
      </c>
      <c r="M66" s="32" t="s">
        <v>531</v>
      </c>
      <c r="N66" s="32"/>
    </row>
    <row r="67" spans="1:14" s="12" customFormat="1">
      <c r="A67" s="11">
        <v>1390</v>
      </c>
      <c r="B67" s="13" t="str">
        <f>VLOOKUP(A67,基础数据!A:B,2,FALSE)</f>
        <v>哈密</v>
      </c>
      <c r="C67" s="10">
        <v>43973</v>
      </c>
      <c r="D67" s="9"/>
      <c r="E67" s="11">
        <v>4500060304</v>
      </c>
      <c r="F67" s="9"/>
      <c r="G67" s="11">
        <v>1120000132</v>
      </c>
      <c r="H67" s="9" t="s">
        <v>22</v>
      </c>
      <c r="I67" s="11">
        <f>12-4-4</f>
        <v>4</v>
      </c>
      <c r="J67" s="11">
        <f>26690-8956-8956</f>
        <v>8778</v>
      </c>
      <c r="K67" s="11"/>
      <c r="L67" s="10">
        <v>43995</v>
      </c>
      <c r="M67" s="9" t="s">
        <v>538</v>
      </c>
      <c r="N67" s="13" t="str">
        <f>VLOOKUP(H67,基础数据!G:H,2,FALSE)</f>
        <v>SR120大梁</v>
      </c>
    </row>
    <row r="68" spans="1:14" s="12" customFormat="1">
      <c r="A68" s="11">
        <v>1390</v>
      </c>
      <c r="B68" s="13" t="str">
        <f>VLOOKUP(A68,基础数据!A:B,2,FALSE)</f>
        <v>哈密</v>
      </c>
      <c r="C68" s="10">
        <v>43980</v>
      </c>
      <c r="D68" s="9"/>
      <c r="E68" s="11">
        <v>4500060994</v>
      </c>
      <c r="F68" s="9"/>
      <c r="G68" s="11">
        <v>1120000132</v>
      </c>
      <c r="H68" s="9" t="s">
        <v>22</v>
      </c>
      <c r="I68" s="11">
        <v>4</v>
      </c>
      <c r="J68" s="11">
        <v>8956</v>
      </c>
      <c r="K68" s="11"/>
      <c r="L68" s="10">
        <v>43994</v>
      </c>
      <c r="M68" s="9" t="s">
        <v>542</v>
      </c>
      <c r="N68" s="13" t="str">
        <f>VLOOKUP(H68,基础数据!G:H,2,FALSE)</f>
        <v>SR120大梁</v>
      </c>
    </row>
    <row r="69" spans="1:14" s="12" customFormat="1">
      <c r="A69" s="11">
        <v>1390</v>
      </c>
      <c r="B69" s="13" t="str">
        <f>VLOOKUP(A69,基础数据!A:B,2,FALSE)</f>
        <v>哈密</v>
      </c>
      <c r="C69" s="10">
        <v>43980</v>
      </c>
      <c r="D69" s="9"/>
      <c r="E69" s="11">
        <v>4500060994</v>
      </c>
      <c r="F69" s="9"/>
      <c r="G69" s="11">
        <v>1120000132</v>
      </c>
      <c r="H69" s="9" t="s">
        <v>22</v>
      </c>
      <c r="I69" s="11">
        <f>12-5-4</f>
        <v>3</v>
      </c>
      <c r="J69" s="11">
        <f>26690-11195-8956</f>
        <v>6539</v>
      </c>
      <c r="K69" s="11"/>
      <c r="L69" s="10">
        <v>43994</v>
      </c>
      <c r="M69" s="9" t="s">
        <v>550</v>
      </c>
      <c r="N69" s="13" t="str">
        <f>VLOOKUP(H69,基础数据!G:H,2,FALSE)</f>
        <v>SR120大梁</v>
      </c>
    </row>
    <row r="70" spans="1:14" s="12" customFormat="1">
      <c r="A70" s="11">
        <v>1390</v>
      </c>
      <c r="B70" s="13" t="str">
        <f>VLOOKUP(A70,基础数据!A:B,2,FALSE)</f>
        <v>哈密</v>
      </c>
      <c r="C70" s="10">
        <v>43987</v>
      </c>
      <c r="D70" s="9"/>
      <c r="E70" s="11">
        <v>4500061544</v>
      </c>
      <c r="F70" s="9"/>
      <c r="G70" s="11">
        <v>1120000132</v>
      </c>
      <c r="H70" s="9" t="s">
        <v>22</v>
      </c>
      <c r="I70" s="11">
        <v>1</v>
      </c>
      <c r="J70" s="11">
        <v>2239</v>
      </c>
      <c r="K70" s="11"/>
      <c r="L70" s="10">
        <v>44009</v>
      </c>
      <c r="M70" s="9" t="s">
        <v>551</v>
      </c>
      <c r="N70" s="13" t="str">
        <f>VLOOKUP(H70,基础数据!G:H,2,FALSE)</f>
        <v>SR120大梁</v>
      </c>
    </row>
    <row r="71" spans="1:14" s="12" customFormat="1">
      <c r="A71" s="11">
        <v>1390</v>
      </c>
      <c r="B71" s="13" t="str">
        <f>VLOOKUP(A71,基础数据!A:B,2,FALSE)</f>
        <v>哈密</v>
      </c>
      <c r="C71" s="10">
        <v>43987</v>
      </c>
      <c r="D71" s="9"/>
      <c r="E71" s="11">
        <v>4500061544</v>
      </c>
      <c r="F71" s="9"/>
      <c r="G71" s="11">
        <v>1120000132</v>
      </c>
      <c r="H71" s="9" t="s">
        <v>22</v>
      </c>
      <c r="I71" s="11">
        <v>8</v>
      </c>
      <c r="J71" s="11">
        <v>17912</v>
      </c>
      <c r="K71" s="11"/>
      <c r="L71" s="10">
        <v>44009</v>
      </c>
      <c r="M71" s="9" t="s">
        <v>560</v>
      </c>
      <c r="N71" s="13" t="str">
        <f>VLOOKUP(H71,基础数据!G:H,2,FALSE)</f>
        <v>SR120大梁</v>
      </c>
    </row>
    <row r="72" spans="1:14" s="12" customFormat="1">
      <c r="A72" s="11">
        <v>1390</v>
      </c>
      <c r="B72" s="13" t="str">
        <f>VLOOKUP(A72,基础数据!A:B,2,FALSE)</f>
        <v>哈密</v>
      </c>
      <c r="C72" s="10">
        <v>43994</v>
      </c>
      <c r="D72" s="9"/>
      <c r="E72" s="11">
        <v>4500062217</v>
      </c>
      <c r="F72" s="9"/>
      <c r="G72" s="11">
        <v>1120000132</v>
      </c>
      <c r="H72" s="9" t="s">
        <v>22</v>
      </c>
      <c r="I72" s="11">
        <v>8</v>
      </c>
      <c r="J72" s="11">
        <v>17912</v>
      </c>
      <c r="K72" s="11"/>
      <c r="L72" s="10">
        <v>44016</v>
      </c>
      <c r="M72" s="9" t="s">
        <v>572</v>
      </c>
      <c r="N72" s="13" t="str">
        <f>VLOOKUP(H72,基础数据!G:H,2,FALSE)</f>
        <v>SR120大梁</v>
      </c>
    </row>
    <row r="73" spans="1:14" s="12" customFormat="1">
      <c r="A73" s="11">
        <v>1390</v>
      </c>
      <c r="B73" s="13" t="str">
        <f>VLOOKUP(A73,基础数据!A:B,2,FALSE)</f>
        <v>哈密</v>
      </c>
      <c r="C73" s="10">
        <v>43994</v>
      </c>
      <c r="D73" s="9"/>
      <c r="E73" s="11">
        <v>4500062217</v>
      </c>
      <c r="F73" s="9"/>
      <c r="G73" s="11">
        <v>1120000132</v>
      </c>
      <c r="H73" s="9" t="s">
        <v>22</v>
      </c>
      <c r="I73" s="11">
        <f>12-8</f>
        <v>4</v>
      </c>
      <c r="J73" s="11">
        <f>26690-17912</f>
        <v>8778</v>
      </c>
      <c r="K73" s="11"/>
      <c r="L73" s="10">
        <v>44016</v>
      </c>
      <c r="M73" s="9" t="s">
        <v>588</v>
      </c>
      <c r="N73" s="13" t="str">
        <f>VLOOKUP(H73,基础数据!G:H,2,FALSE)</f>
        <v>SR120大梁</v>
      </c>
    </row>
    <row r="74" spans="1:14" s="12" customFormat="1">
      <c r="A74" s="11">
        <v>1390</v>
      </c>
      <c r="B74" s="13" t="str">
        <f>VLOOKUP(A74,基础数据!A:B,2,FALSE)</f>
        <v>哈密</v>
      </c>
      <c r="C74" s="10">
        <v>43994</v>
      </c>
      <c r="D74" s="9"/>
      <c r="E74" s="11">
        <v>4500062217</v>
      </c>
      <c r="F74" s="9"/>
      <c r="G74" s="11">
        <v>1120000131</v>
      </c>
      <c r="H74" s="9" t="s">
        <v>21</v>
      </c>
      <c r="I74" s="11">
        <v>12</v>
      </c>
      <c r="J74" s="11">
        <v>5701</v>
      </c>
      <c r="K74" s="11"/>
      <c r="L74" s="10">
        <v>44016</v>
      </c>
      <c r="M74" s="9" t="s">
        <v>589</v>
      </c>
      <c r="N74" s="13" t="str">
        <f>VLOOKUP(H74,基础数据!G:H,2,FALSE)</f>
        <v>SR120后缘</v>
      </c>
    </row>
    <row r="75" spans="1:14" s="12" customFormat="1">
      <c r="A75" s="11">
        <v>1390</v>
      </c>
      <c r="B75" s="13" t="str">
        <f>VLOOKUP(A75,基础数据!A:B,2,FALSE)</f>
        <v>哈密</v>
      </c>
      <c r="C75" s="10">
        <v>43987</v>
      </c>
      <c r="D75" s="9"/>
      <c r="E75" s="11">
        <v>4500061544</v>
      </c>
      <c r="F75" s="9"/>
      <c r="G75" s="11">
        <v>1120000132</v>
      </c>
      <c r="H75" s="9" t="s">
        <v>22</v>
      </c>
      <c r="I75" s="11">
        <f>12-1-8</f>
        <v>3</v>
      </c>
      <c r="J75" s="11">
        <f>26690-2239-17912</f>
        <v>6539</v>
      </c>
      <c r="K75" s="11"/>
      <c r="L75" s="10">
        <v>44009</v>
      </c>
      <c r="M75" s="9" t="s">
        <v>596</v>
      </c>
      <c r="N75" s="13" t="str">
        <f>VLOOKUP(H75,基础数据!G:H,2,FALSE)</f>
        <v>SR120大梁</v>
      </c>
    </row>
    <row r="76" spans="1:14" s="12" customFormat="1">
      <c r="A76" s="11">
        <v>1390</v>
      </c>
      <c r="B76" s="13" t="str">
        <f>VLOOKUP(A76,基础数据!A:B,2,FALSE)</f>
        <v>哈密</v>
      </c>
      <c r="C76" s="10">
        <v>44010</v>
      </c>
      <c r="D76" s="9"/>
      <c r="E76" s="11">
        <v>4500063510</v>
      </c>
      <c r="F76" s="9"/>
      <c r="G76" s="11">
        <v>1120000132</v>
      </c>
      <c r="H76" s="9" t="s">
        <v>22</v>
      </c>
      <c r="I76" s="11">
        <v>8</v>
      </c>
      <c r="J76" s="11">
        <v>17912</v>
      </c>
      <c r="K76" s="11"/>
      <c r="L76" s="10">
        <v>44024</v>
      </c>
      <c r="M76" s="9" t="s">
        <v>600</v>
      </c>
      <c r="N76" s="13" t="str">
        <f>VLOOKUP(H76,基础数据!G:H,2,FALSE)</f>
        <v>SR120大梁</v>
      </c>
    </row>
    <row r="77" spans="1:14" s="12" customFormat="1">
      <c r="A77" s="11">
        <v>1390</v>
      </c>
      <c r="B77" s="13" t="str">
        <f>VLOOKUP(A77,基础数据!A:B,2,FALSE)</f>
        <v>哈密</v>
      </c>
      <c r="C77" s="10">
        <v>44010</v>
      </c>
      <c r="D77" s="9"/>
      <c r="E77" s="11">
        <v>4500063510</v>
      </c>
      <c r="F77" s="9"/>
      <c r="G77" s="11">
        <v>1120000132</v>
      </c>
      <c r="H77" s="9" t="s">
        <v>22</v>
      </c>
      <c r="I77" s="11">
        <v>14</v>
      </c>
      <c r="J77" s="11">
        <v>31346</v>
      </c>
      <c r="K77" s="11"/>
      <c r="L77" s="10">
        <v>44024</v>
      </c>
      <c r="M77" s="9" t="s">
        <v>613</v>
      </c>
      <c r="N77" s="13" t="str">
        <f>VLOOKUP(H77,基础数据!G:H,2,FALSE)</f>
        <v>SR120大梁</v>
      </c>
    </row>
    <row r="78" spans="1:14" s="12" customFormat="1">
      <c r="A78" s="11">
        <v>1390</v>
      </c>
      <c r="B78" s="13" t="str">
        <f>VLOOKUP(A78,基础数据!A:B,2,FALSE)</f>
        <v>哈密</v>
      </c>
      <c r="C78" s="10">
        <v>43966</v>
      </c>
      <c r="D78" s="9"/>
      <c r="E78" s="11">
        <v>4500059586</v>
      </c>
      <c r="F78" s="9"/>
      <c r="G78" s="11">
        <v>1120000125</v>
      </c>
      <c r="H78" s="9" t="s">
        <v>87</v>
      </c>
      <c r="I78" s="11">
        <v>2</v>
      </c>
      <c r="J78" s="11">
        <v>6592</v>
      </c>
      <c r="K78" s="11"/>
      <c r="L78" s="10">
        <v>43986</v>
      </c>
      <c r="M78" s="9" t="s">
        <v>631</v>
      </c>
      <c r="N78" s="13" t="str">
        <f>VLOOKUP(H78,基础数据!G:H,2,FALSE)</f>
        <v>SR113大梁</v>
      </c>
    </row>
    <row r="79" spans="1:14" s="12" customFormat="1">
      <c r="A79" s="11">
        <v>1390</v>
      </c>
      <c r="B79" s="13" t="str">
        <f>VLOOKUP(A79,基础数据!A:B,2,FALSE)</f>
        <v>哈密</v>
      </c>
      <c r="C79" s="10">
        <v>43973</v>
      </c>
      <c r="D79" s="9"/>
      <c r="E79" s="11">
        <v>4500060304</v>
      </c>
      <c r="F79" s="9"/>
      <c r="G79" s="11">
        <v>1120000126</v>
      </c>
      <c r="H79" s="9" t="s">
        <v>88</v>
      </c>
      <c r="I79" s="11">
        <v>7</v>
      </c>
      <c r="J79" s="11">
        <v>2527</v>
      </c>
      <c r="K79" s="11"/>
      <c r="L79" s="10">
        <v>43994</v>
      </c>
      <c r="M79" s="9" t="s">
        <v>632</v>
      </c>
      <c r="N79" s="13" t="str">
        <f>VLOOKUP(H79,基础数据!G:H,2,FALSE)</f>
        <v>SR113后缘</v>
      </c>
    </row>
    <row r="80" spans="1:14" s="12" customFormat="1">
      <c r="A80" s="11">
        <v>1390</v>
      </c>
      <c r="B80" s="13" t="str">
        <f>VLOOKUP(A80,基础数据!A:B,2,FALSE)</f>
        <v>哈密</v>
      </c>
      <c r="C80" s="10">
        <v>43966</v>
      </c>
      <c r="D80" s="9"/>
      <c r="E80" s="11">
        <v>4500059586</v>
      </c>
      <c r="F80" s="9"/>
      <c r="G80" s="11">
        <v>1120000125</v>
      </c>
      <c r="H80" s="9" t="s">
        <v>87</v>
      </c>
      <c r="I80" s="11">
        <v>6</v>
      </c>
      <c r="J80" s="11">
        <v>19776</v>
      </c>
      <c r="K80" s="11"/>
      <c r="L80" s="10">
        <v>43986</v>
      </c>
      <c r="M80" s="9" t="s">
        <v>643</v>
      </c>
      <c r="N80" s="13" t="str">
        <f>VLOOKUP(H80,基础数据!G:H,2,FALSE)</f>
        <v>SR113大梁</v>
      </c>
    </row>
    <row r="81" spans="1:14" s="12" customFormat="1">
      <c r="A81" s="11">
        <v>1390</v>
      </c>
      <c r="B81" s="13" t="str">
        <f>VLOOKUP(A81,基础数据!A:B,2,FALSE)</f>
        <v>哈密</v>
      </c>
      <c r="C81" s="10">
        <v>43973</v>
      </c>
      <c r="D81" s="9"/>
      <c r="E81" s="11">
        <v>4500060304</v>
      </c>
      <c r="F81" s="9"/>
      <c r="G81" s="11">
        <v>1120000125</v>
      </c>
      <c r="H81" s="9" t="s">
        <v>87</v>
      </c>
      <c r="I81" s="11">
        <v>6</v>
      </c>
      <c r="J81" s="11">
        <f>3296*6</f>
        <v>19776</v>
      </c>
      <c r="K81" s="11"/>
      <c r="L81" s="10">
        <v>43994</v>
      </c>
      <c r="M81" s="9" t="s">
        <v>649</v>
      </c>
      <c r="N81" s="13" t="str">
        <f>VLOOKUP(H81,基础数据!G:H,2,FALSE)</f>
        <v>SR113大梁</v>
      </c>
    </row>
    <row r="82" spans="1:14" s="23" customFormat="1">
      <c r="A82" s="22">
        <v>1390</v>
      </c>
      <c r="B82" s="7" t="str">
        <f>VLOOKUP(A82,基础数据!A:B,2,FALSE)</f>
        <v>哈密</v>
      </c>
      <c r="C82" s="21">
        <v>43973</v>
      </c>
      <c r="D82" s="20"/>
      <c r="E82" s="22">
        <v>4500060304</v>
      </c>
      <c r="F82" s="20"/>
      <c r="G82" s="22">
        <v>1120000125</v>
      </c>
      <c r="H82" s="20" t="s">
        <v>87</v>
      </c>
      <c r="I82" s="22">
        <v>6</v>
      </c>
      <c r="J82" s="22">
        <v>19776</v>
      </c>
      <c r="K82" s="22"/>
      <c r="L82" s="21">
        <v>43994</v>
      </c>
      <c r="M82" s="20" t="s">
        <v>671</v>
      </c>
      <c r="N82" s="7" t="str">
        <f>VLOOKUP(H82,基础数据!G:H,2,FALSE)</f>
        <v>SR113大梁</v>
      </c>
    </row>
    <row r="83" spans="1:14" s="12" customFormat="1">
      <c r="A83" s="11">
        <v>1390</v>
      </c>
      <c r="B83" s="13" t="str">
        <f>VLOOKUP(A83,基础数据!A:B,2,FALSE)</f>
        <v>哈密</v>
      </c>
      <c r="C83" s="10">
        <v>44010</v>
      </c>
      <c r="D83" s="9"/>
      <c r="E83" s="11">
        <v>4500063510</v>
      </c>
      <c r="F83" s="9"/>
      <c r="G83" s="11">
        <v>1120000131</v>
      </c>
      <c r="H83" s="9" t="s">
        <v>21</v>
      </c>
      <c r="I83" s="11">
        <f>24</f>
        <v>24</v>
      </c>
      <c r="J83" s="11">
        <v>11402</v>
      </c>
      <c r="K83" s="11"/>
      <c r="L83" s="10">
        <v>44024</v>
      </c>
      <c r="M83" s="9" t="s">
        <v>673</v>
      </c>
      <c r="N83" s="13" t="str">
        <f>VLOOKUP(H83,基础数据!G:H,2,FALSE)</f>
        <v>SR120后缘</v>
      </c>
    </row>
    <row r="84" spans="1:14" s="12" customFormat="1">
      <c r="A84" s="11">
        <v>1390</v>
      </c>
      <c r="B84" s="13" t="str">
        <f>VLOOKUP(A84,基础数据!A:B,2,FALSE)</f>
        <v>哈密</v>
      </c>
      <c r="C84" s="10">
        <v>44029</v>
      </c>
      <c r="D84" s="9"/>
      <c r="E84" s="11">
        <v>4500065251</v>
      </c>
      <c r="F84" s="9"/>
      <c r="G84" s="11">
        <v>1120000131</v>
      </c>
      <c r="H84" s="9" t="s">
        <v>21</v>
      </c>
      <c r="I84" s="11">
        <f>12-6</f>
        <v>6</v>
      </c>
      <c r="J84" s="11">
        <f>5701-2670</f>
        <v>3031</v>
      </c>
      <c r="K84" s="11"/>
      <c r="L84" s="10">
        <v>44050</v>
      </c>
      <c r="M84" s="9" t="s">
        <v>784</v>
      </c>
      <c r="N84" s="13" t="str">
        <f>VLOOKUP(H84,基础数据!G:H,2,FALSE)</f>
        <v>SR120后缘</v>
      </c>
    </row>
    <row r="85" spans="1:14" s="12" customFormat="1">
      <c r="A85" s="11">
        <v>1390</v>
      </c>
      <c r="B85" s="13" t="str">
        <f>VLOOKUP(A85,基础数据!A:B,2,FALSE)</f>
        <v>哈密</v>
      </c>
      <c r="C85" s="10">
        <v>43973</v>
      </c>
      <c r="D85" s="9"/>
      <c r="E85" s="11">
        <v>4500060304</v>
      </c>
      <c r="F85" s="9"/>
      <c r="G85" s="11">
        <v>1120000126</v>
      </c>
      <c r="H85" s="9" t="s">
        <v>88</v>
      </c>
      <c r="I85" s="11">
        <f>20-7-1</f>
        <v>12</v>
      </c>
      <c r="J85" s="11">
        <f>7560-2527</f>
        <v>5033</v>
      </c>
      <c r="K85" s="11"/>
      <c r="L85" s="10">
        <v>43994</v>
      </c>
      <c r="M85" s="9" t="s">
        <v>698</v>
      </c>
      <c r="N85" s="13" t="str">
        <f>VLOOKUP(H85,基础数据!G:H,2,FALSE)</f>
        <v>SR113后缘</v>
      </c>
    </row>
    <row r="86" spans="1:14" s="12" customFormat="1">
      <c r="A86" s="11">
        <v>1390</v>
      </c>
      <c r="B86" s="13" t="str">
        <f>VLOOKUP(A86,基础数据!A:B,2,FALSE)</f>
        <v>哈密</v>
      </c>
      <c r="C86" s="10">
        <v>44010</v>
      </c>
      <c r="D86" s="9"/>
      <c r="E86" s="11">
        <v>4500063510</v>
      </c>
      <c r="F86" s="9"/>
      <c r="G86" s="11">
        <v>1120000132</v>
      </c>
      <c r="H86" s="9" t="s">
        <v>22</v>
      </c>
      <c r="I86" s="11">
        <f>24-8-14</f>
        <v>2</v>
      </c>
      <c r="J86" s="11">
        <f>53380-17912-31346</f>
        <v>4122</v>
      </c>
      <c r="K86" s="11"/>
      <c r="L86" s="10">
        <v>44024</v>
      </c>
      <c r="M86" s="9" t="s">
        <v>699</v>
      </c>
      <c r="N86" s="13" t="str">
        <f>VLOOKUP(H86,基础数据!G:H,2,FALSE)</f>
        <v>SR120大梁</v>
      </c>
    </row>
    <row r="87" spans="1:14" s="12" customFormat="1">
      <c r="A87" s="11">
        <v>1390</v>
      </c>
      <c r="B87" s="13" t="str">
        <f>VLOOKUP(A87,基础数据!A:B,2,FALSE)</f>
        <v>哈密</v>
      </c>
      <c r="C87" s="10">
        <v>44029</v>
      </c>
      <c r="D87" s="9"/>
      <c r="E87" s="11">
        <v>4500065251</v>
      </c>
      <c r="F87" s="9"/>
      <c r="G87" s="11">
        <v>1120000132</v>
      </c>
      <c r="H87" s="9" t="s">
        <v>22</v>
      </c>
      <c r="I87" s="11">
        <v>8</v>
      </c>
      <c r="J87" s="11">
        <v>17912</v>
      </c>
      <c r="K87" s="11"/>
      <c r="L87" s="10">
        <v>44050</v>
      </c>
      <c r="M87" s="9" t="s">
        <v>700</v>
      </c>
      <c r="N87" s="13" t="str">
        <f>VLOOKUP(H87,基础数据!G:H,2,FALSE)</f>
        <v>SR120大梁</v>
      </c>
    </row>
    <row r="88" spans="1:14" s="12" customFormat="1">
      <c r="A88" s="11">
        <v>1390</v>
      </c>
      <c r="B88" s="13" t="str">
        <f>VLOOKUP(A88,基础数据!A:B,2,FALSE)</f>
        <v>哈密</v>
      </c>
      <c r="C88" s="10">
        <v>43973</v>
      </c>
      <c r="D88" s="9"/>
      <c r="E88" s="11">
        <v>4500060304</v>
      </c>
      <c r="F88" s="9"/>
      <c r="G88" s="11">
        <v>1120000125</v>
      </c>
      <c r="H88" s="9" t="s">
        <v>87</v>
      </c>
      <c r="I88" s="11">
        <v>4</v>
      </c>
      <c r="J88" s="11">
        <v>13184</v>
      </c>
      <c r="K88" s="11"/>
      <c r="L88" s="10">
        <v>43994</v>
      </c>
      <c r="M88" s="9" t="s">
        <v>754</v>
      </c>
      <c r="N88" s="13" t="str">
        <f>VLOOKUP(H88,基础数据!G:H,2,FALSE)</f>
        <v>SR113大梁</v>
      </c>
    </row>
    <row r="89" spans="1:14" s="12" customFormat="1">
      <c r="A89" s="11">
        <v>1390</v>
      </c>
      <c r="B89" s="13" t="str">
        <f>VLOOKUP(A89,基础数据!A:B,2,FALSE)</f>
        <v>哈密</v>
      </c>
      <c r="C89" s="10">
        <v>44037</v>
      </c>
      <c r="D89" s="9"/>
      <c r="E89" s="11">
        <v>4500065985</v>
      </c>
      <c r="F89" s="9"/>
      <c r="G89" s="11">
        <v>1120000132</v>
      </c>
      <c r="H89" s="9" t="s">
        <v>22</v>
      </c>
      <c r="I89" s="11">
        <v>6</v>
      </c>
      <c r="J89" s="11">
        <v>13434</v>
      </c>
      <c r="K89" s="11"/>
      <c r="L89" s="10">
        <v>44068</v>
      </c>
      <c r="M89" s="9" t="s">
        <v>755</v>
      </c>
      <c r="N89" s="13" t="str">
        <f>VLOOKUP(H89,基础数据!G:H,2,FALSE)</f>
        <v>SR120大梁</v>
      </c>
    </row>
    <row r="90" spans="1:14" s="12" customFormat="1">
      <c r="A90" s="11">
        <v>1390</v>
      </c>
      <c r="B90" s="13" t="str">
        <f>VLOOKUP(A90,基础数据!A:B,2,FALSE)</f>
        <v>哈密</v>
      </c>
      <c r="C90" s="10">
        <v>43966</v>
      </c>
      <c r="D90" s="9"/>
      <c r="E90" s="11">
        <v>4500059586</v>
      </c>
      <c r="F90" s="9"/>
      <c r="G90" s="11">
        <v>1120000125</v>
      </c>
      <c r="H90" s="9" t="s">
        <v>87</v>
      </c>
      <c r="I90" s="11">
        <f>18-5-3-2-6</f>
        <v>2</v>
      </c>
      <c r="J90" s="11">
        <f>59832-16480-9888-6592-19776</f>
        <v>7096</v>
      </c>
      <c r="K90" s="11"/>
      <c r="L90" s="10">
        <v>43986</v>
      </c>
      <c r="M90" s="9" t="s">
        <v>782</v>
      </c>
      <c r="N90" s="13" t="str">
        <f>VLOOKUP(H90,基础数据!G:H,2,FALSE)</f>
        <v>SR113大梁</v>
      </c>
    </row>
    <row r="91" spans="1:14" s="12" customFormat="1">
      <c r="A91" s="11">
        <v>1390</v>
      </c>
      <c r="B91" s="13" t="str">
        <f>VLOOKUP(A91,基础数据!A:B,2,FALSE)</f>
        <v>哈密</v>
      </c>
      <c r="C91" s="10">
        <v>43973</v>
      </c>
      <c r="D91" s="9"/>
      <c r="E91" s="11">
        <v>4500060304</v>
      </c>
      <c r="F91" s="9"/>
      <c r="G91" s="11">
        <v>1120000125</v>
      </c>
      <c r="H91" s="9" t="s">
        <v>87</v>
      </c>
      <c r="I91" s="11">
        <f>20-1-6-6-4</f>
        <v>3</v>
      </c>
      <c r="J91" s="11">
        <f>66480-3296-3296*6-19776-13184</f>
        <v>10448</v>
      </c>
      <c r="K91" s="11"/>
      <c r="L91" s="10">
        <v>43994</v>
      </c>
      <c r="M91" s="9" t="s">
        <v>783</v>
      </c>
      <c r="N91" s="13" t="str">
        <f>VLOOKUP(H91,基础数据!G:H,2,FALSE)</f>
        <v>SR113大梁</v>
      </c>
    </row>
    <row r="92" spans="1:14" s="12" customFormat="1">
      <c r="A92" s="11">
        <v>1390</v>
      </c>
      <c r="B92" s="13" t="str">
        <f>VLOOKUP(A92,基础数据!A:B,2,FALSE)</f>
        <v>哈密</v>
      </c>
      <c r="C92" s="10">
        <v>44029</v>
      </c>
      <c r="D92" s="9"/>
      <c r="E92" s="11">
        <v>4500065251</v>
      </c>
      <c r="F92" s="9"/>
      <c r="G92" s="11">
        <v>1120000131</v>
      </c>
      <c r="H92" s="9" t="s">
        <v>21</v>
      </c>
      <c r="I92" s="11">
        <f>12-6</f>
        <v>6</v>
      </c>
      <c r="J92" s="11">
        <f>5701-2670</f>
        <v>3031</v>
      </c>
      <c r="K92" s="11"/>
      <c r="L92" s="10">
        <v>44050</v>
      </c>
      <c r="M92" s="9" t="s">
        <v>785</v>
      </c>
      <c r="N92" s="13" t="str">
        <f>VLOOKUP(H92,基础数据!G:H,2,FALSE)</f>
        <v>SR120后缘</v>
      </c>
    </row>
    <row r="93" spans="1:14" s="12" customFormat="1">
      <c r="A93" s="11">
        <v>1390</v>
      </c>
      <c r="B93" s="13" t="str">
        <f>VLOOKUP(A93,基础数据!A:B,2,FALSE)</f>
        <v>哈密</v>
      </c>
      <c r="C93" s="10">
        <v>44037</v>
      </c>
      <c r="D93" s="9"/>
      <c r="E93" s="11">
        <v>4500065985</v>
      </c>
      <c r="F93" s="9"/>
      <c r="G93" s="11">
        <v>1120000131</v>
      </c>
      <c r="H93" s="9" t="s">
        <v>21</v>
      </c>
      <c r="I93" s="11">
        <v>10</v>
      </c>
      <c r="J93" s="11">
        <v>4450</v>
      </c>
      <c r="K93" s="11"/>
      <c r="L93" s="10">
        <v>44068</v>
      </c>
      <c r="M93" s="9" t="s">
        <v>786</v>
      </c>
      <c r="N93" s="13" t="str">
        <f>VLOOKUP(H93,基础数据!G:H,2,FALSE)</f>
        <v>SR120后缘</v>
      </c>
    </row>
    <row r="94" spans="1:14" s="12" customFormat="1">
      <c r="A94" s="11">
        <v>1390</v>
      </c>
      <c r="B94" s="13" t="str">
        <f>VLOOKUP(A94,基础数据!A:B,2,FALSE)</f>
        <v>哈密</v>
      </c>
      <c r="C94" s="10">
        <v>44037</v>
      </c>
      <c r="D94" s="9"/>
      <c r="E94" s="11">
        <v>4500065985</v>
      </c>
      <c r="F94" s="9"/>
      <c r="G94" s="11">
        <v>1120000132</v>
      </c>
      <c r="H94" s="9" t="s">
        <v>22</v>
      </c>
      <c r="I94" s="11">
        <v>7</v>
      </c>
      <c r="J94" s="11">
        <v>15673</v>
      </c>
      <c r="K94" s="11"/>
      <c r="L94" s="10">
        <v>44068</v>
      </c>
      <c r="M94" s="9" t="s">
        <v>805</v>
      </c>
      <c r="N94" s="13" t="str">
        <f>VLOOKUP(H94,基础数据!G:H,2,FALSE)</f>
        <v>SR120大梁</v>
      </c>
    </row>
    <row r="95" spans="1:14" s="23" customFormat="1">
      <c r="A95" s="22">
        <v>1390</v>
      </c>
      <c r="B95" s="7" t="str">
        <f>VLOOKUP(A95,基础数据!A:B,2,FALSE)</f>
        <v>哈密</v>
      </c>
      <c r="C95" s="21">
        <v>44037</v>
      </c>
      <c r="D95" s="20"/>
      <c r="E95" s="22">
        <v>4500065985</v>
      </c>
      <c r="F95" s="20"/>
      <c r="G95" s="22">
        <v>1120000131</v>
      </c>
      <c r="H95" s="20" t="s">
        <v>21</v>
      </c>
      <c r="I95" s="22">
        <v>16</v>
      </c>
      <c r="J95" s="22">
        <v>7120</v>
      </c>
      <c r="K95" s="22"/>
      <c r="L95" s="21">
        <v>44068</v>
      </c>
      <c r="M95" s="20" t="s">
        <v>806</v>
      </c>
      <c r="N95" s="7" t="str">
        <f>VLOOKUP(H95,基础数据!G:H,2,FALSE)</f>
        <v>SR120后缘</v>
      </c>
    </row>
    <row r="96" spans="1:14" s="12" customFormat="1">
      <c r="A96" s="9">
        <v>1390</v>
      </c>
      <c r="B96" s="13" t="str">
        <f>VLOOKUP(A96,基础数据!A:B,2,FALSE)</f>
        <v>哈密</v>
      </c>
      <c r="C96" s="10">
        <v>44056</v>
      </c>
      <c r="D96" s="9"/>
      <c r="E96" s="9">
        <v>4500066685</v>
      </c>
      <c r="F96" s="9"/>
      <c r="G96" s="9">
        <v>1120000140</v>
      </c>
      <c r="H96" s="9" t="s">
        <v>114</v>
      </c>
      <c r="I96" s="11"/>
      <c r="J96" s="11">
        <v>3696</v>
      </c>
      <c r="K96" s="11"/>
      <c r="L96" s="10">
        <v>44058</v>
      </c>
      <c r="M96" s="9" t="s">
        <v>809</v>
      </c>
      <c r="N96" s="13" t="str">
        <f>VLOOKUP(H96,基础数据!G:H,2,FALSE)</f>
        <v>TLX1215-1.27-100</v>
      </c>
    </row>
    <row r="97" spans="1:14" s="12" customFormat="1">
      <c r="A97" s="9">
        <v>1390</v>
      </c>
      <c r="B97" s="13" t="str">
        <f>VLOOKUP(A97,基础数据!A:B,2,FALSE)</f>
        <v>哈密</v>
      </c>
      <c r="C97" s="10">
        <v>44056</v>
      </c>
      <c r="D97" s="9"/>
      <c r="E97" s="9">
        <v>4500066685</v>
      </c>
      <c r="F97" s="9"/>
      <c r="G97" s="9">
        <v>1120001397</v>
      </c>
      <c r="H97" s="9" t="s">
        <v>10</v>
      </c>
      <c r="I97" s="11"/>
      <c r="J97" s="11">
        <v>1472.1</v>
      </c>
      <c r="K97" s="11"/>
      <c r="L97" s="10">
        <v>44058</v>
      </c>
      <c r="M97" s="9" t="s">
        <v>810</v>
      </c>
      <c r="N97" s="13" t="str">
        <f>VLOOKUP(H97,基础数据!G:H,2,FALSE)</f>
        <v>BX800-2.54-100</v>
      </c>
    </row>
    <row r="98" spans="1:14" s="12" customFormat="1">
      <c r="A98" s="11">
        <v>1390</v>
      </c>
      <c r="B98" s="13" t="str">
        <f>VLOOKUP(A98,基础数据!A:B,2,FALSE)</f>
        <v>哈密</v>
      </c>
      <c r="C98" s="10">
        <v>44029</v>
      </c>
      <c r="D98" s="9"/>
      <c r="E98" s="11">
        <v>4500065251</v>
      </c>
      <c r="F98" s="9"/>
      <c r="G98" s="11">
        <v>1120000132</v>
      </c>
      <c r="H98" s="9" t="s">
        <v>22</v>
      </c>
      <c r="I98" s="11">
        <f>12-8</f>
        <v>4</v>
      </c>
      <c r="J98" s="11">
        <f>26690-17912</f>
        <v>8778</v>
      </c>
      <c r="K98" s="11"/>
      <c r="L98" s="10">
        <v>44050</v>
      </c>
      <c r="M98" s="9" t="s">
        <v>816</v>
      </c>
      <c r="N98" s="13" t="str">
        <f>VLOOKUP(H98,基础数据!G:H,2,FALSE)</f>
        <v>SR120大梁</v>
      </c>
    </row>
    <row r="99" spans="1:14" s="12" customFormat="1">
      <c r="A99" s="11">
        <v>1390</v>
      </c>
      <c r="B99" s="13" t="str">
        <f>VLOOKUP(A99,基础数据!A:B,2,FALSE)</f>
        <v>哈密</v>
      </c>
      <c r="C99" s="10">
        <v>44037</v>
      </c>
      <c r="D99" s="9"/>
      <c r="E99" s="11">
        <v>4500065985</v>
      </c>
      <c r="F99" s="9"/>
      <c r="G99" s="11">
        <v>1120000132</v>
      </c>
      <c r="H99" s="9" t="s">
        <v>22</v>
      </c>
      <c r="I99" s="11">
        <v>10</v>
      </c>
      <c r="J99" s="11">
        <f>120107-13434-15673-22390</f>
        <v>68610</v>
      </c>
      <c r="K99" s="11"/>
      <c r="L99" s="10">
        <v>44068</v>
      </c>
      <c r="M99" s="9" t="s">
        <v>815</v>
      </c>
      <c r="N99" s="13" t="str">
        <f>VLOOKUP(H99,基础数据!G:H,2,FALSE)</f>
        <v>SR120大梁</v>
      </c>
    </row>
    <row r="100" spans="1:14" s="12" customFormat="1">
      <c r="A100" s="11">
        <v>1390</v>
      </c>
      <c r="B100" s="13" t="str">
        <f>VLOOKUP(A100,基础数据!A:B,2,FALSE)</f>
        <v>哈密</v>
      </c>
      <c r="C100" s="10">
        <v>44037</v>
      </c>
      <c r="D100" s="9"/>
      <c r="E100" s="11">
        <v>4500065985</v>
      </c>
      <c r="F100" s="9"/>
      <c r="G100" s="11">
        <v>1120000131</v>
      </c>
      <c r="H100" s="9" t="s">
        <v>21</v>
      </c>
      <c r="I100" s="11">
        <v>10</v>
      </c>
      <c r="J100" s="11">
        <v>4450</v>
      </c>
      <c r="K100" s="11"/>
      <c r="L100" s="10">
        <v>44068</v>
      </c>
      <c r="M100" s="9" t="s">
        <v>835</v>
      </c>
      <c r="N100" s="13" t="str">
        <f>VLOOKUP(H100,基础数据!G:H,2,FALSE)</f>
        <v>SR120后缘</v>
      </c>
    </row>
    <row r="101" spans="1:14" s="12" customFormat="1">
      <c r="A101" s="11">
        <v>1390</v>
      </c>
      <c r="B101" s="13" t="str">
        <f>VLOOKUP(A101,基础数据!A:B,2,FALSE)</f>
        <v>哈密</v>
      </c>
      <c r="C101" s="10">
        <v>44037</v>
      </c>
      <c r="D101" s="9"/>
      <c r="E101" s="11">
        <v>4500065985</v>
      </c>
      <c r="F101" s="9"/>
      <c r="G101" s="11">
        <v>1120000132</v>
      </c>
      <c r="H101" s="9" t="s">
        <v>22</v>
      </c>
      <c r="I101" s="11">
        <v>10</v>
      </c>
      <c r="J101" s="11">
        <v>22390</v>
      </c>
      <c r="K101" s="11"/>
      <c r="L101" s="10">
        <v>44068</v>
      </c>
      <c r="M101" s="9" t="s">
        <v>834</v>
      </c>
      <c r="N101" s="13" t="str">
        <f>VLOOKUP(H101,基础数据!G:H,2,FALSE)</f>
        <v>SR120大梁</v>
      </c>
    </row>
    <row r="102" spans="1:14" s="12" customFormat="1">
      <c r="A102" s="11">
        <v>1390</v>
      </c>
      <c r="B102" s="13" t="str">
        <f>VLOOKUP(A102,基础数据!A:B,2,FALSE)</f>
        <v>哈密</v>
      </c>
      <c r="C102" s="10">
        <v>44037</v>
      </c>
      <c r="D102" s="9"/>
      <c r="E102" s="11">
        <v>4500065985</v>
      </c>
      <c r="F102" s="9"/>
      <c r="G102" s="11">
        <v>1120000132</v>
      </c>
      <c r="H102" s="9" t="s">
        <v>22</v>
      </c>
      <c r="I102" s="11">
        <v>14</v>
      </c>
      <c r="J102" s="11">
        <v>31346</v>
      </c>
      <c r="K102" s="11"/>
      <c r="L102" s="10">
        <v>44068</v>
      </c>
      <c r="M102" s="9" t="s">
        <v>864</v>
      </c>
      <c r="N102" s="13" t="str">
        <f>VLOOKUP(H102,基础数据!G:H,2,FALSE)</f>
        <v>SR120大梁</v>
      </c>
    </row>
    <row r="103" spans="1:14" s="12" customFormat="1">
      <c r="A103" s="11">
        <v>1390</v>
      </c>
      <c r="B103" s="13" t="str">
        <f>VLOOKUP(A103,基础数据!A:B,2,FALSE)</f>
        <v>哈密</v>
      </c>
      <c r="C103" s="10">
        <v>44037</v>
      </c>
      <c r="D103" s="9"/>
      <c r="E103" s="11">
        <v>4500065985</v>
      </c>
      <c r="F103" s="9"/>
      <c r="G103" s="11">
        <v>1120000131</v>
      </c>
      <c r="H103" s="9" t="s">
        <v>21</v>
      </c>
      <c r="I103" s="11">
        <v>16</v>
      </c>
      <c r="J103" s="11">
        <v>7120</v>
      </c>
      <c r="K103" s="11"/>
      <c r="L103" s="10">
        <v>44068</v>
      </c>
      <c r="M103" s="9" t="s">
        <v>1175</v>
      </c>
      <c r="N103" s="13" t="str">
        <f>VLOOKUP(H103,基础数据!G:H,2,FALSE)</f>
        <v>SR120后缘</v>
      </c>
    </row>
    <row r="104" spans="1:14" s="12" customFormat="1">
      <c r="A104" s="11">
        <v>1390</v>
      </c>
      <c r="B104" s="13" t="str">
        <f>VLOOKUP(A104,基础数据!A:B,2,FALSE)</f>
        <v>哈密</v>
      </c>
      <c r="C104" s="10">
        <v>44057</v>
      </c>
      <c r="D104" s="9"/>
      <c r="E104" s="11">
        <v>4500067745</v>
      </c>
      <c r="F104" s="9"/>
      <c r="G104" s="11">
        <v>1120000132</v>
      </c>
      <c r="H104" s="9" t="s">
        <v>22</v>
      </c>
      <c r="I104" s="11">
        <v>8</v>
      </c>
      <c r="J104" s="11">
        <v>17912</v>
      </c>
      <c r="K104" s="11"/>
      <c r="L104" s="10">
        <v>44099</v>
      </c>
      <c r="M104" s="9" t="s">
        <v>867</v>
      </c>
      <c r="N104" s="13" t="str">
        <f>VLOOKUP(H104,基础数据!G:H,2,FALSE)</f>
        <v>SR120大梁</v>
      </c>
    </row>
    <row r="105" spans="1:14" s="12" customFormat="1">
      <c r="A105" s="9">
        <v>1390</v>
      </c>
      <c r="B105" s="9" t="s">
        <v>866</v>
      </c>
      <c r="C105" s="10">
        <v>44067</v>
      </c>
      <c r="D105" s="9"/>
      <c r="E105" s="9" t="s">
        <v>865</v>
      </c>
      <c r="F105" s="9"/>
      <c r="G105" s="9"/>
      <c r="H105" s="9" t="s">
        <v>11</v>
      </c>
      <c r="I105" s="11"/>
      <c r="J105" s="11">
        <v>320</v>
      </c>
      <c r="K105" s="11"/>
      <c r="L105" s="10">
        <v>44073</v>
      </c>
      <c r="M105" s="9" t="s">
        <v>933</v>
      </c>
      <c r="N105" s="9"/>
    </row>
    <row r="106" spans="1:14" s="12" customFormat="1">
      <c r="A106" s="11">
        <v>1390</v>
      </c>
      <c r="B106" s="13" t="str">
        <f>VLOOKUP(A106,基础数据!A:B,2,FALSE)</f>
        <v>哈密</v>
      </c>
      <c r="C106" s="10">
        <v>44037</v>
      </c>
      <c r="D106" s="9"/>
      <c r="E106" s="11">
        <v>4500065985</v>
      </c>
      <c r="F106" s="9"/>
      <c r="G106" s="11">
        <v>1120000132</v>
      </c>
      <c r="H106" s="9" t="s">
        <v>22</v>
      </c>
      <c r="I106" s="11">
        <f>54-6-7-10-10-14</f>
        <v>7</v>
      </c>
      <c r="J106" s="11">
        <f>120107-13434-15673-22390-22390-31346</f>
        <v>14874</v>
      </c>
      <c r="K106" s="11"/>
      <c r="L106" s="10">
        <v>44068</v>
      </c>
      <c r="M106" s="9" t="s">
        <v>931</v>
      </c>
      <c r="N106" s="13" t="str">
        <f>VLOOKUP(H106,基础数据!G:H,2,FALSE)</f>
        <v>SR120大梁</v>
      </c>
    </row>
    <row r="107" spans="1:14" s="12" customFormat="1">
      <c r="A107" s="11">
        <v>1390</v>
      </c>
      <c r="B107" s="9" t="s">
        <v>726</v>
      </c>
      <c r="C107" s="10">
        <v>44043</v>
      </c>
      <c r="D107" s="9"/>
      <c r="E107" s="9">
        <v>202007104</v>
      </c>
      <c r="F107" s="9"/>
      <c r="G107" s="11">
        <v>1120000125</v>
      </c>
      <c r="H107" s="9" t="s">
        <v>87</v>
      </c>
      <c r="I107" s="11"/>
      <c r="J107" s="11">
        <v>3296</v>
      </c>
      <c r="K107" s="11"/>
      <c r="L107" s="10">
        <v>44048</v>
      </c>
      <c r="M107" s="9" t="s">
        <v>932</v>
      </c>
      <c r="N107" s="13" t="str">
        <f>VLOOKUP(H107,基础数据!G:H,2,FALSE)</f>
        <v>SR113大梁</v>
      </c>
    </row>
    <row r="108" spans="1:14" s="12" customFormat="1">
      <c r="A108" s="11">
        <v>1390</v>
      </c>
      <c r="B108" s="13" t="str">
        <f>VLOOKUP(A108,基础数据!A:B,2,FALSE)</f>
        <v>哈密</v>
      </c>
      <c r="C108" s="10">
        <v>44057</v>
      </c>
      <c r="D108" s="9"/>
      <c r="E108" s="11">
        <v>4500067745</v>
      </c>
      <c r="F108" s="9"/>
      <c r="G108" s="11">
        <v>1120000131</v>
      </c>
      <c r="H108" s="9" t="s">
        <v>21</v>
      </c>
      <c r="I108" s="11">
        <v>16</v>
      </c>
      <c r="J108" s="11">
        <v>7120</v>
      </c>
      <c r="K108" s="11"/>
      <c r="L108" s="10">
        <v>44099</v>
      </c>
      <c r="M108" s="9" t="s">
        <v>913</v>
      </c>
      <c r="N108" s="13" t="str">
        <f>VLOOKUP(H108,基础数据!G:H,2,FALSE)</f>
        <v>SR120后缘</v>
      </c>
    </row>
    <row r="109" spans="1:14" s="12" customFormat="1">
      <c r="A109" s="11">
        <v>1390</v>
      </c>
      <c r="B109" s="13" t="str">
        <f>VLOOKUP(A109,基础数据!A:B,2,FALSE)</f>
        <v>哈密</v>
      </c>
      <c r="C109" s="10">
        <v>44057</v>
      </c>
      <c r="D109" s="9"/>
      <c r="E109" s="11">
        <v>4500067745</v>
      </c>
      <c r="F109" s="9"/>
      <c r="G109" s="11">
        <v>1120000132</v>
      </c>
      <c r="H109" s="9" t="s">
        <v>22</v>
      </c>
      <c r="I109" s="11">
        <v>9</v>
      </c>
      <c r="J109" s="11">
        <v>20151</v>
      </c>
      <c r="K109" s="11"/>
      <c r="L109" s="10">
        <v>44099</v>
      </c>
      <c r="M109" s="9" t="s">
        <v>914</v>
      </c>
      <c r="N109" s="13" t="str">
        <f>VLOOKUP(H109,基础数据!G:H,2,FALSE)</f>
        <v>SR120大梁</v>
      </c>
    </row>
    <row r="110" spans="1:14" s="12" customFormat="1">
      <c r="A110" s="11">
        <v>1390</v>
      </c>
      <c r="B110" s="13" t="str">
        <f>VLOOKUP(A110,基础数据!A:B,2,FALSE)</f>
        <v>哈密</v>
      </c>
      <c r="C110" s="10">
        <v>44057</v>
      </c>
      <c r="D110" s="9"/>
      <c r="E110" s="11">
        <v>4500067745</v>
      </c>
      <c r="F110" s="9"/>
      <c r="G110" s="11">
        <v>1120000132</v>
      </c>
      <c r="H110" s="9" t="s">
        <v>22</v>
      </c>
      <c r="I110" s="11">
        <v>10</v>
      </c>
      <c r="J110" s="11">
        <v>22387</v>
      </c>
      <c r="K110" s="11"/>
      <c r="L110" s="10">
        <v>44099</v>
      </c>
      <c r="M110" s="9" t="s">
        <v>940</v>
      </c>
      <c r="N110" s="13" t="str">
        <f>VLOOKUP(H110,基础数据!G:H,2,FALSE)</f>
        <v>SR120大梁</v>
      </c>
    </row>
    <row r="111" spans="1:14" s="12" customFormat="1">
      <c r="A111" s="11">
        <v>1390</v>
      </c>
      <c r="B111" s="13" t="str">
        <f>VLOOKUP(A111,基础数据!A:B,2,FALSE)</f>
        <v>哈密</v>
      </c>
      <c r="C111" s="10">
        <v>44057</v>
      </c>
      <c r="D111" s="9"/>
      <c r="E111" s="11">
        <v>4500067745</v>
      </c>
      <c r="F111" s="9"/>
      <c r="G111" s="11">
        <v>1120000131</v>
      </c>
      <c r="H111" s="9" t="s">
        <v>21</v>
      </c>
      <c r="I111" s="11">
        <v>10</v>
      </c>
      <c r="J111" s="11">
        <v>4450</v>
      </c>
      <c r="K111" s="11"/>
      <c r="L111" s="10">
        <v>44099</v>
      </c>
      <c r="M111" s="9" t="s">
        <v>941</v>
      </c>
      <c r="N111" s="13" t="str">
        <f>VLOOKUP(H111,基础数据!G:H,2,FALSE)</f>
        <v>SR120后缘</v>
      </c>
    </row>
    <row r="112" spans="1:14" s="12" customFormat="1">
      <c r="A112" s="11">
        <v>1390</v>
      </c>
      <c r="B112" s="13" t="str">
        <f>VLOOKUP(A112,基础数据!A:B,2,FALSE)</f>
        <v>哈密</v>
      </c>
      <c r="C112" s="10">
        <v>44037</v>
      </c>
      <c r="D112" s="9"/>
      <c r="E112" s="11">
        <v>4500065985</v>
      </c>
      <c r="F112" s="9"/>
      <c r="G112" s="11">
        <v>1120000131</v>
      </c>
      <c r="H112" s="9" t="s">
        <v>21</v>
      </c>
      <c r="I112" s="11">
        <f>54-10-16-10-16</f>
        <v>2</v>
      </c>
      <c r="J112" s="11">
        <f>25655-4450-7120-4450-7120</f>
        <v>2515</v>
      </c>
      <c r="K112" s="11"/>
      <c r="L112" s="10">
        <v>44068</v>
      </c>
      <c r="M112" s="9" t="s">
        <v>1176</v>
      </c>
      <c r="N112" s="13" t="str">
        <f>VLOOKUP(H112,基础数据!G:H,2,FALSE)</f>
        <v>SR120后缘</v>
      </c>
    </row>
    <row r="113" spans="1:14" s="12" customFormat="1">
      <c r="A113" s="11">
        <v>1390</v>
      </c>
      <c r="B113" s="13" t="str">
        <f>VLOOKUP(A113,基础数据!A:B,2,FALSE)</f>
        <v>哈密</v>
      </c>
      <c r="C113" s="10">
        <v>44057</v>
      </c>
      <c r="D113" s="9"/>
      <c r="E113" s="11">
        <v>4500067745</v>
      </c>
      <c r="F113" s="9"/>
      <c r="G113" s="11">
        <v>1120000131</v>
      </c>
      <c r="H113" s="9" t="s">
        <v>21</v>
      </c>
      <c r="I113" s="11">
        <v>10</v>
      </c>
      <c r="J113" s="11">
        <v>4450</v>
      </c>
      <c r="K113" s="11"/>
      <c r="L113" s="10">
        <v>44099</v>
      </c>
      <c r="M113" s="9" t="s">
        <v>956</v>
      </c>
      <c r="N113" s="13" t="str">
        <f>VLOOKUP(H113,基础数据!G:H,2,FALSE)</f>
        <v>SR120后缘</v>
      </c>
    </row>
    <row r="114" spans="1:14" s="12" customFormat="1">
      <c r="A114" s="11">
        <v>1390</v>
      </c>
      <c r="B114" s="13" t="str">
        <f>VLOOKUP(A114,基础数据!A:B,2,FALSE)</f>
        <v>哈密</v>
      </c>
      <c r="C114" s="10">
        <v>44057</v>
      </c>
      <c r="D114" s="9"/>
      <c r="E114" s="11">
        <v>4500067745</v>
      </c>
      <c r="F114" s="9"/>
      <c r="G114" s="11">
        <v>1120000132</v>
      </c>
      <c r="H114" s="9" t="s">
        <v>22</v>
      </c>
      <c r="I114" s="11">
        <v>10</v>
      </c>
      <c r="J114" s="11">
        <v>22390</v>
      </c>
      <c r="K114" s="11"/>
      <c r="L114" s="10">
        <v>44099</v>
      </c>
      <c r="M114" s="9" t="s">
        <v>957</v>
      </c>
      <c r="N114" s="13" t="str">
        <f>VLOOKUP(H114,基础数据!G:H,2,FALSE)</f>
        <v>SR120大梁</v>
      </c>
    </row>
    <row r="115" spans="1:14" s="12" customFormat="1">
      <c r="A115" s="11">
        <v>1390</v>
      </c>
      <c r="B115" s="13" t="str">
        <f>VLOOKUP(A115,基础数据!A:B,2,FALSE)</f>
        <v>哈密</v>
      </c>
      <c r="C115" s="10">
        <v>44057</v>
      </c>
      <c r="D115" s="9"/>
      <c r="E115" s="11">
        <v>4500067745</v>
      </c>
      <c r="F115" s="9"/>
      <c r="G115" s="11">
        <v>1120000131</v>
      </c>
      <c r="H115" s="9" t="s">
        <v>21</v>
      </c>
      <c r="I115" s="11">
        <v>8</v>
      </c>
      <c r="J115" s="11">
        <v>3560</v>
      </c>
      <c r="K115" s="11"/>
      <c r="L115" s="10">
        <v>44099</v>
      </c>
      <c r="M115" s="9" t="s">
        <v>956</v>
      </c>
      <c r="N115" s="13" t="str">
        <f>VLOOKUP(H115,基础数据!G:H,2,FALSE)</f>
        <v>SR120后缘</v>
      </c>
    </row>
    <row r="116" spans="1:14" s="12" customFormat="1">
      <c r="A116" s="11">
        <v>1390</v>
      </c>
      <c r="B116" s="13" t="str">
        <f>VLOOKUP(A116,基础数据!A:B,2,FALSE)</f>
        <v>哈密</v>
      </c>
      <c r="C116" s="10">
        <v>44057</v>
      </c>
      <c r="D116" s="9"/>
      <c r="E116" s="11">
        <v>4500067745</v>
      </c>
      <c r="F116" s="9"/>
      <c r="G116" s="11">
        <v>1120000132</v>
      </c>
      <c r="H116" s="9" t="s">
        <v>22</v>
      </c>
      <c r="I116" s="11">
        <v>4</v>
      </c>
      <c r="J116" s="11">
        <v>8956</v>
      </c>
      <c r="K116" s="11"/>
      <c r="L116" s="10">
        <v>44099</v>
      </c>
      <c r="M116" s="9" t="s">
        <v>991</v>
      </c>
      <c r="N116" s="13" t="str">
        <f>VLOOKUP(H116,基础数据!G:H,2,FALSE)</f>
        <v>SR120大梁</v>
      </c>
    </row>
    <row r="117" spans="1:14" s="18" customFormat="1">
      <c r="A117" s="14">
        <v>1390</v>
      </c>
      <c r="B117" s="17" t="str">
        <f>VLOOKUP(A117,基础数据!A:B,2,FALSE)</f>
        <v>哈密</v>
      </c>
      <c r="C117" s="16">
        <v>44057</v>
      </c>
      <c r="D117" s="15"/>
      <c r="E117" s="14"/>
      <c r="F117" s="15"/>
      <c r="G117" s="14">
        <v>1120000132</v>
      </c>
      <c r="H117" s="15" t="s">
        <v>22</v>
      </c>
      <c r="I117" s="14">
        <v>6</v>
      </c>
      <c r="J117" s="14">
        <v>13434</v>
      </c>
      <c r="K117" s="14"/>
      <c r="L117" s="16">
        <v>44099</v>
      </c>
      <c r="M117" s="15" t="s">
        <v>992</v>
      </c>
      <c r="N117" s="17" t="str">
        <f>VLOOKUP(H117,基础数据!G:H,2,FALSE)</f>
        <v>SR120大梁</v>
      </c>
    </row>
    <row r="118" spans="1:14" s="12" customFormat="1">
      <c r="A118" s="11">
        <v>1390</v>
      </c>
      <c r="B118" s="13" t="str">
        <f>VLOOKUP(A118,基础数据!A:B,2,FALSE)</f>
        <v>哈密</v>
      </c>
      <c r="C118" s="10">
        <v>44098</v>
      </c>
      <c r="D118" s="9"/>
      <c r="E118" s="11">
        <v>4500071159</v>
      </c>
      <c r="F118" s="9"/>
      <c r="G118" s="11">
        <v>1120000132</v>
      </c>
      <c r="H118" s="9" t="s">
        <v>22</v>
      </c>
      <c r="I118" s="11">
        <v>13</v>
      </c>
      <c r="J118" s="11">
        <v>29107</v>
      </c>
      <c r="K118" s="11"/>
      <c r="L118" s="10">
        <v>44114</v>
      </c>
      <c r="M118" s="9" t="s">
        <v>1082</v>
      </c>
      <c r="N118" s="13" t="str">
        <f>VLOOKUP(H118,基础数据!G:H,2,FALSE)</f>
        <v>SR120大梁</v>
      </c>
    </row>
    <row r="119" spans="1:14" s="12" customFormat="1">
      <c r="A119" s="11">
        <v>1390</v>
      </c>
      <c r="B119" s="13" t="str">
        <f>VLOOKUP(A119,基础数据!A:B,2,FALSE)</f>
        <v>哈密</v>
      </c>
      <c r="C119" s="10">
        <v>44057</v>
      </c>
      <c r="D119" s="9"/>
      <c r="E119" s="11">
        <v>4500067745</v>
      </c>
      <c r="F119" s="9"/>
      <c r="G119" s="11">
        <v>1120000132</v>
      </c>
      <c r="H119" s="9" t="s">
        <v>22</v>
      </c>
      <c r="I119" s="11">
        <f>50-8-9-10-10-4</f>
        <v>9</v>
      </c>
      <c r="J119" s="11">
        <f>111210-17912-20151-22387-22390-8956</f>
        <v>19414</v>
      </c>
      <c r="K119" s="11"/>
      <c r="L119" s="10">
        <v>44099</v>
      </c>
      <c r="M119" s="9" t="s">
        <v>1126</v>
      </c>
      <c r="N119" s="13" t="str">
        <f>VLOOKUP(H119,基础数据!G:H,2,FALSE)</f>
        <v>SR120大梁</v>
      </c>
    </row>
    <row r="120" spans="1:14" s="12" customFormat="1">
      <c r="A120" s="11">
        <v>1390</v>
      </c>
      <c r="B120" s="13" t="str">
        <f>VLOOKUP(A120,基础数据!A:B,2,FALSE)</f>
        <v>哈密</v>
      </c>
      <c r="C120" s="10">
        <v>44057</v>
      </c>
      <c r="D120" s="9"/>
      <c r="E120" s="11">
        <v>4500067745</v>
      </c>
      <c r="F120" s="9"/>
      <c r="G120" s="11">
        <v>1120000131</v>
      </c>
      <c r="H120" s="9" t="s">
        <v>21</v>
      </c>
      <c r="I120" s="11">
        <f>50-16-10-10-8</f>
        <v>6</v>
      </c>
      <c r="J120" s="11">
        <f>23755-7120-4450-4450-3560</f>
        <v>4175</v>
      </c>
      <c r="K120" s="11"/>
      <c r="L120" s="10">
        <v>44099</v>
      </c>
      <c r="M120" s="9" t="s">
        <v>1128</v>
      </c>
      <c r="N120" s="13" t="str">
        <f>VLOOKUP(H120,基础数据!G:H,2,FALSE)</f>
        <v>SR120后缘</v>
      </c>
    </row>
    <row r="121" spans="1:14" s="12" customFormat="1">
      <c r="A121" s="11">
        <v>1390</v>
      </c>
      <c r="B121" s="13" t="str">
        <f>VLOOKUP(A121,基础数据!A:B,2,FALSE)</f>
        <v>哈密</v>
      </c>
      <c r="C121" s="10">
        <v>44098</v>
      </c>
      <c r="D121" s="9"/>
      <c r="E121" s="11">
        <v>4500071159</v>
      </c>
      <c r="F121" s="9"/>
      <c r="G121" s="11">
        <v>1120000132</v>
      </c>
      <c r="H121" s="9" t="s">
        <v>22</v>
      </c>
      <c r="I121" s="11">
        <v>1</v>
      </c>
      <c r="J121" s="11">
        <v>2239</v>
      </c>
      <c r="K121" s="11"/>
      <c r="L121" s="10">
        <v>44114</v>
      </c>
      <c r="M121" s="9" t="s">
        <v>1127</v>
      </c>
      <c r="N121" s="13" t="str">
        <f>VLOOKUP(H121,基础数据!G:H,2,FALSE)</f>
        <v>SR120大梁</v>
      </c>
    </row>
    <row r="122" spans="1:14" s="12" customFormat="1">
      <c r="A122" s="11">
        <v>1390</v>
      </c>
      <c r="B122" s="13" t="str">
        <f>VLOOKUP(A122,基础数据!A:B,2,FALSE)</f>
        <v>哈密</v>
      </c>
      <c r="C122" s="10">
        <v>44098</v>
      </c>
      <c r="D122" s="9"/>
      <c r="E122" s="11">
        <v>4500071159</v>
      </c>
      <c r="F122" s="9"/>
      <c r="G122" s="11">
        <v>1120000131</v>
      </c>
      <c r="H122" s="9" t="s">
        <v>21</v>
      </c>
      <c r="I122" s="11">
        <v>8</v>
      </c>
      <c r="J122" s="11">
        <v>3560</v>
      </c>
      <c r="K122" s="11"/>
      <c r="L122" s="10">
        <v>44114</v>
      </c>
      <c r="M122" s="9" t="s">
        <v>1129</v>
      </c>
      <c r="N122" s="13" t="str">
        <f>VLOOKUP(H122,基础数据!G:H,2,FALSE)</f>
        <v>SR120后缘</v>
      </c>
    </row>
    <row r="123" spans="1:14" s="12" customFormat="1">
      <c r="A123" s="11">
        <v>1390</v>
      </c>
      <c r="B123" s="13" t="str">
        <f>VLOOKUP(A123,基础数据!A:B,2,FALSE)</f>
        <v>哈密</v>
      </c>
      <c r="C123" s="10">
        <v>44098</v>
      </c>
      <c r="D123" s="9"/>
      <c r="E123" s="11">
        <v>4500071159</v>
      </c>
      <c r="F123" s="9"/>
      <c r="G123" s="11">
        <v>1120000131</v>
      </c>
      <c r="H123" s="9" t="s">
        <v>21</v>
      </c>
      <c r="I123" s="11">
        <f>18-8</f>
        <v>10</v>
      </c>
      <c r="J123" s="11">
        <f>8552-3560</f>
        <v>4992</v>
      </c>
      <c r="K123" s="11"/>
      <c r="L123" s="10">
        <v>44114</v>
      </c>
      <c r="M123" s="9" t="s">
        <v>1319</v>
      </c>
      <c r="N123" s="13" t="str">
        <f>VLOOKUP(H123,基础数据!G:H,2,FALSE)</f>
        <v>SR120后缘</v>
      </c>
    </row>
    <row r="124" spans="1:14" s="12" customFormat="1">
      <c r="A124" s="11">
        <v>1390</v>
      </c>
      <c r="B124" s="13" t="str">
        <f>VLOOKUP(A124,基础数据!A:B,2,FALSE)</f>
        <v>哈密</v>
      </c>
      <c r="C124" s="10">
        <v>44098</v>
      </c>
      <c r="D124" s="9"/>
      <c r="E124" s="11">
        <v>4500071159</v>
      </c>
      <c r="F124" s="9"/>
      <c r="G124" s="11">
        <v>1120000132</v>
      </c>
      <c r="H124" s="9" t="s">
        <v>22</v>
      </c>
      <c r="I124" s="11">
        <f>18-13-1</f>
        <v>4</v>
      </c>
      <c r="J124" s="11">
        <f>40036-29107-2239</f>
        <v>8690</v>
      </c>
      <c r="K124" s="11"/>
      <c r="L124" s="10">
        <v>44114</v>
      </c>
      <c r="M124" s="9" t="s">
        <v>1320</v>
      </c>
      <c r="N124" s="13" t="str">
        <f>VLOOKUP(H124,基础数据!G:H,2,FALSE)</f>
        <v>SR120大梁</v>
      </c>
    </row>
    <row r="125" spans="1:14" s="12" customFormat="1">
      <c r="A125" s="11">
        <v>1390</v>
      </c>
      <c r="B125" s="13" t="str">
        <f>VLOOKUP(A125,基础数据!A:B,2,FALSE)</f>
        <v>哈密</v>
      </c>
      <c r="C125" s="10">
        <v>44114</v>
      </c>
      <c r="D125" s="9"/>
      <c r="E125" s="11">
        <v>4500071159</v>
      </c>
      <c r="F125" s="9"/>
      <c r="G125" s="11">
        <v>1120000132</v>
      </c>
      <c r="H125" s="9" t="s">
        <v>22</v>
      </c>
      <c r="I125" s="11">
        <v>13</v>
      </c>
      <c r="J125" s="11">
        <v>29107</v>
      </c>
      <c r="K125" s="11"/>
      <c r="L125" s="10">
        <v>44134</v>
      </c>
      <c r="M125" s="9" t="s">
        <v>1348</v>
      </c>
      <c r="N125" s="13" t="str">
        <f>VLOOKUP(H125,基础数据!G:H,2,FALSE)</f>
        <v>SR120大梁</v>
      </c>
    </row>
    <row r="126" spans="1:14" s="12" customFormat="1">
      <c r="A126" s="11">
        <v>1390</v>
      </c>
      <c r="B126" s="13" t="str">
        <f>VLOOKUP(A126,基础数据!A:B,2,FALSE)</f>
        <v>哈密</v>
      </c>
      <c r="C126" s="10">
        <v>44114</v>
      </c>
      <c r="D126" s="9"/>
      <c r="E126" s="11">
        <v>4500071159</v>
      </c>
      <c r="F126" s="9"/>
      <c r="G126" s="11">
        <v>1120000132</v>
      </c>
      <c r="H126" s="9" t="s">
        <v>22</v>
      </c>
      <c r="I126" s="11">
        <v>8</v>
      </c>
      <c r="J126" s="11">
        <v>17912</v>
      </c>
      <c r="K126" s="11"/>
      <c r="L126" s="10">
        <v>44134</v>
      </c>
      <c r="M126" s="9" t="s">
        <v>1364</v>
      </c>
      <c r="N126" s="13" t="str">
        <f>VLOOKUP(H126,基础数据!G:H,2,FALSE)</f>
        <v>SR120大梁</v>
      </c>
    </row>
    <row r="127" spans="1:14" s="12" customFormat="1">
      <c r="A127" s="11">
        <v>1390</v>
      </c>
      <c r="B127" s="13" t="str">
        <f>VLOOKUP(A127,基础数据!A:B,2,FALSE)</f>
        <v>哈密</v>
      </c>
      <c r="C127" s="10">
        <v>44114</v>
      </c>
      <c r="D127" s="9"/>
      <c r="E127" s="11">
        <v>4500071159</v>
      </c>
      <c r="F127" s="9"/>
      <c r="G127" s="11">
        <v>1120000131</v>
      </c>
      <c r="H127" s="9" t="s">
        <v>21</v>
      </c>
      <c r="I127" s="11">
        <v>14</v>
      </c>
      <c r="J127" s="11">
        <v>6230</v>
      </c>
      <c r="K127" s="11"/>
      <c r="L127" s="10">
        <v>44134</v>
      </c>
      <c r="M127" s="9" t="s">
        <v>1363</v>
      </c>
      <c r="N127" s="13" t="str">
        <f>VLOOKUP(H127,基础数据!G:H,2,FALSE)</f>
        <v>SR120后缘</v>
      </c>
    </row>
    <row r="128" spans="1:14" s="12" customFormat="1">
      <c r="A128" s="11">
        <v>1390</v>
      </c>
      <c r="B128" s="13" t="str">
        <f>VLOOKUP(A128,基础数据!A:B,2,FALSE)</f>
        <v>哈密</v>
      </c>
      <c r="C128" s="10">
        <v>44117</v>
      </c>
      <c r="D128" s="9"/>
      <c r="E128" s="11">
        <v>4500071932</v>
      </c>
      <c r="F128" s="9"/>
      <c r="G128" s="11">
        <v>1120000132</v>
      </c>
      <c r="H128" s="9" t="s">
        <v>22</v>
      </c>
      <c r="I128" s="11">
        <v>8</v>
      </c>
      <c r="J128" s="11">
        <v>17912</v>
      </c>
      <c r="K128" s="11">
        <f t="shared" ref="K128" si="0">I128</f>
        <v>8</v>
      </c>
      <c r="L128" s="10">
        <v>44124</v>
      </c>
      <c r="M128" s="9" t="s">
        <v>1459</v>
      </c>
      <c r="N128" s="13" t="str">
        <f>VLOOKUP(H128,基础数据!G:H,2,FALSE)</f>
        <v>SR120大梁</v>
      </c>
    </row>
    <row r="129" spans="1:14" s="12" customFormat="1">
      <c r="A129" s="11">
        <v>1390</v>
      </c>
      <c r="B129" s="13" t="str">
        <f>VLOOKUP(A129,基础数据!A:B,2,FALSE)</f>
        <v>哈密</v>
      </c>
      <c r="C129" s="10">
        <v>44114</v>
      </c>
      <c r="D129" s="9"/>
      <c r="E129" s="11">
        <v>4500071159</v>
      </c>
      <c r="F129" s="9"/>
      <c r="G129" s="11">
        <v>1120000132</v>
      </c>
      <c r="H129" s="9" t="s">
        <v>22</v>
      </c>
      <c r="I129" s="11">
        <f>25-13-8</f>
        <v>4</v>
      </c>
      <c r="J129" s="11">
        <f>55975-29107-17912</f>
        <v>8956</v>
      </c>
      <c r="K129" s="11">
        <f t="shared" ref="K129:K135" si="1">I129</f>
        <v>4</v>
      </c>
      <c r="L129" s="10">
        <v>44134</v>
      </c>
      <c r="M129" s="9" t="s">
        <v>1528</v>
      </c>
      <c r="N129" s="13" t="str">
        <f>VLOOKUP(H129,基础数据!G:H,2,FALSE)</f>
        <v>SR120大梁</v>
      </c>
    </row>
    <row r="130" spans="1:14" s="12" customFormat="1">
      <c r="A130" s="11">
        <v>1390</v>
      </c>
      <c r="B130" s="13" t="str">
        <f>VLOOKUP(A130,基础数据!A:B,2,FALSE)</f>
        <v>哈密</v>
      </c>
      <c r="C130" s="10">
        <v>44117</v>
      </c>
      <c r="D130" s="9"/>
      <c r="E130" s="11">
        <v>4500071932</v>
      </c>
      <c r="F130" s="9"/>
      <c r="G130" s="11">
        <v>1120000132</v>
      </c>
      <c r="H130" s="9" t="s">
        <v>22</v>
      </c>
      <c r="I130" s="11">
        <v>4</v>
      </c>
      <c r="J130" s="11">
        <v>8956</v>
      </c>
      <c r="K130" s="11">
        <f t="shared" si="1"/>
        <v>4</v>
      </c>
      <c r="L130" s="10">
        <v>44124</v>
      </c>
      <c r="M130" s="9" t="s">
        <v>1530</v>
      </c>
      <c r="N130" s="13" t="str">
        <f>VLOOKUP(H130,基础数据!G:H,2,FALSE)</f>
        <v>SR120大梁</v>
      </c>
    </row>
    <row r="131" spans="1:14" s="12" customFormat="1">
      <c r="A131" s="11">
        <v>1390</v>
      </c>
      <c r="B131" s="13" t="str">
        <f>VLOOKUP(A131,基础数据!A:B,2,FALSE)</f>
        <v>哈密</v>
      </c>
      <c r="C131" s="10">
        <v>44117</v>
      </c>
      <c r="D131" s="9"/>
      <c r="E131" s="11">
        <v>4500071932</v>
      </c>
      <c r="F131" s="9"/>
      <c r="G131" s="11">
        <v>1120000131</v>
      </c>
      <c r="H131" s="9" t="s">
        <v>21</v>
      </c>
      <c r="I131" s="11">
        <f>9+4</f>
        <v>13</v>
      </c>
      <c r="J131" s="11">
        <f>3932+1853</f>
        <v>5785</v>
      </c>
      <c r="K131" s="11">
        <f t="shared" si="1"/>
        <v>13</v>
      </c>
      <c r="L131" s="10">
        <v>44124</v>
      </c>
      <c r="M131" s="9" t="s">
        <v>1529</v>
      </c>
      <c r="N131" s="13" t="str">
        <f>VLOOKUP(H131,基础数据!G:H,2,FALSE)</f>
        <v>SR120后缘</v>
      </c>
    </row>
    <row r="132" spans="1:14" s="12" customFormat="1">
      <c r="A132" s="11">
        <v>1390</v>
      </c>
      <c r="B132" s="13" t="str">
        <f>VLOOKUP(A132,基础数据!A:B,2,FALSE)</f>
        <v>哈密</v>
      </c>
      <c r="C132" s="10">
        <v>44117</v>
      </c>
      <c r="D132" s="9"/>
      <c r="E132" s="11">
        <v>4500071932</v>
      </c>
      <c r="F132" s="9"/>
      <c r="G132" s="11">
        <v>1120000132</v>
      </c>
      <c r="H132" s="9" t="s">
        <v>22</v>
      </c>
      <c r="I132" s="11">
        <f>20-2-8-4</f>
        <v>6</v>
      </c>
      <c r="J132" s="11">
        <f>44780-4478-17912-8956</f>
        <v>13434</v>
      </c>
      <c r="K132" s="11">
        <f t="shared" si="1"/>
        <v>6</v>
      </c>
      <c r="L132" s="10">
        <v>44124</v>
      </c>
      <c r="M132" s="9" t="s">
        <v>1702</v>
      </c>
      <c r="N132" s="13" t="str">
        <f>VLOOKUP(H132,基础数据!G:H,2,FALSE)</f>
        <v>SR120大梁</v>
      </c>
    </row>
    <row r="133" spans="1:14" s="12" customFormat="1">
      <c r="A133" s="11">
        <v>1390</v>
      </c>
      <c r="B133" s="13" t="str">
        <f>VLOOKUP(A133,基础数据!A:B,2,FALSE)</f>
        <v>哈密</v>
      </c>
      <c r="C133" s="10">
        <v>44119</v>
      </c>
      <c r="D133" s="9"/>
      <c r="E133" s="9">
        <v>4500072367</v>
      </c>
      <c r="F133" s="9"/>
      <c r="G133" s="11">
        <v>1120000132</v>
      </c>
      <c r="H133" s="9" t="s">
        <v>22</v>
      </c>
      <c r="I133" s="11">
        <v>2.9</v>
      </c>
      <c r="J133" s="11">
        <v>6696</v>
      </c>
      <c r="K133" s="11">
        <f t="shared" si="1"/>
        <v>2.9</v>
      </c>
      <c r="L133" s="10">
        <v>44140</v>
      </c>
      <c r="M133" s="9" t="s">
        <v>1703</v>
      </c>
      <c r="N133" s="13" t="str">
        <f>VLOOKUP(H133,基础数据!G:H,2,FALSE)</f>
        <v>SR120大梁</v>
      </c>
    </row>
    <row r="134" spans="1:14" s="12" customFormat="1">
      <c r="A134" s="11">
        <v>1390</v>
      </c>
      <c r="B134" s="13" t="str">
        <f>VLOOKUP(A134,基础数据!A:B,2,FALSE)</f>
        <v>哈密</v>
      </c>
      <c r="C134" s="10">
        <v>44139</v>
      </c>
      <c r="D134" s="9"/>
      <c r="E134" s="11">
        <v>4500073455</v>
      </c>
      <c r="F134" s="9"/>
      <c r="G134" s="11">
        <v>1120000132</v>
      </c>
      <c r="H134" s="9" t="s">
        <v>22</v>
      </c>
      <c r="I134" s="11">
        <v>6</v>
      </c>
      <c r="J134" s="11">
        <v>13434</v>
      </c>
      <c r="K134" s="11">
        <f t="shared" si="1"/>
        <v>6</v>
      </c>
      <c r="L134" s="10">
        <v>44146</v>
      </c>
      <c r="M134" s="9" t="s">
        <v>1704</v>
      </c>
      <c r="N134" s="13" t="str">
        <f>VLOOKUP(H134,基础数据!G:H,2,FALSE)</f>
        <v>SR120大梁</v>
      </c>
    </row>
    <row r="135" spans="1:14" s="12" customFormat="1">
      <c r="A135" s="11">
        <v>1390</v>
      </c>
      <c r="B135" s="13" t="str">
        <f>VLOOKUP(A135,基础数据!A:B,2,FALSE)</f>
        <v>哈密</v>
      </c>
      <c r="C135" s="10">
        <v>44146</v>
      </c>
      <c r="D135" s="9"/>
      <c r="E135" s="9">
        <v>2011090119</v>
      </c>
      <c r="F135" s="9"/>
      <c r="G135" s="11">
        <v>1120000132</v>
      </c>
      <c r="H135" s="9" t="s">
        <v>22</v>
      </c>
      <c r="I135" s="11">
        <v>0.5</v>
      </c>
      <c r="J135" s="11">
        <v>1109</v>
      </c>
      <c r="K135" s="11">
        <f t="shared" si="1"/>
        <v>0.5</v>
      </c>
      <c r="L135" s="10">
        <v>44155</v>
      </c>
      <c r="M135" s="9" t="s">
        <v>1705</v>
      </c>
      <c r="N135" s="13" t="str">
        <f>VLOOKUP(H135,基础数据!G:H,2,FALSE)</f>
        <v>SR120大梁</v>
      </c>
    </row>
    <row r="136" spans="1:14" s="38" customFormat="1">
      <c r="A136" s="34">
        <v>1390</v>
      </c>
      <c r="B136" s="35" t="str">
        <f>VLOOKUP(A136,基础数据!A:B,2,FALSE)</f>
        <v>哈密</v>
      </c>
      <c r="C136" s="36">
        <v>44152</v>
      </c>
      <c r="D136" s="37"/>
      <c r="E136" s="34">
        <v>4500074840</v>
      </c>
      <c r="F136" s="37"/>
      <c r="G136" s="34">
        <v>1120000132</v>
      </c>
      <c r="H136" s="37" t="s">
        <v>22</v>
      </c>
      <c r="I136" s="34">
        <v>0.5</v>
      </c>
      <c r="J136" s="34">
        <v>1130</v>
      </c>
      <c r="K136" s="34">
        <f>I136</f>
        <v>0.5</v>
      </c>
      <c r="L136" s="36">
        <v>44165</v>
      </c>
      <c r="M136" s="37" t="s">
        <v>1754</v>
      </c>
      <c r="N136" s="35" t="str">
        <f>VLOOKUP(H136,基础数据!G:H,2,FALSE)</f>
        <v>SR120大梁</v>
      </c>
    </row>
    <row r="137" spans="1:14" s="38" customFormat="1">
      <c r="A137" s="34">
        <v>1390</v>
      </c>
      <c r="B137" s="35" t="str">
        <f>VLOOKUP(A137,基础数据!A:B,2,FALSE)</f>
        <v>哈密</v>
      </c>
      <c r="C137" s="36">
        <v>44167</v>
      </c>
      <c r="D137" s="37"/>
      <c r="E137" s="34">
        <v>4500075161</v>
      </c>
      <c r="F137" s="37"/>
      <c r="G137" s="34">
        <v>1120000131</v>
      </c>
      <c r="H137" s="37" t="s">
        <v>21</v>
      </c>
      <c r="I137" s="34">
        <v>3</v>
      </c>
      <c r="J137" s="34">
        <v>1335</v>
      </c>
      <c r="K137" s="34">
        <f>I137</f>
        <v>3</v>
      </c>
      <c r="L137" s="36">
        <v>44180</v>
      </c>
      <c r="M137" s="37" t="s">
        <v>1785</v>
      </c>
      <c r="N137" s="35" t="str">
        <f>VLOOKUP(H137,基础数据!G:H,2,FALSE)</f>
        <v>SR120后缘</v>
      </c>
    </row>
    <row r="138" spans="1:14" s="38" customFormat="1">
      <c r="A138" s="34">
        <v>1390</v>
      </c>
      <c r="B138" s="35" t="str">
        <f>VLOOKUP(A138,基础数据!A:B,2,FALSE)</f>
        <v>哈密</v>
      </c>
      <c r="C138" s="36">
        <v>44167</v>
      </c>
      <c r="D138" s="37"/>
      <c r="E138" s="34">
        <v>4500075161</v>
      </c>
      <c r="F138" s="37"/>
      <c r="G138" s="34">
        <v>1120000132</v>
      </c>
      <c r="H138" s="37" t="s">
        <v>22</v>
      </c>
      <c r="I138" s="34">
        <v>3</v>
      </c>
      <c r="J138" s="34">
        <v>11195</v>
      </c>
      <c r="K138" s="34">
        <f>I138</f>
        <v>3</v>
      </c>
      <c r="L138" s="36">
        <v>44180</v>
      </c>
      <c r="M138" s="37" t="s">
        <v>1786</v>
      </c>
      <c r="N138" s="35" t="str">
        <f>VLOOKUP(H138,基础数据!G:H,2,FALSE)</f>
        <v>SR120大梁</v>
      </c>
    </row>
  </sheetData>
  <autoFilter ref="A1:N1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N510"/>
  <sheetViews>
    <sheetView view="pageBreakPreview" topLeftCell="C479" zoomScaleNormal="85" zoomScaleSheetLayoutView="100" workbookViewId="0">
      <selection activeCell="A510" sqref="A510:XFD510"/>
    </sheetView>
  </sheetViews>
  <sheetFormatPr defaultColWidth="8.5703125" defaultRowHeight="13.5"/>
  <cols>
    <col min="1" max="1" width="7" style="8" bestFit="1" customWidth="1"/>
    <col min="2" max="2" width="7.28515625" style="8" bestFit="1" customWidth="1"/>
    <col min="3" max="3" width="8.7109375" style="39" bestFit="1" customWidth="1"/>
    <col min="4" max="5" width="9.140625" style="8" bestFit="1" customWidth="1"/>
    <col min="6" max="6" width="13.140625" style="8" bestFit="1" customWidth="1"/>
    <col min="7" max="7" width="11.7109375" style="8" bestFit="1" customWidth="1"/>
    <col min="8" max="8" width="39.28515625" style="8" bestFit="1" customWidth="1"/>
    <col min="9" max="9" width="7" style="8" bestFit="1" customWidth="1"/>
    <col min="10" max="10" width="6.85546875" style="8" bestFit="1" customWidth="1"/>
    <col min="11" max="11" width="6.85546875" style="8" customWidth="1"/>
    <col min="12" max="12" width="8.7109375" style="39" bestFit="1" customWidth="1"/>
    <col min="13" max="13" width="248.42578125" style="8" bestFit="1" customWidth="1"/>
    <col min="14" max="14" width="12.5703125" style="8" bestFit="1" customWidth="1"/>
    <col min="15" max="15" width="30.5703125" style="8" bestFit="1" customWidth="1"/>
    <col min="16" max="16384" width="8.5703125" style="8"/>
  </cols>
  <sheetData>
    <row r="1" spans="1:13" s="19" customFormat="1">
      <c r="A1" s="13" t="s">
        <v>0</v>
      </c>
      <c r="B1" s="13" t="s">
        <v>1</v>
      </c>
      <c r="C1" s="29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11" t="s">
        <v>1432</v>
      </c>
      <c r="L1" s="29" t="s">
        <v>8</v>
      </c>
      <c r="M1" s="13" t="s">
        <v>43</v>
      </c>
    </row>
    <row r="2" spans="1:13" s="19" customFormat="1">
      <c r="A2" s="13">
        <v>1270</v>
      </c>
      <c r="B2" s="13" t="s">
        <v>23</v>
      </c>
      <c r="C2" s="29">
        <v>43787</v>
      </c>
      <c r="D2" s="13">
        <v>101325313</v>
      </c>
      <c r="E2" s="13">
        <v>4500050998</v>
      </c>
      <c r="F2" s="13" t="s">
        <v>90</v>
      </c>
      <c r="G2" s="13">
        <v>1120002597</v>
      </c>
      <c r="H2" s="13" t="s">
        <v>19</v>
      </c>
      <c r="I2" s="13">
        <v>4</v>
      </c>
      <c r="J2" s="13">
        <v>12279</v>
      </c>
      <c r="K2" s="13"/>
      <c r="L2" s="29">
        <v>43813</v>
      </c>
      <c r="M2" s="13" t="s">
        <v>61</v>
      </c>
    </row>
    <row r="3" spans="1:13" s="19" customFormat="1">
      <c r="A3" s="13">
        <v>1270</v>
      </c>
      <c r="B3" s="13" t="s">
        <v>23</v>
      </c>
      <c r="C3" s="29">
        <v>43781</v>
      </c>
      <c r="D3" s="13">
        <v>101325810</v>
      </c>
      <c r="E3" s="13">
        <v>4500050998</v>
      </c>
      <c r="F3" s="13">
        <v>1029668</v>
      </c>
      <c r="G3" s="13">
        <v>1120002596</v>
      </c>
      <c r="H3" s="13" t="s">
        <v>18</v>
      </c>
      <c r="I3" s="13">
        <v>1</v>
      </c>
      <c r="J3" s="13">
        <v>808</v>
      </c>
      <c r="K3" s="13"/>
      <c r="L3" s="29">
        <v>43795</v>
      </c>
      <c r="M3" s="13" t="s">
        <v>66</v>
      </c>
    </row>
    <row r="4" spans="1:13" s="19" customFormat="1">
      <c r="A4" s="13">
        <v>1270</v>
      </c>
      <c r="B4" s="13" t="s">
        <v>23</v>
      </c>
      <c r="C4" s="29">
        <v>43787</v>
      </c>
      <c r="D4" s="13">
        <v>101325810</v>
      </c>
      <c r="E4" s="13">
        <v>4500050998</v>
      </c>
      <c r="F4" s="13">
        <v>1029668</v>
      </c>
      <c r="G4" s="13">
        <v>1120002596</v>
      </c>
      <c r="H4" s="13" t="s">
        <v>18</v>
      </c>
      <c r="I4" s="13">
        <v>4</v>
      </c>
      <c r="J4" s="13">
        <v>2590</v>
      </c>
      <c r="K4" s="13"/>
      <c r="L4" s="29">
        <v>43813</v>
      </c>
      <c r="M4" s="13" t="s">
        <v>68</v>
      </c>
    </row>
    <row r="5" spans="1:13" s="19" customFormat="1">
      <c r="A5" s="40">
        <v>1270</v>
      </c>
      <c r="B5" s="13" t="s">
        <v>23</v>
      </c>
      <c r="C5" s="29">
        <v>43794</v>
      </c>
      <c r="D5" s="13">
        <v>101325810</v>
      </c>
      <c r="E5" s="13">
        <v>4500050998</v>
      </c>
      <c r="F5" s="13">
        <v>1029668</v>
      </c>
      <c r="G5" s="13">
        <v>1120002596</v>
      </c>
      <c r="H5" s="13" t="s">
        <v>18</v>
      </c>
      <c r="I5" s="13">
        <v>3</v>
      </c>
      <c r="J5" s="40">
        <v>1929</v>
      </c>
      <c r="K5" s="40"/>
      <c r="L5" s="41">
        <v>43813</v>
      </c>
      <c r="M5" s="13" t="s">
        <v>67</v>
      </c>
    </row>
    <row r="6" spans="1:13">
      <c r="A6" s="13">
        <v>1270</v>
      </c>
      <c r="B6" s="13" t="s">
        <v>23</v>
      </c>
      <c r="C6" s="29">
        <v>43811</v>
      </c>
      <c r="D6" s="13">
        <v>101326401</v>
      </c>
      <c r="E6" s="13">
        <v>4500049621</v>
      </c>
      <c r="F6" s="13" t="s">
        <v>79</v>
      </c>
      <c r="G6" s="13">
        <v>1120001343</v>
      </c>
      <c r="H6" s="13" t="s">
        <v>72</v>
      </c>
      <c r="I6" s="13">
        <v>3</v>
      </c>
      <c r="J6" s="13">
        <v>4354</v>
      </c>
      <c r="K6" s="13"/>
      <c r="L6" s="29">
        <v>43836</v>
      </c>
      <c r="M6" s="13" t="s">
        <v>83</v>
      </c>
    </row>
    <row r="7" spans="1:13">
      <c r="A7" s="13">
        <v>1270</v>
      </c>
      <c r="B7" s="13" t="s">
        <v>23</v>
      </c>
      <c r="C7" s="29">
        <v>43811</v>
      </c>
      <c r="D7" s="13">
        <v>101326401</v>
      </c>
      <c r="E7" s="13">
        <v>4500049621</v>
      </c>
      <c r="F7" s="13">
        <v>735011</v>
      </c>
      <c r="G7" s="13">
        <v>1120001651</v>
      </c>
      <c r="H7" s="13" t="s">
        <v>73</v>
      </c>
      <c r="I7" s="13">
        <v>3</v>
      </c>
      <c r="J7" s="13">
        <v>920.06700000000001</v>
      </c>
      <c r="K7" s="13"/>
      <c r="L7" s="29">
        <v>43836</v>
      </c>
      <c r="M7" s="13" t="s">
        <v>83</v>
      </c>
    </row>
    <row r="8" spans="1:13">
      <c r="A8" s="13">
        <v>1270</v>
      </c>
      <c r="B8" s="13" t="s">
        <v>23</v>
      </c>
      <c r="C8" s="29">
        <v>43811</v>
      </c>
      <c r="D8" s="13">
        <v>101326401</v>
      </c>
      <c r="E8" s="13">
        <v>4500049621</v>
      </c>
      <c r="F8" s="13">
        <v>800567</v>
      </c>
      <c r="G8" s="13">
        <v>1120001487</v>
      </c>
      <c r="H8" s="13" t="s">
        <v>48</v>
      </c>
      <c r="I8" s="13"/>
      <c r="J8" s="13">
        <v>528</v>
      </c>
      <c r="K8" s="13"/>
      <c r="L8" s="29">
        <v>43836</v>
      </c>
      <c r="M8" s="13" t="s">
        <v>84</v>
      </c>
    </row>
    <row r="9" spans="1:13">
      <c r="A9" s="13">
        <v>1270</v>
      </c>
      <c r="B9" s="13" t="s">
        <v>23</v>
      </c>
      <c r="C9" s="29">
        <v>43811</v>
      </c>
      <c r="D9" s="13">
        <v>101326401</v>
      </c>
      <c r="E9" s="13">
        <v>4500049621</v>
      </c>
      <c r="F9" s="13">
        <v>840069</v>
      </c>
      <c r="G9" s="13">
        <v>1120001650</v>
      </c>
      <c r="H9" s="13" t="s">
        <v>49</v>
      </c>
      <c r="I9" s="13"/>
      <c r="J9" s="13">
        <v>548.64</v>
      </c>
      <c r="K9" s="13"/>
      <c r="L9" s="29">
        <v>43827</v>
      </c>
      <c r="M9" s="13" t="s">
        <v>85</v>
      </c>
    </row>
    <row r="10" spans="1:13">
      <c r="A10" s="13">
        <v>1270</v>
      </c>
      <c r="B10" s="13" t="s">
        <v>23</v>
      </c>
      <c r="C10" s="29">
        <v>43811</v>
      </c>
      <c r="D10" s="13">
        <v>101326401</v>
      </c>
      <c r="E10" s="13">
        <v>4500049621</v>
      </c>
      <c r="F10" s="13">
        <v>800567</v>
      </c>
      <c r="G10" s="13">
        <v>1120001663</v>
      </c>
      <c r="H10" s="13" t="s">
        <v>50</v>
      </c>
      <c r="I10" s="13"/>
      <c r="J10" s="13">
        <v>833.24699999999996</v>
      </c>
      <c r="K10" s="13"/>
      <c r="L10" s="29">
        <v>43827</v>
      </c>
      <c r="M10" s="13" t="s">
        <v>85</v>
      </c>
    </row>
    <row r="11" spans="1:13">
      <c r="A11" s="13">
        <v>1270</v>
      </c>
      <c r="B11" s="13" t="s">
        <v>23</v>
      </c>
      <c r="C11" s="29">
        <v>43811</v>
      </c>
      <c r="D11" s="13">
        <v>101326401</v>
      </c>
      <c r="E11" s="13">
        <v>4500049621</v>
      </c>
      <c r="F11" s="13">
        <v>840067</v>
      </c>
      <c r="G11" s="13">
        <v>1120001713</v>
      </c>
      <c r="H11" s="13" t="s">
        <v>51</v>
      </c>
      <c r="I11" s="13"/>
      <c r="J11" s="13">
        <v>316.99200000000002</v>
      </c>
      <c r="K11" s="13"/>
      <c r="L11" s="29">
        <v>43827</v>
      </c>
      <c r="M11" s="13" t="s">
        <v>86</v>
      </c>
    </row>
    <row r="12" spans="1:13">
      <c r="A12" s="13">
        <v>1270</v>
      </c>
      <c r="B12" s="13" t="s">
        <v>23</v>
      </c>
      <c r="C12" s="29">
        <v>43811</v>
      </c>
      <c r="D12" s="13">
        <v>101326401</v>
      </c>
      <c r="E12" s="13">
        <v>4500049621</v>
      </c>
      <c r="F12" s="13" t="s">
        <v>80</v>
      </c>
      <c r="G12" s="13">
        <v>1120000134</v>
      </c>
      <c r="H12" s="13" t="s">
        <v>52</v>
      </c>
      <c r="I12" s="13"/>
      <c r="J12" s="13">
        <v>1806</v>
      </c>
      <c r="K12" s="13"/>
      <c r="L12" s="29">
        <v>43826</v>
      </c>
      <c r="M12" s="13" t="s">
        <v>85</v>
      </c>
    </row>
    <row r="13" spans="1:13" s="19" customFormat="1">
      <c r="A13" s="13">
        <v>1270</v>
      </c>
      <c r="B13" s="13" t="s">
        <v>23</v>
      </c>
      <c r="C13" s="29">
        <v>43797</v>
      </c>
      <c r="D13" s="13">
        <v>101326464</v>
      </c>
      <c r="E13" s="13">
        <v>4500051917</v>
      </c>
      <c r="F13" s="13" t="s">
        <v>90</v>
      </c>
      <c r="G13" s="13">
        <v>1120002597</v>
      </c>
      <c r="H13" s="13" t="s">
        <v>19</v>
      </c>
      <c r="I13" s="13"/>
      <c r="J13" s="13">
        <v>78</v>
      </c>
      <c r="K13" s="13"/>
      <c r="L13" s="29">
        <v>43809</v>
      </c>
      <c r="M13" s="13" t="s">
        <v>47</v>
      </c>
    </row>
    <row r="14" spans="1:13" s="19" customFormat="1">
      <c r="A14" s="40">
        <v>1270</v>
      </c>
      <c r="B14" s="13" t="s">
        <v>23</v>
      </c>
      <c r="C14" s="29">
        <v>43794</v>
      </c>
      <c r="D14" s="13">
        <v>101326349</v>
      </c>
      <c r="E14" s="13">
        <v>4500049835</v>
      </c>
      <c r="F14" s="13">
        <v>1030105</v>
      </c>
      <c r="G14" s="13">
        <v>1120002601</v>
      </c>
      <c r="H14" s="13" t="s">
        <v>20</v>
      </c>
      <c r="I14" s="13"/>
      <c r="J14" s="40">
        <v>3084</v>
      </c>
      <c r="K14" s="40"/>
      <c r="L14" s="41">
        <v>43813</v>
      </c>
      <c r="M14" s="13" t="s">
        <v>81</v>
      </c>
    </row>
    <row r="15" spans="1:13" s="19" customFormat="1">
      <c r="A15" s="13">
        <v>1270</v>
      </c>
      <c r="B15" s="13" t="s">
        <v>23</v>
      </c>
      <c r="C15" s="29">
        <v>43806</v>
      </c>
      <c r="D15" s="13">
        <v>101326349</v>
      </c>
      <c r="E15" s="13">
        <v>4500049835</v>
      </c>
      <c r="F15" s="13">
        <v>1030105</v>
      </c>
      <c r="G15" s="13">
        <v>1120002601</v>
      </c>
      <c r="H15" s="13" t="s">
        <v>20</v>
      </c>
      <c r="I15" s="13"/>
      <c r="J15" s="13">
        <v>8256</v>
      </c>
      <c r="K15" s="13"/>
      <c r="L15" s="29">
        <v>43827</v>
      </c>
      <c r="M15" s="13" t="s">
        <v>82</v>
      </c>
    </row>
    <row r="16" spans="1:13" s="19" customFormat="1">
      <c r="A16" s="40">
        <v>1270</v>
      </c>
      <c r="B16" s="13" t="s">
        <v>23</v>
      </c>
      <c r="C16" s="29">
        <v>43794</v>
      </c>
      <c r="D16" s="13">
        <v>101329404</v>
      </c>
      <c r="E16" s="13">
        <v>4500050998</v>
      </c>
      <c r="F16" s="13" t="s">
        <v>45</v>
      </c>
      <c r="G16" s="13">
        <v>1120002597</v>
      </c>
      <c r="H16" s="13" t="s">
        <v>19</v>
      </c>
      <c r="I16" s="13">
        <v>7</v>
      </c>
      <c r="J16" s="40">
        <v>21462</v>
      </c>
      <c r="K16" s="40"/>
      <c r="L16" s="41">
        <v>43813</v>
      </c>
      <c r="M16" s="13" t="s">
        <v>96</v>
      </c>
    </row>
    <row r="17" spans="1:13" s="19" customFormat="1">
      <c r="A17" s="40">
        <v>1270</v>
      </c>
      <c r="B17" s="13" t="s">
        <v>23</v>
      </c>
      <c r="C17" s="29">
        <v>43794</v>
      </c>
      <c r="D17" s="13">
        <v>101329402</v>
      </c>
      <c r="E17" s="13">
        <v>4500050998</v>
      </c>
      <c r="F17" s="13" t="s">
        <v>45</v>
      </c>
      <c r="G17" s="13">
        <v>1120002597</v>
      </c>
      <c r="H17" s="13" t="s">
        <v>19</v>
      </c>
      <c r="I17" s="13">
        <v>3</v>
      </c>
      <c r="J17" s="40">
        <v>9180</v>
      </c>
      <c r="K17" s="40"/>
      <c r="L17" s="41">
        <v>43813</v>
      </c>
      <c r="M17" s="13" t="s">
        <v>97</v>
      </c>
    </row>
    <row r="18" spans="1:13" s="19" customFormat="1">
      <c r="A18" s="13">
        <v>1270</v>
      </c>
      <c r="B18" s="13" t="s">
        <v>23</v>
      </c>
      <c r="C18" s="29">
        <v>43801</v>
      </c>
      <c r="D18" s="13">
        <v>101329402</v>
      </c>
      <c r="E18" s="13">
        <v>4500050998</v>
      </c>
      <c r="F18" s="13" t="s">
        <v>90</v>
      </c>
      <c r="G18" s="13">
        <v>1120002597</v>
      </c>
      <c r="H18" s="13" t="s">
        <v>19</v>
      </c>
      <c r="I18" s="13">
        <v>4</v>
      </c>
      <c r="J18" s="13">
        <v>12264</v>
      </c>
      <c r="K18" s="13"/>
      <c r="L18" s="29">
        <v>43815</v>
      </c>
      <c r="M18" s="13" t="s">
        <v>98</v>
      </c>
    </row>
    <row r="19" spans="1:13" s="19" customFormat="1">
      <c r="A19" s="13">
        <v>1270</v>
      </c>
      <c r="B19" s="13" t="s">
        <v>23</v>
      </c>
      <c r="C19" s="29">
        <v>43806</v>
      </c>
      <c r="D19" s="13">
        <v>101330744</v>
      </c>
      <c r="E19" s="13">
        <v>4500049835</v>
      </c>
      <c r="F19" s="13">
        <v>1030105</v>
      </c>
      <c r="G19" s="13">
        <v>1120002601</v>
      </c>
      <c r="H19" s="13" t="s">
        <v>20</v>
      </c>
      <c r="I19" s="13"/>
      <c r="J19" s="13">
        <v>11563</v>
      </c>
      <c r="K19" s="13"/>
      <c r="L19" s="29">
        <v>43827</v>
      </c>
      <c r="M19" s="13" t="s">
        <v>119</v>
      </c>
    </row>
    <row r="20" spans="1:13" s="19" customFormat="1">
      <c r="A20" s="13">
        <v>1270</v>
      </c>
      <c r="B20" s="13" t="s">
        <v>23</v>
      </c>
      <c r="C20" s="29">
        <v>43813</v>
      </c>
      <c r="D20" s="13">
        <v>101330744</v>
      </c>
      <c r="E20" s="13">
        <v>4500049835</v>
      </c>
      <c r="F20" s="13">
        <v>1030105</v>
      </c>
      <c r="G20" s="13">
        <v>1120002601</v>
      </c>
      <c r="H20" s="13" t="s">
        <v>20</v>
      </c>
      <c r="I20" s="13"/>
      <c r="J20" s="13">
        <v>1645</v>
      </c>
      <c r="K20" s="13"/>
      <c r="L20" s="29">
        <v>43834</v>
      </c>
      <c r="M20" s="13" t="s">
        <v>120</v>
      </c>
    </row>
    <row r="21" spans="1:13" s="19" customFormat="1">
      <c r="A21" s="13">
        <v>1270</v>
      </c>
      <c r="B21" s="13" t="s">
        <v>71</v>
      </c>
      <c r="C21" s="29">
        <v>43839</v>
      </c>
      <c r="D21" s="13">
        <v>101330747</v>
      </c>
      <c r="E21" s="13">
        <v>20200122</v>
      </c>
      <c r="F21" s="13">
        <v>1029666</v>
      </c>
      <c r="G21" s="13">
        <v>1120002596</v>
      </c>
      <c r="H21" s="30" t="s">
        <v>74</v>
      </c>
      <c r="I21" s="30"/>
      <c r="J21" s="13">
        <v>23</v>
      </c>
      <c r="K21" s="13"/>
      <c r="L21" s="29">
        <v>43845</v>
      </c>
      <c r="M21" s="30" t="s">
        <v>70</v>
      </c>
    </row>
    <row r="22" spans="1:13" s="19" customFormat="1">
      <c r="A22" s="40">
        <v>1270</v>
      </c>
      <c r="B22" s="13" t="s">
        <v>23</v>
      </c>
      <c r="C22" s="29">
        <v>43794</v>
      </c>
      <c r="D22" s="13">
        <v>101330746</v>
      </c>
      <c r="E22" s="13">
        <v>4500050998</v>
      </c>
      <c r="F22" s="13">
        <v>1029668</v>
      </c>
      <c r="G22" s="13">
        <v>1120002596</v>
      </c>
      <c r="H22" s="13" t="s">
        <v>18</v>
      </c>
      <c r="I22" s="13">
        <v>2</v>
      </c>
      <c r="J22" s="40">
        <v>1286</v>
      </c>
      <c r="K22" s="40"/>
      <c r="L22" s="41">
        <v>43813</v>
      </c>
      <c r="M22" s="13" t="s">
        <v>121</v>
      </c>
    </row>
    <row r="23" spans="1:13" s="19" customFormat="1">
      <c r="A23" s="40">
        <v>1270</v>
      </c>
      <c r="B23" s="13" t="s">
        <v>23</v>
      </c>
      <c r="C23" s="29">
        <v>43794</v>
      </c>
      <c r="D23" s="13">
        <v>101331310</v>
      </c>
      <c r="E23" s="13">
        <v>4500050998</v>
      </c>
      <c r="F23" s="13">
        <v>1029668</v>
      </c>
      <c r="G23" s="13">
        <v>1120002596</v>
      </c>
      <c r="H23" s="13" t="s">
        <v>18</v>
      </c>
      <c r="I23" s="13">
        <v>1</v>
      </c>
      <c r="J23" s="40">
        <v>643</v>
      </c>
      <c r="K23" s="40"/>
      <c r="L23" s="41">
        <v>43813</v>
      </c>
      <c r="M23" s="13" t="s">
        <v>126</v>
      </c>
    </row>
    <row r="24" spans="1:13" s="19" customFormat="1">
      <c r="A24" s="13">
        <v>1270</v>
      </c>
      <c r="B24" s="13" t="s">
        <v>23</v>
      </c>
      <c r="C24" s="29">
        <v>43801</v>
      </c>
      <c r="D24" s="13">
        <v>101331310</v>
      </c>
      <c r="E24" s="13">
        <v>4500050998</v>
      </c>
      <c r="F24" s="13" t="s">
        <v>90</v>
      </c>
      <c r="G24" s="13">
        <v>1120002597</v>
      </c>
      <c r="H24" s="13" t="s">
        <v>19</v>
      </c>
      <c r="I24" s="13">
        <v>4</v>
      </c>
      <c r="J24" s="13">
        <v>12264</v>
      </c>
      <c r="K24" s="13"/>
      <c r="L24" s="29">
        <v>43815</v>
      </c>
      <c r="M24" s="13" t="s">
        <v>127</v>
      </c>
    </row>
    <row r="25" spans="1:13" s="19" customFormat="1">
      <c r="A25" s="13">
        <v>1270</v>
      </c>
      <c r="B25" s="13" t="s">
        <v>23</v>
      </c>
      <c r="C25" s="29">
        <v>43885</v>
      </c>
      <c r="D25" s="13">
        <v>101331438</v>
      </c>
      <c r="E25" s="13" t="s">
        <v>118</v>
      </c>
      <c r="F25" s="13">
        <v>773096</v>
      </c>
      <c r="G25" s="13" t="s">
        <v>116</v>
      </c>
      <c r="H25" s="13" t="s">
        <v>114</v>
      </c>
      <c r="I25" s="13"/>
      <c r="J25" s="13">
        <v>2778</v>
      </c>
      <c r="K25" s="13"/>
      <c r="L25" s="29">
        <v>43889</v>
      </c>
      <c r="M25" s="13" t="s">
        <v>128</v>
      </c>
    </row>
    <row r="26" spans="1:13" s="19" customFormat="1">
      <c r="A26" s="13">
        <v>1270</v>
      </c>
      <c r="B26" s="13" t="s">
        <v>23</v>
      </c>
      <c r="C26" s="29">
        <v>43885</v>
      </c>
      <c r="D26" s="13">
        <v>101331438</v>
      </c>
      <c r="E26" s="13" t="s">
        <v>118</v>
      </c>
      <c r="F26" s="13">
        <v>773096</v>
      </c>
      <c r="G26" s="13" t="s">
        <v>116</v>
      </c>
      <c r="H26" s="13" t="s">
        <v>114</v>
      </c>
      <c r="I26" s="13"/>
      <c r="J26" s="13">
        <v>1389</v>
      </c>
      <c r="K26" s="13"/>
      <c r="L26" s="29">
        <v>43889</v>
      </c>
      <c r="M26" s="13" t="s">
        <v>129</v>
      </c>
    </row>
    <row r="27" spans="1:13" s="19" customFormat="1">
      <c r="A27" s="13">
        <v>1270</v>
      </c>
      <c r="B27" s="13" t="s">
        <v>23</v>
      </c>
      <c r="C27" s="29">
        <v>43885</v>
      </c>
      <c r="D27" s="13">
        <v>101331438</v>
      </c>
      <c r="E27" s="13" t="s">
        <v>118</v>
      </c>
      <c r="F27" s="13">
        <v>773094</v>
      </c>
      <c r="G27" s="13" t="s">
        <v>117</v>
      </c>
      <c r="H27" s="13" t="s">
        <v>115</v>
      </c>
      <c r="I27" s="13"/>
      <c r="J27" s="13">
        <v>1174</v>
      </c>
      <c r="K27" s="13"/>
      <c r="L27" s="29">
        <v>43889</v>
      </c>
      <c r="M27" s="13" t="s">
        <v>130</v>
      </c>
    </row>
    <row r="28" spans="1:13" s="19" customFormat="1">
      <c r="A28" s="13">
        <v>1270</v>
      </c>
      <c r="B28" s="13" t="s">
        <v>23</v>
      </c>
      <c r="C28" s="29">
        <v>43887</v>
      </c>
      <c r="D28" s="13">
        <v>101331437</v>
      </c>
      <c r="E28" s="13" t="s">
        <v>122</v>
      </c>
      <c r="F28" s="13">
        <v>773096</v>
      </c>
      <c r="G28" s="13" t="s">
        <v>116</v>
      </c>
      <c r="H28" s="13" t="s">
        <v>114</v>
      </c>
      <c r="I28" s="13"/>
      <c r="J28" s="13">
        <v>2799</v>
      </c>
      <c r="K28" s="13"/>
      <c r="L28" s="29">
        <v>43895</v>
      </c>
      <c r="M28" s="13" t="s">
        <v>131</v>
      </c>
    </row>
    <row r="29" spans="1:13" s="19" customFormat="1">
      <c r="A29" s="40">
        <v>1270</v>
      </c>
      <c r="B29" s="13" t="s">
        <v>23</v>
      </c>
      <c r="C29" s="29">
        <v>43794</v>
      </c>
      <c r="D29" s="13">
        <v>101331883</v>
      </c>
      <c r="E29" s="13">
        <v>4500050998</v>
      </c>
      <c r="F29" s="13">
        <v>1029666</v>
      </c>
      <c r="G29" s="13">
        <v>1120002596</v>
      </c>
      <c r="H29" s="13" t="s">
        <v>18</v>
      </c>
      <c r="I29" s="13">
        <v>4</v>
      </c>
      <c r="J29" s="40">
        <v>2616</v>
      </c>
      <c r="K29" s="40"/>
      <c r="L29" s="41">
        <v>43813</v>
      </c>
      <c r="M29" s="13" t="s">
        <v>136</v>
      </c>
    </row>
    <row r="30" spans="1:13" s="19" customFormat="1">
      <c r="A30" s="13">
        <v>1270</v>
      </c>
      <c r="B30" s="13" t="s">
        <v>23</v>
      </c>
      <c r="C30" s="29">
        <v>43801</v>
      </c>
      <c r="D30" s="13">
        <v>101331883</v>
      </c>
      <c r="E30" s="13">
        <v>4500050998</v>
      </c>
      <c r="F30" s="13">
        <v>1029666</v>
      </c>
      <c r="G30" s="13">
        <v>1120002596</v>
      </c>
      <c r="H30" s="13" t="s">
        <v>18</v>
      </c>
      <c r="I30" s="13">
        <v>1</v>
      </c>
      <c r="J30" s="13">
        <v>643</v>
      </c>
      <c r="K30" s="13"/>
      <c r="L30" s="29">
        <v>43815</v>
      </c>
      <c r="M30" s="13" t="s">
        <v>135</v>
      </c>
    </row>
    <row r="31" spans="1:13" s="19" customFormat="1">
      <c r="A31" s="13">
        <v>1270</v>
      </c>
      <c r="B31" s="13" t="s">
        <v>23</v>
      </c>
      <c r="C31" s="29">
        <v>43801</v>
      </c>
      <c r="D31" s="13">
        <v>101331883</v>
      </c>
      <c r="E31" s="13">
        <v>4500050998</v>
      </c>
      <c r="F31" s="13" t="s">
        <v>90</v>
      </c>
      <c r="G31" s="13">
        <v>1120002597</v>
      </c>
      <c r="H31" s="13" t="s">
        <v>19</v>
      </c>
      <c r="I31" s="13">
        <v>1</v>
      </c>
      <c r="J31" s="13">
        <v>3066</v>
      </c>
      <c r="K31" s="13"/>
      <c r="L31" s="29">
        <v>43815</v>
      </c>
      <c r="M31" s="13" t="s">
        <v>137</v>
      </c>
    </row>
    <row r="32" spans="1:13" s="19" customFormat="1">
      <c r="A32" s="13">
        <v>1270</v>
      </c>
      <c r="B32" s="13" t="s">
        <v>23</v>
      </c>
      <c r="C32" s="29">
        <v>43813</v>
      </c>
      <c r="D32" s="13">
        <v>101331884</v>
      </c>
      <c r="E32" s="13">
        <v>4500049835</v>
      </c>
      <c r="F32" s="13">
        <v>1030105</v>
      </c>
      <c r="G32" s="13">
        <v>1120002601</v>
      </c>
      <c r="H32" s="13" t="s">
        <v>20</v>
      </c>
      <c r="I32" s="13"/>
      <c r="J32" s="13">
        <v>4536</v>
      </c>
      <c r="K32" s="13"/>
      <c r="L32" s="29">
        <v>43834</v>
      </c>
      <c r="M32" s="13" t="s">
        <v>138</v>
      </c>
    </row>
    <row r="33" spans="1:13" s="19" customFormat="1">
      <c r="A33" s="13">
        <v>1270</v>
      </c>
      <c r="B33" s="13" t="s">
        <v>23</v>
      </c>
      <c r="C33" s="29">
        <v>43801</v>
      </c>
      <c r="D33" s="13">
        <v>101332175</v>
      </c>
      <c r="E33" s="13">
        <v>4500050998</v>
      </c>
      <c r="F33" s="13">
        <v>1029666</v>
      </c>
      <c r="G33" s="13">
        <v>1120002596</v>
      </c>
      <c r="H33" s="13" t="s">
        <v>18</v>
      </c>
      <c r="I33" s="13">
        <v>9</v>
      </c>
      <c r="J33" s="13">
        <v>5831</v>
      </c>
      <c r="K33" s="13"/>
      <c r="L33" s="29">
        <v>43815</v>
      </c>
      <c r="M33" s="13" t="s">
        <v>141</v>
      </c>
    </row>
    <row r="34" spans="1:13" s="19" customFormat="1">
      <c r="A34" s="13">
        <v>1270</v>
      </c>
      <c r="B34" s="13" t="s">
        <v>23</v>
      </c>
      <c r="C34" s="29">
        <v>43801</v>
      </c>
      <c r="D34" s="13">
        <v>101332189</v>
      </c>
      <c r="E34" s="13">
        <v>4500050998</v>
      </c>
      <c r="F34" s="13" t="s">
        <v>90</v>
      </c>
      <c r="G34" s="13">
        <v>1120002597</v>
      </c>
      <c r="H34" s="13" t="s">
        <v>19</v>
      </c>
      <c r="I34" s="13">
        <v>1</v>
      </c>
      <c r="J34" s="13">
        <v>3103</v>
      </c>
      <c r="K34" s="13"/>
      <c r="L34" s="29">
        <v>43815</v>
      </c>
      <c r="M34" s="13" t="s">
        <v>142</v>
      </c>
    </row>
    <row r="35" spans="1:13" s="19" customFormat="1">
      <c r="A35" s="13">
        <v>1270</v>
      </c>
      <c r="B35" s="13" t="s">
        <v>23</v>
      </c>
      <c r="C35" s="29">
        <v>43882</v>
      </c>
      <c r="D35" s="13">
        <v>101332191</v>
      </c>
      <c r="E35" s="13" t="s">
        <v>110</v>
      </c>
      <c r="F35" s="13" t="s">
        <v>90</v>
      </c>
      <c r="G35" s="13" t="s">
        <v>105</v>
      </c>
      <c r="H35" s="13" t="s">
        <v>19</v>
      </c>
      <c r="I35" s="13">
        <v>3</v>
      </c>
      <c r="J35" s="13">
        <v>52196</v>
      </c>
      <c r="K35" s="13"/>
      <c r="L35" s="29">
        <v>43903</v>
      </c>
      <c r="M35" s="13" t="s">
        <v>140</v>
      </c>
    </row>
    <row r="36" spans="1:13" s="19" customFormat="1">
      <c r="A36" s="13">
        <v>1270</v>
      </c>
      <c r="B36" s="13" t="s">
        <v>23</v>
      </c>
      <c r="C36" s="29">
        <v>43813</v>
      </c>
      <c r="D36" s="13">
        <v>101332752</v>
      </c>
      <c r="E36" s="13">
        <v>4500049835</v>
      </c>
      <c r="F36" s="13">
        <v>1030105</v>
      </c>
      <c r="G36" s="13">
        <v>1120002601</v>
      </c>
      <c r="H36" s="13" t="s">
        <v>20</v>
      </c>
      <c r="I36" s="13"/>
      <c r="J36" s="13">
        <v>2963</v>
      </c>
      <c r="K36" s="13"/>
      <c r="L36" s="29">
        <v>43834</v>
      </c>
      <c r="M36" s="13" t="s">
        <v>152</v>
      </c>
    </row>
    <row r="37" spans="1:13" s="19" customFormat="1">
      <c r="A37" s="13">
        <v>1270</v>
      </c>
      <c r="B37" s="13" t="s">
        <v>23</v>
      </c>
      <c r="C37" s="29">
        <v>43882</v>
      </c>
      <c r="D37" s="13">
        <v>101332753</v>
      </c>
      <c r="E37" s="13" t="s">
        <v>110</v>
      </c>
      <c r="F37" s="13">
        <v>1030105</v>
      </c>
      <c r="G37" s="13" t="s">
        <v>103</v>
      </c>
      <c r="H37" s="13" t="s">
        <v>20</v>
      </c>
      <c r="I37" s="13"/>
      <c r="J37" s="13">
        <v>6061</v>
      </c>
      <c r="K37" s="13"/>
      <c r="L37" s="29">
        <v>43903</v>
      </c>
      <c r="M37" s="13" t="s">
        <v>151</v>
      </c>
    </row>
    <row r="38" spans="1:13" s="19" customFormat="1">
      <c r="A38" s="13">
        <v>1270</v>
      </c>
      <c r="B38" s="13" t="s">
        <v>23</v>
      </c>
      <c r="C38" s="29">
        <v>43882</v>
      </c>
      <c r="D38" s="13">
        <v>101332753</v>
      </c>
      <c r="E38" s="13" t="s">
        <v>110</v>
      </c>
      <c r="F38" s="13">
        <v>1029666</v>
      </c>
      <c r="G38" s="13" t="s">
        <v>104</v>
      </c>
      <c r="H38" s="13" t="s">
        <v>18</v>
      </c>
      <c r="I38" s="13">
        <v>3</v>
      </c>
      <c r="J38" s="13">
        <v>1929</v>
      </c>
      <c r="K38" s="13"/>
      <c r="L38" s="29">
        <v>43903</v>
      </c>
      <c r="M38" s="13" t="s">
        <v>153</v>
      </c>
    </row>
    <row r="39" spans="1:13" s="19" customFormat="1">
      <c r="A39" s="13">
        <v>1270</v>
      </c>
      <c r="B39" s="13" t="s">
        <v>23</v>
      </c>
      <c r="C39" s="29">
        <v>43882</v>
      </c>
      <c r="D39" s="13">
        <v>101332753</v>
      </c>
      <c r="E39" s="13" t="s">
        <v>110</v>
      </c>
      <c r="F39" s="13" t="s">
        <v>45</v>
      </c>
      <c r="G39" s="13" t="s">
        <v>105</v>
      </c>
      <c r="H39" s="13" t="s">
        <v>19</v>
      </c>
      <c r="I39" s="13">
        <v>1</v>
      </c>
      <c r="J39" s="13">
        <v>3066</v>
      </c>
      <c r="K39" s="13"/>
      <c r="L39" s="29">
        <v>43903</v>
      </c>
      <c r="M39" s="13" t="s">
        <v>154</v>
      </c>
    </row>
    <row r="40" spans="1:13" s="19" customFormat="1">
      <c r="A40" s="13">
        <v>1270</v>
      </c>
      <c r="B40" s="13" t="s">
        <v>23</v>
      </c>
      <c r="C40" s="29">
        <v>43882</v>
      </c>
      <c r="D40" s="13">
        <v>8000775155</v>
      </c>
      <c r="E40" s="13" t="s">
        <v>110</v>
      </c>
      <c r="F40" s="13" t="s">
        <v>45</v>
      </c>
      <c r="G40" s="13" t="s">
        <v>105</v>
      </c>
      <c r="H40" s="13" t="s">
        <v>19</v>
      </c>
      <c r="I40" s="13">
        <v>2</v>
      </c>
      <c r="J40" s="13">
        <v>6132</v>
      </c>
      <c r="K40" s="13"/>
      <c r="L40" s="29">
        <v>43903</v>
      </c>
      <c r="M40" s="13" t="s">
        <v>165</v>
      </c>
    </row>
    <row r="41" spans="1:13" s="19" customFormat="1">
      <c r="A41" s="13">
        <v>1270</v>
      </c>
      <c r="B41" s="13" t="s">
        <v>23</v>
      </c>
      <c r="C41" s="29">
        <v>43882</v>
      </c>
      <c r="D41" s="13">
        <v>8000775155</v>
      </c>
      <c r="E41" s="13" t="s">
        <v>110</v>
      </c>
      <c r="F41" s="13">
        <v>1030105</v>
      </c>
      <c r="G41" s="13" t="s">
        <v>103</v>
      </c>
      <c r="H41" s="13" t="s">
        <v>20</v>
      </c>
      <c r="I41" s="13"/>
      <c r="J41" s="13">
        <v>11280</v>
      </c>
      <c r="K41" s="13"/>
      <c r="L41" s="29">
        <v>43903</v>
      </c>
      <c r="M41" s="13" t="s">
        <v>166</v>
      </c>
    </row>
    <row r="42" spans="1:13" s="19" customFormat="1">
      <c r="A42" s="13">
        <v>1270</v>
      </c>
      <c r="B42" s="13" t="str">
        <f>VLOOKUP(A42,基础数据!A:B,2,FALSE)</f>
        <v>洛阳</v>
      </c>
      <c r="C42" s="29">
        <v>43882</v>
      </c>
      <c r="D42" s="13">
        <v>101334276</v>
      </c>
      <c r="E42" s="13" t="s">
        <v>110</v>
      </c>
      <c r="F42" s="13">
        <v>1030105</v>
      </c>
      <c r="G42" s="13" t="s">
        <v>103</v>
      </c>
      <c r="H42" s="13" t="s">
        <v>20</v>
      </c>
      <c r="I42" s="13"/>
      <c r="J42" s="13">
        <f>30480-6061-11280</f>
        <v>13139</v>
      </c>
      <c r="K42" s="13"/>
      <c r="L42" s="29">
        <v>43903</v>
      </c>
      <c r="M42" s="13" t="s">
        <v>187</v>
      </c>
    </row>
    <row r="43" spans="1:13" s="19" customFormat="1">
      <c r="A43" s="13">
        <v>1270</v>
      </c>
      <c r="B43" s="13" t="str">
        <f>VLOOKUP(A43,基础数据!A:B,2,FALSE)</f>
        <v>洛阳</v>
      </c>
      <c r="C43" s="29">
        <v>43882</v>
      </c>
      <c r="D43" s="13">
        <v>101334276</v>
      </c>
      <c r="E43" s="13" t="s">
        <v>110</v>
      </c>
      <c r="F43" s="13">
        <v>1029666</v>
      </c>
      <c r="G43" s="13" t="s">
        <v>104</v>
      </c>
      <c r="H43" s="13" t="s">
        <v>18</v>
      </c>
      <c r="I43" s="13">
        <v>1</v>
      </c>
      <c r="J43" s="13">
        <v>643</v>
      </c>
      <c r="K43" s="13"/>
      <c r="L43" s="29">
        <v>43903</v>
      </c>
      <c r="M43" s="13" t="s">
        <v>188</v>
      </c>
    </row>
    <row r="44" spans="1:13" s="19" customFormat="1">
      <c r="A44" s="13">
        <v>1270</v>
      </c>
      <c r="B44" s="13" t="str">
        <f>VLOOKUP(A44,基础数据!A:B,2,FALSE)</f>
        <v>洛阳</v>
      </c>
      <c r="C44" s="29">
        <v>43882</v>
      </c>
      <c r="D44" s="13">
        <v>101334276</v>
      </c>
      <c r="E44" s="13" t="s">
        <v>110</v>
      </c>
      <c r="F44" s="13" t="s">
        <v>45</v>
      </c>
      <c r="G44" s="13" t="s">
        <v>105</v>
      </c>
      <c r="H44" s="13" t="s">
        <v>19</v>
      </c>
      <c r="I44" s="13">
        <v>1</v>
      </c>
      <c r="J44" s="13">
        <v>3066</v>
      </c>
      <c r="K44" s="13"/>
      <c r="L44" s="29">
        <v>43903</v>
      </c>
      <c r="M44" s="13" t="s">
        <v>189</v>
      </c>
    </row>
    <row r="45" spans="1:13" s="19" customFormat="1">
      <c r="A45" s="13">
        <v>1270</v>
      </c>
      <c r="B45" s="13" t="str">
        <f>VLOOKUP(A45,基础数据!A:B,2,FALSE)</f>
        <v>洛阳</v>
      </c>
      <c r="C45" s="29">
        <v>43882</v>
      </c>
      <c r="D45" s="13">
        <v>101334518</v>
      </c>
      <c r="E45" s="13" t="s">
        <v>110</v>
      </c>
      <c r="F45" s="13">
        <v>1029666</v>
      </c>
      <c r="G45" s="13" t="s">
        <v>104</v>
      </c>
      <c r="H45" s="13" t="s">
        <v>18</v>
      </c>
      <c r="I45" s="13">
        <v>1</v>
      </c>
      <c r="J45" s="13">
        <v>643</v>
      </c>
      <c r="K45" s="13"/>
      <c r="L45" s="29">
        <v>43903</v>
      </c>
      <c r="M45" s="13" t="s">
        <v>191</v>
      </c>
    </row>
    <row r="46" spans="1:13" s="19" customFormat="1">
      <c r="A46" s="13">
        <v>1270</v>
      </c>
      <c r="B46" s="13" t="str">
        <f>VLOOKUP(A46,基础数据!A:B,2,FALSE)</f>
        <v>洛阳</v>
      </c>
      <c r="C46" s="29">
        <v>43882</v>
      </c>
      <c r="D46" s="13">
        <v>101334518</v>
      </c>
      <c r="E46" s="13" t="s">
        <v>110</v>
      </c>
      <c r="F46" s="13" t="s">
        <v>45</v>
      </c>
      <c r="G46" s="13" t="s">
        <v>105</v>
      </c>
      <c r="H46" s="13" t="s">
        <v>19</v>
      </c>
      <c r="I46" s="13">
        <v>4</v>
      </c>
      <c r="J46" s="13">
        <v>12264</v>
      </c>
      <c r="K46" s="13"/>
      <c r="L46" s="29">
        <v>43903</v>
      </c>
      <c r="M46" s="13" t="s">
        <v>192</v>
      </c>
    </row>
    <row r="47" spans="1:13" s="42" customFormat="1">
      <c r="A47" s="11">
        <v>1270</v>
      </c>
      <c r="B47" s="11" t="str">
        <f>VLOOKUP(A47,基础数据!A:B,2,FALSE)</f>
        <v>洛阳</v>
      </c>
      <c r="C47" s="10">
        <v>43882</v>
      </c>
      <c r="D47" s="11">
        <v>101334905</v>
      </c>
      <c r="E47" s="11" t="s">
        <v>110</v>
      </c>
      <c r="F47" s="11">
        <v>1029666</v>
      </c>
      <c r="G47" s="11" t="s">
        <v>104</v>
      </c>
      <c r="H47" s="11" t="s">
        <v>18</v>
      </c>
      <c r="I47" s="11">
        <v>7</v>
      </c>
      <c r="J47" s="11">
        <v>4501</v>
      </c>
      <c r="K47" s="11"/>
      <c r="L47" s="10">
        <v>43903</v>
      </c>
      <c r="M47" s="11" t="s">
        <v>199</v>
      </c>
    </row>
    <row r="48" spans="1:13" s="42" customFormat="1">
      <c r="A48" s="11">
        <v>1270</v>
      </c>
      <c r="B48" s="11" t="str">
        <f>VLOOKUP(A48,基础数据!A:B,2,FALSE)</f>
        <v>洛阳</v>
      </c>
      <c r="C48" s="10">
        <v>43882</v>
      </c>
      <c r="D48" s="11">
        <v>101334905</v>
      </c>
      <c r="E48" s="11" t="s">
        <v>110</v>
      </c>
      <c r="F48" s="11" t="s">
        <v>45</v>
      </c>
      <c r="G48" s="11" t="s">
        <v>105</v>
      </c>
      <c r="H48" s="11" t="s">
        <v>19</v>
      </c>
      <c r="I48" s="11">
        <v>1</v>
      </c>
      <c r="J48" s="11">
        <f>61394-9198-3066-6132-3066-12264-3066</f>
        <v>24602</v>
      </c>
      <c r="K48" s="11"/>
      <c r="L48" s="10">
        <v>43903</v>
      </c>
      <c r="M48" s="11" t="s">
        <v>200</v>
      </c>
    </row>
    <row r="49" spans="1:13" s="42" customFormat="1">
      <c r="A49" s="11">
        <v>1270</v>
      </c>
      <c r="B49" s="11" t="str">
        <f>VLOOKUP(A49,基础数据!A:B,2,FALSE)</f>
        <v>洛阳</v>
      </c>
      <c r="C49" s="10">
        <v>43882</v>
      </c>
      <c r="D49" s="11">
        <v>101335206</v>
      </c>
      <c r="E49" s="11" t="s">
        <v>110</v>
      </c>
      <c r="F49" s="11">
        <v>1029666</v>
      </c>
      <c r="G49" s="11" t="s">
        <v>104</v>
      </c>
      <c r="H49" s="11" t="s">
        <v>18</v>
      </c>
      <c r="I49" s="11">
        <v>2</v>
      </c>
      <c r="J49" s="11">
        <v>1286</v>
      </c>
      <c r="K49" s="11"/>
      <c r="L49" s="10">
        <v>43903</v>
      </c>
      <c r="M49" s="11" t="s">
        <v>213</v>
      </c>
    </row>
    <row r="50" spans="1:13" s="42" customFormat="1">
      <c r="A50" s="11">
        <v>1270</v>
      </c>
      <c r="B50" s="11" t="str">
        <f>VLOOKUP(A50,基础数据!A:B,2,FALSE)</f>
        <v>洛阳</v>
      </c>
      <c r="C50" s="10">
        <v>43882</v>
      </c>
      <c r="D50" s="11">
        <v>101335206</v>
      </c>
      <c r="E50" s="11" t="s">
        <v>110</v>
      </c>
      <c r="F50" s="11" t="s">
        <v>45</v>
      </c>
      <c r="G50" s="11" t="s">
        <v>105</v>
      </c>
      <c r="H50" s="11" t="s">
        <v>19</v>
      </c>
      <c r="I50" s="11">
        <v>2</v>
      </c>
      <c r="J50" s="11">
        <v>6132</v>
      </c>
      <c r="K50" s="11"/>
      <c r="L50" s="10">
        <v>43903</v>
      </c>
      <c r="M50" s="11" t="s">
        <v>214</v>
      </c>
    </row>
    <row r="51" spans="1:13" s="42" customFormat="1">
      <c r="A51" s="11">
        <v>1270</v>
      </c>
      <c r="B51" s="11" t="str">
        <f>VLOOKUP(A51,基础数据!A:B,2,FALSE)</f>
        <v>洛阳</v>
      </c>
      <c r="C51" s="10">
        <v>43903</v>
      </c>
      <c r="D51" s="11">
        <v>101335206</v>
      </c>
      <c r="E51" s="11">
        <v>4500054490</v>
      </c>
      <c r="F51" s="11">
        <v>1030105</v>
      </c>
      <c r="G51" s="11">
        <v>1120002601</v>
      </c>
      <c r="H51" s="11" t="s">
        <v>20</v>
      </c>
      <c r="I51" s="11"/>
      <c r="J51" s="11">
        <v>6768</v>
      </c>
      <c r="K51" s="11"/>
      <c r="L51" s="10">
        <v>43924</v>
      </c>
      <c r="M51" s="11" t="s">
        <v>215</v>
      </c>
    </row>
    <row r="52" spans="1:13" s="42" customFormat="1">
      <c r="A52" s="11">
        <v>1270</v>
      </c>
      <c r="B52" s="11" t="str">
        <f>VLOOKUP(A52,基础数据!A:B,2,FALSE)</f>
        <v>洛阳</v>
      </c>
      <c r="C52" s="10">
        <v>43882</v>
      </c>
      <c r="D52" s="11">
        <v>101335419</v>
      </c>
      <c r="E52" s="11" t="s">
        <v>110</v>
      </c>
      <c r="F52" s="11">
        <v>1029666</v>
      </c>
      <c r="G52" s="11" t="s">
        <v>104</v>
      </c>
      <c r="H52" s="11" t="s">
        <v>18</v>
      </c>
      <c r="I52" s="11">
        <v>3</v>
      </c>
      <c r="J52" s="11">
        <v>1929</v>
      </c>
      <c r="K52" s="11"/>
      <c r="L52" s="10">
        <v>43903</v>
      </c>
      <c r="M52" s="11" t="s">
        <v>220</v>
      </c>
    </row>
    <row r="53" spans="1:13" s="42" customFormat="1">
      <c r="A53" s="11">
        <v>1270</v>
      </c>
      <c r="B53" s="11" t="str">
        <f>VLOOKUP(A53,基础数据!A:B,2,FALSE)</f>
        <v>洛阳</v>
      </c>
      <c r="C53" s="10">
        <v>43882</v>
      </c>
      <c r="D53" s="11">
        <v>101335419</v>
      </c>
      <c r="E53" s="11" t="s">
        <v>110</v>
      </c>
      <c r="F53" s="11" t="s">
        <v>45</v>
      </c>
      <c r="G53" s="11" t="s">
        <v>105</v>
      </c>
      <c r="H53" s="11" t="s">
        <v>19</v>
      </c>
      <c r="I53" s="11">
        <v>3</v>
      </c>
      <c r="J53" s="11">
        <v>9198</v>
      </c>
      <c r="K53" s="11"/>
      <c r="L53" s="10">
        <v>43903</v>
      </c>
      <c r="M53" s="11" t="s">
        <v>221</v>
      </c>
    </row>
    <row r="54" spans="1:13" s="42" customFormat="1">
      <c r="A54" s="11">
        <v>1270</v>
      </c>
      <c r="B54" s="11" t="str">
        <f>VLOOKUP(A54,基础数据!A:B,2,FALSE)</f>
        <v>洛阳</v>
      </c>
      <c r="C54" s="10">
        <v>43882</v>
      </c>
      <c r="D54" s="11">
        <v>101335536</v>
      </c>
      <c r="E54" s="11" t="s">
        <v>110</v>
      </c>
      <c r="F54" s="11">
        <v>1029666</v>
      </c>
      <c r="G54" s="11" t="s">
        <v>104</v>
      </c>
      <c r="H54" s="11" t="s">
        <v>18</v>
      </c>
      <c r="I54" s="11">
        <v>1</v>
      </c>
      <c r="J54" s="11">
        <f>12948-1929-643-643-4501-1286-1929-643</f>
        <v>1374</v>
      </c>
      <c r="K54" s="11"/>
      <c r="L54" s="10">
        <v>43903</v>
      </c>
      <c r="M54" s="11" t="s">
        <v>226</v>
      </c>
    </row>
    <row r="55" spans="1:13" s="42" customFormat="1">
      <c r="A55" s="11">
        <v>1270</v>
      </c>
      <c r="B55" s="11" t="str">
        <f>VLOOKUP(A55,基础数据!A:B,2,FALSE)</f>
        <v>洛阳</v>
      </c>
      <c r="C55" s="10">
        <v>43882</v>
      </c>
      <c r="D55" s="11">
        <v>101335536</v>
      </c>
      <c r="E55" s="11" t="s">
        <v>110</v>
      </c>
      <c r="F55" s="11" t="s">
        <v>45</v>
      </c>
      <c r="G55" s="11" t="s">
        <v>105</v>
      </c>
      <c r="H55" s="11" t="s">
        <v>19</v>
      </c>
      <c r="I55" s="11">
        <f>20-3-1-2-1-4-1-2-3</f>
        <v>3</v>
      </c>
      <c r="J55" s="11">
        <f>61394-9198-3066-6132-3066-12264-3066-6132-9198</f>
        <v>9272</v>
      </c>
      <c r="K55" s="11"/>
      <c r="L55" s="10">
        <v>43903</v>
      </c>
      <c r="M55" s="11" t="s">
        <v>227</v>
      </c>
    </row>
    <row r="56" spans="1:13" s="42" customFormat="1">
      <c r="A56" s="11">
        <v>1270</v>
      </c>
      <c r="B56" s="11" t="str">
        <f>VLOOKUP(A56,基础数据!A:B,2,FALSE)</f>
        <v>洛阳</v>
      </c>
      <c r="C56" s="10">
        <v>43910</v>
      </c>
      <c r="D56" s="11">
        <v>101335534</v>
      </c>
      <c r="E56" s="11" t="s">
        <v>185</v>
      </c>
      <c r="F56" s="11" t="s">
        <v>45</v>
      </c>
      <c r="G56" s="11" t="s">
        <v>105</v>
      </c>
      <c r="H56" s="11" t="s">
        <v>19</v>
      </c>
      <c r="I56" s="11">
        <v>1</v>
      </c>
      <c r="J56" s="11">
        <v>3066</v>
      </c>
      <c r="K56" s="11"/>
      <c r="L56" s="10">
        <v>43934</v>
      </c>
      <c r="M56" s="11" t="s">
        <v>228</v>
      </c>
    </row>
    <row r="57" spans="1:13" s="42" customFormat="1">
      <c r="A57" s="11">
        <v>1270</v>
      </c>
      <c r="B57" s="11" t="str">
        <f>VLOOKUP(A57,基础数据!A:B,2,FALSE)</f>
        <v>洛阳</v>
      </c>
      <c r="C57" s="10">
        <v>43882</v>
      </c>
      <c r="D57" s="11">
        <v>101335665</v>
      </c>
      <c r="E57" s="11" t="s">
        <v>110</v>
      </c>
      <c r="F57" s="11">
        <v>1029666</v>
      </c>
      <c r="G57" s="11" t="s">
        <v>104</v>
      </c>
      <c r="H57" s="11" t="s">
        <v>18</v>
      </c>
      <c r="I57" s="11">
        <f>20-3-1-1-7-2-3-1</f>
        <v>2</v>
      </c>
      <c r="J57" s="11">
        <f>12948-1929-643-643-4501-1286-1929-643</f>
        <v>1374</v>
      </c>
      <c r="K57" s="11"/>
      <c r="L57" s="10">
        <v>43903</v>
      </c>
      <c r="M57" s="11" t="s">
        <v>237</v>
      </c>
    </row>
    <row r="58" spans="1:13" s="42" customFormat="1">
      <c r="A58" s="11">
        <v>1270</v>
      </c>
      <c r="B58" s="11" t="str">
        <f>VLOOKUP(A58,基础数据!A:B,2,FALSE)</f>
        <v>洛阳</v>
      </c>
      <c r="C58" s="10">
        <v>43903</v>
      </c>
      <c r="D58" s="11">
        <v>101335667</v>
      </c>
      <c r="E58" s="11">
        <v>4500054490</v>
      </c>
      <c r="F58" s="11">
        <v>1030105</v>
      </c>
      <c r="G58" s="11">
        <v>1120002601</v>
      </c>
      <c r="H58" s="11" t="s">
        <v>20</v>
      </c>
      <c r="I58" s="11"/>
      <c r="J58" s="11">
        <f>13716-6768</f>
        <v>6948</v>
      </c>
      <c r="K58" s="11"/>
      <c r="L58" s="10">
        <v>43924</v>
      </c>
      <c r="M58" s="11" t="s">
        <v>235</v>
      </c>
    </row>
    <row r="59" spans="1:13" s="42" customFormat="1">
      <c r="A59" s="11">
        <v>1270</v>
      </c>
      <c r="B59" s="11" t="str">
        <f>VLOOKUP(A59,基础数据!A:B,2,FALSE)</f>
        <v>洛阳</v>
      </c>
      <c r="C59" s="10">
        <v>43910</v>
      </c>
      <c r="D59" s="11">
        <v>101335666</v>
      </c>
      <c r="E59" s="11" t="s">
        <v>185</v>
      </c>
      <c r="F59" s="11">
        <v>1030105</v>
      </c>
      <c r="G59" s="11" t="s">
        <v>103</v>
      </c>
      <c r="H59" s="11" t="s">
        <v>20</v>
      </c>
      <c r="I59" s="11"/>
      <c r="J59" s="11">
        <f>11280-J58</f>
        <v>4332</v>
      </c>
      <c r="K59" s="11"/>
      <c r="L59" s="10">
        <v>43941</v>
      </c>
      <c r="M59" s="11" t="s">
        <v>236</v>
      </c>
    </row>
    <row r="60" spans="1:13" s="42" customFormat="1">
      <c r="A60" s="11">
        <v>1270</v>
      </c>
      <c r="B60" s="11" t="str">
        <f>VLOOKUP(A60,基础数据!A:B,2,FALSE)</f>
        <v>洛阳</v>
      </c>
      <c r="C60" s="10">
        <v>43910</v>
      </c>
      <c r="D60" s="11">
        <v>101335666</v>
      </c>
      <c r="E60" s="11" t="s">
        <v>185</v>
      </c>
      <c r="F60" s="11" t="s">
        <v>45</v>
      </c>
      <c r="G60" s="11" t="s">
        <v>105</v>
      </c>
      <c r="H60" s="11" t="s">
        <v>19</v>
      </c>
      <c r="I60" s="11">
        <v>1</v>
      </c>
      <c r="J60" s="11">
        <v>3066</v>
      </c>
      <c r="K60" s="11"/>
      <c r="L60" s="10">
        <v>43934</v>
      </c>
      <c r="M60" s="11" t="s">
        <v>232</v>
      </c>
    </row>
    <row r="61" spans="1:13" s="42" customFormat="1">
      <c r="A61" s="11">
        <v>1270</v>
      </c>
      <c r="B61" s="11" t="str">
        <f>VLOOKUP(A61,基础数据!A:B,2,FALSE)</f>
        <v>洛阳</v>
      </c>
      <c r="C61" s="10">
        <v>43910</v>
      </c>
      <c r="D61" s="11">
        <v>101335960</v>
      </c>
      <c r="E61" s="11">
        <v>4500054960</v>
      </c>
      <c r="F61" s="11">
        <v>1029666</v>
      </c>
      <c r="G61" s="11">
        <v>1120002596</v>
      </c>
      <c r="H61" s="11" t="s">
        <v>18</v>
      </c>
      <c r="I61" s="11">
        <v>5</v>
      </c>
      <c r="J61" s="11">
        <v>3215</v>
      </c>
      <c r="K61" s="11"/>
      <c r="L61" s="10">
        <v>43934</v>
      </c>
      <c r="M61" s="11" t="s">
        <v>250</v>
      </c>
    </row>
    <row r="62" spans="1:13" s="42" customFormat="1">
      <c r="A62" s="11">
        <v>1270</v>
      </c>
      <c r="B62" s="11" t="str">
        <f>VLOOKUP(A62,基础数据!A:B,2,FALSE)</f>
        <v>洛阳</v>
      </c>
      <c r="C62" s="10">
        <v>43910</v>
      </c>
      <c r="D62" s="11">
        <v>101335960</v>
      </c>
      <c r="E62" s="11">
        <v>4500054960</v>
      </c>
      <c r="F62" s="11" t="s">
        <v>45</v>
      </c>
      <c r="G62" s="11">
        <v>1120002597</v>
      </c>
      <c r="H62" s="11" t="s">
        <v>19</v>
      </c>
      <c r="I62" s="11">
        <v>2</v>
      </c>
      <c r="J62" s="11">
        <v>6132</v>
      </c>
      <c r="K62" s="11"/>
      <c r="L62" s="10">
        <v>43934</v>
      </c>
      <c r="M62" s="11" t="s">
        <v>249</v>
      </c>
    </row>
    <row r="63" spans="1:13" s="42" customFormat="1">
      <c r="A63" s="11">
        <v>1270</v>
      </c>
      <c r="B63" s="11" t="str">
        <f>VLOOKUP(A63,基础数据!A:B,2,FALSE)</f>
        <v>洛阳</v>
      </c>
      <c r="C63" s="10">
        <v>43910</v>
      </c>
      <c r="D63" s="11">
        <v>101336112</v>
      </c>
      <c r="E63" s="11">
        <v>4500054960</v>
      </c>
      <c r="F63" s="11">
        <v>1029666</v>
      </c>
      <c r="G63" s="11">
        <v>1120002596</v>
      </c>
      <c r="H63" s="11" t="s">
        <v>18</v>
      </c>
      <c r="I63" s="11">
        <v>3</v>
      </c>
      <c r="J63" s="11">
        <v>1929</v>
      </c>
      <c r="K63" s="11"/>
      <c r="L63" s="10">
        <v>43934</v>
      </c>
      <c r="M63" s="11" t="s">
        <v>253</v>
      </c>
    </row>
    <row r="64" spans="1:13" s="42" customFormat="1">
      <c r="A64" s="11">
        <v>1270</v>
      </c>
      <c r="B64" s="11" t="str">
        <f>VLOOKUP(A64,基础数据!A:B,2,FALSE)</f>
        <v>洛阳</v>
      </c>
      <c r="C64" s="10">
        <v>43910</v>
      </c>
      <c r="D64" s="11">
        <v>101336112</v>
      </c>
      <c r="E64" s="11">
        <v>4500054960</v>
      </c>
      <c r="F64" s="11" t="s">
        <v>45</v>
      </c>
      <c r="G64" s="11">
        <v>1120002597</v>
      </c>
      <c r="H64" s="11" t="s">
        <v>19</v>
      </c>
      <c r="I64" s="11">
        <v>3</v>
      </c>
      <c r="J64" s="11">
        <v>9198</v>
      </c>
      <c r="K64" s="11"/>
      <c r="L64" s="10">
        <v>43934</v>
      </c>
      <c r="M64" s="11" t="s">
        <v>254</v>
      </c>
    </row>
    <row r="65" spans="1:13" s="42" customFormat="1">
      <c r="A65" s="11">
        <v>1270</v>
      </c>
      <c r="B65" s="11" t="str">
        <f>VLOOKUP(A65,基础数据!A:B,2,FALSE)</f>
        <v>洛阳</v>
      </c>
      <c r="C65" s="10">
        <v>43910</v>
      </c>
      <c r="D65" s="11">
        <v>101336299</v>
      </c>
      <c r="E65" s="11">
        <v>4500054960</v>
      </c>
      <c r="F65" s="11" t="s">
        <v>45</v>
      </c>
      <c r="G65" s="11">
        <v>1120002597</v>
      </c>
      <c r="H65" s="11" t="s">
        <v>19</v>
      </c>
      <c r="I65" s="11">
        <v>2</v>
      </c>
      <c r="J65" s="11">
        <v>6132</v>
      </c>
      <c r="K65" s="11"/>
      <c r="L65" s="10">
        <v>43934</v>
      </c>
      <c r="M65" s="11" t="s">
        <v>260</v>
      </c>
    </row>
    <row r="66" spans="1:13" s="42" customFormat="1">
      <c r="A66" s="11">
        <v>1270</v>
      </c>
      <c r="B66" s="11" t="str">
        <f>VLOOKUP(A66,基础数据!A:B,2,FALSE)</f>
        <v>洛阳</v>
      </c>
      <c r="C66" s="10">
        <v>43910</v>
      </c>
      <c r="D66" s="11">
        <v>101336299</v>
      </c>
      <c r="E66" s="11">
        <v>4500054960</v>
      </c>
      <c r="F66" s="11">
        <v>1029666</v>
      </c>
      <c r="G66" s="11">
        <v>1120002596</v>
      </c>
      <c r="H66" s="11" t="s">
        <v>18</v>
      </c>
      <c r="I66" s="11">
        <v>2</v>
      </c>
      <c r="J66" s="11">
        <v>1286</v>
      </c>
      <c r="K66" s="11"/>
      <c r="L66" s="10">
        <v>43934</v>
      </c>
      <c r="M66" s="11" t="s">
        <v>259</v>
      </c>
    </row>
    <row r="67" spans="1:13" s="42" customFormat="1">
      <c r="A67" s="11">
        <v>1270</v>
      </c>
      <c r="B67" s="11" t="str">
        <f>VLOOKUP(A67,基础数据!A:B,2,FALSE)</f>
        <v>洛阳</v>
      </c>
      <c r="C67" s="10">
        <v>43910</v>
      </c>
      <c r="D67" s="11">
        <v>101336299</v>
      </c>
      <c r="E67" s="11">
        <v>4500054960</v>
      </c>
      <c r="F67" s="11">
        <v>1030105</v>
      </c>
      <c r="G67" s="11">
        <v>1120002601</v>
      </c>
      <c r="H67" s="11" t="s">
        <v>20</v>
      </c>
      <c r="I67" s="11"/>
      <c r="J67" s="11">
        <v>5640</v>
      </c>
      <c r="K67" s="11"/>
      <c r="L67" s="10">
        <v>43941</v>
      </c>
      <c r="M67" s="11" t="s">
        <v>261</v>
      </c>
    </row>
    <row r="68" spans="1:13" s="42" customFormat="1">
      <c r="A68" s="11">
        <v>1270</v>
      </c>
      <c r="B68" s="11" t="str">
        <f>VLOOKUP(A68,基础数据!A:B,2,FALSE)</f>
        <v>洛阳</v>
      </c>
      <c r="C68" s="10">
        <v>43910</v>
      </c>
      <c r="D68" s="11">
        <v>101336532</v>
      </c>
      <c r="E68" s="11">
        <v>4500054960</v>
      </c>
      <c r="F68" s="11">
        <v>1029666</v>
      </c>
      <c r="G68" s="11">
        <v>1120002596</v>
      </c>
      <c r="H68" s="11" t="s">
        <v>18</v>
      </c>
      <c r="I68" s="11">
        <v>2</v>
      </c>
      <c r="J68" s="11">
        <f>7769-3215-1929-1286</f>
        <v>1339</v>
      </c>
      <c r="K68" s="11"/>
      <c r="L68" s="10">
        <v>43934</v>
      </c>
      <c r="M68" s="11" t="s">
        <v>263</v>
      </c>
    </row>
    <row r="69" spans="1:13" s="42" customFormat="1">
      <c r="A69" s="11">
        <v>1270</v>
      </c>
      <c r="B69" s="11" t="str">
        <f>VLOOKUP(A69,基础数据!A:B,2,FALSE)</f>
        <v>洛阳</v>
      </c>
      <c r="C69" s="10">
        <v>43910</v>
      </c>
      <c r="D69" s="11">
        <v>101336532</v>
      </c>
      <c r="E69" s="11">
        <v>4500054960</v>
      </c>
      <c r="F69" s="11" t="s">
        <v>45</v>
      </c>
      <c r="G69" s="11">
        <v>1120002597</v>
      </c>
      <c r="H69" s="11" t="s">
        <v>19</v>
      </c>
      <c r="I69" s="11">
        <v>2</v>
      </c>
      <c r="J69" s="11">
        <v>6132</v>
      </c>
      <c r="K69" s="11"/>
      <c r="L69" s="10">
        <v>43934</v>
      </c>
      <c r="M69" s="11" t="s">
        <v>262</v>
      </c>
    </row>
    <row r="70" spans="1:13" s="42" customFormat="1">
      <c r="A70" s="11">
        <v>1270</v>
      </c>
      <c r="B70" s="11" t="str">
        <f>VLOOKUP(A70,基础数据!A:B,2,FALSE)</f>
        <v>洛阳</v>
      </c>
      <c r="C70" s="10">
        <v>43910</v>
      </c>
      <c r="D70" s="11">
        <v>101336532</v>
      </c>
      <c r="E70" s="11">
        <v>4500054960</v>
      </c>
      <c r="F70" s="11">
        <v>1030105</v>
      </c>
      <c r="G70" s="11">
        <v>1120002601</v>
      </c>
      <c r="H70" s="11" t="s">
        <v>20</v>
      </c>
      <c r="I70" s="11"/>
      <c r="J70" s="11">
        <v>6768</v>
      </c>
      <c r="K70" s="11"/>
      <c r="L70" s="10">
        <v>43941</v>
      </c>
      <c r="M70" s="11" t="s">
        <v>264</v>
      </c>
    </row>
    <row r="71" spans="1:13" s="42" customFormat="1">
      <c r="A71" s="11">
        <v>1270</v>
      </c>
      <c r="B71" s="11" t="str">
        <f>VLOOKUP(A71,基础数据!A:B,2,FALSE)</f>
        <v>洛阳</v>
      </c>
      <c r="C71" s="10">
        <v>43910</v>
      </c>
      <c r="D71" s="11">
        <v>101336689</v>
      </c>
      <c r="E71" s="11">
        <v>4500054960</v>
      </c>
      <c r="F71" s="11" t="s">
        <v>45</v>
      </c>
      <c r="G71" s="11">
        <v>1120002597</v>
      </c>
      <c r="H71" s="11" t="s">
        <v>19</v>
      </c>
      <c r="I71" s="11">
        <v>1</v>
      </c>
      <c r="J71" s="11">
        <f>36836-3066-3066-6132-9198-6132-6132</f>
        <v>3110</v>
      </c>
      <c r="K71" s="11"/>
      <c r="L71" s="10">
        <v>43934</v>
      </c>
      <c r="M71" s="11" t="s">
        <v>271</v>
      </c>
    </row>
    <row r="72" spans="1:13" s="12" customFormat="1">
      <c r="A72" s="11">
        <v>1270</v>
      </c>
      <c r="B72" s="13" t="str">
        <f>VLOOKUP(A72,基础数据!A:B,2,FALSE)</f>
        <v>洛阳</v>
      </c>
      <c r="C72" s="10">
        <v>43924</v>
      </c>
      <c r="D72" s="9">
        <v>101336688</v>
      </c>
      <c r="E72" s="11">
        <v>4500056154</v>
      </c>
      <c r="F72" s="11">
        <v>1029666</v>
      </c>
      <c r="G72" s="11">
        <v>1120002596</v>
      </c>
      <c r="H72" s="9" t="s">
        <v>18</v>
      </c>
      <c r="I72" s="11">
        <v>3</v>
      </c>
      <c r="J72" s="11">
        <v>1929</v>
      </c>
      <c r="K72" s="11"/>
      <c r="L72" s="10">
        <v>43948</v>
      </c>
      <c r="M72" s="9" t="s">
        <v>270</v>
      </c>
    </row>
    <row r="73" spans="1:13" s="12" customFormat="1">
      <c r="A73" s="11">
        <v>1270</v>
      </c>
      <c r="B73" s="13" t="str">
        <f>VLOOKUP(A73,基础数据!A:B,2,FALSE)</f>
        <v>洛阳</v>
      </c>
      <c r="C73" s="10">
        <v>43924</v>
      </c>
      <c r="D73" s="9">
        <v>101336688</v>
      </c>
      <c r="E73" s="11">
        <v>4500056154</v>
      </c>
      <c r="F73" s="11" t="s">
        <v>45</v>
      </c>
      <c r="G73" s="11">
        <v>1120002597</v>
      </c>
      <c r="H73" s="9" t="s">
        <v>19</v>
      </c>
      <c r="I73" s="11">
        <v>2</v>
      </c>
      <c r="J73" s="11">
        <v>6132</v>
      </c>
      <c r="K73" s="11"/>
      <c r="L73" s="10">
        <v>43948</v>
      </c>
      <c r="M73" s="9" t="s">
        <v>272</v>
      </c>
    </row>
    <row r="74" spans="1:13" s="12" customFormat="1">
      <c r="A74" s="11">
        <v>1270</v>
      </c>
      <c r="B74" s="13" t="str">
        <f>VLOOKUP(A74,基础数据!A:B,2,FALSE)</f>
        <v>洛阳</v>
      </c>
      <c r="C74" s="10">
        <v>43924</v>
      </c>
      <c r="D74" s="9">
        <v>101336932</v>
      </c>
      <c r="E74" s="11">
        <v>4500056154</v>
      </c>
      <c r="F74" s="11">
        <v>1029666</v>
      </c>
      <c r="G74" s="11">
        <v>1120002596</v>
      </c>
      <c r="H74" s="9" t="s">
        <v>18</v>
      </c>
      <c r="I74" s="11">
        <v>3</v>
      </c>
      <c r="J74" s="11">
        <v>1929</v>
      </c>
      <c r="K74" s="11"/>
      <c r="L74" s="10">
        <v>43948</v>
      </c>
      <c r="M74" s="9" t="s">
        <v>284</v>
      </c>
    </row>
    <row r="75" spans="1:13" s="12" customFormat="1">
      <c r="A75" s="11">
        <v>1270</v>
      </c>
      <c r="B75" s="13" t="str">
        <f>VLOOKUP(A75,基础数据!A:B,2,FALSE)</f>
        <v>洛阳</v>
      </c>
      <c r="C75" s="10">
        <v>43924</v>
      </c>
      <c r="D75" s="9">
        <v>101336932</v>
      </c>
      <c r="E75" s="11">
        <v>4500056154</v>
      </c>
      <c r="F75" s="11" t="s">
        <v>45</v>
      </c>
      <c r="G75" s="11">
        <v>1120002597</v>
      </c>
      <c r="H75" s="9" t="s">
        <v>19</v>
      </c>
      <c r="I75" s="11">
        <v>3</v>
      </c>
      <c r="J75" s="11">
        <v>9198</v>
      </c>
      <c r="K75" s="11"/>
      <c r="L75" s="10">
        <v>43948</v>
      </c>
      <c r="M75" s="9" t="s">
        <v>285</v>
      </c>
    </row>
    <row r="76" spans="1:13" s="12" customFormat="1">
      <c r="A76" s="11">
        <v>1270</v>
      </c>
      <c r="B76" s="13" t="str">
        <f>VLOOKUP(A76,基础数据!A:B,2,FALSE)</f>
        <v>洛阳</v>
      </c>
      <c r="C76" s="10">
        <v>43924</v>
      </c>
      <c r="D76" s="9"/>
      <c r="E76" s="11">
        <v>4500056154</v>
      </c>
      <c r="F76" s="11">
        <v>1029666</v>
      </c>
      <c r="G76" s="11">
        <v>1120002596</v>
      </c>
      <c r="H76" s="9" t="s">
        <v>18</v>
      </c>
      <c r="I76" s="11">
        <f>8-3-3</f>
        <v>2</v>
      </c>
      <c r="J76" s="11">
        <f>5179-1929-1929</f>
        <v>1321</v>
      </c>
      <c r="K76" s="11"/>
      <c r="L76" s="10">
        <v>43948</v>
      </c>
      <c r="M76" s="9" t="s">
        <v>284</v>
      </c>
    </row>
    <row r="77" spans="1:13" s="12" customFormat="1">
      <c r="A77" s="11">
        <v>1270</v>
      </c>
      <c r="B77" s="13" t="str">
        <f>VLOOKUP(A77,基础数据!A:B,2,FALSE)</f>
        <v>洛阳</v>
      </c>
      <c r="C77" s="10">
        <v>43924</v>
      </c>
      <c r="D77" s="9"/>
      <c r="E77" s="11">
        <v>4500056154</v>
      </c>
      <c r="F77" s="11" t="s">
        <v>45</v>
      </c>
      <c r="G77" s="11">
        <v>1120002597</v>
      </c>
      <c r="H77" s="9" t="s">
        <v>19</v>
      </c>
      <c r="I77" s="11">
        <f>8-2-3</f>
        <v>3</v>
      </c>
      <c r="J77" s="11">
        <f>24558-6132-9198</f>
        <v>9228</v>
      </c>
      <c r="K77" s="11"/>
      <c r="L77" s="10">
        <v>43948</v>
      </c>
      <c r="M77" s="9" t="s">
        <v>285</v>
      </c>
    </row>
    <row r="78" spans="1:13" s="12" customFormat="1">
      <c r="A78" s="11">
        <v>1270</v>
      </c>
      <c r="B78" s="13" t="str">
        <f>VLOOKUP(A78,基础数据!A:B,2,FALSE)</f>
        <v>洛阳</v>
      </c>
      <c r="C78" s="10">
        <v>43924</v>
      </c>
      <c r="D78" s="9"/>
      <c r="E78" s="11">
        <v>4500056154</v>
      </c>
      <c r="F78" s="11">
        <v>1030105</v>
      </c>
      <c r="G78" s="11">
        <v>1120002601</v>
      </c>
      <c r="H78" s="9" t="s">
        <v>20</v>
      </c>
      <c r="I78" s="11"/>
      <c r="J78" s="11">
        <f>12192-2256</f>
        <v>9936</v>
      </c>
      <c r="K78" s="11"/>
      <c r="L78" s="10">
        <v>43948</v>
      </c>
      <c r="M78" s="9" t="s">
        <v>293</v>
      </c>
    </row>
    <row r="79" spans="1:13" s="12" customFormat="1">
      <c r="A79" s="11">
        <v>1270</v>
      </c>
      <c r="B79" s="13" t="str">
        <f>VLOOKUP(A79,基础数据!A:B,2,FALSE)</f>
        <v>洛阳</v>
      </c>
      <c r="C79" s="10">
        <v>43931</v>
      </c>
      <c r="D79" s="9"/>
      <c r="E79" s="11">
        <v>4500056693</v>
      </c>
      <c r="F79" s="11">
        <v>1029666</v>
      </c>
      <c r="G79" s="9">
        <v>1120002596</v>
      </c>
      <c r="H79" s="9" t="s">
        <v>18</v>
      </c>
      <c r="I79" s="11">
        <v>3</v>
      </c>
      <c r="J79" s="11">
        <v>1929</v>
      </c>
      <c r="K79" s="11"/>
      <c r="L79" s="10">
        <v>43952</v>
      </c>
      <c r="M79" s="9" t="s">
        <v>295</v>
      </c>
    </row>
    <row r="80" spans="1:13" s="12" customFormat="1">
      <c r="A80" s="11">
        <v>1270</v>
      </c>
      <c r="B80" s="13" t="str">
        <f>VLOOKUP(A80,基础数据!A:B,2,FALSE)</f>
        <v>洛阳</v>
      </c>
      <c r="C80" s="10">
        <v>43931</v>
      </c>
      <c r="D80" s="9"/>
      <c r="E80" s="11">
        <v>4500056693</v>
      </c>
      <c r="F80" s="11" t="s">
        <v>45</v>
      </c>
      <c r="G80" s="9">
        <v>1120002597</v>
      </c>
      <c r="H80" s="9" t="s">
        <v>19</v>
      </c>
      <c r="I80" s="11">
        <v>3</v>
      </c>
      <c r="J80" s="11">
        <v>9198</v>
      </c>
      <c r="K80" s="11"/>
      <c r="L80" s="10">
        <v>43952</v>
      </c>
      <c r="M80" s="9" t="s">
        <v>295</v>
      </c>
    </row>
    <row r="81" spans="1:14" s="12" customFormat="1">
      <c r="A81" s="11">
        <v>1270</v>
      </c>
      <c r="B81" s="13" t="str">
        <f>VLOOKUP(A81,基础数据!A:B,2,FALSE)</f>
        <v>洛阳</v>
      </c>
      <c r="C81" s="10">
        <v>43924</v>
      </c>
      <c r="D81" s="9"/>
      <c r="E81" s="11">
        <v>4500056154</v>
      </c>
      <c r="F81" s="11">
        <v>1030105</v>
      </c>
      <c r="G81" s="11">
        <v>1120002601</v>
      </c>
      <c r="H81" s="9" t="s">
        <v>20</v>
      </c>
      <c r="I81" s="11"/>
      <c r="J81" s="11">
        <v>6804</v>
      </c>
      <c r="K81" s="11"/>
      <c r="L81" s="10">
        <v>43948</v>
      </c>
      <c r="M81" s="9" t="s">
        <v>300</v>
      </c>
    </row>
    <row r="82" spans="1:14" s="12" customFormat="1">
      <c r="A82" s="11">
        <v>1270</v>
      </c>
      <c r="B82" s="13" t="str">
        <f>VLOOKUP(A82,基础数据!A:B,2,FALSE)</f>
        <v>洛阳</v>
      </c>
      <c r="C82" s="10">
        <v>43931</v>
      </c>
      <c r="D82" s="9"/>
      <c r="E82" s="11">
        <v>4500056693</v>
      </c>
      <c r="F82" s="11">
        <v>1029666</v>
      </c>
      <c r="G82" s="9">
        <v>1120002596</v>
      </c>
      <c r="H82" s="9" t="s">
        <v>18</v>
      </c>
      <c r="I82" s="11">
        <v>2</v>
      </c>
      <c r="J82" s="11">
        <v>1286</v>
      </c>
      <c r="K82" s="11"/>
      <c r="L82" s="10">
        <v>43952</v>
      </c>
      <c r="M82" s="9" t="s">
        <v>302</v>
      </c>
    </row>
    <row r="83" spans="1:14" s="12" customFormat="1">
      <c r="A83" s="11">
        <v>1270</v>
      </c>
      <c r="B83" s="13" t="str">
        <f>VLOOKUP(A83,基础数据!A:B,2,FALSE)</f>
        <v>洛阳</v>
      </c>
      <c r="C83" s="10">
        <v>43931</v>
      </c>
      <c r="D83" s="9"/>
      <c r="E83" s="11">
        <v>4500056693</v>
      </c>
      <c r="F83" s="11" t="s">
        <v>45</v>
      </c>
      <c r="G83" s="9">
        <v>1120002597</v>
      </c>
      <c r="H83" s="9" t="s">
        <v>19</v>
      </c>
      <c r="I83" s="11">
        <v>2</v>
      </c>
      <c r="J83" s="11">
        <v>6132</v>
      </c>
      <c r="K83" s="11"/>
      <c r="L83" s="10">
        <v>43952</v>
      </c>
      <c r="M83" s="9" t="s">
        <v>301</v>
      </c>
    </row>
    <row r="84" spans="1:14" s="12" customFormat="1">
      <c r="A84" s="11">
        <v>1270</v>
      </c>
      <c r="B84" s="13" t="str">
        <f>VLOOKUP(A84,基础数据!A:B,2,FALSE)</f>
        <v>洛阳</v>
      </c>
      <c r="C84" s="10">
        <v>43931</v>
      </c>
      <c r="D84" s="9"/>
      <c r="E84" s="11">
        <v>4500056693</v>
      </c>
      <c r="F84" s="11">
        <v>1029666</v>
      </c>
      <c r="G84" s="9">
        <v>1120002596</v>
      </c>
      <c r="H84" s="9" t="s">
        <v>18</v>
      </c>
      <c r="I84" s="11">
        <v>3</v>
      </c>
      <c r="J84" s="11">
        <v>1929</v>
      </c>
      <c r="K84" s="11"/>
      <c r="L84" s="10">
        <v>43952</v>
      </c>
      <c r="M84" s="9" t="s">
        <v>303</v>
      </c>
    </row>
    <row r="85" spans="1:14" s="12" customFormat="1">
      <c r="A85" s="11">
        <v>1270</v>
      </c>
      <c r="B85" s="13" t="str">
        <f>VLOOKUP(A85,基础数据!A:B,2,FALSE)</f>
        <v>洛阳</v>
      </c>
      <c r="C85" s="10">
        <v>43931</v>
      </c>
      <c r="D85" s="9"/>
      <c r="E85" s="11">
        <v>4500056693</v>
      </c>
      <c r="F85" s="11" t="s">
        <v>45</v>
      </c>
      <c r="G85" s="9">
        <v>1120002597</v>
      </c>
      <c r="H85" s="9" t="s">
        <v>19</v>
      </c>
      <c r="I85" s="11">
        <v>3</v>
      </c>
      <c r="J85" s="11">
        <v>9198</v>
      </c>
      <c r="K85" s="11"/>
      <c r="L85" s="10">
        <v>43952</v>
      </c>
      <c r="M85" s="9" t="s">
        <v>304</v>
      </c>
    </row>
    <row r="86" spans="1:14" s="42" customFormat="1">
      <c r="A86" s="11">
        <v>1270</v>
      </c>
      <c r="B86" s="11" t="str">
        <f>VLOOKUP(A86,基础数据!A:B,2,FALSE)</f>
        <v>洛阳</v>
      </c>
      <c r="C86" s="10">
        <v>43910</v>
      </c>
      <c r="D86" s="11"/>
      <c r="E86" s="11">
        <v>4500054960</v>
      </c>
      <c r="F86" s="11">
        <v>1030105</v>
      </c>
      <c r="G86" s="11">
        <v>1120002601</v>
      </c>
      <c r="H86" s="11" t="s">
        <v>20</v>
      </c>
      <c r="I86" s="11"/>
      <c r="J86" s="11">
        <f>18288-4332-5640-6768</f>
        <v>1548</v>
      </c>
      <c r="K86" s="11"/>
      <c r="L86" s="10">
        <v>43941</v>
      </c>
      <c r="M86" s="11" t="s">
        <v>324</v>
      </c>
    </row>
    <row r="87" spans="1:14" s="12" customFormat="1">
      <c r="A87" s="11">
        <v>1270</v>
      </c>
      <c r="B87" s="13" t="str">
        <f>VLOOKUP(A87,基础数据!A:B,2,FALSE)</f>
        <v>洛阳</v>
      </c>
      <c r="C87" s="10">
        <v>43924</v>
      </c>
      <c r="D87" s="9"/>
      <c r="E87" s="11">
        <v>4500056154</v>
      </c>
      <c r="F87" s="11">
        <v>1030105</v>
      </c>
      <c r="G87" s="11">
        <v>1120002601</v>
      </c>
      <c r="H87" s="9" t="s">
        <v>20</v>
      </c>
      <c r="I87" s="11"/>
      <c r="J87" s="11">
        <f>12192-2256-6804</f>
        <v>3132</v>
      </c>
      <c r="K87" s="11"/>
      <c r="L87" s="10">
        <v>43948</v>
      </c>
      <c r="M87" s="9" t="s">
        <v>323</v>
      </c>
    </row>
    <row r="88" spans="1:14" s="12" customFormat="1">
      <c r="A88" s="11">
        <v>1270</v>
      </c>
      <c r="B88" s="13" t="str">
        <f>VLOOKUP(A88,基础数据!A:B,2,FALSE)</f>
        <v>洛阳</v>
      </c>
      <c r="C88" s="10">
        <v>43938</v>
      </c>
      <c r="D88" s="9"/>
      <c r="E88" s="11">
        <v>4500057311</v>
      </c>
      <c r="F88" s="11">
        <v>1030105</v>
      </c>
      <c r="G88" s="11">
        <v>1120002601</v>
      </c>
      <c r="H88" s="9" t="s">
        <v>20</v>
      </c>
      <c r="I88" s="11"/>
      <c r="J88" s="11">
        <v>6096</v>
      </c>
      <c r="K88" s="11"/>
      <c r="L88" s="10">
        <v>43962</v>
      </c>
      <c r="M88" s="9" t="s">
        <v>265</v>
      </c>
    </row>
    <row r="89" spans="1:14" s="12" customFormat="1">
      <c r="A89" s="11">
        <v>1270</v>
      </c>
      <c r="B89" s="13" t="str">
        <f>VLOOKUP(A89,基础数据!A:B,2,FALSE)</f>
        <v>洛阳</v>
      </c>
      <c r="C89" s="10">
        <v>43931</v>
      </c>
      <c r="D89" s="9"/>
      <c r="E89" s="11">
        <v>4500056693</v>
      </c>
      <c r="F89" s="11">
        <v>1030105</v>
      </c>
      <c r="G89" s="9">
        <v>1120002601</v>
      </c>
      <c r="H89" s="9" t="s">
        <v>20</v>
      </c>
      <c r="I89" s="11"/>
      <c r="J89" s="11">
        <v>5100</v>
      </c>
      <c r="K89" s="11"/>
      <c r="L89" s="10">
        <v>43955</v>
      </c>
      <c r="M89" s="9" t="s">
        <v>325</v>
      </c>
    </row>
    <row r="90" spans="1:14" s="12" customFormat="1">
      <c r="A90" s="11">
        <v>1270</v>
      </c>
      <c r="B90" s="13" t="str">
        <f>VLOOKUP(A90,基础数据!A:B,2,FALSE)</f>
        <v>洛阳</v>
      </c>
      <c r="C90" s="10">
        <v>43931</v>
      </c>
      <c r="D90" s="9"/>
      <c r="E90" s="11">
        <v>4500056693</v>
      </c>
      <c r="F90" s="11" t="s">
        <v>45</v>
      </c>
      <c r="G90" s="9">
        <v>1120002597</v>
      </c>
      <c r="H90" s="9" t="s">
        <v>19</v>
      </c>
      <c r="I90" s="11">
        <v>1</v>
      </c>
      <c r="J90" s="11">
        <v>3066</v>
      </c>
      <c r="K90" s="11"/>
      <c r="L90" s="10">
        <v>43952</v>
      </c>
      <c r="M90" s="9" t="s">
        <v>326</v>
      </c>
    </row>
    <row r="91" spans="1:14" s="12" customFormat="1">
      <c r="A91" s="11">
        <v>1270</v>
      </c>
      <c r="B91" s="13" t="str">
        <f>VLOOKUP(A91,基础数据!A:B,2,FALSE)</f>
        <v>洛阳</v>
      </c>
      <c r="C91" s="10">
        <v>43938</v>
      </c>
      <c r="D91" s="9"/>
      <c r="E91" s="11">
        <v>4500057311</v>
      </c>
      <c r="F91" s="11">
        <v>1029666</v>
      </c>
      <c r="G91" s="11">
        <v>1120002596</v>
      </c>
      <c r="H91" s="9" t="s">
        <v>18</v>
      </c>
      <c r="I91" s="11">
        <v>3</v>
      </c>
      <c r="J91" s="11">
        <v>1929</v>
      </c>
      <c r="K91" s="11"/>
      <c r="L91" s="10">
        <v>43962</v>
      </c>
      <c r="M91" s="9" t="s">
        <v>336</v>
      </c>
    </row>
    <row r="92" spans="1:14" s="12" customFormat="1">
      <c r="A92" s="11">
        <v>1270</v>
      </c>
      <c r="B92" s="13" t="str">
        <f>VLOOKUP(A92,基础数据!A:B,2,FALSE)</f>
        <v>洛阳</v>
      </c>
      <c r="C92" s="10">
        <v>43938</v>
      </c>
      <c r="D92" s="9"/>
      <c r="E92" s="11">
        <v>4500057311</v>
      </c>
      <c r="F92" s="11" t="s">
        <v>45</v>
      </c>
      <c r="G92" s="11">
        <v>1120002597</v>
      </c>
      <c r="H92" s="9" t="s">
        <v>19</v>
      </c>
      <c r="I92" s="11">
        <v>3</v>
      </c>
      <c r="J92" s="11">
        <v>9198</v>
      </c>
      <c r="K92" s="11"/>
      <c r="L92" s="10">
        <v>43962</v>
      </c>
      <c r="M92" s="9" t="s">
        <v>337</v>
      </c>
    </row>
    <row r="93" spans="1:14" s="12" customFormat="1">
      <c r="A93" s="11">
        <v>1270</v>
      </c>
      <c r="B93" s="13" t="str">
        <f>VLOOKUP(A93,基础数据!A:B,2,FALSE)</f>
        <v>洛阳</v>
      </c>
      <c r="C93" s="10">
        <v>43931</v>
      </c>
      <c r="D93" s="9"/>
      <c r="E93" s="11">
        <v>4500056693</v>
      </c>
      <c r="F93" s="11">
        <v>1029666</v>
      </c>
      <c r="G93" s="9">
        <v>1120002596</v>
      </c>
      <c r="H93" s="9" t="s">
        <v>18</v>
      </c>
      <c r="I93" s="11">
        <f>10-3-2-3</f>
        <v>2</v>
      </c>
      <c r="J93" s="11">
        <f>6474-1929-1286-1929</f>
        <v>1330</v>
      </c>
      <c r="K93" s="11"/>
      <c r="L93" s="10">
        <v>43952</v>
      </c>
      <c r="M93" s="9" t="s">
        <v>398</v>
      </c>
      <c r="N93" s="19" t="str">
        <f>VLOOKUP(H93,基础数据!G:H,2,FALSE)</f>
        <v>SR140后缘</v>
      </c>
    </row>
    <row r="94" spans="1:14" s="12" customFormat="1">
      <c r="A94" s="11">
        <v>1270</v>
      </c>
      <c r="B94" s="13" t="str">
        <f>VLOOKUP(A94,基础数据!A:B,2,FALSE)</f>
        <v>洛阳</v>
      </c>
      <c r="C94" s="10">
        <v>43931</v>
      </c>
      <c r="D94" s="9"/>
      <c r="E94" s="11">
        <v>4500056693</v>
      </c>
      <c r="F94" s="11" t="s">
        <v>45</v>
      </c>
      <c r="G94" s="9">
        <v>1120002597</v>
      </c>
      <c r="H94" s="9" t="s">
        <v>19</v>
      </c>
      <c r="I94" s="11">
        <f>10-3-2-3-1</f>
        <v>1</v>
      </c>
      <c r="J94" s="11">
        <f>30697-9198-6132-9198-3066</f>
        <v>3103</v>
      </c>
      <c r="K94" s="11"/>
      <c r="L94" s="10">
        <v>43952</v>
      </c>
      <c r="M94" s="9" t="s">
        <v>397</v>
      </c>
      <c r="N94" s="19" t="str">
        <f>VLOOKUP(H94,基础数据!G:H,2,FALSE)</f>
        <v>SR140大梁</v>
      </c>
    </row>
    <row r="95" spans="1:14" s="12" customFormat="1">
      <c r="A95" s="11">
        <v>1270</v>
      </c>
      <c r="B95" s="13" t="str">
        <f>VLOOKUP(A95,基础数据!A:B,2,FALSE)</f>
        <v>洛阳</v>
      </c>
      <c r="C95" s="10">
        <v>43938</v>
      </c>
      <c r="D95" s="9"/>
      <c r="E95" s="11">
        <v>4500057311</v>
      </c>
      <c r="F95" s="11" t="s">
        <v>45</v>
      </c>
      <c r="G95" s="11">
        <v>1120002597</v>
      </c>
      <c r="H95" s="9" t="s">
        <v>19</v>
      </c>
      <c r="I95" s="11">
        <v>1</v>
      </c>
      <c r="J95" s="11">
        <v>3066</v>
      </c>
      <c r="K95" s="11"/>
      <c r="L95" s="10">
        <v>43962</v>
      </c>
      <c r="M95" s="9" t="s">
        <v>396</v>
      </c>
      <c r="N95" s="19" t="str">
        <f>VLOOKUP(H95,基础数据!G:H,2,FALSE)</f>
        <v>SR140大梁</v>
      </c>
    </row>
    <row r="96" spans="1:14" s="12" customFormat="1">
      <c r="A96" s="11">
        <v>1270</v>
      </c>
      <c r="B96" s="13" t="str">
        <f>VLOOKUP(A96,基础数据!A:B,2,FALSE)</f>
        <v>洛阳</v>
      </c>
      <c r="C96" s="10">
        <v>43931</v>
      </c>
      <c r="D96" s="9"/>
      <c r="E96" s="11">
        <v>4500056693</v>
      </c>
      <c r="F96" s="11">
        <v>1030105</v>
      </c>
      <c r="G96" s="9">
        <v>1120002601</v>
      </c>
      <c r="H96" s="9" t="s">
        <v>20</v>
      </c>
      <c r="I96" s="11"/>
      <c r="J96" s="11">
        <f>12192-5100</f>
        <v>7092</v>
      </c>
      <c r="K96" s="11"/>
      <c r="L96" s="10">
        <v>43955</v>
      </c>
      <c r="M96" s="9" t="s">
        <v>399</v>
      </c>
      <c r="N96" s="19" t="str">
        <f>VLOOKUP(H96,基础数据!G:H,2,FALSE)</f>
        <v>TTX1500H-1.27-100</v>
      </c>
    </row>
    <row r="97" spans="1:14" s="12" customFormat="1">
      <c r="A97" s="11">
        <v>1270</v>
      </c>
      <c r="B97" s="13" t="str">
        <f>VLOOKUP(A97,基础数据!A:B,2,FALSE)</f>
        <v>洛阳</v>
      </c>
      <c r="C97" s="10">
        <v>43938</v>
      </c>
      <c r="D97" s="9"/>
      <c r="E97" s="11">
        <v>4500057311</v>
      </c>
      <c r="F97" s="11">
        <v>1029666</v>
      </c>
      <c r="G97" s="11">
        <v>1120002596</v>
      </c>
      <c r="H97" s="9" t="s">
        <v>18</v>
      </c>
      <c r="I97" s="11">
        <v>3</v>
      </c>
      <c r="J97" s="11">
        <v>1929</v>
      </c>
      <c r="K97" s="11"/>
      <c r="L97" s="10">
        <v>43962</v>
      </c>
      <c r="M97" s="9" t="s">
        <v>402</v>
      </c>
      <c r="N97" s="19" t="str">
        <f>VLOOKUP(H97,基础数据!G:H,2,FALSE)</f>
        <v>SR140后缘</v>
      </c>
    </row>
    <row r="98" spans="1:14" s="12" customFormat="1">
      <c r="A98" s="11">
        <v>1270</v>
      </c>
      <c r="B98" s="13" t="str">
        <f>VLOOKUP(A98,基础数据!A:B,2,FALSE)</f>
        <v>洛阳</v>
      </c>
      <c r="C98" s="10">
        <v>43938</v>
      </c>
      <c r="D98" s="9"/>
      <c r="E98" s="11">
        <v>4500057311</v>
      </c>
      <c r="F98" s="11" t="s">
        <v>45</v>
      </c>
      <c r="G98" s="11">
        <v>1120002597</v>
      </c>
      <c r="H98" s="9" t="s">
        <v>19</v>
      </c>
      <c r="I98" s="11">
        <v>3</v>
      </c>
      <c r="J98" s="11">
        <v>9198</v>
      </c>
      <c r="K98" s="11"/>
      <c r="L98" s="10">
        <v>43962</v>
      </c>
      <c r="M98" s="9" t="s">
        <v>403</v>
      </c>
      <c r="N98" s="19" t="str">
        <f>VLOOKUP(H98,基础数据!G:H,2,FALSE)</f>
        <v>SR140大梁</v>
      </c>
    </row>
    <row r="99" spans="1:14" s="12" customFormat="1">
      <c r="A99" s="11">
        <v>1270</v>
      </c>
      <c r="B99" s="13" t="str">
        <f>VLOOKUP(A99,基础数据!A:B,2,FALSE)</f>
        <v>洛阳</v>
      </c>
      <c r="C99" s="10">
        <v>43945</v>
      </c>
      <c r="D99" s="9"/>
      <c r="E99" s="11">
        <v>4500058093</v>
      </c>
      <c r="F99" s="11">
        <v>1030105</v>
      </c>
      <c r="G99" s="11">
        <v>1120002601</v>
      </c>
      <c r="H99" s="9" t="s">
        <v>20</v>
      </c>
      <c r="I99" s="11"/>
      <c r="J99" s="11">
        <v>6096</v>
      </c>
      <c r="K99" s="11"/>
      <c r="L99" s="10">
        <v>43969</v>
      </c>
      <c r="M99" s="9" t="s">
        <v>415</v>
      </c>
      <c r="N99" s="19" t="str">
        <f>VLOOKUP(H99,基础数据!G:H,2,FALSE)</f>
        <v>TTX1500H-1.27-100</v>
      </c>
    </row>
    <row r="100" spans="1:14" s="12" customFormat="1">
      <c r="A100" s="11">
        <v>1270</v>
      </c>
      <c r="B100" s="13" t="str">
        <f>VLOOKUP(A100,基础数据!A:B,2,FALSE)</f>
        <v>洛阳</v>
      </c>
      <c r="C100" s="10">
        <v>43938</v>
      </c>
      <c r="D100" s="9"/>
      <c r="E100" s="11">
        <v>4500057311</v>
      </c>
      <c r="F100" s="11">
        <v>1029666</v>
      </c>
      <c r="G100" s="11">
        <v>1120002596</v>
      </c>
      <c r="H100" s="9" t="s">
        <v>18</v>
      </c>
      <c r="I100" s="11">
        <f>8-3-3</f>
        <v>2</v>
      </c>
      <c r="J100" s="11">
        <f>5179-1929-1929</f>
        <v>1321</v>
      </c>
      <c r="K100" s="11"/>
      <c r="L100" s="10">
        <v>43962</v>
      </c>
      <c r="M100" s="9" t="s">
        <v>416</v>
      </c>
      <c r="N100" s="19" t="str">
        <f>VLOOKUP(H100,基础数据!G:H,2,FALSE)</f>
        <v>SR140后缘</v>
      </c>
    </row>
    <row r="101" spans="1:14" s="12" customFormat="1">
      <c r="A101" s="11">
        <v>1270</v>
      </c>
      <c r="B101" s="13" t="str">
        <f>VLOOKUP(A101,基础数据!A:B,2,FALSE)</f>
        <v>洛阳</v>
      </c>
      <c r="C101" s="10">
        <v>43945</v>
      </c>
      <c r="D101" s="9"/>
      <c r="E101" s="11">
        <v>4500058093</v>
      </c>
      <c r="F101" s="11" t="s">
        <v>45</v>
      </c>
      <c r="G101" s="11">
        <v>1120002597</v>
      </c>
      <c r="H101" s="9" t="s">
        <v>19</v>
      </c>
      <c r="I101" s="11">
        <v>2</v>
      </c>
      <c r="J101" s="11">
        <v>6132</v>
      </c>
      <c r="K101" s="11"/>
      <c r="L101" s="10">
        <v>43966</v>
      </c>
      <c r="M101" s="9" t="s">
        <v>410</v>
      </c>
      <c r="N101" s="19" t="str">
        <f>VLOOKUP(H101,基础数据!G:H,2,FALSE)</f>
        <v>SR140大梁</v>
      </c>
    </row>
    <row r="102" spans="1:14" s="12" customFormat="1">
      <c r="A102" s="11">
        <v>1270</v>
      </c>
      <c r="B102" s="13" t="str">
        <f>VLOOKUP(A102,基础数据!A:B,2,FALSE)</f>
        <v>洛阳</v>
      </c>
      <c r="C102" s="10">
        <v>43938</v>
      </c>
      <c r="D102" s="9"/>
      <c r="E102" s="11">
        <v>4500057311</v>
      </c>
      <c r="F102" s="11" t="s">
        <v>45</v>
      </c>
      <c r="G102" s="11">
        <v>1120002597</v>
      </c>
      <c r="H102" s="9" t="s">
        <v>19</v>
      </c>
      <c r="I102" s="11">
        <f>8-3-1-3</f>
        <v>1</v>
      </c>
      <c r="J102" s="11">
        <f>24558-9198-3066-9198</f>
        <v>3096</v>
      </c>
      <c r="K102" s="11"/>
      <c r="L102" s="10">
        <v>43962</v>
      </c>
      <c r="M102" s="9" t="s">
        <v>417</v>
      </c>
      <c r="N102" s="19" t="str">
        <f>VLOOKUP(H102,基础数据!G:H,2,FALSE)</f>
        <v>SR140大梁</v>
      </c>
    </row>
    <row r="103" spans="1:14" s="12" customFormat="1">
      <c r="A103" s="11">
        <v>1270</v>
      </c>
      <c r="B103" s="13" t="str">
        <f>VLOOKUP(A103,基础数据!A:B,2,FALSE)</f>
        <v>洛阳</v>
      </c>
      <c r="C103" s="10">
        <v>43945</v>
      </c>
      <c r="D103" s="9"/>
      <c r="E103" s="11">
        <v>4500058093</v>
      </c>
      <c r="F103" s="11" t="s">
        <v>45</v>
      </c>
      <c r="G103" s="11">
        <v>1120002597</v>
      </c>
      <c r="H103" s="9" t="s">
        <v>19</v>
      </c>
      <c r="I103" s="11">
        <v>3</v>
      </c>
      <c r="J103" s="11">
        <v>9198</v>
      </c>
      <c r="K103" s="11"/>
      <c r="L103" s="10">
        <v>43966</v>
      </c>
      <c r="M103" s="9" t="s">
        <v>418</v>
      </c>
      <c r="N103" s="19" t="str">
        <f>VLOOKUP(H103,基础数据!G:H,2,FALSE)</f>
        <v>SR140大梁</v>
      </c>
    </row>
    <row r="104" spans="1:14" s="12" customFormat="1">
      <c r="A104" s="11">
        <v>1270</v>
      </c>
      <c r="B104" s="13" t="str">
        <f>VLOOKUP(A104,基础数据!A:B,2,FALSE)</f>
        <v>洛阳</v>
      </c>
      <c r="C104" s="10">
        <v>43945</v>
      </c>
      <c r="D104" s="9"/>
      <c r="E104" s="11">
        <v>4500058093</v>
      </c>
      <c r="F104" s="11">
        <v>1029666</v>
      </c>
      <c r="G104" s="11">
        <v>1120002596</v>
      </c>
      <c r="H104" s="9" t="s">
        <v>18</v>
      </c>
      <c r="I104" s="11">
        <v>5</v>
      </c>
      <c r="J104" s="11">
        <v>3215</v>
      </c>
      <c r="K104" s="11"/>
      <c r="L104" s="10">
        <v>43966</v>
      </c>
      <c r="M104" s="9" t="s">
        <v>423</v>
      </c>
      <c r="N104" s="19" t="str">
        <f>VLOOKUP(H104,基础数据!G:H,2,FALSE)</f>
        <v>SR140后缘</v>
      </c>
    </row>
    <row r="105" spans="1:14" s="12" customFormat="1">
      <c r="A105" s="11">
        <v>1270</v>
      </c>
      <c r="B105" s="13" t="str">
        <f>VLOOKUP(A105,基础数据!A:B,2,FALSE)</f>
        <v>洛阳</v>
      </c>
      <c r="C105" s="10">
        <v>43945</v>
      </c>
      <c r="D105" s="9"/>
      <c r="E105" s="11">
        <v>4500058093</v>
      </c>
      <c r="F105" s="11" t="s">
        <v>45</v>
      </c>
      <c r="G105" s="11">
        <v>1120002597</v>
      </c>
      <c r="H105" s="9" t="s">
        <v>19</v>
      </c>
      <c r="I105" s="11">
        <v>2</v>
      </c>
      <c r="J105" s="11">
        <v>6132</v>
      </c>
      <c r="K105" s="11"/>
      <c r="L105" s="10">
        <v>43966</v>
      </c>
      <c r="M105" s="9" t="s">
        <v>424</v>
      </c>
      <c r="N105" s="19" t="str">
        <f>VLOOKUP(H105,基础数据!G:H,2,FALSE)</f>
        <v>SR140大梁</v>
      </c>
    </row>
    <row r="106" spans="1:14" s="12" customFormat="1">
      <c r="A106" s="11">
        <v>1270</v>
      </c>
      <c r="B106" s="13" t="str">
        <f>VLOOKUP(A106,基础数据!A:B,2,FALSE)</f>
        <v>洛阳</v>
      </c>
      <c r="C106" s="10">
        <v>43951</v>
      </c>
      <c r="D106" s="9"/>
      <c r="E106" s="11">
        <v>4500058600</v>
      </c>
      <c r="F106" s="9"/>
      <c r="G106" s="11">
        <v>1120002601</v>
      </c>
      <c r="H106" s="9" t="s">
        <v>20</v>
      </c>
      <c r="I106" s="11"/>
      <c r="J106" s="11">
        <v>1128</v>
      </c>
      <c r="K106" s="11"/>
      <c r="L106" s="10">
        <v>43976</v>
      </c>
      <c r="M106" s="9" t="s">
        <v>425</v>
      </c>
      <c r="N106" s="19" t="str">
        <f>VLOOKUP(H106,基础数据!G:H,2,FALSE)</f>
        <v>TTX1500H-1.27-100</v>
      </c>
    </row>
    <row r="107" spans="1:14" s="12" customFormat="1">
      <c r="A107" s="11">
        <v>1270</v>
      </c>
      <c r="B107" s="13" t="str">
        <f>VLOOKUP(A107,基础数据!A:B,2,FALSE)</f>
        <v>洛阳</v>
      </c>
      <c r="C107" s="10">
        <v>43945</v>
      </c>
      <c r="D107" s="9"/>
      <c r="E107" s="11">
        <v>4500058093</v>
      </c>
      <c r="F107" s="11">
        <v>1029666</v>
      </c>
      <c r="G107" s="11">
        <v>1120002596</v>
      </c>
      <c r="H107" s="9" t="s">
        <v>18</v>
      </c>
      <c r="I107" s="11">
        <v>4</v>
      </c>
      <c r="J107" s="11">
        <v>2572</v>
      </c>
      <c r="K107" s="11"/>
      <c r="L107" s="10">
        <v>43966</v>
      </c>
      <c r="M107" s="9" t="s">
        <v>427</v>
      </c>
      <c r="N107" s="19" t="str">
        <f>VLOOKUP(H107,基础数据!G:H,2,FALSE)</f>
        <v>SR140后缘</v>
      </c>
    </row>
    <row r="108" spans="1:14" s="12" customFormat="1">
      <c r="A108" s="11">
        <v>1270</v>
      </c>
      <c r="B108" s="13" t="str">
        <f>VLOOKUP(A108,基础数据!A:B,2,FALSE)</f>
        <v>洛阳</v>
      </c>
      <c r="C108" s="10">
        <v>43945</v>
      </c>
      <c r="D108" s="9"/>
      <c r="E108" s="11">
        <v>4500058093</v>
      </c>
      <c r="F108" s="11" t="s">
        <v>45</v>
      </c>
      <c r="G108" s="11">
        <v>1120002597</v>
      </c>
      <c r="H108" s="9" t="s">
        <v>19</v>
      </c>
      <c r="I108" s="11">
        <v>1</v>
      </c>
      <c r="J108" s="11">
        <v>3066</v>
      </c>
      <c r="K108" s="11"/>
      <c r="L108" s="10">
        <v>43966</v>
      </c>
      <c r="M108" s="9" t="s">
        <v>428</v>
      </c>
      <c r="N108" s="19" t="str">
        <f>VLOOKUP(H108,基础数据!G:H,2,FALSE)</f>
        <v>SR140大梁</v>
      </c>
    </row>
    <row r="109" spans="1:14" s="12" customFormat="1">
      <c r="A109" s="11">
        <v>1270</v>
      </c>
      <c r="B109" s="13" t="str">
        <f>VLOOKUP(A109,基础数据!A:B,2,FALSE)</f>
        <v>洛阳</v>
      </c>
      <c r="C109" s="10">
        <v>43951</v>
      </c>
      <c r="D109" s="9"/>
      <c r="E109" s="11">
        <v>4500058600</v>
      </c>
      <c r="F109" s="9"/>
      <c r="G109" s="11">
        <v>1120002601</v>
      </c>
      <c r="H109" s="9" t="s">
        <v>20</v>
      </c>
      <c r="I109" s="11"/>
      <c r="J109" s="11">
        <v>6804</v>
      </c>
      <c r="K109" s="11"/>
      <c r="L109" s="10">
        <v>43976</v>
      </c>
      <c r="M109" s="9" t="s">
        <v>429</v>
      </c>
      <c r="N109" s="19" t="str">
        <f>VLOOKUP(H109,基础数据!G:H,2,FALSE)</f>
        <v>TTX1500H-1.27-100</v>
      </c>
    </row>
    <row r="110" spans="1:14" s="12" customFormat="1">
      <c r="A110" s="11">
        <v>1270</v>
      </c>
      <c r="B110" s="13" t="str">
        <f>VLOOKUP(A110,基础数据!A:B,2,FALSE)</f>
        <v>洛阳</v>
      </c>
      <c r="C110" s="10">
        <v>43951</v>
      </c>
      <c r="D110" s="9"/>
      <c r="E110" s="11">
        <v>4500058600</v>
      </c>
      <c r="F110" s="11" t="s">
        <v>45</v>
      </c>
      <c r="G110" s="11">
        <v>1120002597</v>
      </c>
      <c r="H110" s="9" t="s">
        <v>19</v>
      </c>
      <c r="I110" s="11">
        <v>3</v>
      </c>
      <c r="J110" s="11">
        <v>9198</v>
      </c>
      <c r="K110" s="11"/>
      <c r="L110" s="10">
        <v>43976</v>
      </c>
      <c r="M110" s="9" t="s">
        <v>442</v>
      </c>
      <c r="N110" s="19" t="str">
        <f>VLOOKUP(H110,基础数据!G:H,2,FALSE)</f>
        <v>SR140大梁</v>
      </c>
    </row>
    <row r="111" spans="1:14" s="12" customFormat="1">
      <c r="A111" s="11">
        <v>1270</v>
      </c>
      <c r="B111" s="13" t="str">
        <f>VLOOKUP(A111,基础数据!A:B,2,FALSE)</f>
        <v>洛阳</v>
      </c>
      <c r="C111" s="10">
        <v>43959</v>
      </c>
      <c r="D111" s="9"/>
      <c r="E111" s="11">
        <v>4500059003</v>
      </c>
      <c r="F111" s="9"/>
      <c r="G111" s="11">
        <v>1120002601</v>
      </c>
      <c r="H111" s="9" t="s">
        <v>20</v>
      </c>
      <c r="I111" s="11"/>
      <c r="J111" s="11">
        <v>6804</v>
      </c>
      <c r="K111" s="11"/>
      <c r="L111" s="10">
        <v>43983</v>
      </c>
      <c r="M111" s="9" t="s">
        <v>443</v>
      </c>
      <c r="N111" s="19" t="str">
        <f>VLOOKUP(H111,基础数据!G:H,2,FALSE)</f>
        <v>TTX1500H-1.27-100</v>
      </c>
    </row>
    <row r="112" spans="1:14" s="12" customFormat="1">
      <c r="A112" s="11">
        <v>1270</v>
      </c>
      <c r="B112" s="13" t="str">
        <f>VLOOKUP(A112,基础数据!A:B,2,FALSE)</f>
        <v>洛阳</v>
      </c>
      <c r="C112" s="10">
        <v>43951</v>
      </c>
      <c r="D112" s="9"/>
      <c r="E112" s="11">
        <v>4500058600</v>
      </c>
      <c r="F112" s="11">
        <v>1029666</v>
      </c>
      <c r="G112" s="11">
        <v>1120002596</v>
      </c>
      <c r="H112" s="9" t="s">
        <v>18</v>
      </c>
      <c r="I112" s="11">
        <v>5</v>
      </c>
      <c r="J112" s="11">
        <v>3215</v>
      </c>
      <c r="K112" s="11"/>
      <c r="L112" s="10">
        <v>43976</v>
      </c>
      <c r="M112" s="9" t="s">
        <v>453</v>
      </c>
      <c r="N112" s="19" t="str">
        <f>VLOOKUP(H112,基础数据!G:H,2,FALSE)</f>
        <v>SR140后缘</v>
      </c>
    </row>
    <row r="113" spans="1:14" s="12" customFormat="1">
      <c r="A113" s="11">
        <v>1270</v>
      </c>
      <c r="B113" s="13" t="str">
        <f>VLOOKUP(A113,基础数据!A:B,2,FALSE)</f>
        <v>洛阳</v>
      </c>
      <c r="C113" s="10">
        <v>43945</v>
      </c>
      <c r="D113" s="9"/>
      <c r="E113" s="11">
        <v>4500058093</v>
      </c>
      <c r="F113" s="11" t="s">
        <v>45</v>
      </c>
      <c r="G113" s="11">
        <v>1120002597</v>
      </c>
      <c r="H113" s="9" t="s">
        <v>19</v>
      </c>
      <c r="I113" s="11">
        <f>10-2-3-2-1</f>
        <v>2</v>
      </c>
      <c r="J113" s="11">
        <v>6132</v>
      </c>
      <c r="K113" s="11"/>
      <c r="L113" s="10">
        <v>43966</v>
      </c>
      <c r="M113" s="9" t="s">
        <v>454</v>
      </c>
      <c r="N113" s="19" t="str">
        <f>VLOOKUP(H113,基础数据!G:H,2,FALSE)</f>
        <v>SR140大梁</v>
      </c>
    </row>
    <row r="114" spans="1:14" s="12" customFormat="1">
      <c r="A114" s="11">
        <v>1270</v>
      </c>
      <c r="B114" s="13" t="str">
        <f>VLOOKUP(A114,基础数据!A:B,2,FALSE)</f>
        <v>洛阳</v>
      </c>
      <c r="C114" s="10">
        <v>43951</v>
      </c>
      <c r="D114" s="9"/>
      <c r="E114" s="11">
        <v>4500058600</v>
      </c>
      <c r="F114" s="11" t="s">
        <v>45</v>
      </c>
      <c r="G114" s="11">
        <v>1120002597</v>
      </c>
      <c r="H114" s="9" t="s">
        <v>19</v>
      </c>
      <c r="I114" s="11">
        <v>2</v>
      </c>
      <c r="J114" s="11">
        <v>6132</v>
      </c>
      <c r="K114" s="11"/>
      <c r="L114" s="10">
        <v>43976</v>
      </c>
      <c r="M114" s="9" t="s">
        <v>458</v>
      </c>
      <c r="N114" s="19" t="str">
        <f>VLOOKUP(H114,基础数据!G:H,2,FALSE)</f>
        <v>SR140大梁</v>
      </c>
    </row>
    <row r="115" spans="1:14" s="12" customFormat="1">
      <c r="A115" s="11">
        <v>1270</v>
      </c>
      <c r="B115" s="13" t="str">
        <f>VLOOKUP(A115,基础数据!A:B,2,FALSE)</f>
        <v>洛阳</v>
      </c>
      <c r="C115" s="10">
        <v>43959</v>
      </c>
      <c r="D115" s="9"/>
      <c r="E115" s="11">
        <v>4500059003</v>
      </c>
      <c r="F115" s="9"/>
      <c r="G115" s="11">
        <v>1120002601</v>
      </c>
      <c r="H115" s="9" t="s">
        <v>20</v>
      </c>
      <c r="I115" s="11"/>
      <c r="J115" s="11">
        <v>5640</v>
      </c>
      <c r="K115" s="11"/>
      <c r="L115" s="10">
        <v>43983</v>
      </c>
      <c r="M115" s="9" t="s">
        <v>457</v>
      </c>
      <c r="N115" s="19" t="str">
        <f>VLOOKUP(H115,基础数据!G:H,2,FALSE)</f>
        <v>TTX1500H-1.27-100</v>
      </c>
    </row>
    <row r="116" spans="1:14" s="12" customFormat="1">
      <c r="A116" s="11">
        <v>1270</v>
      </c>
      <c r="B116" s="13" t="str">
        <f>VLOOKUP(A116,基础数据!A:B,2,FALSE)</f>
        <v>洛阳</v>
      </c>
      <c r="C116" s="10">
        <v>43951</v>
      </c>
      <c r="D116" s="9"/>
      <c r="E116" s="11">
        <v>4500058600</v>
      </c>
      <c r="F116" s="9"/>
      <c r="G116" s="11">
        <v>1120002601</v>
      </c>
      <c r="H116" s="9" t="s">
        <v>20</v>
      </c>
      <c r="I116" s="11"/>
      <c r="J116" s="11">
        <f>9660-1128-6804</f>
        <v>1728</v>
      </c>
      <c r="K116" s="11"/>
      <c r="L116" s="10">
        <v>43976</v>
      </c>
      <c r="M116" s="9" t="s">
        <v>456</v>
      </c>
      <c r="N116" s="19" t="str">
        <f>VLOOKUP(H116,基础数据!G:H,2,FALSE)</f>
        <v>TTX1500H-1.27-100</v>
      </c>
    </row>
    <row r="117" spans="1:14" s="12" customFormat="1">
      <c r="A117" s="11">
        <v>1270</v>
      </c>
      <c r="B117" s="13" t="str">
        <f>VLOOKUP(A117,基础数据!A:B,2,FALSE)</f>
        <v>洛阳</v>
      </c>
      <c r="C117" s="10">
        <v>43945</v>
      </c>
      <c r="D117" s="9"/>
      <c r="E117" s="11">
        <v>4500058093</v>
      </c>
      <c r="F117" s="11">
        <v>1029666</v>
      </c>
      <c r="G117" s="11">
        <v>1120002596</v>
      </c>
      <c r="H117" s="9" t="s">
        <v>18</v>
      </c>
      <c r="I117" s="11">
        <v>1</v>
      </c>
      <c r="J117" s="11">
        <v>643</v>
      </c>
      <c r="K117" s="11"/>
      <c r="L117" s="10">
        <v>43966</v>
      </c>
      <c r="M117" s="9" t="s">
        <v>459</v>
      </c>
      <c r="N117" s="19" t="str">
        <f>VLOOKUP(H117,基础数据!G:H,2,FALSE)</f>
        <v>SR140后缘</v>
      </c>
    </row>
    <row r="118" spans="1:14" s="12" customFormat="1">
      <c r="A118" s="11">
        <v>1270</v>
      </c>
      <c r="B118" s="13" t="str">
        <f>VLOOKUP(A118,基础数据!A:B,2,FALSE)</f>
        <v>洛阳</v>
      </c>
      <c r="C118" s="10">
        <v>43951</v>
      </c>
      <c r="D118" s="9"/>
      <c r="E118" s="11">
        <v>4500058600</v>
      </c>
      <c r="F118" s="11">
        <v>1029666</v>
      </c>
      <c r="G118" s="11">
        <v>1120002596</v>
      </c>
      <c r="H118" s="9" t="s">
        <v>18</v>
      </c>
      <c r="I118" s="11">
        <v>1</v>
      </c>
      <c r="J118" s="11">
        <v>643</v>
      </c>
      <c r="K118" s="11"/>
      <c r="L118" s="10">
        <v>43976</v>
      </c>
      <c r="M118" s="9" t="s">
        <v>460</v>
      </c>
      <c r="N118" s="19" t="str">
        <f>VLOOKUP(H118,基础数据!G:H,2,FALSE)</f>
        <v>SR140后缘</v>
      </c>
    </row>
    <row r="119" spans="1:14" s="12" customFormat="1">
      <c r="A119" s="11">
        <v>1270</v>
      </c>
      <c r="B119" s="13" t="str">
        <f>VLOOKUP(A119,基础数据!A:B,2,FALSE)</f>
        <v>洛阳</v>
      </c>
      <c r="C119" s="10">
        <v>43951</v>
      </c>
      <c r="D119" s="9"/>
      <c r="E119" s="11">
        <v>4500058600</v>
      </c>
      <c r="F119" s="11">
        <v>1029666</v>
      </c>
      <c r="G119" s="11">
        <v>1120002596</v>
      </c>
      <c r="H119" s="9" t="s">
        <v>18</v>
      </c>
      <c r="I119" s="11">
        <v>2</v>
      </c>
      <c r="J119" s="11">
        <v>1286</v>
      </c>
      <c r="K119" s="11"/>
      <c r="L119" s="10">
        <v>43976</v>
      </c>
      <c r="M119" s="9" t="s">
        <v>481</v>
      </c>
      <c r="N119" s="13" t="str">
        <f>VLOOKUP(H119,基础数据!G:H,2,FALSE)</f>
        <v>SR140后缘</v>
      </c>
    </row>
    <row r="120" spans="1:14" s="12" customFormat="1">
      <c r="A120" s="11">
        <v>1270</v>
      </c>
      <c r="B120" s="13" t="str">
        <f>VLOOKUP(A120,基础数据!A:B,2,FALSE)</f>
        <v>洛阳</v>
      </c>
      <c r="C120" s="10">
        <v>43951</v>
      </c>
      <c r="D120" s="9"/>
      <c r="E120" s="11">
        <v>4500058600</v>
      </c>
      <c r="F120" s="11" t="s">
        <v>45</v>
      </c>
      <c r="G120" s="11">
        <v>1120002597</v>
      </c>
      <c r="H120" s="9" t="s">
        <v>19</v>
      </c>
      <c r="I120" s="11">
        <v>2</v>
      </c>
      <c r="J120" s="11">
        <v>6132</v>
      </c>
      <c r="K120" s="11"/>
      <c r="L120" s="10">
        <v>43976</v>
      </c>
      <c r="M120" s="9" t="s">
        <v>482</v>
      </c>
      <c r="N120" s="13" t="str">
        <f>VLOOKUP(H120,基础数据!G:H,2,FALSE)</f>
        <v>SR140大梁</v>
      </c>
    </row>
    <row r="121" spans="1:14" s="12" customFormat="1">
      <c r="A121" s="11">
        <v>1270</v>
      </c>
      <c r="B121" s="13" t="str">
        <f>VLOOKUP(A121,基础数据!A:B,2,FALSE)</f>
        <v>洛阳</v>
      </c>
      <c r="C121" s="10">
        <v>43966</v>
      </c>
      <c r="D121" s="9"/>
      <c r="E121" s="11">
        <v>4500059570</v>
      </c>
      <c r="F121" s="9"/>
      <c r="G121" s="11">
        <v>1120002601</v>
      </c>
      <c r="H121" s="9" t="s">
        <v>20</v>
      </c>
      <c r="I121" s="11"/>
      <c r="J121" s="11">
        <v>6804</v>
      </c>
      <c r="K121" s="11"/>
      <c r="L121" s="10">
        <v>43988</v>
      </c>
      <c r="M121" s="9" t="s">
        <v>486</v>
      </c>
      <c r="N121" s="13" t="str">
        <f>VLOOKUP(H121,基础数据!G:H,2,FALSE)</f>
        <v>TTX1500H-1.27-100</v>
      </c>
    </row>
    <row r="122" spans="1:14" s="12" customFormat="1">
      <c r="A122" s="11">
        <v>1270</v>
      </c>
      <c r="B122" s="13" t="str">
        <f>VLOOKUP(A122,基础数据!A:B,2,FALSE)</f>
        <v>洛阳</v>
      </c>
      <c r="C122" s="10">
        <v>43959</v>
      </c>
      <c r="D122" s="9"/>
      <c r="E122" s="11">
        <v>4500059003</v>
      </c>
      <c r="F122" s="11">
        <v>1029666</v>
      </c>
      <c r="G122" s="11">
        <v>1120002596</v>
      </c>
      <c r="H122" s="9" t="s">
        <v>18</v>
      </c>
      <c r="I122" s="11">
        <v>7</v>
      </c>
      <c r="J122" s="11">
        <v>4501</v>
      </c>
      <c r="K122" s="11"/>
      <c r="L122" s="10">
        <v>43983</v>
      </c>
      <c r="M122" s="9" t="s">
        <v>490</v>
      </c>
      <c r="N122" s="13" t="str">
        <f>VLOOKUP(H122,基础数据!G:H,2,FALSE)</f>
        <v>SR140后缘</v>
      </c>
    </row>
    <row r="123" spans="1:14" s="12" customFormat="1">
      <c r="A123" s="11">
        <v>1270</v>
      </c>
      <c r="B123" s="13" t="str">
        <f>VLOOKUP(A123,基础数据!A:B,2,FALSE)</f>
        <v>洛阳</v>
      </c>
      <c r="C123" s="10">
        <v>43951</v>
      </c>
      <c r="D123" s="9"/>
      <c r="E123" s="11">
        <v>4500058600</v>
      </c>
      <c r="F123" s="11" t="s">
        <v>45</v>
      </c>
      <c r="G123" s="11">
        <v>1120002597</v>
      </c>
      <c r="H123" s="9" t="s">
        <v>19</v>
      </c>
      <c r="I123" s="11">
        <f>8-3-2-2</f>
        <v>1</v>
      </c>
      <c r="J123" s="11">
        <f>24557.6-9198-6132-6132-3066</f>
        <v>29.599999999998545</v>
      </c>
      <c r="K123" s="11"/>
      <c r="L123" s="10">
        <v>43976</v>
      </c>
      <c r="M123" s="9" t="s">
        <v>491</v>
      </c>
      <c r="N123" s="13" t="str">
        <f>VLOOKUP(H123,基础数据!G:H,2,FALSE)</f>
        <v>SR140大梁</v>
      </c>
    </row>
    <row r="124" spans="1:14" s="12" customFormat="1">
      <c r="A124" s="11">
        <v>1270</v>
      </c>
      <c r="B124" s="13" t="str">
        <f>VLOOKUP(A124,基础数据!A:B,2,FALSE)</f>
        <v>洛阳</v>
      </c>
      <c r="C124" s="10">
        <v>43959</v>
      </c>
      <c r="D124" s="9"/>
      <c r="E124" s="11">
        <v>4500059003</v>
      </c>
      <c r="F124" s="11" t="s">
        <v>45</v>
      </c>
      <c r="G124" s="11">
        <v>1120002597</v>
      </c>
      <c r="H124" s="9" t="s">
        <v>19</v>
      </c>
      <c r="I124" s="11">
        <v>2</v>
      </c>
      <c r="J124" s="11">
        <v>6132</v>
      </c>
      <c r="K124" s="11"/>
      <c r="L124" s="10">
        <v>43983</v>
      </c>
      <c r="M124" s="9" t="s">
        <v>494</v>
      </c>
      <c r="N124" s="13" t="str">
        <f>VLOOKUP(H124,基础数据!G:H,2,FALSE)</f>
        <v>SR140大梁</v>
      </c>
    </row>
    <row r="125" spans="1:14" s="12" customFormat="1">
      <c r="A125" s="11">
        <v>1270</v>
      </c>
      <c r="B125" s="13" t="str">
        <f>VLOOKUP(A125,基础数据!A:B,2,FALSE)</f>
        <v>洛阳</v>
      </c>
      <c r="C125" s="10">
        <v>43966</v>
      </c>
      <c r="D125" s="9"/>
      <c r="E125" s="11">
        <v>4500059570</v>
      </c>
      <c r="F125" s="9"/>
      <c r="G125" s="11">
        <v>1120002601</v>
      </c>
      <c r="H125" s="9" t="s">
        <v>20</v>
      </c>
      <c r="I125" s="11"/>
      <c r="J125" s="11">
        <f>18576-6804</f>
        <v>11772</v>
      </c>
      <c r="K125" s="11"/>
      <c r="L125" s="10">
        <v>43988</v>
      </c>
      <c r="M125" s="9" t="s">
        <v>495</v>
      </c>
      <c r="N125" s="13" t="str">
        <f>VLOOKUP(H125,基础数据!G:H,2,FALSE)</f>
        <v>TTX1500H-1.27-100</v>
      </c>
    </row>
    <row r="126" spans="1:14" s="12" customFormat="1">
      <c r="A126" s="11">
        <v>1270</v>
      </c>
      <c r="B126" s="13" t="str">
        <f>VLOOKUP(A126,基础数据!A:B,2,FALSE)</f>
        <v>洛阳</v>
      </c>
      <c r="C126" s="10">
        <v>43959</v>
      </c>
      <c r="D126" s="9"/>
      <c r="E126" s="11">
        <v>4500059003</v>
      </c>
      <c r="F126" s="11" t="s">
        <v>45</v>
      </c>
      <c r="G126" s="11">
        <v>1120002597</v>
      </c>
      <c r="H126" s="9" t="s">
        <v>19</v>
      </c>
      <c r="I126" s="11">
        <f>8-2</f>
        <v>6</v>
      </c>
      <c r="J126" s="11">
        <f>24557.6-6132</f>
        <v>18425.599999999999</v>
      </c>
      <c r="K126" s="11"/>
      <c r="L126" s="10">
        <v>43983</v>
      </c>
      <c r="M126" s="9" t="s">
        <v>497</v>
      </c>
      <c r="N126" s="13" t="str">
        <f>VLOOKUP(H126,基础数据!G:H,2,FALSE)</f>
        <v>SR140大梁</v>
      </c>
    </row>
    <row r="127" spans="1:14" s="12" customFormat="1">
      <c r="A127" s="11">
        <v>1270</v>
      </c>
      <c r="B127" s="13" t="str">
        <f>VLOOKUP(A127,基础数据!A:B,2,FALSE)</f>
        <v>洛阳</v>
      </c>
      <c r="C127" s="10">
        <v>43959</v>
      </c>
      <c r="D127" s="9"/>
      <c r="E127" s="11">
        <v>4500059003</v>
      </c>
      <c r="F127" s="11">
        <v>1029666</v>
      </c>
      <c r="G127" s="11">
        <v>1120002596</v>
      </c>
      <c r="H127" s="9" t="s">
        <v>18</v>
      </c>
      <c r="I127" s="11">
        <f>8-7</f>
        <v>1</v>
      </c>
      <c r="J127" s="11">
        <f>5179.2-4501</f>
        <v>678.19999999999982</v>
      </c>
      <c r="K127" s="11"/>
      <c r="L127" s="10">
        <v>43983</v>
      </c>
      <c r="M127" s="9" t="s">
        <v>509</v>
      </c>
      <c r="N127" s="13" t="str">
        <f>VLOOKUP(H127,基础数据!G:H,2,FALSE)</f>
        <v>SR140后缘</v>
      </c>
    </row>
    <row r="128" spans="1:14" s="12" customFormat="1">
      <c r="A128" s="11">
        <v>1270</v>
      </c>
      <c r="B128" s="13" t="str">
        <f>VLOOKUP(A128,基础数据!A:B,2,FALSE)</f>
        <v>洛阳</v>
      </c>
      <c r="C128" s="10">
        <v>43966</v>
      </c>
      <c r="D128" s="9"/>
      <c r="E128" s="11">
        <v>4500059570</v>
      </c>
      <c r="F128" s="11">
        <v>1029666</v>
      </c>
      <c r="G128" s="11">
        <v>1120002596</v>
      </c>
      <c r="H128" s="9" t="s">
        <v>18</v>
      </c>
      <c r="I128" s="11">
        <v>3</v>
      </c>
      <c r="J128" s="11">
        <v>1929</v>
      </c>
      <c r="K128" s="11"/>
      <c r="L128" s="10">
        <v>43988</v>
      </c>
      <c r="M128" s="9" t="s">
        <v>523</v>
      </c>
      <c r="N128" s="13" t="str">
        <f>VLOOKUP(H128,基础数据!G:H,2,FALSE)</f>
        <v>SR140后缘</v>
      </c>
    </row>
    <row r="129" spans="1:14" s="12" customFormat="1">
      <c r="A129" s="11">
        <v>1270</v>
      </c>
      <c r="B129" s="13" t="str">
        <f>VLOOKUP(A129,基础数据!A:B,2,FALSE)</f>
        <v>洛阳</v>
      </c>
      <c r="C129" s="10">
        <v>43966</v>
      </c>
      <c r="D129" s="9"/>
      <c r="E129" s="11">
        <v>4500059570</v>
      </c>
      <c r="F129" s="11" t="s">
        <v>90</v>
      </c>
      <c r="G129" s="11">
        <v>1120002597</v>
      </c>
      <c r="H129" s="9" t="s">
        <v>19</v>
      </c>
      <c r="I129" s="11">
        <v>3</v>
      </c>
      <c r="J129" s="11">
        <v>9198</v>
      </c>
      <c r="K129" s="11"/>
      <c r="L129" s="10">
        <v>43988</v>
      </c>
      <c r="M129" s="9" t="s">
        <v>523</v>
      </c>
      <c r="N129" s="13" t="str">
        <f>VLOOKUP(H129,基础数据!G:H,2,FALSE)</f>
        <v>SR140大梁</v>
      </c>
    </row>
    <row r="130" spans="1:14" s="12" customFormat="1">
      <c r="A130" s="11">
        <v>1270</v>
      </c>
      <c r="B130" s="13" t="str">
        <f>VLOOKUP(A130,基础数据!A:B,2,FALSE)</f>
        <v>洛阳</v>
      </c>
      <c r="C130" s="10">
        <v>43966</v>
      </c>
      <c r="D130" s="9"/>
      <c r="E130" s="11">
        <v>4500059570</v>
      </c>
      <c r="F130" s="11">
        <v>1029666</v>
      </c>
      <c r="G130" s="11">
        <v>1120002596</v>
      </c>
      <c r="H130" s="9" t="s">
        <v>18</v>
      </c>
      <c r="I130" s="11">
        <v>2</v>
      </c>
      <c r="J130" s="11">
        <v>1286</v>
      </c>
      <c r="K130" s="11"/>
      <c r="L130" s="10">
        <v>43988</v>
      </c>
      <c r="M130" s="9" t="s">
        <v>525</v>
      </c>
      <c r="N130" s="13" t="str">
        <f>VLOOKUP(H130,基础数据!G:H,2,FALSE)</f>
        <v>SR140后缘</v>
      </c>
    </row>
    <row r="131" spans="1:14" s="12" customFormat="1">
      <c r="A131" s="11">
        <v>1270</v>
      </c>
      <c r="B131" s="13" t="str">
        <f>VLOOKUP(A131,基础数据!A:B,2,FALSE)</f>
        <v>洛阳</v>
      </c>
      <c r="C131" s="10">
        <v>43966</v>
      </c>
      <c r="D131" s="9"/>
      <c r="E131" s="11">
        <v>4500059570</v>
      </c>
      <c r="F131" s="11" t="s">
        <v>90</v>
      </c>
      <c r="G131" s="11">
        <v>1120002597</v>
      </c>
      <c r="H131" s="9" t="s">
        <v>19</v>
      </c>
      <c r="I131" s="11">
        <v>2</v>
      </c>
      <c r="J131" s="11">
        <v>6132</v>
      </c>
      <c r="K131" s="11"/>
      <c r="L131" s="10">
        <v>43988</v>
      </c>
      <c r="M131" s="9" t="s">
        <v>525</v>
      </c>
      <c r="N131" s="13" t="str">
        <f>VLOOKUP(H131,基础数据!G:H,2,FALSE)</f>
        <v>SR140大梁</v>
      </c>
    </row>
    <row r="132" spans="1:14" s="12" customFormat="1">
      <c r="A132" s="11">
        <v>1270</v>
      </c>
      <c r="B132" s="13" t="str">
        <f>VLOOKUP(A132,基础数据!A:B,2,FALSE)</f>
        <v>洛阳</v>
      </c>
      <c r="C132" s="10">
        <v>43973</v>
      </c>
      <c r="D132" s="9"/>
      <c r="E132" s="11">
        <v>4500060293</v>
      </c>
      <c r="F132" s="9"/>
      <c r="G132" s="11">
        <v>1120002601</v>
      </c>
      <c r="H132" s="9" t="s">
        <v>20</v>
      </c>
      <c r="I132" s="11"/>
      <c r="J132" s="11">
        <v>6804</v>
      </c>
      <c r="K132" s="11"/>
      <c r="L132" s="10">
        <v>43994</v>
      </c>
      <c r="M132" s="9" t="s">
        <v>526</v>
      </c>
      <c r="N132" s="13" t="str">
        <f>VLOOKUP(H132,基础数据!G:H,2,FALSE)</f>
        <v>TTX1500H-1.27-100</v>
      </c>
    </row>
    <row r="133" spans="1:14" s="12" customFormat="1">
      <c r="A133" s="11">
        <v>1270</v>
      </c>
      <c r="B133" s="13" t="str">
        <f>VLOOKUP(A133,基础数据!A:B,2,FALSE)</f>
        <v>洛阳</v>
      </c>
      <c r="C133" s="10">
        <v>43966</v>
      </c>
      <c r="D133" s="9"/>
      <c r="E133" s="11">
        <v>4500059570</v>
      </c>
      <c r="F133" s="11">
        <v>1029666</v>
      </c>
      <c r="G133" s="11">
        <v>1120002596</v>
      </c>
      <c r="H133" s="9" t="s">
        <v>18</v>
      </c>
      <c r="I133" s="11">
        <v>3</v>
      </c>
      <c r="J133" s="11">
        <v>1929</v>
      </c>
      <c r="K133" s="11"/>
      <c r="L133" s="10">
        <v>43988</v>
      </c>
      <c r="M133" s="9" t="s">
        <v>532</v>
      </c>
      <c r="N133" s="13" t="str">
        <f>VLOOKUP(H133,基础数据!G:H,2,FALSE)</f>
        <v>SR140后缘</v>
      </c>
    </row>
    <row r="134" spans="1:14" s="12" customFormat="1">
      <c r="A134" s="11">
        <v>1270</v>
      </c>
      <c r="B134" s="13" t="str">
        <f>VLOOKUP(A134,基础数据!A:B,2,FALSE)</f>
        <v>洛阳</v>
      </c>
      <c r="C134" s="10">
        <v>43966</v>
      </c>
      <c r="D134" s="9"/>
      <c r="E134" s="11">
        <v>4500059570</v>
      </c>
      <c r="F134" s="11" t="s">
        <v>90</v>
      </c>
      <c r="G134" s="11">
        <v>1120002597</v>
      </c>
      <c r="H134" s="9" t="s">
        <v>19</v>
      </c>
      <c r="I134" s="11">
        <v>3</v>
      </c>
      <c r="J134" s="11">
        <v>9198</v>
      </c>
      <c r="K134" s="11"/>
      <c r="L134" s="10">
        <v>43988</v>
      </c>
      <c r="M134" s="9" t="s">
        <v>532</v>
      </c>
      <c r="N134" s="13" t="str">
        <f>VLOOKUP(H134,基础数据!G:H,2,FALSE)</f>
        <v>SR140大梁</v>
      </c>
    </row>
    <row r="135" spans="1:14" s="12" customFormat="1">
      <c r="A135" s="11">
        <v>1270</v>
      </c>
      <c r="B135" s="13" t="str">
        <f>VLOOKUP(A135,基础数据!A:B,2,FALSE)</f>
        <v>洛阳</v>
      </c>
      <c r="C135" s="10">
        <v>43966</v>
      </c>
      <c r="D135" s="9"/>
      <c r="E135" s="11">
        <v>4500059570</v>
      </c>
      <c r="F135" s="11">
        <v>1029666</v>
      </c>
      <c r="G135" s="11">
        <v>1120002596</v>
      </c>
      <c r="H135" s="9" t="s">
        <v>18</v>
      </c>
      <c r="I135" s="11">
        <v>2</v>
      </c>
      <c r="J135" s="11">
        <v>1286</v>
      </c>
      <c r="K135" s="11"/>
      <c r="L135" s="10">
        <v>43988</v>
      </c>
      <c r="M135" s="9" t="s">
        <v>535</v>
      </c>
      <c r="N135" s="13" t="str">
        <f>VLOOKUP(H135,基础数据!G:H,2,FALSE)</f>
        <v>SR140后缘</v>
      </c>
    </row>
    <row r="136" spans="1:14" s="12" customFormat="1">
      <c r="A136" s="11">
        <v>1270</v>
      </c>
      <c r="B136" s="13" t="str">
        <f>VLOOKUP(A136,基础数据!A:B,2,FALSE)</f>
        <v>洛阳</v>
      </c>
      <c r="C136" s="10">
        <v>43966</v>
      </c>
      <c r="D136" s="9"/>
      <c r="E136" s="11">
        <v>4500059570</v>
      </c>
      <c r="F136" s="11" t="s">
        <v>90</v>
      </c>
      <c r="G136" s="11">
        <v>1120002597</v>
      </c>
      <c r="H136" s="9" t="s">
        <v>19</v>
      </c>
      <c r="I136" s="11">
        <v>2</v>
      </c>
      <c r="J136" s="11">
        <v>6132</v>
      </c>
      <c r="K136" s="11"/>
      <c r="L136" s="10">
        <v>43988</v>
      </c>
      <c r="M136" s="9" t="s">
        <v>535</v>
      </c>
      <c r="N136" s="13" t="str">
        <f>VLOOKUP(H136,基础数据!G:H,2,FALSE)</f>
        <v>SR140大梁</v>
      </c>
    </row>
    <row r="137" spans="1:14" s="12" customFormat="1">
      <c r="A137" s="11">
        <v>1270</v>
      </c>
      <c r="B137" s="13" t="str">
        <f>VLOOKUP(A137,基础数据!A:B,2,FALSE)</f>
        <v>洛阳</v>
      </c>
      <c r="C137" s="10">
        <v>43973</v>
      </c>
      <c r="D137" s="9"/>
      <c r="E137" s="11">
        <v>4500060293</v>
      </c>
      <c r="F137" s="9"/>
      <c r="G137" s="11">
        <v>1120002601</v>
      </c>
      <c r="H137" s="9" t="s">
        <v>20</v>
      </c>
      <c r="I137" s="11"/>
      <c r="J137" s="11">
        <v>6804</v>
      </c>
      <c r="K137" s="11"/>
      <c r="L137" s="10">
        <v>43994</v>
      </c>
      <c r="M137" s="9" t="s">
        <v>536</v>
      </c>
      <c r="N137" s="13" t="str">
        <f>VLOOKUP(H137,基础数据!G:H,2,FALSE)</f>
        <v>TTX1500H-1.27-100</v>
      </c>
    </row>
    <row r="138" spans="1:14" s="12" customFormat="1">
      <c r="A138" s="11">
        <v>1270</v>
      </c>
      <c r="B138" s="13" t="str">
        <f>VLOOKUP(A138,基础数据!A:B,2,FALSE)</f>
        <v>洛阳</v>
      </c>
      <c r="C138" s="10">
        <v>43973</v>
      </c>
      <c r="D138" s="9"/>
      <c r="E138" s="11">
        <v>4500060293</v>
      </c>
      <c r="F138" s="9"/>
      <c r="G138" s="11">
        <v>1120002596</v>
      </c>
      <c r="H138" s="9" t="s">
        <v>18</v>
      </c>
      <c r="I138" s="11">
        <v>3</v>
      </c>
      <c r="J138" s="11">
        <v>1929</v>
      </c>
      <c r="K138" s="11"/>
      <c r="L138" s="10">
        <v>43994</v>
      </c>
      <c r="M138" s="9" t="s">
        <v>541</v>
      </c>
      <c r="N138" s="13" t="str">
        <f>VLOOKUP(H138,基础数据!G:H,2,FALSE)</f>
        <v>SR140后缘</v>
      </c>
    </row>
    <row r="139" spans="1:14" s="12" customFormat="1">
      <c r="A139" s="11">
        <v>1270</v>
      </c>
      <c r="B139" s="13" t="str">
        <f>VLOOKUP(A139,基础数据!A:B,2,FALSE)</f>
        <v>洛阳</v>
      </c>
      <c r="C139" s="10">
        <v>43973</v>
      </c>
      <c r="D139" s="9"/>
      <c r="E139" s="11">
        <v>4500060293</v>
      </c>
      <c r="F139" s="9"/>
      <c r="G139" s="11">
        <v>1120002597</v>
      </c>
      <c r="H139" s="9" t="s">
        <v>19</v>
      </c>
      <c r="I139" s="11">
        <v>3</v>
      </c>
      <c r="J139" s="11">
        <v>9198</v>
      </c>
      <c r="K139" s="11"/>
      <c r="L139" s="10">
        <v>43994</v>
      </c>
      <c r="M139" s="9" t="s">
        <v>541</v>
      </c>
      <c r="N139" s="13" t="str">
        <f>VLOOKUP(H139,基础数据!G:H,2,FALSE)</f>
        <v>SR140大梁</v>
      </c>
    </row>
    <row r="140" spans="1:14" s="12" customFormat="1">
      <c r="A140" s="11">
        <v>1270</v>
      </c>
      <c r="B140" s="13" t="str">
        <f>VLOOKUP(A140,基础数据!A:B,2,FALSE)</f>
        <v>洛阳</v>
      </c>
      <c r="C140" s="10">
        <v>43966</v>
      </c>
      <c r="D140" s="9"/>
      <c r="E140" s="11">
        <v>4500059570</v>
      </c>
      <c r="F140" s="11">
        <v>1029666</v>
      </c>
      <c r="G140" s="11">
        <v>1120002596</v>
      </c>
      <c r="H140" s="9" t="s">
        <v>18</v>
      </c>
      <c r="I140" s="11">
        <f>12-3-2-3-2</f>
        <v>2</v>
      </c>
      <c r="J140" s="11">
        <f>7769-1929-1286-1929-1286</f>
        <v>1339</v>
      </c>
      <c r="K140" s="11"/>
      <c r="L140" s="10">
        <v>43988</v>
      </c>
      <c r="M140" s="9" t="s">
        <v>549</v>
      </c>
      <c r="N140" s="13" t="str">
        <f>VLOOKUP(H140,基础数据!G:H,2,FALSE)</f>
        <v>SR140后缘</v>
      </c>
    </row>
    <row r="141" spans="1:14" s="12" customFormat="1">
      <c r="A141" s="11">
        <v>1270</v>
      </c>
      <c r="B141" s="13" t="str">
        <f>VLOOKUP(A141,基础数据!A:B,2,FALSE)</f>
        <v>洛阳</v>
      </c>
      <c r="C141" s="10">
        <v>43966</v>
      </c>
      <c r="D141" s="9"/>
      <c r="E141" s="11">
        <v>4500059570</v>
      </c>
      <c r="F141" s="11" t="s">
        <v>487</v>
      </c>
      <c r="G141" s="11">
        <v>1120002597</v>
      </c>
      <c r="H141" s="9" t="s">
        <v>19</v>
      </c>
      <c r="I141" s="11">
        <f>12-3-2-3-2</f>
        <v>2</v>
      </c>
      <c r="J141" s="11">
        <f>36836-9198-6132-9198-6132</f>
        <v>6176</v>
      </c>
      <c r="K141" s="11"/>
      <c r="L141" s="10">
        <v>43988</v>
      </c>
      <c r="M141" s="9" t="s">
        <v>549</v>
      </c>
      <c r="N141" s="13" t="str">
        <f>VLOOKUP(H141,基础数据!G:H,2,FALSE)</f>
        <v>SR140大梁</v>
      </c>
    </row>
    <row r="142" spans="1:14" s="12" customFormat="1">
      <c r="A142" s="11">
        <v>1270</v>
      </c>
      <c r="B142" s="13" t="str">
        <f>VLOOKUP(A142,基础数据!A:B,2,FALSE)</f>
        <v>洛阳</v>
      </c>
      <c r="C142" s="10">
        <v>43973</v>
      </c>
      <c r="D142" s="9"/>
      <c r="E142" s="11">
        <v>4500060293</v>
      </c>
      <c r="F142" s="9"/>
      <c r="G142" s="11">
        <v>1120002601</v>
      </c>
      <c r="H142" s="9" t="s">
        <v>20</v>
      </c>
      <c r="I142" s="11"/>
      <c r="J142" s="11">
        <v>6804</v>
      </c>
      <c r="K142" s="11"/>
      <c r="L142" s="10">
        <v>43994</v>
      </c>
      <c r="M142" s="9" t="s">
        <v>548</v>
      </c>
      <c r="N142" s="13" t="str">
        <f>VLOOKUP(H142,基础数据!G:H,2,FALSE)</f>
        <v>TTX1500H-1.27-100</v>
      </c>
    </row>
    <row r="143" spans="1:14" s="12" customFormat="1">
      <c r="A143" s="11">
        <v>1270</v>
      </c>
      <c r="B143" s="13" t="str">
        <f>VLOOKUP(A143,基础数据!A:B,2,FALSE)</f>
        <v>洛阳</v>
      </c>
      <c r="C143" s="10">
        <v>43973</v>
      </c>
      <c r="D143" s="9"/>
      <c r="E143" s="11">
        <v>4500060293</v>
      </c>
      <c r="F143" s="9"/>
      <c r="G143" s="11">
        <v>1120002596</v>
      </c>
      <c r="H143" s="9" t="s">
        <v>18</v>
      </c>
      <c r="I143" s="11">
        <v>3</v>
      </c>
      <c r="J143" s="11">
        <v>1929</v>
      </c>
      <c r="K143" s="11"/>
      <c r="L143" s="10">
        <v>43994</v>
      </c>
      <c r="M143" s="9" t="s">
        <v>553</v>
      </c>
      <c r="N143" s="13" t="str">
        <f>VLOOKUP(H143,基础数据!G:H,2,FALSE)</f>
        <v>SR140后缘</v>
      </c>
    </row>
    <row r="144" spans="1:14" s="12" customFormat="1">
      <c r="A144" s="11">
        <v>1270</v>
      </c>
      <c r="B144" s="13" t="str">
        <f>VLOOKUP(A144,基础数据!A:B,2,FALSE)</f>
        <v>洛阳</v>
      </c>
      <c r="C144" s="10">
        <v>43973</v>
      </c>
      <c r="D144" s="9"/>
      <c r="E144" s="11">
        <v>4500060293</v>
      </c>
      <c r="F144" s="9"/>
      <c r="G144" s="11">
        <v>1120002597</v>
      </c>
      <c r="H144" s="9" t="s">
        <v>19</v>
      </c>
      <c r="I144" s="11">
        <v>3</v>
      </c>
      <c r="J144" s="11">
        <v>9198</v>
      </c>
      <c r="K144" s="11"/>
      <c r="L144" s="10">
        <v>43994</v>
      </c>
      <c r="M144" s="9" t="s">
        <v>553</v>
      </c>
      <c r="N144" s="13" t="str">
        <f>VLOOKUP(H144,基础数据!G:H,2,FALSE)</f>
        <v>SR140大梁</v>
      </c>
    </row>
    <row r="145" spans="1:14" s="12" customFormat="1">
      <c r="A145" s="11">
        <v>1270</v>
      </c>
      <c r="B145" s="13" t="str">
        <f>VLOOKUP(A145,基础数据!A:B,2,FALSE)</f>
        <v>洛阳</v>
      </c>
      <c r="C145" s="10">
        <v>43973</v>
      </c>
      <c r="D145" s="9"/>
      <c r="E145" s="11">
        <v>4500060293</v>
      </c>
      <c r="F145" s="9"/>
      <c r="G145" s="11">
        <v>1120002596</v>
      </c>
      <c r="H145" s="9" t="s">
        <v>18</v>
      </c>
      <c r="I145" s="11">
        <v>3</v>
      </c>
      <c r="J145" s="11">
        <v>1929</v>
      </c>
      <c r="K145" s="11"/>
      <c r="L145" s="10">
        <v>43994</v>
      </c>
      <c r="M145" s="9" t="s">
        <v>554</v>
      </c>
      <c r="N145" s="13" t="str">
        <f>VLOOKUP(H145,基础数据!G:H,2,FALSE)</f>
        <v>SR140后缘</v>
      </c>
    </row>
    <row r="146" spans="1:14" s="12" customFormat="1">
      <c r="A146" s="11">
        <v>1270</v>
      </c>
      <c r="B146" s="13" t="str">
        <f>VLOOKUP(A146,基础数据!A:B,2,FALSE)</f>
        <v>洛阳</v>
      </c>
      <c r="C146" s="10">
        <v>43973</v>
      </c>
      <c r="D146" s="9"/>
      <c r="E146" s="11">
        <v>4500060293</v>
      </c>
      <c r="F146" s="9"/>
      <c r="G146" s="11">
        <v>1120002597</v>
      </c>
      <c r="H146" s="9" t="s">
        <v>19</v>
      </c>
      <c r="I146" s="11">
        <v>3</v>
      </c>
      <c r="J146" s="11">
        <v>9198</v>
      </c>
      <c r="K146" s="11"/>
      <c r="L146" s="10">
        <v>43994</v>
      </c>
      <c r="M146" s="9" t="s">
        <v>554</v>
      </c>
      <c r="N146" s="13" t="str">
        <f>VLOOKUP(H146,基础数据!G:H,2,FALSE)</f>
        <v>SR140大梁</v>
      </c>
    </row>
    <row r="147" spans="1:14" s="12" customFormat="1">
      <c r="A147" s="11">
        <v>1270</v>
      </c>
      <c r="B147" s="13" t="str">
        <f>VLOOKUP(A147,基础数据!A:B,2,FALSE)</f>
        <v>洛阳</v>
      </c>
      <c r="C147" s="10">
        <v>43973</v>
      </c>
      <c r="D147" s="9"/>
      <c r="E147" s="11">
        <v>4500060293</v>
      </c>
      <c r="F147" s="9"/>
      <c r="G147" s="11">
        <v>1120002601</v>
      </c>
      <c r="H147" s="9" t="s">
        <v>20</v>
      </c>
      <c r="I147" s="11"/>
      <c r="J147" s="11">
        <v>6804</v>
      </c>
      <c r="K147" s="11"/>
      <c r="L147" s="10">
        <v>43994</v>
      </c>
      <c r="M147" s="9" t="s">
        <v>562</v>
      </c>
      <c r="N147" s="13" t="str">
        <f>VLOOKUP(H147,基础数据!G:H,2,FALSE)</f>
        <v>TTX1500H-1.27-100</v>
      </c>
    </row>
    <row r="148" spans="1:14" s="12" customFormat="1">
      <c r="A148" s="11">
        <v>1270</v>
      </c>
      <c r="B148" s="13" t="str">
        <f>VLOOKUP(A148,基础数据!A:B,2,FALSE)</f>
        <v>洛阳</v>
      </c>
      <c r="C148" s="10">
        <v>43973</v>
      </c>
      <c r="D148" s="9"/>
      <c r="E148" s="11">
        <v>4500060293</v>
      </c>
      <c r="F148" s="9"/>
      <c r="G148" s="11">
        <v>1120002596</v>
      </c>
      <c r="H148" s="9" t="s">
        <v>18</v>
      </c>
      <c r="I148" s="11">
        <v>2</v>
      </c>
      <c r="J148" s="11">
        <v>1286</v>
      </c>
      <c r="K148" s="11"/>
      <c r="L148" s="10">
        <v>43994</v>
      </c>
      <c r="M148" s="9" t="s">
        <v>563</v>
      </c>
      <c r="N148" s="13" t="str">
        <f>VLOOKUP(H148,基础数据!G:H,2,FALSE)</f>
        <v>SR140后缘</v>
      </c>
    </row>
    <row r="149" spans="1:14" s="12" customFormat="1">
      <c r="A149" s="11">
        <v>1270</v>
      </c>
      <c r="B149" s="13" t="str">
        <f>VLOOKUP(A149,基础数据!A:B,2,FALSE)</f>
        <v>洛阳</v>
      </c>
      <c r="C149" s="10">
        <v>43973</v>
      </c>
      <c r="D149" s="9"/>
      <c r="E149" s="11">
        <v>4500060293</v>
      </c>
      <c r="F149" s="9"/>
      <c r="G149" s="11">
        <v>1120002597</v>
      </c>
      <c r="H149" s="9" t="s">
        <v>19</v>
      </c>
      <c r="I149" s="11">
        <v>2</v>
      </c>
      <c r="J149" s="11">
        <v>6132</v>
      </c>
      <c r="K149" s="11"/>
      <c r="L149" s="10">
        <v>43994</v>
      </c>
      <c r="M149" s="9" t="s">
        <v>564</v>
      </c>
      <c r="N149" s="13" t="str">
        <f>VLOOKUP(H149,基础数据!G:H,2,FALSE)</f>
        <v>SR140大梁</v>
      </c>
    </row>
    <row r="150" spans="1:14" s="12" customFormat="1">
      <c r="A150" s="11">
        <v>1270</v>
      </c>
      <c r="B150" s="13" t="str">
        <f>VLOOKUP(A150,基础数据!A:B,2,FALSE)</f>
        <v>洛阳</v>
      </c>
      <c r="C150" s="10">
        <v>43973</v>
      </c>
      <c r="D150" s="9"/>
      <c r="E150" s="11">
        <v>4500060293</v>
      </c>
      <c r="F150" s="9"/>
      <c r="G150" s="11">
        <v>1120002596</v>
      </c>
      <c r="H150" s="9" t="s">
        <v>18</v>
      </c>
      <c r="I150" s="11">
        <v>3</v>
      </c>
      <c r="J150" s="11">
        <v>1929</v>
      </c>
      <c r="K150" s="11"/>
      <c r="L150" s="10">
        <v>43994</v>
      </c>
      <c r="M150" s="9" t="s">
        <v>570</v>
      </c>
      <c r="N150" s="13" t="str">
        <f>VLOOKUP(H150,基础数据!G:H,2,FALSE)</f>
        <v>SR140后缘</v>
      </c>
    </row>
    <row r="151" spans="1:14" s="12" customFormat="1">
      <c r="A151" s="11">
        <v>1270</v>
      </c>
      <c r="B151" s="13" t="str">
        <f>VLOOKUP(A151,基础数据!A:B,2,FALSE)</f>
        <v>洛阳</v>
      </c>
      <c r="C151" s="10">
        <v>43973</v>
      </c>
      <c r="D151" s="9"/>
      <c r="E151" s="11">
        <v>4500060293</v>
      </c>
      <c r="F151" s="9"/>
      <c r="G151" s="11">
        <v>1120002597</v>
      </c>
      <c r="H151" s="9" t="s">
        <v>19</v>
      </c>
      <c r="I151" s="11">
        <v>3</v>
      </c>
      <c r="J151" s="11">
        <v>9198</v>
      </c>
      <c r="K151" s="11"/>
      <c r="L151" s="10">
        <v>43994</v>
      </c>
      <c r="M151" s="9" t="s">
        <v>571</v>
      </c>
      <c r="N151" s="13" t="str">
        <f>VLOOKUP(H151,基础数据!G:H,2,FALSE)</f>
        <v>SR140大梁</v>
      </c>
    </row>
    <row r="152" spans="1:14" s="12" customFormat="1">
      <c r="A152" s="11">
        <v>1270</v>
      </c>
      <c r="B152" s="13" t="str">
        <f>VLOOKUP(A152,基础数据!A:B,2,FALSE)</f>
        <v>洛阳</v>
      </c>
      <c r="C152" s="10">
        <v>43973</v>
      </c>
      <c r="D152" s="9"/>
      <c r="E152" s="11">
        <v>4500060293</v>
      </c>
      <c r="F152" s="9"/>
      <c r="G152" s="11">
        <v>1120002601</v>
      </c>
      <c r="H152" s="9" t="s">
        <v>20</v>
      </c>
      <c r="I152" s="11"/>
      <c r="J152" s="11">
        <v>6804</v>
      </c>
      <c r="K152" s="11"/>
      <c r="L152" s="10">
        <v>43994</v>
      </c>
      <c r="M152" s="9" t="s">
        <v>584</v>
      </c>
      <c r="N152" s="13" t="str">
        <f>VLOOKUP(H152,基础数据!G:H,2,FALSE)</f>
        <v>TTX1500H-1.27-100</v>
      </c>
    </row>
    <row r="153" spans="1:14" s="12" customFormat="1">
      <c r="A153" s="11">
        <v>1270</v>
      </c>
      <c r="B153" s="13" t="str">
        <f>VLOOKUP(A153,基础数据!A:B,2,FALSE)</f>
        <v>洛阳</v>
      </c>
      <c r="C153" s="10">
        <v>43973</v>
      </c>
      <c r="D153" s="9"/>
      <c r="E153" s="11">
        <v>4500060293</v>
      </c>
      <c r="F153" s="9"/>
      <c r="G153" s="11">
        <v>1120002596</v>
      </c>
      <c r="H153" s="9" t="s">
        <v>18</v>
      </c>
      <c r="I153" s="11">
        <v>2</v>
      </c>
      <c r="J153" s="11">
        <v>1286</v>
      </c>
      <c r="K153" s="11"/>
      <c r="L153" s="10">
        <v>43994</v>
      </c>
      <c r="M153" s="9" t="s">
        <v>575</v>
      </c>
      <c r="N153" s="13" t="str">
        <f>VLOOKUP(H153,基础数据!G:H,2,FALSE)</f>
        <v>SR140后缘</v>
      </c>
    </row>
    <row r="154" spans="1:14" s="12" customFormat="1">
      <c r="A154" s="11">
        <v>1270</v>
      </c>
      <c r="B154" s="13" t="str">
        <f>VLOOKUP(A154,基础数据!A:B,2,FALSE)</f>
        <v>洛阳</v>
      </c>
      <c r="C154" s="10">
        <v>43973</v>
      </c>
      <c r="D154" s="9"/>
      <c r="E154" s="11">
        <v>4500060293</v>
      </c>
      <c r="F154" s="9"/>
      <c r="G154" s="11">
        <v>1120002597</v>
      </c>
      <c r="H154" s="9" t="s">
        <v>19</v>
      </c>
      <c r="I154" s="11">
        <v>2</v>
      </c>
      <c r="J154" s="11">
        <v>6132</v>
      </c>
      <c r="K154" s="11"/>
      <c r="L154" s="10">
        <v>43994</v>
      </c>
      <c r="M154" s="9" t="s">
        <v>576</v>
      </c>
      <c r="N154" s="13" t="str">
        <f>VLOOKUP(H154,基础数据!G:H,2,FALSE)</f>
        <v>SR140大梁</v>
      </c>
    </row>
    <row r="155" spans="1:14" s="12" customFormat="1">
      <c r="A155" s="11">
        <v>1270</v>
      </c>
      <c r="B155" s="13" t="str">
        <f>VLOOKUP(A155,基础数据!A:B,2,FALSE)</f>
        <v>洛阳</v>
      </c>
      <c r="C155" s="10">
        <v>43973</v>
      </c>
      <c r="D155" s="9"/>
      <c r="E155" s="11">
        <v>4500060293</v>
      </c>
      <c r="F155" s="9"/>
      <c r="G155" s="11">
        <v>1120002596</v>
      </c>
      <c r="H155" s="9" t="s">
        <v>18</v>
      </c>
      <c r="I155" s="11">
        <v>3</v>
      </c>
      <c r="J155" s="11">
        <v>1929</v>
      </c>
      <c r="K155" s="11"/>
      <c r="L155" s="10">
        <v>43994</v>
      </c>
      <c r="M155" s="9" t="s">
        <v>585</v>
      </c>
      <c r="N155" s="13" t="str">
        <f>VLOOKUP(H155,基础数据!G:H,2,FALSE)</f>
        <v>SR140后缘</v>
      </c>
    </row>
    <row r="156" spans="1:14" s="12" customFormat="1">
      <c r="A156" s="11">
        <v>1270</v>
      </c>
      <c r="B156" s="13" t="str">
        <f>VLOOKUP(A156,基础数据!A:B,2,FALSE)</f>
        <v>洛阳</v>
      </c>
      <c r="C156" s="10">
        <v>43973</v>
      </c>
      <c r="D156" s="9"/>
      <c r="E156" s="11">
        <v>4500060293</v>
      </c>
      <c r="F156" s="9"/>
      <c r="G156" s="11">
        <v>1120002597</v>
      </c>
      <c r="H156" s="9" t="s">
        <v>19</v>
      </c>
      <c r="I156" s="11">
        <v>3</v>
      </c>
      <c r="J156" s="11">
        <v>9198</v>
      </c>
      <c r="K156" s="11"/>
      <c r="L156" s="10">
        <v>43994</v>
      </c>
      <c r="M156" s="9" t="s">
        <v>586</v>
      </c>
      <c r="N156" s="13" t="str">
        <f>VLOOKUP(H156,基础数据!G:H,2,FALSE)</f>
        <v>SR140大梁</v>
      </c>
    </row>
    <row r="157" spans="1:14" s="12" customFormat="1">
      <c r="A157" s="11">
        <v>1270</v>
      </c>
      <c r="B157" s="13" t="str">
        <f>VLOOKUP(A157,基础数据!A:B,2,FALSE)</f>
        <v>洛阳</v>
      </c>
      <c r="C157" s="10">
        <v>43973</v>
      </c>
      <c r="D157" s="9"/>
      <c r="E157" s="11">
        <v>4500060293</v>
      </c>
      <c r="F157" s="9"/>
      <c r="G157" s="11">
        <v>1120002601</v>
      </c>
      <c r="H157" s="9" t="s">
        <v>20</v>
      </c>
      <c r="I157" s="11"/>
      <c r="J157" s="11">
        <v>6804</v>
      </c>
      <c r="K157" s="11"/>
      <c r="L157" s="10">
        <v>43994</v>
      </c>
      <c r="M157" s="9" t="s">
        <v>593</v>
      </c>
      <c r="N157" s="13" t="str">
        <f>VLOOKUP(H157,基础数据!G:H,2,FALSE)</f>
        <v>TTX1500H-1.27-100</v>
      </c>
    </row>
    <row r="158" spans="1:14" s="12" customFormat="1">
      <c r="A158" s="11">
        <v>1270</v>
      </c>
      <c r="B158" s="13" t="str">
        <f>VLOOKUP(A158,基础数据!A:B,2,FALSE)</f>
        <v>洛阳</v>
      </c>
      <c r="C158" s="10">
        <v>43973</v>
      </c>
      <c r="D158" s="9"/>
      <c r="E158" s="11">
        <v>4500060293</v>
      </c>
      <c r="F158" s="9"/>
      <c r="G158" s="11">
        <v>1120002596</v>
      </c>
      <c r="H158" s="9" t="s">
        <v>18</v>
      </c>
      <c r="I158" s="11">
        <v>2</v>
      </c>
      <c r="J158" s="11">
        <v>1286</v>
      </c>
      <c r="K158" s="11"/>
      <c r="L158" s="10">
        <v>43994</v>
      </c>
      <c r="M158" s="9" t="s">
        <v>594</v>
      </c>
      <c r="N158" s="13" t="str">
        <f>VLOOKUP(H158,基础数据!G:H,2,FALSE)</f>
        <v>SR140后缘</v>
      </c>
    </row>
    <row r="159" spans="1:14" s="12" customFormat="1">
      <c r="A159" s="11">
        <v>1270</v>
      </c>
      <c r="B159" s="13" t="str">
        <f>VLOOKUP(A159,基础数据!A:B,2,FALSE)</f>
        <v>洛阳</v>
      </c>
      <c r="C159" s="10">
        <v>43973</v>
      </c>
      <c r="D159" s="9"/>
      <c r="E159" s="11">
        <v>4500060293</v>
      </c>
      <c r="F159" s="9"/>
      <c r="G159" s="11">
        <v>1120002597</v>
      </c>
      <c r="H159" s="9" t="s">
        <v>19</v>
      </c>
      <c r="I159" s="11">
        <v>2</v>
      </c>
      <c r="J159" s="11">
        <v>6132</v>
      </c>
      <c r="K159" s="11"/>
      <c r="L159" s="10">
        <v>43994</v>
      </c>
      <c r="M159" s="9" t="s">
        <v>595</v>
      </c>
      <c r="N159" s="13" t="str">
        <f>VLOOKUP(H159,基础数据!G:H,2,FALSE)</f>
        <v>SR140大梁</v>
      </c>
    </row>
    <row r="160" spans="1:14" s="12" customFormat="1">
      <c r="A160" s="11">
        <v>1270</v>
      </c>
      <c r="B160" s="13" t="str">
        <f>VLOOKUP(A160,基础数据!A:B,2,FALSE)</f>
        <v>洛阳</v>
      </c>
      <c r="C160" s="10">
        <v>43973</v>
      </c>
      <c r="D160" s="9"/>
      <c r="E160" s="11">
        <v>4500060293</v>
      </c>
      <c r="F160" s="9"/>
      <c r="G160" s="11">
        <v>1120002601</v>
      </c>
      <c r="H160" s="9" t="s">
        <v>20</v>
      </c>
      <c r="I160" s="11"/>
      <c r="J160" s="11">
        <v>13608</v>
      </c>
      <c r="K160" s="11"/>
      <c r="L160" s="10">
        <v>43994</v>
      </c>
      <c r="M160" s="9" t="s">
        <v>601</v>
      </c>
      <c r="N160" s="13" t="str">
        <f>VLOOKUP(H160,基础数据!G:H,2,FALSE)</f>
        <v>TTX1500H-1.27-100</v>
      </c>
    </row>
    <row r="161" spans="1:14" s="12" customFormat="1">
      <c r="A161" s="11">
        <v>1270</v>
      </c>
      <c r="B161" s="13" t="str">
        <f>VLOOKUP(A161,基础数据!A:B,2,FALSE)</f>
        <v>洛阳</v>
      </c>
      <c r="C161" s="10">
        <v>43973</v>
      </c>
      <c r="D161" s="9"/>
      <c r="E161" s="11">
        <v>4500060293</v>
      </c>
      <c r="F161" s="9"/>
      <c r="G161" s="11">
        <v>1120002596</v>
      </c>
      <c r="H161" s="9" t="s">
        <v>18</v>
      </c>
      <c r="I161" s="11">
        <v>1</v>
      </c>
      <c r="J161" s="11">
        <f>38844-1929-1929-1929-1286-1929-1286-1929-1286</f>
        <v>25341</v>
      </c>
      <c r="K161" s="11"/>
      <c r="L161" s="10">
        <v>43994</v>
      </c>
      <c r="M161" s="9" t="s">
        <v>602</v>
      </c>
      <c r="N161" s="13" t="str">
        <f>VLOOKUP(H161,基础数据!G:H,2,FALSE)</f>
        <v>SR140后缘</v>
      </c>
    </row>
    <row r="162" spans="1:14" s="12" customFormat="1">
      <c r="A162" s="11">
        <v>1270</v>
      </c>
      <c r="B162" s="13" t="str">
        <f>VLOOKUP(A162,基础数据!A:B,2,FALSE)</f>
        <v>洛阳</v>
      </c>
      <c r="C162" s="10">
        <v>43973</v>
      </c>
      <c r="D162" s="9"/>
      <c r="E162" s="11">
        <v>4500060293</v>
      </c>
      <c r="F162" s="9"/>
      <c r="G162" s="11">
        <v>1120002597</v>
      </c>
      <c r="H162" s="9" t="s">
        <v>19</v>
      </c>
      <c r="I162" s="11">
        <v>1</v>
      </c>
      <c r="J162" s="11">
        <f>184182-9198-9198-9198-6132-9198-6132-9198-6132</f>
        <v>119796</v>
      </c>
      <c r="K162" s="11"/>
      <c r="L162" s="10">
        <v>43994</v>
      </c>
      <c r="M162" s="9" t="s">
        <v>603</v>
      </c>
      <c r="N162" s="13" t="str">
        <f>VLOOKUP(H162,基础数据!G:H,2,FALSE)</f>
        <v>SR140大梁</v>
      </c>
    </row>
    <row r="163" spans="1:14" s="12" customFormat="1">
      <c r="A163" s="11">
        <v>1270</v>
      </c>
      <c r="B163" s="13" t="str">
        <f>VLOOKUP(A163,基础数据!A:B,2,FALSE)</f>
        <v>洛阳</v>
      </c>
      <c r="C163" s="10">
        <v>43973</v>
      </c>
      <c r="D163" s="9"/>
      <c r="E163" s="11">
        <v>4500060293</v>
      </c>
      <c r="F163" s="9"/>
      <c r="G163" s="11">
        <v>1120002596</v>
      </c>
      <c r="H163" s="9" t="s">
        <v>18</v>
      </c>
      <c r="I163" s="11">
        <v>3</v>
      </c>
      <c r="J163" s="11">
        <v>1929</v>
      </c>
      <c r="K163" s="11"/>
      <c r="L163" s="10">
        <v>43994</v>
      </c>
      <c r="M163" s="9" t="s">
        <v>614</v>
      </c>
      <c r="N163" s="13" t="str">
        <f>VLOOKUP(H163,基础数据!G:H,2,FALSE)</f>
        <v>SR140后缘</v>
      </c>
    </row>
    <row r="164" spans="1:14" s="12" customFormat="1">
      <c r="A164" s="11">
        <v>1270</v>
      </c>
      <c r="B164" s="13" t="str">
        <f>VLOOKUP(A164,基础数据!A:B,2,FALSE)</f>
        <v>洛阳</v>
      </c>
      <c r="C164" s="10">
        <v>43973</v>
      </c>
      <c r="D164" s="9"/>
      <c r="E164" s="11">
        <v>4500060293</v>
      </c>
      <c r="F164" s="9"/>
      <c r="G164" s="11">
        <v>1120002597</v>
      </c>
      <c r="H164" s="9" t="s">
        <v>19</v>
      </c>
      <c r="I164" s="11">
        <v>3</v>
      </c>
      <c r="J164" s="11">
        <v>9198</v>
      </c>
      <c r="K164" s="11"/>
      <c r="L164" s="10">
        <v>43994</v>
      </c>
      <c r="M164" s="9" t="s">
        <v>615</v>
      </c>
      <c r="N164" s="13" t="str">
        <f>VLOOKUP(H164,基础数据!G:H,2,FALSE)</f>
        <v>SR140大梁</v>
      </c>
    </row>
    <row r="165" spans="1:14" s="12" customFormat="1">
      <c r="A165" s="11">
        <v>1270</v>
      </c>
      <c r="B165" s="13" t="str">
        <f>VLOOKUP(A165,基础数据!A:B,2,FALSE)</f>
        <v>洛阳</v>
      </c>
      <c r="C165" s="10">
        <v>43973</v>
      </c>
      <c r="D165" s="9"/>
      <c r="E165" s="11">
        <v>4500060293</v>
      </c>
      <c r="F165" s="9"/>
      <c r="G165" s="11">
        <v>1120002596</v>
      </c>
      <c r="H165" s="9" t="s">
        <v>18</v>
      </c>
      <c r="I165" s="11">
        <v>3</v>
      </c>
      <c r="J165" s="11">
        <v>1929</v>
      </c>
      <c r="K165" s="11"/>
      <c r="L165" s="10">
        <v>43994</v>
      </c>
      <c r="M165" s="9" t="s">
        <v>618</v>
      </c>
      <c r="N165" s="13" t="str">
        <f>VLOOKUP(H165,基础数据!G:H,2,FALSE)</f>
        <v>SR140后缘</v>
      </c>
    </row>
    <row r="166" spans="1:14" s="12" customFormat="1">
      <c r="A166" s="11">
        <v>1270</v>
      </c>
      <c r="B166" s="13" t="str">
        <f>VLOOKUP(A166,基础数据!A:B,2,FALSE)</f>
        <v>洛阳</v>
      </c>
      <c r="C166" s="10">
        <v>43973</v>
      </c>
      <c r="D166" s="9"/>
      <c r="E166" s="11">
        <v>4500060293</v>
      </c>
      <c r="F166" s="9"/>
      <c r="G166" s="11">
        <v>1120002597</v>
      </c>
      <c r="H166" s="9" t="s">
        <v>19</v>
      </c>
      <c r="I166" s="11">
        <v>3</v>
      </c>
      <c r="J166" s="11">
        <v>9198</v>
      </c>
      <c r="K166" s="11"/>
      <c r="L166" s="10">
        <v>43994</v>
      </c>
      <c r="M166" s="9" t="s">
        <v>619</v>
      </c>
      <c r="N166" s="13" t="str">
        <f>VLOOKUP(H166,基础数据!G:H,2,FALSE)</f>
        <v>SR140大梁</v>
      </c>
    </row>
    <row r="167" spans="1:14" s="12" customFormat="1">
      <c r="A167" s="11">
        <v>1270</v>
      </c>
      <c r="B167" s="13" t="str">
        <f>VLOOKUP(A167,基础数据!A:B,2,FALSE)</f>
        <v>洛阳</v>
      </c>
      <c r="C167" s="10">
        <v>43973</v>
      </c>
      <c r="D167" s="9"/>
      <c r="E167" s="11">
        <v>4500060293</v>
      </c>
      <c r="F167" s="9"/>
      <c r="G167" s="11">
        <v>1120002596</v>
      </c>
      <c r="H167" s="9" t="s">
        <v>18</v>
      </c>
      <c r="I167" s="11">
        <v>3</v>
      </c>
      <c r="J167" s="11">
        <v>1929</v>
      </c>
      <c r="K167" s="11"/>
      <c r="L167" s="10">
        <v>43994</v>
      </c>
      <c r="M167" s="9" t="s">
        <v>625</v>
      </c>
      <c r="N167" s="13" t="str">
        <f>VLOOKUP(H167,基础数据!G:H,2,FALSE)</f>
        <v>SR140后缘</v>
      </c>
    </row>
    <row r="168" spans="1:14" s="12" customFormat="1">
      <c r="A168" s="11">
        <v>1270</v>
      </c>
      <c r="B168" s="13" t="str">
        <f>VLOOKUP(A168,基础数据!A:B,2,FALSE)</f>
        <v>洛阳</v>
      </c>
      <c r="C168" s="10">
        <v>43973</v>
      </c>
      <c r="D168" s="9"/>
      <c r="E168" s="11">
        <v>4500060293</v>
      </c>
      <c r="F168" s="9"/>
      <c r="G168" s="11">
        <v>1120002597</v>
      </c>
      <c r="H168" s="9" t="s">
        <v>19</v>
      </c>
      <c r="I168" s="11">
        <v>3</v>
      </c>
      <c r="J168" s="11">
        <v>9198</v>
      </c>
      <c r="K168" s="11"/>
      <c r="L168" s="10">
        <v>43994</v>
      </c>
      <c r="M168" s="9" t="s">
        <v>626</v>
      </c>
      <c r="N168" s="13" t="str">
        <f>VLOOKUP(H168,基础数据!G:H,2,FALSE)</f>
        <v>SR140大梁</v>
      </c>
    </row>
    <row r="169" spans="1:14" s="12" customFormat="1">
      <c r="A169" s="11">
        <v>1270</v>
      </c>
      <c r="B169" s="13" t="str">
        <f>VLOOKUP(A169,基础数据!A:B,2,FALSE)</f>
        <v>洛阳</v>
      </c>
      <c r="C169" s="10">
        <v>43973</v>
      </c>
      <c r="D169" s="9"/>
      <c r="E169" s="11">
        <v>4500060293</v>
      </c>
      <c r="F169" s="9"/>
      <c r="G169" s="11">
        <v>1120002601</v>
      </c>
      <c r="H169" s="9" t="s">
        <v>20</v>
      </c>
      <c r="I169" s="11"/>
      <c r="J169" s="11">
        <f>61920-6804-6804-6804-6804-6804-6804-13608</f>
        <v>7488</v>
      </c>
      <c r="K169" s="11"/>
      <c r="L169" s="10">
        <v>43994</v>
      </c>
      <c r="M169" s="9" t="s">
        <v>627</v>
      </c>
      <c r="N169" s="13" t="str">
        <f>VLOOKUP(H169,基础数据!G:H,2,FALSE)</f>
        <v>TTX1500H-1.27-100</v>
      </c>
    </row>
    <row r="170" spans="1:14" s="12" customFormat="1">
      <c r="A170" s="11">
        <v>1270</v>
      </c>
      <c r="B170" s="13" t="str">
        <f>VLOOKUP(A170,基础数据!A:B,2,FALSE)</f>
        <v>洛阳</v>
      </c>
      <c r="C170" s="10">
        <v>43973</v>
      </c>
      <c r="D170" s="9"/>
      <c r="E170" s="11">
        <v>4500060293</v>
      </c>
      <c r="F170" s="9"/>
      <c r="G170" s="11">
        <v>1120002596</v>
      </c>
      <c r="H170" s="9" t="s">
        <v>18</v>
      </c>
      <c r="I170" s="11">
        <v>2</v>
      </c>
      <c r="J170" s="11">
        <v>1286</v>
      </c>
      <c r="K170" s="11"/>
      <c r="L170" s="10">
        <v>43994</v>
      </c>
      <c r="M170" s="9" t="s">
        <v>628</v>
      </c>
      <c r="N170" s="13" t="str">
        <f>VLOOKUP(H170,基础数据!G:H,2,FALSE)</f>
        <v>SR140后缘</v>
      </c>
    </row>
    <row r="171" spans="1:14" s="12" customFormat="1">
      <c r="A171" s="11">
        <v>1270</v>
      </c>
      <c r="B171" s="13" t="str">
        <f>VLOOKUP(A171,基础数据!A:B,2,FALSE)</f>
        <v>洛阳</v>
      </c>
      <c r="C171" s="10">
        <v>43973</v>
      </c>
      <c r="D171" s="9"/>
      <c r="E171" s="11">
        <v>4500060293</v>
      </c>
      <c r="F171" s="9"/>
      <c r="G171" s="11">
        <v>1120002597</v>
      </c>
      <c r="H171" s="9" t="s">
        <v>19</v>
      </c>
      <c r="I171" s="11">
        <v>2</v>
      </c>
      <c r="J171" s="11">
        <v>6132</v>
      </c>
      <c r="K171" s="11"/>
      <c r="L171" s="10">
        <v>43994</v>
      </c>
      <c r="M171" s="9" t="s">
        <v>629</v>
      </c>
      <c r="N171" s="13" t="str">
        <f>VLOOKUP(H171,基础数据!G:H,2,FALSE)</f>
        <v>SR140大梁</v>
      </c>
    </row>
    <row r="172" spans="1:14" s="12" customFormat="1">
      <c r="A172" s="11">
        <v>1270</v>
      </c>
      <c r="B172" s="13" t="str">
        <f>VLOOKUP(A172,基础数据!A:B,2,FALSE)</f>
        <v>洛阳</v>
      </c>
      <c r="C172" s="10">
        <v>43987</v>
      </c>
      <c r="D172" s="9"/>
      <c r="E172" s="11">
        <v>4500061537</v>
      </c>
      <c r="F172" s="9"/>
      <c r="G172" s="11">
        <v>1120002596</v>
      </c>
      <c r="H172" s="9" t="s">
        <v>18</v>
      </c>
      <c r="I172" s="11">
        <v>2</v>
      </c>
      <c r="J172" s="11">
        <f>6474-1286</f>
        <v>5188</v>
      </c>
      <c r="K172" s="11"/>
      <c r="L172" s="10">
        <v>44018</v>
      </c>
      <c r="M172" s="9" t="s">
        <v>638</v>
      </c>
      <c r="N172" s="13" t="str">
        <f>VLOOKUP(H172,基础数据!G:H,2,FALSE)</f>
        <v>SR140后缘</v>
      </c>
    </row>
    <row r="173" spans="1:14" s="12" customFormat="1">
      <c r="A173" s="11">
        <v>1270</v>
      </c>
      <c r="B173" s="13" t="str">
        <f>VLOOKUP(A173,基础数据!A:B,2,FALSE)</f>
        <v>洛阳</v>
      </c>
      <c r="C173" s="10">
        <v>43987</v>
      </c>
      <c r="D173" s="9"/>
      <c r="E173" s="11">
        <v>4500061537</v>
      </c>
      <c r="F173" s="9"/>
      <c r="G173" s="11">
        <v>1120002597</v>
      </c>
      <c r="H173" s="9" t="s">
        <v>19</v>
      </c>
      <c r="I173" s="11">
        <v>2</v>
      </c>
      <c r="J173" s="11">
        <f>30697-6132</f>
        <v>24565</v>
      </c>
      <c r="K173" s="11"/>
      <c r="L173" s="10">
        <v>44018</v>
      </c>
      <c r="M173" s="9" t="s">
        <v>638</v>
      </c>
      <c r="N173" s="13" t="str">
        <f>VLOOKUP(H173,基础数据!G:H,2,FALSE)</f>
        <v>SR140大梁</v>
      </c>
    </row>
    <row r="174" spans="1:14" s="12" customFormat="1">
      <c r="A174" s="11">
        <v>1270</v>
      </c>
      <c r="B174" s="13" t="str">
        <f>VLOOKUP(A174,基础数据!A:B,2,FALSE)</f>
        <v>洛阳</v>
      </c>
      <c r="C174" s="10">
        <v>43987</v>
      </c>
      <c r="D174" s="9"/>
      <c r="E174" s="11">
        <v>4500061537</v>
      </c>
      <c r="F174" s="9"/>
      <c r="G174" s="11">
        <v>1120002601</v>
      </c>
      <c r="H174" s="9" t="s">
        <v>20</v>
      </c>
      <c r="I174" s="11"/>
      <c r="J174" s="11">
        <v>6804</v>
      </c>
      <c r="K174" s="11"/>
      <c r="L174" s="10">
        <v>44017</v>
      </c>
      <c r="M174" s="9" t="s">
        <v>639</v>
      </c>
      <c r="N174" s="13" t="str">
        <f>VLOOKUP(H174,基础数据!G:H,2,FALSE)</f>
        <v>TTX1500H-1.27-100</v>
      </c>
    </row>
    <row r="175" spans="1:14" s="12" customFormat="1">
      <c r="A175" s="11">
        <v>1270</v>
      </c>
      <c r="B175" s="13" t="str">
        <f>VLOOKUP(A175,基础数据!A:B,2,FALSE)</f>
        <v>洛阳</v>
      </c>
      <c r="C175" s="10">
        <v>43973</v>
      </c>
      <c r="D175" s="9"/>
      <c r="E175" s="11">
        <v>4500060293</v>
      </c>
      <c r="F175" s="9"/>
      <c r="G175" s="11">
        <v>1120002596</v>
      </c>
      <c r="H175" s="9" t="s">
        <v>18</v>
      </c>
      <c r="I175" s="11">
        <v>3</v>
      </c>
      <c r="J175" s="11">
        <v>1929</v>
      </c>
      <c r="K175" s="11"/>
      <c r="L175" s="10">
        <v>43994</v>
      </c>
      <c r="M175" s="9" t="s">
        <v>645</v>
      </c>
      <c r="N175" s="13" t="str">
        <f>VLOOKUP(H175,基础数据!G:H,2,FALSE)</f>
        <v>SR140后缘</v>
      </c>
    </row>
    <row r="176" spans="1:14" s="12" customFormat="1">
      <c r="A176" s="11">
        <v>1270</v>
      </c>
      <c r="B176" s="13" t="str">
        <f>VLOOKUP(A176,基础数据!A:B,2,FALSE)</f>
        <v>洛阳</v>
      </c>
      <c r="C176" s="10">
        <v>43973</v>
      </c>
      <c r="D176" s="9"/>
      <c r="E176" s="11">
        <v>4500060293</v>
      </c>
      <c r="F176" s="9"/>
      <c r="G176" s="11">
        <v>1120002597</v>
      </c>
      <c r="H176" s="9" t="s">
        <v>19</v>
      </c>
      <c r="I176" s="11">
        <v>3</v>
      </c>
      <c r="J176" s="11">
        <v>9198</v>
      </c>
      <c r="K176" s="11"/>
      <c r="L176" s="10">
        <v>43994</v>
      </c>
      <c r="M176" s="9" t="s">
        <v>646</v>
      </c>
      <c r="N176" s="13" t="str">
        <f>VLOOKUP(H176,基础数据!G:H,2,FALSE)</f>
        <v>SR140大梁</v>
      </c>
    </row>
    <row r="177" spans="1:14" s="12" customFormat="1">
      <c r="A177" s="11">
        <v>1270</v>
      </c>
      <c r="B177" s="13" t="str">
        <f>VLOOKUP(A177,基础数据!A:B,2,FALSE)</f>
        <v>洛阳</v>
      </c>
      <c r="C177" s="10">
        <v>43987</v>
      </c>
      <c r="D177" s="9"/>
      <c r="E177" s="11">
        <v>4500061537</v>
      </c>
      <c r="F177" s="9"/>
      <c r="G177" s="11">
        <v>1120002596</v>
      </c>
      <c r="H177" s="9" t="s">
        <v>18</v>
      </c>
      <c r="I177" s="11">
        <v>2</v>
      </c>
      <c r="J177" s="11">
        <v>1286</v>
      </c>
      <c r="K177" s="11"/>
      <c r="L177" s="10">
        <v>44018</v>
      </c>
      <c r="M177" s="9" t="s">
        <v>650</v>
      </c>
      <c r="N177" s="13" t="str">
        <f>VLOOKUP(H177,基础数据!G:H,2,FALSE)</f>
        <v>SR140后缘</v>
      </c>
    </row>
    <row r="178" spans="1:14" s="12" customFormat="1">
      <c r="A178" s="11">
        <v>1270</v>
      </c>
      <c r="B178" s="13" t="str">
        <f>VLOOKUP(A178,基础数据!A:B,2,FALSE)</f>
        <v>洛阳</v>
      </c>
      <c r="C178" s="10">
        <v>43987</v>
      </c>
      <c r="D178" s="9"/>
      <c r="E178" s="11">
        <v>4500061537</v>
      </c>
      <c r="F178" s="9"/>
      <c r="G178" s="11">
        <v>1120002597</v>
      </c>
      <c r="H178" s="9" t="s">
        <v>19</v>
      </c>
      <c r="I178" s="11">
        <v>2</v>
      </c>
      <c r="J178" s="11">
        <v>6132</v>
      </c>
      <c r="K178" s="11"/>
      <c r="L178" s="10">
        <v>44018</v>
      </c>
      <c r="M178" s="9" t="s">
        <v>650</v>
      </c>
      <c r="N178" s="13" t="str">
        <f>VLOOKUP(H178,基础数据!G:H,2,FALSE)</f>
        <v>SR140大梁</v>
      </c>
    </row>
    <row r="179" spans="1:14" s="12" customFormat="1">
      <c r="A179" s="11">
        <v>1270</v>
      </c>
      <c r="B179" s="13" t="str">
        <f>VLOOKUP(A179,基础数据!A:B,2,FALSE)</f>
        <v>洛阳</v>
      </c>
      <c r="C179" s="10">
        <v>43987</v>
      </c>
      <c r="D179" s="9"/>
      <c r="E179" s="11">
        <v>4500061537</v>
      </c>
      <c r="F179" s="9"/>
      <c r="G179" s="11">
        <v>1120002601</v>
      </c>
      <c r="H179" s="9" t="s">
        <v>20</v>
      </c>
      <c r="I179" s="11"/>
      <c r="J179" s="11">
        <f>12384-6804</f>
        <v>5580</v>
      </c>
      <c r="K179" s="11"/>
      <c r="L179" s="10">
        <v>44017</v>
      </c>
      <c r="M179" s="9" t="s">
        <v>640</v>
      </c>
      <c r="N179" s="13" t="str">
        <f>VLOOKUP(H179,基础数据!G:H,2,FALSE)</f>
        <v>TTX1500H-1.27-100</v>
      </c>
    </row>
    <row r="180" spans="1:14" s="12" customFormat="1">
      <c r="A180" s="11">
        <v>1270</v>
      </c>
      <c r="B180" s="13" t="str">
        <f>VLOOKUP(A180,基础数据!A:B,2,FALSE)</f>
        <v>洛阳</v>
      </c>
      <c r="C180" s="10">
        <v>43994</v>
      </c>
      <c r="D180" s="9"/>
      <c r="E180" s="11">
        <v>4500062208</v>
      </c>
      <c r="F180" s="9"/>
      <c r="G180" s="11">
        <v>1120002601</v>
      </c>
      <c r="H180" s="9" t="s">
        <v>20</v>
      </c>
      <c r="I180" s="11"/>
      <c r="J180" s="11">
        <v>1224</v>
      </c>
      <c r="K180" s="11"/>
      <c r="L180" s="10">
        <v>44024</v>
      </c>
      <c r="M180" s="9" t="s">
        <v>651</v>
      </c>
      <c r="N180" s="13" t="str">
        <f>VLOOKUP(H180,基础数据!G:H,2,FALSE)</f>
        <v>TTX1500H-1.27-100</v>
      </c>
    </row>
    <row r="181" spans="1:14" s="12" customFormat="1">
      <c r="A181" s="11">
        <v>1270</v>
      </c>
      <c r="B181" s="13" t="str">
        <f>VLOOKUP(A181,基础数据!A:B,2,FALSE)</f>
        <v>洛阳</v>
      </c>
      <c r="C181" s="10">
        <v>43973</v>
      </c>
      <c r="D181" s="9"/>
      <c r="E181" s="11">
        <v>4500060293</v>
      </c>
      <c r="F181" s="9"/>
      <c r="G181" s="11">
        <v>1120002596</v>
      </c>
      <c r="H181" s="9" t="s">
        <v>18</v>
      </c>
      <c r="I181" s="11">
        <v>2</v>
      </c>
      <c r="J181" s="11">
        <v>1286</v>
      </c>
      <c r="K181" s="11"/>
      <c r="L181" s="10">
        <v>43994</v>
      </c>
      <c r="M181" s="9" t="s">
        <v>660</v>
      </c>
      <c r="N181" s="13" t="str">
        <f>VLOOKUP(H181,基础数据!G:H,2,FALSE)</f>
        <v>SR140后缘</v>
      </c>
    </row>
    <row r="182" spans="1:14" s="12" customFormat="1">
      <c r="A182" s="11">
        <v>1270</v>
      </c>
      <c r="B182" s="13" t="str">
        <f>VLOOKUP(A182,基础数据!A:B,2,FALSE)</f>
        <v>洛阳</v>
      </c>
      <c r="C182" s="10">
        <v>43973</v>
      </c>
      <c r="D182" s="9"/>
      <c r="E182" s="11">
        <v>4500060293</v>
      </c>
      <c r="F182" s="9"/>
      <c r="G182" s="11">
        <v>1120002597</v>
      </c>
      <c r="H182" s="9" t="s">
        <v>19</v>
      </c>
      <c r="I182" s="11">
        <v>2</v>
      </c>
      <c r="J182" s="11">
        <v>6132</v>
      </c>
      <c r="K182" s="11"/>
      <c r="L182" s="10">
        <v>43994</v>
      </c>
      <c r="M182" s="9" t="s">
        <v>661</v>
      </c>
      <c r="N182" s="13" t="str">
        <f>VLOOKUP(H182,基础数据!G:H,2,FALSE)</f>
        <v>SR140大梁</v>
      </c>
    </row>
    <row r="183" spans="1:14" s="12" customFormat="1">
      <c r="A183" s="11">
        <v>1270</v>
      </c>
      <c r="B183" s="13" t="str">
        <f>VLOOKUP(A183,基础数据!A:B,2,FALSE)</f>
        <v>洛阳</v>
      </c>
      <c r="C183" s="10">
        <v>43980</v>
      </c>
      <c r="D183" s="9"/>
      <c r="E183" s="11">
        <v>4500060989</v>
      </c>
      <c r="F183" s="9"/>
      <c r="G183" s="11">
        <v>1120002601</v>
      </c>
      <c r="H183" s="9" t="s">
        <v>20</v>
      </c>
      <c r="I183" s="11"/>
      <c r="J183" s="11">
        <v>6804</v>
      </c>
      <c r="K183" s="11"/>
      <c r="L183" s="10">
        <v>44010</v>
      </c>
      <c r="M183" s="9" t="s">
        <v>662</v>
      </c>
      <c r="N183" s="13" t="str">
        <f>VLOOKUP(H183,基础数据!G:H,2,FALSE)</f>
        <v>TTX1500H-1.27-100</v>
      </c>
    </row>
    <row r="184" spans="1:14" s="12" customFormat="1">
      <c r="A184" s="11">
        <v>1270</v>
      </c>
      <c r="B184" s="13" t="str">
        <f>VLOOKUP(A184,基础数据!A:B,2,FALSE)</f>
        <v>洛阳</v>
      </c>
      <c r="C184" s="10">
        <v>43973</v>
      </c>
      <c r="D184" s="9"/>
      <c r="E184" s="11">
        <v>4500060293</v>
      </c>
      <c r="F184" s="9"/>
      <c r="G184" s="11">
        <v>1120002596</v>
      </c>
      <c r="H184" s="9" t="s">
        <v>18</v>
      </c>
      <c r="I184" s="11">
        <v>3</v>
      </c>
      <c r="J184" s="11">
        <v>1929</v>
      </c>
      <c r="K184" s="11"/>
      <c r="L184" s="10">
        <v>43994</v>
      </c>
      <c r="M184" s="9" t="s">
        <v>666</v>
      </c>
      <c r="N184" s="13" t="str">
        <f>VLOOKUP(H184,基础数据!G:H,2,FALSE)</f>
        <v>SR140后缘</v>
      </c>
    </row>
    <row r="185" spans="1:14" s="12" customFormat="1">
      <c r="A185" s="11">
        <v>1270</v>
      </c>
      <c r="B185" s="13" t="str">
        <f>VLOOKUP(A185,基础数据!A:B,2,FALSE)</f>
        <v>洛阳</v>
      </c>
      <c r="C185" s="10">
        <v>43973</v>
      </c>
      <c r="D185" s="9"/>
      <c r="E185" s="11">
        <v>4500060293</v>
      </c>
      <c r="F185" s="9"/>
      <c r="G185" s="11">
        <v>1120002597</v>
      </c>
      <c r="H185" s="9" t="s">
        <v>19</v>
      </c>
      <c r="I185" s="11">
        <v>3</v>
      </c>
      <c r="J185" s="11">
        <v>9198</v>
      </c>
      <c r="K185" s="11"/>
      <c r="L185" s="10">
        <v>43994</v>
      </c>
      <c r="M185" s="9" t="s">
        <v>667</v>
      </c>
      <c r="N185" s="13" t="str">
        <f>VLOOKUP(H185,基础数据!G:H,2,FALSE)</f>
        <v>SR140大梁</v>
      </c>
    </row>
    <row r="186" spans="1:14" s="12" customFormat="1">
      <c r="A186" s="11">
        <v>1270</v>
      </c>
      <c r="B186" s="13" t="str">
        <f>VLOOKUP(A186,基础数据!A:B,2,FALSE)</f>
        <v>洛阳</v>
      </c>
      <c r="C186" s="10">
        <v>43987</v>
      </c>
      <c r="D186" s="9"/>
      <c r="E186" s="11">
        <v>4500061537</v>
      </c>
      <c r="F186" s="9"/>
      <c r="G186" s="11">
        <v>1120002596</v>
      </c>
      <c r="H186" s="9" t="s">
        <v>18</v>
      </c>
      <c r="I186" s="11">
        <f>10-2-2-3</f>
        <v>3</v>
      </c>
      <c r="J186" s="11">
        <f>6474-1286-1286-1929</f>
        <v>1973</v>
      </c>
      <c r="K186" s="11"/>
      <c r="L186" s="10">
        <v>44018</v>
      </c>
      <c r="M186" s="9" t="s">
        <v>672</v>
      </c>
      <c r="N186" s="13" t="str">
        <f>VLOOKUP(H186,基础数据!G:H,2,FALSE)</f>
        <v>SR140后缘</v>
      </c>
    </row>
    <row r="187" spans="1:14" s="12" customFormat="1">
      <c r="A187" s="11">
        <v>1270</v>
      </c>
      <c r="B187" s="13" t="str">
        <f>VLOOKUP(A187,基础数据!A:B,2,FALSE)</f>
        <v>洛阳</v>
      </c>
      <c r="C187" s="10">
        <v>43987</v>
      </c>
      <c r="D187" s="9"/>
      <c r="E187" s="11">
        <v>4500061537</v>
      </c>
      <c r="F187" s="9"/>
      <c r="G187" s="11">
        <v>1120002597</v>
      </c>
      <c r="H187" s="9" t="s">
        <v>19</v>
      </c>
      <c r="I187" s="11">
        <f>10-2-2-3</f>
        <v>3</v>
      </c>
      <c r="J187" s="11">
        <f>30697-6132-6132-9198</f>
        <v>9235</v>
      </c>
      <c r="K187" s="11"/>
      <c r="L187" s="10">
        <v>44018</v>
      </c>
      <c r="M187" s="9" t="s">
        <v>672</v>
      </c>
      <c r="N187" s="13" t="str">
        <f>VLOOKUP(H187,基础数据!G:H,2,FALSE)</f>
        <v>SR140大梁</v>
      </c>
    </row>
    <row r="188" spans="1:14" s="12" customFormat="1">
      <c r="A188" s="11">
        <v>1270</v>
      </c>
      <c r="B188" s="13" t="str">
        <f>VLOOKUP(A188,基础数据!A:B,2,FALSE)</f>
        <v>洛阳</v>
      </c>
      <c r="C188" s="10">
        <v>43973</v>
      </c>
      <c r="D188" s="9"/>
      <c r="E188" s="11">
        <v>4500060293</v>
      </c>
      <c r="F188" s="9"/>
      <c r="G188" s="11">
        <v>1120002596</v>
      </c>
      <c r="H188" s="9" t="s">
        <v>18</v>
      </c>
      <c r="I188" s="11">
        <v>2</v>
      </c>
      <c r="J188" s="11">
        <v>1286</v>
      </c>
      <c r="K188" s="11"/>
      <c r="L188" s="10">
        <v>43994</v>
      </c>
      <c r="M188" s="9" t="s">
        <v>684</v>
      </c>
      <c r="N188" s="13" t="str">
        <f>VLOOKUP(H188,基础数据!G:H,2,FALSE)</f>
        <v>SR140后缘</v>
      </c>
    </row>
    <row r="189" spans="1:14" s="12" customFormat="1">
      <c r="A189" s="11">
        <v>1270</v>
      </c>
      <c r="B189" s="13" t="str">
        <f>VLOOKUP(A189,基础数据!A:B,2,FALSE)</f>
        <v>洛阳</v>
      </c>
      <c r="C189" s="10">
        <v>43973</v>
      </c>
      <c r="D189" s="9"/>
      <c r="E189" s="11">
        <v>4500060293</v>
      </c>
      <c r="F189" s="9"/>
      <c r="G189" s="11">
        <v>1120002597</v>
      </c>
      <c r="H189" s="9" t="s">
        <v>19</v>
      </c>
      <c r="I189" s="11">
        <v>2</v>
      </c>
      <c r="J189" s="11">
        <v>6132</v>
      </c>
      <c r="K189" s="11"/>
      <c r="L189" s="10">
        <v>43994</v>
      </c>
      <c r="M189" s="9" t="s">
        <v>685</v>
      </c>
      <c r="N189" s="13" t="str">
        <f>VLOOKUP(H189,基础数据!G:H,2,FALSE)</f>
        <v>SR140大梁</v>
      </c>
    </row>
    <row r="190" spans="1:14" s="12" customFormat="1">
      <c r="A190" s="11">
        <v>1270</v>
      </c>
      <c r="B190" s="13" t="str">
        <f>VLOOKUP(A190,基础数据!A:B,2,FALSE)</f>
        <v>洛阳</v>
      </c>
      <c r="C190" s="10">
        <v>43980</v>
      </c>
      <c r="D190" s="9"/>
      <c r="E190" s="11">
        <v>4500060989</v>
      </c>
      <c r="F190" s="9"/>
      <c r="G190" s="11">
        <v>1120002601</v>
      </c>
      <c r="H190" s="9" t="s">
        <v>20</v>
      </c>
      <c r="I190" s="11"/>
      <c r="J190" s="11">
        <v>6804</v>
      </c>
      <c r="K190" s="11"/>
      <c r="L190" s="10">
        <v>44010</v>
      </c>
      <c r="M190" s="9" t="s">
        <v>686</v>
      </c>
      <c r="N190" s="13" t="str">
        <f>VLOOKUP(H190,基础数据!G:H,2,FALSE)</f>
        <v>TTX1500H-1.27-100</v>
      </c>
    </row>
    <row r="191" spans="1:14" s="12" customFormat="1">
      <c r="A191" s="11">
        <v>1270</v>
      </c>
      <c r="B191" s="13" t="str">
        <f>VLOOKUP(A191,基础数据!A:B,2,FALSE)</f>
        <v>洛阳</v>
      </c>
      <c r="C191" s="10">
        <v>43987</v>
      </c>
      <c r="D191" s="9"/>
      <c r="E191" s="11">
        <v>4500061537</v>
      </c>
      <c r="F191" s="9"/>
      <c r="G191" s="11">
        <v>1120002596</v>
      </c>
      <c r="H191" s="9" t="s">
        <v>18</v>
      </c>
      <c r="I191" s="11">
        <f>10-2-2-3</f>
        <v>3</v>
      </c>
      <c r="J191" s="11">
        <f>6474-1286-1286-1929</f>
        <v>1973</v>
      </c>
      <c r="K191" s="11"/>
      <c r="L191" s="10">
        <v>44018</v>
      </c>
      <c r="M191" s="9" t="s">
        <v>689</v>
      </c>
      <c r="N191" s="13" t="str">
        <f>VLOOKUP(H191,基础数据!G:H,2,FALSE)</f>
        <v>SR140后缘</v>
      </c>
    </row>
    <row r="192" spans="1:14" s="12" customFormat="1">
      <c r="A192" s="11">
        <v>1270</v>
      </c>
      <c r="B192" s="13" t="str">
        <f>VLOOKUP(A192,基础数据!A:B,2,FALSE)</f>
        <v>洛阳</v>
      </c>
      <c r="C192" s="10">
        <v>43987</v>
      </c>
      <c r="D192" s="9"/>
      <c r="E192" s="11">
        <v>4500061537</v>
      </c>
      <c r="F192" s="9"/>
      <c r="G192" s="11">
        <v>1120002597</v>
      </c>
      <c r="H192" s="9" t="s">
        <v>19</v>
      </c>
      <c r="I192" s="11">
        <f>10-2-2-3</f>
        <v>3</v>
      </c>
      <c r="J192" s="11">
        <f>30697-6132-6132-9198</f>
        <v>9235</v>
      </c>
      <c r="K192" s="11"/>
      <c r="L192" s="10">
        <v>44018</v>
      </c>
      <c r="M192" s="9" t="s">
        <v>689</v>
      </c>
      <c r="N192" s="13" t="str">
        <f>VLOOKUP(H192,基础数据!G:H,2,FALSE)</f>
        <v>SR140大梁</v>
      </c>
    </row>
    <row r="193" spans="1:14" s="12" customFormat="1">
      <c r="A193" s="11">
        <v>1270</v>
      </c>
      <c r="B193" s="13" t="str">
        <f>VLOOKUP(A193,基础数据!A:B,2,FALSE)</f>
        <v>洛阳</v>
      </c>
      <c r="C193" s="10">
        <v>43973</v>
      </c>
      <c r="D193" s="9"/>
      <c r="E193" s="11">
        <v>4500060293</v>
      </c>
      <c r="F193" s="9"/>
      <c r="G193" s="11">
        <v>1120002596</v>
      </c>
      <c r="H193" s="9" t="s">
        <v>18</v>
      </c>
      <c r="I193" s="11">
        <v>2</v>
      </c>
      <c r="J193" s="11">
        <v>1286</v>
      </c>
      <c r="K193" s="11"/>
      <c r="L193" s="10">
        <v>43994</v>
      </c>
      <c r="M193" s="9" t="s">
        <v>692</v>
      </c>
      <c r="N193" s="13" t="str">
        <f>VLOOKUP(H193,基础数据!G:H,2,FALSE)</f>
        <v>SR140后缘</v>
      </c>
    </row>
    <row r="194" spans="1:14" s="12" customFormat="1">
      <c r="A194" s="11">
        <v>1270</v>
      </c>
      <c r="B194" s="13" t="str">
        <f>VLOOKUP(A194,基础数据!A:B,2,FALSE)</f>
        <v>洛阳</v>
      </c>
      <c r="C194" s="10">
        <v>43973</v>
      </c>
      <c r="D194" s="9"/>
      <c r="E194" s="11">
        <v>4500060293</v>
      </c>
      <c r="F194" s="9"/>
      <c r="G194" s="11">
        <v>1120002597</v>
      </c>
      <c r="H194" s="9" t="s">
        <v>19</v>
      </c>
      <c r="I194" s="11">
        <v>2</v>
      </c>
      <c r="J194" s="11">
        <v>6132</v>
      </c>
      <c r="K194" s="11"/>
      <c r="L194" s="10">
        <v>43994</v>
      </c>
      <c r="M194" s="9" t="s">
        <v>693</v>
      </c>
      <c r="N194" s="13" t="str">
        <f>VLOOKUP(H194,基础数据!G:H,2,FALSE)</f>
        <v>SR140大梁</v>
      </c>
    </row>
    <row r="195" spans="1:14" s="12" customFormat="1">
      <c r="A195" s="11">
        <v>1270</v>
      </c>
      <c r="B195" s="13" t="str">
        <f>VLOOKUP(A195,基础数据!A:B,2,FALSE)</f>
        <v>洛阳</v>
      </c>
      <c r="C195" s="10">
        <v>43980</v>
      </c>
      <c r="D195" s="9"/>
      <c r="E195" s="11">
        <v>4500060989</v>
      </c>
      <c r="F195" s="9"/>
      <c r="G195" s="11">
        <v>1120002601</v>
      </c>
      <c r="H195" s="9" t="s">
        <v>20</v>
      </c>
      <c r="I195" s="11"/>
      <c r="J195" s="11">
        <v>5670</v>
      </c>
      <c r="K195" s="11"/>
      <c r="L195" s="10">
        <v>44010</v>
      </c>
      <c r="M195" s="9" t="s">
        <v>694</v>
      </c>
      <c r="N195" s="13" t="str">
        <f>VLOOKUP(H195,基础数据!G:H,2,FALSE)</f>
        <v>TTX1500H-1.27-100</v>
      </c>
    </row>
    <row r="196" spans="1:14" s="12" customFormat="1">
      <c r="A196" s="11">
        <v>1270</v>
      </c>
      <c r="B196" s="13" t="str">
        <f>VLOOKUP(A196,基础数据!A:B,2,FALSE)</f>
        <v>洛阳</v>
      </c>
      <c r="C196" s="10">
        <v>43973</v>
      </c>
      <c r="D196" s="9"/>
      <c r="E196" s="11">
        <v>4500060293</v>
      </c>
      <c r="F196" s="9"/>
      <c r="G196" s="11">
        <v>1120002596</v>
      </c>
      <c r="H196" s="9" t="s">
        <v>18</v>
      </c>
      <c r="I196" s="11">
        <v>3</v>
      </c>
      <c r="J196" s="11">
        <v>1929</v>
      </c>
      <c r="K196" s="11"/>
      <c r="L196" s="10">
        <v>43994</v>
      </c>
      <c r="M196" s="9" t="s">
        <v>695</v>
      </c>
      <c r="N196" s="13" t="str">
        <f>VLOOKUP(H196,基础数据!G:H,2,FALSE)</f>
        <v>SR140后缘</v>
      </c>
    </row>
    <row r="197" spans="1:14" s="12" customFormat="1">
      <c r="A197" s="11">
        <v>1270</v>
      </c>
      <c r="B197" s="13" t="str">
        <f>VLOOKUP(A197,基础数据!A:B,2,FALSE)</f>
        <v>洛阳</v>
      </c>
      <c r="C197" s="10">
        <v>43973</v>
      </c>
      <c r="D197" s="9"/>
      <c r="E197" s="11">
        <v>4500060293</v>
      </c>
      <c r="F197" s="9"/>
      <c r="G197" s="11">
        <v>1120002597</v>
      </c>
      <c r="H197" s="9" t="s">
        <v>19</v>
      </c>
      <c r="I197" s="11">
        <v>3</v>
      </c>
      <c r="J197" s="11">
        <v>9198</v>
      </c>
      <c r="K197" s="11"/>
      <c r="L197" s="10">
        <v>43994</v>
      </c>
      <c r="M197" s="9" t="s">
        <v>696</v>
      </c>
      <c r="N197" s="13" t="str">
        <f>VLOOKUP(H197,基础数据!G:H,2,FALSE)</f>
        <v>SR140大梁</v>
      </c>
    </row>
    <row r="198" spans="1:14" s="12" customFormat="1">
      <c r="A198" s="11">
        <v>1270</v>
      </c>
      <c r="B198" s="13" t="str">
        <f>VLOOKUP(A198,基础数据!A:B,2,FALSE)</f>
        <v>洛阳</v>
      </c>
      <c r="C198" s="10">
        <v>43973</v>
      </c>
      <c r="D198" s="9"/>
      <c r="E198" s="11">
        <v>4500060293</v>
      </c>
      <c r="F198" s="9"/>
      <c r="G198" s="11">
        <v>1120002596</v>
      </c>
      <c r="H198" s="9" t="s">
        <v>18</v>
      </c>
      <c r="I198" s="11">
        <v>3</v>
      </c>
      <c r="J198" s="11">
        <v>1929</v>
      </c>
      <c r="K198" s="11"/>
      <c r="L198" s="10">
        <v>43994</v>
      </c>
      <c r="M198" s="9" t="s">
        <v>701</v>
      </c>
      <c r="N198" s="13" t="str">
        <f>VLOOKUP(H198,基础数据!G:H,2,FALSE)</f>
        <v>SR140后缘</v>
      </c>
    </row>
    <row r="199" spans="1:14" s="12" customFormat="1">
      <c r="A199" s="11">
        <v>1270</v>
      </c>
      <c r="B199" s="13" t="str">
        <f>VLOOKUP(A199,基础数据!A:B,2,FALSE)</f>
        <v>洛阳</v>
      </c>
      <c r="C199" s="10">
        <v>43973</v>
      </c>
      <c r="D199" s="9"/>
      <c r="E199" s="11">
        <v>4500060293</v>
      </c>
      <c r="F199" s="9"/>
      <c r="G199" s="11">
        <v>1120002597</v>
      </c>
      <c r="H199" s="9" t="s">
        <v>19</v>
      </c>
      <c r="I199" s="11">
        <v>3</v>
      </c>
      <c r="J199" s="11">
        <v>9198</v>
      </c>
      <c r="K199" s="11"/>
      <c r="L199" s="10">
        <v>43994</v>
      </c>
      <c r="M199" s="9" t="s">
        <v>702</v>
      </c>
      <c r="N199" s="13" t="str">
        <f>VLOOKUP(H199,基础数据!G:H,2,FALSE)</f>
        <v>SR140大梁</v>
      </c>
    </row>
    <row r="200" spans="1:14" s="12" customFormat="1">
      <c r="A200" s="11">
        <v>1270</v>
      </c>
      <c r="B200" s="13" t="str">
        <f>VLOOKUP(A200,基础数据!A:B,2,FALSE)</f>
        <v>洛阳</v>
      </c>
      <c r="C200" s="10">
        <v>43973</v>
      </c>
      <c r="D200" s="9"/>
      <c r="E200" s="11">
        <v>4500060293</v>
      </c>
      <c r="F200" s="9"/>
      <c r="G200" s="11">
        <v>1120002596</v>
      </c>
      <c r="H200" s="9" t="s">
        <v>18</v>
      </c>
      <c r="I200" s="11">
        <v>3</v>
      </c>
      <c r="J200" s="11">
        <v>1929</v>
      </c>
      <c r="K200" s="11"/>
      <c r="L200" s="10">
        <v>43994</v>
      </c>
      <c r="M200" s="9" t="s">
        <v>705</v>
      </c>
      <c r="N200" s="13" t="str">
        <f>VLOOKUP(H200,基础数据!G:H,2,FALSE)</f>
        <v>SR140后缘</v>
      </c>
    </row>
    <row r="201" spans="1:14" s="12" customFormat="1">
      <c r="A201" s="11">
        <v>1270</v>
      </c>
      <c r="B201" s="13" t="str">
        <f>VLOOKUP(A201,基础数据!A:B,2,FALSE)</f>
        <v>洛阳</v>
      </c>
      <c r="C201" s="10">
        <v>43973</v>
      </c>
      <c r="D201" s="9"/>
      <c r="E201" s="11">
        <v>4500060293</v>
      </c>
      <c r="F201" s="9"/>
      <c r="G201" s="11">
        <v>1120002597</v>
      </c>
      <c r="H201" s="9" t="s">
        <v>19</v>
      </c>
      <c r="I201" s="11">
        <v>3</v>
      </c>
      <c r="J201" s="11">
        <v>9198</v>
      </c>
      <c r="K201" s="11"/>
      <c r="L201" s="10">
        <v>43994</v>
      </c>
      <c r="M201" s="9" t="s">
        <v>706</v>
      </c>
      <c r="N201" s="13" t="str">
        <f>VLOOKUP(H201,基础数据!G:H,2,FALSE)</f>
        <v>SR140大梁</v>
      </c>
    </row>
    <row r="202" spans="1:14" s="12" customFormat="1">
      <c r="A202" s="11">
        <v>1270</v>
      </c>
      <c r="B202" s="13" t="str">
        <f>VLOOKUP(A202,基础数据!A:B,2,FALSE)</f>
        <v>洛阳</v>
      </c>
      <c r="C202" s="10">
        <v>43973</v>
      </c>
      <c r="D202" s="9"/>
      <c r="E202" s="11">
        <v>4500060293</v>
      </c>
      <c r="F202" s="9"/>
      <c r="G202" s="11">
        <v>1120002596</v>
      </c>
      <c r="H202" s="9" t="s">
        <v>18</v>
      </c>
      <c r="I202" s="11">
        <v>2</v>
      </c>
      <c r="J202" s="11">
        <v>1286</v>
      </c>
      <c r="K202" s="11"/>
      <c r="L202" s="10">
        <v>43994</v>
      </c>
      <c r="M202" s="9" t="s">
        <v>713</v>
      </c>
      <c r="N202" s="13" t="str">
        <f>VLOOKUP(H202,基础数据!G:H,2,FALSE)</f>
        <v>SR140后缘</v>
      </c>
    </row>
    <row r="203" spans="1:14" s="12" customFormat="1">
      <c r="A203" s="11">
        <v>1270</v>
      </c>
      <c r="B203" s="13" t="str">
        <f>VLOOKUP(A203,基础数据!A:B,2,FALSE)</f>
        <v>洛阳</v>
      </c>
      <c r="C203" s="10">
        <v>43973</v>
      </c>
      <c r="D203" s="9"/>
      <c r="E203" s="11">
        <v>4500060293</v>
      </c>
      <c r="F203" s="9"/>
      <c r="G203" s="11">
        <v>1120002597</v>
      </c>
      <c r="H203" s="9" t="s">
        <v>19</v>
      </c>
      <c r="I203" s="11">
        <v>2</v>
      </c>
      <c r="J203" s="11">
        <v>6132</v>
      </c>
      <c r="K203" s="11"/>
      <c r="L203" s="10">
        <v>43994</v>
      </c>
      <c r="M203" s="9" t="s">
        <v>712</v>
      </c>
      <c r="N203" s="13" t="str">
        <f>VLOOKUP(H203,基础数据!G:H,2,FALSE)</f>
        <v>SR140大梁</v>
      </c>
    </row>
    <row r="204" spans="1:14" s="12" customFormat="1">
      <c r="A204" s="11">
        <v>1270</v>
      </c>
      <c r="B204" s="13" t="str">
        <f>VLOOKUP(A204,基础数据!A:B,2,FALSE)</f>
        <v>洛阳</v>
      </c>
      <c r="C204" s="10">
        <v>43980</v>
      </c>
      <c r="D204" s="9"/>
      <c r="E204" s="11">
        <v>4500060989</v>
      </c>
      <c r="F204" s="9"/>
      <c r="G204" s="11">
        <v>1120002601</v>
      </c>
      <c r="H204" s="9" t="s">
        <v>20</v>
      </c>
      <c r="I204" s="11"/>
      <c r="J204" s="11">
        <v>5700</v>
      </c>
      <c r="K204" s="11"/>
      <c r="L204" s="10">
        <v>44010</v>
      </c>
      <c r="M204" s="9" t="s">
        <v>715</v>
      </c>
      <c r="N204" s="13" t="str">
        <f>VLOOKUP(H204,基础数据!G:H,2,FALSE)</f>
        <v>TTX1500H-1.27-100</v>
      </c>
    </row>
    <row r="205" spans="1:14" s="12" customFormat="1">
      <c r="A205" s="11">
        <v>1270</v>
      </c>
      <c r="B205" s="13" t="str">
        <f>VLOOKUP(A205,基础数据!A:B,2,FALSE)</f>
        <v>洛阳</v>
      </c>
      <c r="C205" s="10">
        <v>44029</v>
      </c>
      <c r="D205" s="9"/>
      <c r="E205" s="11">
        <v>4500065087</v>
      </c>
      <c r="F205" s="9"/>
      <c r="G205" s="11">
        <v>1120002596</v>
      </c>
      <c r="H205" s="9" t="s">
        <v>18</v>
      </c>
      <c r="I205" s="11">
        <v>3</v>
      </c>
      <c r="J205" s="11">
        <v>1929</v>
      </c>
      <c r="K205" s="11"/>
      <c r="L205" s="10">
        <v>44053</v>
      </c>
      <c r="M205" s="9" t="s">
        <v>716</v>
      </c>
      <c r="N205" s="13" t="str">
        <f>VLOOKUP(H205,基础数据!G:H,2,FALSE)</f>
        <v>SR140后缘</v>
      </c>
    </row>
    <row r="206" spans="1:14" s="12" customFormat="1">
      <c r="A206" s="11">
        <v>1270</v>
      </c>
      <c r="B206" s="13" t="str">
        <f>VLOOKUP(A206,基础数据!A:B,2,FALSE)</f>
        <v>洛阳</v>
      </c>
      <c r="C206" s="10">
        <v>44029</v>
      </c>
      <c r="D206" s="9"/>
      <c r="E206" s="11">
        <v>4500065087</v>
      </c>
      <c r="F206" s="9"/>
      <c r="G206" s="11">
        <v>1120002597</v>
      </c>
      <c r="H206" s="9" t="s">
        <v>19</v>
      </c>
      <c r="I206" s="11">
        <v>3</v>
      </c>
      <c r="J206" s="11">
        <v>9198</v>
      </c>
      <c r="K206" s="11"/>
      <c r="L206" s="10">
        <v>44053</v>
      </c>
      <c r="M206" s="9" t="s">
        <v>716</v>
      </c>
      <c r="N206" s="13" t="str">
        <f>VLOOKUP(H206,基础数据!G:H,2,FALSE)</f>
        <v>SR140大梁</v>
      </c>
    </row>
    <row r="207" spans="1:14" s="12" customFormat="1">
      <c r="A207" s="11">
        <v>1270</v>
      </c>
      <c r="B207" s="13" t="str">
        <f>VLOOKUP(A207,基础数据!A:B,2,FALSE)</f>
        <v>洛阳</v>
      </c>
      <c r="C207" s="10">
        <v>43980</v>
      </c>
      <c r="D207" s="9"/>
      <c r="E207" s="11">
        <v>4500060989</v>
      </c>
      <c r="F207" s="9"/>
      <c r="G207" s="11">
        <v>1120002601</v>
      </c>
      <c r="H207" s="9" t="s">
        <v>20</v>
      </c>
      <c r="I207" s="11"/>
      <c r="J207" s="11">
        <v>3420</v>
      </c>
      <c r="K207" s="11"/>
      <c r="L207" s="10">
        <v>44010</v>
      </c>
      <c r="M207" s="9" t="s">
        <v>717</v>
      </c>
      <c r="N207" s="13" t="str">
        <f>VLOOKUP(H207,基础数据!G:H,2,FALSE)</f>
        <v>TTX1500H-1.27-100</v>
      </c>
    </row>
    <row r="208" spans="1:14" s="12" customFormat="1">
      <c r="A208" s="11">
        <v>1270</v>
      </c>
      <c r="B208" s="13" t="str">
        <f>VLOOKUP(A208,基础数据!A:B,2,FALSE)</f>
        <v>洛阳</v>
      </c>
      <c r="C208" s="10">
        <v>43973</v>
      </c>
      <c r="D208" s="9"/>
      <c r="E208" s="11">
        <v>4500060293</v>
      </c>
      <c r="F208" s="9"/>
      <c r="G208" s="11">
        <v>1120002596</v>
      </c>
      <c r="H208" s="9" t="s">
        <v>18</v>
      </c>
      <c r="I208" s="11">
        <v>2</v>
      </c>
      <c r="J208" s="11">
        <v>1286</v>
      </c>
      <c r="K208" s="11"/>
      <c r="L208" s="10">
        <v>43994</v>
      </c>
      <c r="M208" s="9" t="s">
        <v>723</v>
      </c>
      <c r="N208" s="13" t="str">
        <f>VLOOKUP(H208,基础数据!G:H,2,FALSE)</f>
        <v>SR140后缘</v>
      </c>
    </row>
    <row r="209" spans="1:14" s="12" customFormat="1">
      <c r="A209" s="11">
        <v>1270</v>
      </c>
      <c r="B209" s="13" t="str">
        <f>VLOOKUP(A209,基础数据!A:B,2,FALSE)</f>
        <v>洛阳</v>
      </c>
      <c r="C209" s="10">
        <v>43973</v>
      </c>
      <c r="D209" s="9"/>
      <c r="E209" s="11">
        <v>4500060293</v>
      </c>
      <c r="F209" s="9"/>
      <c r="G209" s="11">
        <v>1120002597</v>
      </c>
      <c r="H209" s="9" t="s">
        <v>19</v>
      </c>
      <c r="I209" s="11">
        <v>2</v>
      </c>
      <c r="J209" s="11">
        <v>6132</v>
      </c>
      <c r="K209" s="11"/>
      <c r="L209" s="10">
        <v>43994</v>
      </c>
      <c r="M209" s="9" t="s">
        <v>724</v>
      </c>
      <c r="N209" s="13" t="str">
        <f>VLOOKUP(H209,基础数据!G:H,2,FALSE)</f>
        <v>SR140大梁</v>
      </c>
    </row>
    <row r="210" spans="1:14" s="12" customFormat="1">
      <c r="A210" s="11">
        <v>1270</v>
      </c>
      <c r="B210" s="13" t="str">
        <f>VLOOKUP(A210,基础数据!A:B,2,FALSE)</f>
        <v>洛阳</v>
      </c>
      <c r="C210" s="10">
        <v>44022</v>
      </c>
      <c r="D210" s="9"/>
      <c r="E210" s="11">
        <v>4500064566</v>
      </c>
      <c r="F210" s="9"/>
      <c r="G210" s="11">
        <v>1120002601</v>
      </c>
      <c r="H210" s="9" t="s">
        <v>20</v>
      </c>
      <c r="I210" s="11"/>
      <c r="J210" s="11">
        <v>9120</v>
      </c>
      <c r="K210" s="11"/>
      <c r="L210" s="10">
        <v>44043</v>
      </c>
      <c r="M210" s="9" t="s">
        <v>722</v>
      </c>
      <c r="N210" s="13" t="str">
        <f>VLOOKUP(H210,基础数据!G:H,2,FALSE)</f>
        <v>TTX1500H-1.27-100</v>
      </c>
    </row>
    <row r="211" spans="1:14" s="12" customFormat="1">
      <c r="A211" s="11">
        <v>1270</v>
      </c>
      <c r="B211" s="13" t="str">
        <f>VLOOKUP(A211,基础数据!A:B,2,FALSE)</f>
        <v>洛阳</v>
      </c>
      <c r="C211" s="10">
        <v>43973</v>
      </c>
      <c r="D211" s="9"/>
      <c r="E211" s="11">
        <v>4500060293</v>
      </c>
      <c r="F211" s="9"/>
      <c r="G211" s="11">
        <v>1120002596</v>
      </c>
      <c r="H211" s="9" t="s">
        <v>18</v>
      </c>
      <c r="I211" s="11">
        <f>60-3-3-3-2-3-2-3-2-1-3-3-3-2-3-2-3-2-2-3-3-3-2-2</f>
        <v>2</v>
      </c>
      <c r="J211" s="11">
        <f>38844-1929-1929-1929-1286-1929-1286-1929-1286-1929-1929-1929-1286-1929-1286-1929-1286-1286-1929-1929-1929-1286-1286</f>
        <v>2193</v>
      </c>
      <c r="K211" s="11"/>
      <c r="L211" s="10">
        <v>43994</v>
      </c>
      <c r="M211" s="9" t="s">
        <v>735</v>
      </c>
      <c r="N211" s="13" t="str">
        <f>VLOOKUP(H211,基础数据!G:H,2,FALSE)</f>
        <v>SR140后缘</v>
      </c>
    </row>
    <row r="212" spans="1:14" s="12" customFormat="1">
      <c r="A212" s="11">
        <v>1270</v>
      </c>
      <c r="B212" s="13" t="str">
        <f>VLOOKUP(A212,基础数据!A:B,2,FALSE)</f>
        <v>洛阳</v>
      </c>
      <c r="C212" s="10">
        <v>43973</v>
      </c>
      <c r="D212" s="9"/>
      <c r="E212" s="11">
        <v>4500060293</v>
      </c>
      <c r="F212" s="9"/>
      <c r="G212" s="11">
        <v>1120002597</v>
      </c>
      <c r="H212" s="9" t="s">
        <v>19</v>
      </c>
      <c r="I212" s="11">
        <f>60-3-3-3-2-3-2-3-2-1-3-3-3-2-3-2-3-2-2-3-3-3-2-2</f>
        <v>2</v>
      </c>
      <c r="J212" s="11">
        <f>184182-9198-9198-9198-6132-9198-6132-9198-6132-9198-9198-9198-6132-9198-6132-9198-6132-6132-9198-9198-9198-6132-6132</f>
        <v>9420</v>
      </c>
      <c r="K212" s="11"/>
      <c r="L212" s="10">
        <v>43994</v>
      </c>
      <c r="M212" s="9" t="s">
        <v>733</v>
      </c>
      <c r="N212" s="13" t="str">
        <f>VLOOKUP(H212,基础数据!G:H,2,FALSE)</f>
        <v>SR140大梁</v>
      </c>
    </row>
    <row r="213" spans="1:14" s="12" customFormat="1">
      <c r="A213" s="11">
        <v>1270</v>
      </c>
      <c r="B213" s="13" t="str">
        <f>VLOOKUP(A213,基础数据!A:B,2,FALSE)</f>
        <v>洛阳</v>
      </c>
      <c r="C213" s="10">
        <v>43994</v>
      </c>
      <c r="D213" s="9"/>
      <c r="E213" s="11">
        <v>4500062208</v>
      </c>
      <c r="F213" s="9"/>
      <c r="G213" s="11">
        <v>1120002601</v>
      </c>
      <c r="H213" s="9" t="s">
        <v>20</v>
      </c>
      <c r="I213" s="11"/>
      <c r="J213" s="11">
        <v>6840</v>
      </c>
      <c r="K213" s="11"/>
      <c r="L213" s="10">
        <v>44024</v>
      </c>
      <c r="M213" s="9" t="s">
        <v>734</v>
      </c>
      <c r="N213" s="13" t="str">
        <f>VLOOKUP(H213,基础数据!G:H,2,FALSE)</f>
        <v>TTX1500H-1.27-100</v>
      </c>
    </row>
    <row r="214" spans="1:14" s="12" customFormat="1">
      <c r="A214" s="11">
        <v>1270</v>
      </c>
      <c r="B214" s="13" t="str">
        <f>VLOOKUP(A214,基础数据!A:B,2,FALSE)</f>
        <v>洛阳</v>
      </c>
      <c r="C214" s="10">
        <v>43980</v>
      </c>
      <c r="D214" s="9"/>
      <c r="E214" s="11">
        <v>4500060989</v>
      </c>
      <c r="F214" s="9"/>
      <c r="G214" s="11">
        <v>1120002601</v>
      </c>
      <c r="H214" s="9" t="s">
        <v>20</v>
      </c>
      <c r="I214" s="11"/>
      <c r="J214" s="11">
        <f>30960-6804-6804-5670-5700-3420</f>
        <v>2562</v>
      </c>
      <c r="K214" s="11"/>
      <c r="L214" s="10">
        <v>44010</v>
      </c>
      <c r="M214" s="9" t="s">
        <v>740</v>
      </c>
      <c r="N214" s="13" t="str">
        <f>VLOOKUP(H214,基础数据!G:H,2,FALSE)</f>
        <v>TTX1500H-1.27-100</v>
      </c>
    </row>
    <row r="215" spans="1:14" s="12" customFormat="1">
      <c r="A215" s="11">
        <v>1270</v>
      </c>
      <c r="B215" s="13" t="str">
        <f>VLOOKUP(A215,基础数据!A:B,2,FALSE)</f>
        <v>洛阳</v>
      </c>
      <c r="C215" s="10">
        <v>43994</v>
      </c>
      <c r="D215" s="9"/>
      <c r="E215" s="11">
        <v>4500062208</v>
      </c>
      <c r="F215" s="9"/>
      <c r="G215" s="11">
        <v>1120002601</v>
      </c>
      <c r="H215" s="9" t="s">
        <v>20</v>
      </c>
      <c r="I215" s="11"/>
      <c r="J215" s="11">
        <f>9288-1224-6840</f>
        <v>1224</v>
      </c>
      <c r="K215" s="11"/>
      <c r="L215" s="10">
        <v>44024</v>
      </c>
      <c r="M215" s="9" t="s">
        <v>741</v>
      </c>
      <c r="N215" s="13" t="str">
        <f>VLOOKUP(H215,基础数据!G:H,2,FALSE)</f>
        <v>TTX1500H-1.27-100</v>
      </c>
    </row>
    <row r="216" spans="1:14" s="12" customFormat="1">
      <c r="A216" s="11">
        <v>1270</v>
      </c>
      <c r="B216" s="13" t="str">
        <f>VLOOKUP(A216,基础数据!A:B,2,FALSE)</f>
        <v>洛阳</v>
      </c>
      <c r="C216" s="10">
        <v>44022</v>
      </c>
      <c r="D216" s="9"/>
      <c r="E216" s="11">
        <v>4500064566</v>
      </c>
      <c r="F216" s="9"/>
      <c r="G216" s="11">
        <v>1120002601</v>
      </c>
      <c r="H216" s="9" t="s">
        <v>20</v>
      </c>
      <c r="I216" s="11"/>
      <c r="J216" s="11">
        <f>12384-9120</f>
        <v>3264</v>
      </c>
      <c r="K216" s="11"/>
      <c r="L216" s="10">
        <v>44043</v>
      </c>
      <c r="M216" s="9" t="s">
        <v>742</v>
      </c>
      <c r="N216" s="13" t="str">
        <f>VLOOKUP(H216,基础数据!G:H,2,FALSE)</f>
        <v>TTX1500H-1.27-100</v>
      </c>
    </row>
    <row r="217" spans="1:14" s="12" customFormat="1">
      <c r="A217" s="11">
        <v>1270</v>
      </c>
      <c r="B217" s="13" t="str">
        <f>VLOOKUP(A217,基础数据!A:B,2,FALSE)</f>
        <v>洛阳</v>
      </c>
      <c r="C217" s="10">
        <v>44029</v>
      </c>
      <c r="D217" s="9"/>
      <c r="E217" s="11">
        <v>4500065087</v>
      </c>
      <c r="F217" s="9"/>
      <c r="G217" s="11">
        <v>1120002596</v>
      </c>
      <c r="H217" s="9" t="s">
        <v>18</v>
      </c>
      <c r="I217" s="11">
        <v>2</v>
      </c>
      <c r="J217" s="11">
        <v>1286</v>
      </c>
      <c r="K217" s="11"/>
      <c r="L217" s="10">
        <v>44053</v>
      </c>
      <c r="M217" s="9" t="s">
        <v>739</v>
      </c>
      <c r="N217" s="13" t="str">
        <f>VLOOKUP(H217,基础数据!G:H,2,FALSE)</f>
        <v>SR140后缘</v>
      </c>
    </row>
    <row r="218" spans="1:14" s="12" customFormat="1">
      <c r="A218" s="11">
        <v>1270</v>
      </c>
      <c r="B218" s="13" t="str">
        <f>VLOOKUP(A218,基础数据!A:B,2,FALSE)</f>
        <v>洛阳</v>
      </c>
      <c r="C218" s="10">
        <v>44029</v>
      </c>
      <c r="D218" s="9"/>
      <c r="E218" s="11">
        <v>4500065087</v>
      </c>
      <c r="F218" s="9"/>
      <c r="G218" s="11">
        <v>1120002597</v>
      </c>
      <c r="H218" s="9" t="s">
        <v>19</v>
      </c>
      <c r="I218" s="11">
        <v>2</v>
      </c>
      <c r="J218" s="11">
        <v>6132</v>
      </c>
      <c r="K218" s="11"/>
      <c r="L218" s="10">
        <v>44053</v>
      </c>
      <c r="M218" s="9" t="s">
        <v>739</v>
      </c>
      <c r="N218" s="13" t="str">
        <f>VLOOKUP(H218,基础数据!G:H,2,FALSE)</f>
        <v>SR140大梁</v>
      </c>
    </row>
    <row r="219" spans="1:14" s="12" customFormat="1">
      <c r="A219" s="11">
        <v>1270</v>
      </c>
      <c r="B219" s="13" t="str">
        <f>VLOOKUP(A219,基础数据!A:B,2,FALSE)</f>
        <v>洛阳</v>
      </c>
      <c r="C219" s="10">
        <v>44029</v>
      </c>
      <c r="D219" s="9"/>
      <c r="E219" s="11">
        <v>4500065087</v>
      </c>
      <c r="F219" s="9"/>
      <c r="G219" s="11">
        <v>1120002596</v>
      </c>
      <c r="H219" s="9" t="s">
        <v>18</v>
      </c>
      <c r="I219" s="11">
        <v>2</v>
      </c>
      <c r="J219" s="11">
        <v>1286</v>
      </c>
      <c r="K219" s="11"/>
      <c r="L219" s="10">
        <v>44053</v>
      </c>
      <c r="M219" s="9" t="s">
        <v>751</v>
      </c>
      <c r="N219" s="13" t="str">
        <f>VLOOKUP(H219,基础数据!G:H,2,FALSE)</f>
        <v>SR140后缘</v>
      </c>
    </row>
    <row r="220" spans="1:14" s="12" customFormat="1">
      <c r="A220" s="11">
        <v>1270</v>
      </c>
      <c r="B220" s="13" t="str">
        <f>VLOOKUP(A220,基础数据!A:B,2,FALSE)</f>
        <v>洛阳</v>
      </c>
      <c r="C220" s="10">
        <v>44029</v>
      </c>
      <c r="D220" s="9"/>
      <c r="E220" s="11">
        <v>4500065087</v>
      </c>
      <c r="F220" s="9"/>
      <c r="G220" s="11">
        <v>1120002597</v>
      </c>
      <c r="H220" s="9" t="s">
        <v>19</v>
      </c>
      <c r="I220" s="11">
        <v>2</v>
      </c>
      <c r="J220" s="11">
        <v>6132</v>
      </c>
      <c r="K220" s="11"/>
      <c r="L220" s="10">
        <v>44053</v>
      </c>
      <c r="M220" s="9" t="s">
        <v>752</v>
      </c>
      <c r="N220" s="13" t="str">
        <f>VLOOKUP(H220,基础数据!G:H,2,FALSE)</f>
        <v>SR140大梁</v>
      </c>
    </row>
    <row r="221" spans="1:14" s="12" customFormat="1">
      <c r="A221" s="11">
        <v>1270</v>
      </c>
      <c r="B221" s="13" t="str">
        <f>VLOOKUP(A221,基础数据!A:B,2,FALSE)</f>
        <v>洛阳</v>
      </c>
      <c r="C221" s="10">
        <v>44029</v>
      </c>
      <c r="D221" s="9"/>
      <c r="E221" s="11">
        <v>4500065087</v>
      </c>
      <c r="F221" s="9"/>
      <c r="G221" s="11">
        <v>1120002601</v>
      </c>
      <c r="H221" s="9" t="s">
        <v>20</v>
      </c>
      <c r="I221" s="11"/>
      <c r="J221" s="11">
        <v>2280</v>
      </c>
      <c r="K221" s="11"/>
      <c r="L221" s="10">
        <v>44050</v>
      </c>
      <c r="M221" s="9" t="s">
        <v>753</v>
      </c>
      <c r="N221" s="13" t="str">
        <f>VLOOKUP(H221,基础数据!G:H,2,FALSE)</f>
        <v>TTX1500H-1.27-100</v>
      </c>
    </row>
    <row r="222" spans="1:14" s="12" customFormat="1">
      <c r="A222" s="11">
        <v>1270</v>
      </c>
      <c r="B222" s="13" t="str">
        <f>VLOOKUP(A222,基础数据!A:B,2,FALSE)</f>
        <v>洛阳</v>
      </c>
      <c r="C222" s="10">
        <v>44029</v>
      </c>
      <c r="D222" s="9"/>
      <c r="E222" s="11">
        <v>4500065087</v>
      </c>
      <c r="F222" s="9"/>
      <c r="G222" s="11">
        <v>1120002596</v>
      </c>
      <c r="H222" s="9" t="s">
        <v>18</v>
      </c>
      <c r="I222" s="11">
        <f>18-3-2-2-3</f>
        <v>8</v>
      </c>
      <c r="J222" s="11">
        <f>11653-1929-1286-1286-1929</f>
        <v>5223</v>
      </c>
      <c r="K222" s="11"/>
      <c r="L222" s="10">
        <v>44053</v>
      </c>
      <c r="M222" s="9" t="s">
        <v>769</v>
      </c>
      <c r="N222" s="13" t="str">
        <f>VLOOKUP(H222,基础数据!G:H,2,FALSE)</f>
        <v>SR140后缘</v>
      </c>
    </row>
    <row r="223" spans="1:14" s="12" customFormat="1">
      <c r="A223" s="11">
        <v>1270</v>
      </c>
      <c r="B223" s="13" t="str">
        <f>VLOOKUP(A223,基础数据!A:B,2,FALSE)</f>
        <v>洛阳</v>
      </c>
      <c r="C223" s="10">
        <v>44029</v>
      </c>
      <c r="D223" s="9"/>
      <c r="E223" s="11">
        <v>4500065087</v>
      </c>
      <c r="F223" s="9"/>
      <c r="G223" s="11">
        <v>1120002597</v>
      </c>
      <c r="H223" s="9" t="s">
        <v>19</v>
      </c>
      <c r="I223" s="11">
        <f>18-3-2-2-3</f>
        <v>8</v>
      </c>
      <c r="J223" s="11">
        <f>55255-9198-6132-6132-9198</f>
        <v>24595</v>
      </c>
      <c r="K223" s="11"/>
      <c r="L223" s="10">
        <v>44053</v>
      </c>
      <c r="M223" s="9" t="s">
        <v>770</v>
      </c>
      <c r="N223" s="13" t="str">
        <f>VLOOKUP(H223,基础数据!G:H,2,FALSE)</f>
        <v>SR140大梁</v>
      </c>
    </row>
    <row r="224" spans="1:14" s="12" customFormat="1">
      <c r="A224" s="11">
        <v>1270</v>
      </c>
      <c r="B224" s="13" t="str">
        <f>VLOOKUP(A224,基础数据!A:B,2,FALSE)</f>
        <v>洛阳</v>
      </c>
      <c r="C224" s="10">
        <v>44029</v>
      </c>
      <c r="D224" s="9"/>
      <c r="E224" s="11">
        <v>4500065087</v>
      </c>
      <c r="F224" s="9"/>
      <c r="G224" s="11">
        <v>1120002601</v>
      </c>
      <c r="H224" s="9" t="s">
        <v>20</v>
      </c>
      <c r="I224" s="11"/>
      <c r="J224" s="11">
        <v>4608</v>
      </c>
      <c r="K224" s="11"/>
      <c r="L224" s="10">
        <v>44050</v>
      </c>
      <c r="M224" s="9" t="s">
        <v>771</v>
      </c>
      <c r="N224" s="13" t="str">
        <f>VLOOKUP(H224,基础数据!G:H,2,FALSE)</f>
        <v>TTX1500H-1.27-100</v>
      </c>
    </row>
    <row r="225" spans="1:14" s="12" customFormat="1">
      <c r="A225" s="11">
        <v>1270</v>
      </c>
      <c r="B225" s="13" t="str">
        <f>VLOOKUP(A225,基础数据!A:B,2,FALSE)</f>
        <v>洛阳</v>
      </c>
      <c r="C225" s="10">
        <v>44029</v>
      </c>
      <c r="D225" s="9"/>
      <c r="E225" s="11">
        <v>4500065087</v>
      </c>
      <c r="F225" s="9"/>
      <c r="G225" s="11">
        <v>1120002596</v>
      </c>
      <c r="H225" s="9" t="s">
        <v>18</v>
      </c>
      <c r="I225" s="11">
        <v>2</v>
      </c>
      <c r="J225" s="11">
        <v>1286</v>
      </c>
      <c r="K225" s="11"/>
      <c r="L225" s="10">
        <v>44053</v>
      </c>
      <c r="M225" s="9" t="s">
        <v>777</v>
      </c>
      <c r="N225" s="13" t="str">
        <f>VLOOKUP(H225,基础数据!G:H,2,FALSE)</f>
        <v>SR140后缘</v>
      </c>
    </row>
    <row r="226" spans="1:14" s="12" customFormat="1">
      <c r="A226" s="11">
        <v>1270</v>
      </c>
      <c r="B226" s="13" t="str">
        <f>VLOOKUP(A226,基础数据!A:B,2,FALSE)</f>
        <v>洛阳</v>
      </c>
      <c r="C226" s="10">
        <v>44029</v>
      </c>
      <c r="D226" s="9"/>
      <c r="E226" s="11">
        <v>4500065087</v>
      </c>
      <c r="F226" s="9"/>
      <c r="G226" s="11">
        <v>1120002597</v>
      </c>
      <c r="H226" s="9" t="s">
        <v>19</v>
      </c>
      <c r="I226" s="11">
        <v>2</v>
      </c>
      <c r="J226" s="11">
        <v>6132</v>
      </c>
      <c r="K226" s="11"/>
      <c r="L226" s="10">
        <v>44053</v>
      </c>
      <c r="M226" s="9" t="s">
        <v>778</v>
      </c>
      <c r="N226" s="13" t="str">
        <f>VLOOKUP(H226,基础数据!G:H,2,FALSE)</f>
        <v>SR140大梁</v>
      </c>
    </row>
    <row r="227" spans="1:14" s="12" customFormat="1">
      <c r="A227" s="11">
        <v>1270</v>
      </c>
      <c r="B227" s="13" t="str">
        <f>VLOOKUP(A227,基础数据!A:B,2,FALSE)</f>
        <v>洛阳</v>
      </c>
      <c r="C227" s="10">
        <v>44029</v>
      </c>
      <c r="D227" s="9"/>
      <c r="E227" s="11">
        <v>4500065087</v>
      </c>
      <c r="F227" s="9"/>
      <c r="G227" s="11">
        <v>1120002601</v>
      </c>
      <c r="H227" s="9" t="s">
        <v>20</v>
      </c>
      <c r="I227" s="11"/>
      <c r="J227" s="11">
        <v>6912</v>
      </c>
      <c r="K227" s="11"/>
      <c r="L227" s="10">
        <v>44050</v>
      </c>
      <c r="M227" s="9" t="s">
        <v>779</v>
      </c>
      <c r="N227" s="13" t="str">
        <f>VLOOKUP(H227,基础数据!G:H,2,FALSE)</f>
        <v>TTX1500H-1.27-100</v>
      </c>
    </row>
    <row r="228" spans="1:14" s="23" customFormat="1">
      <c r="A228" s="22">
        <v>1270</v>
      </c>
      <c r="B228" s="7" t="str">
        <f>VLOOKUP(A228,基础数据!A:B,2,FALSE)</f>
        <v>洛阳</v>
      </c>
      <c r="C228" s="21">
        <v>44029</v>
      </c>
      <c r="D228" s="20"/>
      <c r="E228" s="22">
        <v>4500065087</v>
      </c>
      <c r="F228" s="20"/>
      <c r="G228" s="22">
        <v>1120002596</v>
      </c>
      <c r="H228" s="20" t="s">
        <v>18</v>
      </c>
      <c r="I228" s="22">
        <v>2</v>
      </c>
      <c r="J228" s="22">
        <v>1286</v>
      </c>
      <c r="K228" s="22"/>
      <c r="L228" s="21">
        <v>44053</v>
      </c>
      <c r="M228" s="20" t="s">
        <v>791</v>
      </c>
      <c r="N228" s="7" t="str">
        <f>VLOOKUP(H228,基础数据!G:H,2,FALSE)</f>
        <v>SR140后缘</v>
      </c>
    </row>
    <row r="229" spans="1:14" s="23" customFormat="1">
      <c r="A229" s="22">
        <v>1270</v>
      </c>
      <c r="B229" s="7" t="str">
        <f>VLOOKUP(A229,基础数据!A:B,2,FALSE)</f>
        <v>洛阳</v>
      </c>
      <c r="C229" s="21">
        <v>44029</v>
      </c>
      <c r="D229" s="20"/>
      <c r="E229" s="22">
        <v>4500065087</v>
      </c>
      <c r="F229" s="20"/>
      <c r="G229" s="22">
        <v>1120002597</v>
      </c>
      <c r="H229" s="20" t="s">
        <v>19</v>
      </c>
      <c r="I229" s="22">
        <v>2</v>
      </c>
      <c r="J229" s="22">
        <v>6132</v>
      </c>
      <c r="K229" s="22"/>
      <c r="L229" s="21">
        <v>44053</v>
      </c>
      <c r="M229" s="20" t="s">
        <v>792</v>
      </c>
      <c r="N229" s="7" t="str">
        <f>VLOOKUP(H229,基础数据!G:H,2,FALSE)</f>
        <v>SR140大梁</v>
      </c>
    </row>
    <row r="230" spans="1:14" s="23" customFormat="1">
      <c r="A230" s="22">
        <v>1270</v>
      </c>
      <c r="B230" s="7" t="str">
        <f>VLOOKUP(A230,基础数据!A:B,2,FALSE)</f>
        <v>洛阳</v>
      </c>
      <c r="C230" s="21">
        <v>44029</v>
      </c>
      <c r="D230" s="20"/>
      <c r="E230" s="22">
        <v>4500065087</v>
      </c>
      <c r="F230" s="20"/>
      <c r="G230" s="22">
        <v>1120002601</v>
      </c>
      <c r="H230" s="20" t="s">
        <v>20</v>
      </c>
      <c r="I230" s="22"/>
      <c r="J230" s="22">
        <f>21672-2280-4608-6912</f>
        <v>7872</v>
      </c>
      <c r="K230" s="22"/>
      <c r="L230" s="21">
        <v>44050</v>
      </c>
      <c r="M230" s="20" t="s">
        <v>793</v>
      </c>
      <c r="N230" s="7" t="str">
        <f>VLOOKUP(H230,基础数据!G:H,2,FALSE)</f>
        <v>TTX1500H-1.27-100</v>
      </c>
    </row>
    <row r="231" spans="1:14" s="12" customFormat="1">
      <c r="A231" s="11">
        <v>1270</v>
      </c>
      <c r="B231" s="13" t="str">
        <f>VLOOKUP(A231,基础数据!A:B,2,FALSE)</f>
        <v>洛阳</v>
      </c>
      <c r="C231" s="10">
        <v>44037</v>
      </c>
      <c r="D231" s="9"/>
      <c r="E231" s="11">
        <v>4500065974</v>
      </c>
      <c r="F231" s="9"/>
      <c r="G231" s="11">
        <v>1120002596</v>
      </c>
      <c r="H231" s="9" t="s">
        <v>18</v>
      </c>
      <c r="I231" s="11">
        <v>3</v>
      </c>
      <c r="J231" s="11">
        <v>1959</v>
      </c>
      <c r="K231" s="11"/>
      <c r="L231" s="10">
        <v>44068</v>
      </c>
      <c r="M231" s="9" t="s">
        <v>796</v>
      </c>
      <c r="N231" s="13" t="str">
        <f>VLOOKUP(H231,基础数据!G:H,2,FALSE)</f>
        <v>SR140后缘</v>
      </c>
    </row>
    <row r="232" spans="1:14" s="12" customFormat="1">
      <c r="A232" s="11">
        <v>1270</v>
      </c>
      <c r="B232" s="13" t="str">
        <f>VLOOKUP(A232,基础数据!A:B,2,FALSE)</f>
        <v>洛阳</v>
      </c>
      <c r="C232" s="10">
        <v>44037</v>
      </c>
      <c r="D232" s="9"/>
      <c r="E232" s="11">
        <v>4500065974</v>
      </c>
      <c r="F232" s="9"/>
      <c r="G232" s="11">
        <v>1120002597</v>
      </c>
      <c r="H232" s="9" t="s">
        <v>19</v>
      </c>
      <c r="I232" s="11">
        <v>3</v>
      </c>
      <c r="J232" s="11">
        <v>9198</v>
      </c>
      <c r="K232" s="11"/>
      <c r="L232" s="10">
        <v>44068</v>
      </c>
      <c r="M232" s="9" t="s">
        <v>796</v>
      </c>
      <c r="N232" s="13" t="str">
        <f>VLOOKUP(H232,基础数据!G:H,2,FALSE)</f>
        <v>SR140大梁</v>
      </c>
    </row>
    <row r="233" spans="1:14" s="12" customFormat="1">
      <c r="A233" s="11">
        <v>1270</v>
      </c>
      <c r="B233" s="13" t="str">
        <f>VLOOKUP(A233,基础数据!A:B,2,FALSE)</f>
        <v>洛阳</v>
      </c>
      <c r="C233" s="10">
        <v>44037</v>
      </c>
      <c r="D233" s="9"/>
      <c r="E233" s="11">
        <v>4500065974</v>
      </c>
      <c r="F233" s="9"/>
      <c r="G233" s="11">
        <v>1120002601</v>
      </c>
      <c r="H233" s="9" t="s">
        <v>20</v>
      </c>
      <c r="I233" s="11"/>
      <c r="J233" s="11">
        <v>6912</v>
      </c>
      <c r="K233" s="11"/>
      <c r="L233" s="10">
        <v>44068</v>
      </c>
      <c r="M233" s="9" t="s">
        <v>800</v>
      </c>
      <c r="N233" s="13" t="str">
        <f>VLOOKUP(H233,基础数据!G:H,2,FALSE)</f>
        <v>TTX1500H-1.27-100</v>
      </c>
    </row>
    <row r="234" spans="1:14" s="12" customFormat="1">
      <c r="A234" s="11">
        <v>1270</v>
      </c>
      <c r="B234" s="13" t="str">
        <f>VLOOKUP(A234,基础数据!A:B,2,FALSE)</f>
        <v>洛阳</v>
      </c>
      <c r="C234" s="10">
        <v>44029</v>
      </c>
      <c r="D234" s="9"/>
      <c r="E234" s="11">
        <v>4500065087</v>
      </c>
      <c r="F234" s="9"/>
      <c r="G234" s="11">
        <v>1120002596</v>
      </c>
      <c r="H234" s="9" t="s">
        <v>18</v>
      </c>
      <c r="I234" s="11">
        <v>2</v>
      </c>
      <c r="J234" s="11">
        <v>1286</v>
      </c>
      <c r="K234" s="11"/>
      <c r="L234" s="10">
        <v>44053</v>
      </c>
      <c r="M234" s="9" t="s">
        <v>802</v>
      </c>
      <c r="N234" s="13" t="str">
        <f>VLOOKUP(H234,基础数据!G:H,2,FALSE)</f>
        <v>SR140后缘</v>
      </c>
    </row>
    <row r="235" spans="1:14" s="12" customFormat="1">
      <c r="A235" s="11">
        <v>1270</v>
      </c>
      <c r="B235" s="13" t="str">
        <f>VLOOKUP(A235,基础数据!A:B,2,FALSE)</f>
        <v>洛阳</v>
      </c>
      <c r="C235" s="10">
        <v>44029</v>
      </c>
      <c r="D235" s="9"/>
      <c r="E235" s="11">
        <v>4500065087</v>
      </c>
      <c r="F235" s="9"/>
      <c r="G235" s="11">
        <v>1120002597</v>
      </c>
      <c r="H235" s="9" t="s">
        <v>19</v>
      </c>
      <c r="I235" s="11">
        <v>2</v>
      </c>
      <c r="J235" s="11">
        <v>6132</v>
      </c>
      <c r="K235" s="11"/>
      <c r="L235" s="10">
        <v>44053</v>
      </c>
      <c r="M235" s="9" t="s">
        <v>801</v>
      </c>
      <c r="N235" s="13" t="str">
        <f>VLOOKUP(H235,基础数据!G:H,2,FALSE)</f>
        <v>SR140大梁</v>
      </c>
    </row>
    <row r="236" spans="1:14" s="12" customFormat="1">
      <c r="A236" s="11">
        <v>1270</v>
      </c>
      <c r="B236" s="9" t="s">
        <v>664</v>
      </c>
      <c r="C236" s="10">
        <v>44028</v>
      </c>
      <c r="D236" s="9"/>
      <c r="E236" s="9" t="s">
        <v>831</v>
      </c>
      <c r="F236" s="9"/>
      <c r="G236" s="9"/>
      <c r="H236" s="9" t="s">
        <v>663</v>
      </c>
      <c r="I236" s="11"/>
      <c r="J236" s="11">
        <v>300</v>
      </c>
      <c r="K236" s="11"/>
      <c r="L236" s="10">
        <v>44063</v>
      </c>
      <c r="M236" s="9" t="s">
        <v>821</v>
      </c>
      <c r="N236" s="9" t="s">
        <v>665</v>
      </c>
    </row>
    <row r="237" spans="1:14" s="12" customFormat="1">
      <c r="A237" s="11">
        <v>1270</v>
      </c>
      <c r="B237" s="13" t="str">
        <f>VLOOKUP(A237,基础数据!A:B,2,FALSE)</f>
        <v>洛阳</v>
      </c>
      <c r="C237" s="10">
        <v>44029</v>
      </c>
      <c r="D237" s="9"/>
      <c r="E237" s="11">
        <v>4500065087</v>
      </c>
      <c r="F237" s="9"/>
      <c r="G237" s="11">
        <v>1120002596</v>
      </c>
      <c r="H237" s="9" t="s">
        <v>18</v>
      </c>
      <c r="I237" s="11">
        <f>18-3-2-2-3-2-2-2</f>
        <v>2</v>
      </c>
      <c r="J237" s="11">
        <f>11653-1929-1286-1286-1929-1286-1286-1286</f>
        <v>1365</v>
      </c>
      <c r="K237" s="11"/>
      <c r="L237" s="10">
        <v>44053</v>
      </c>
      <c r="M237" s="9" t="s">
        <v>822</v>
      </c>
      <c r="N237" s="13" t="str">
        <f>VLOOKUP(H237,基础数据!G:H,2,FALSE)</f>
        <v>SR140后缘</v>
      </c>
    </row>
    <row r="238" spans="1:14" s="12" customFormat="1">
      <c r="A238" s="11">
        <v>1270</v>
      </c>
      <c r="B238" s="13" t="str">
        <f>VLOOKUP(A238,基础数据!A:B,2,FALSE)</f>
        <v>洛阳</v>
      </c>
      <c r="C238" s="10">
        <v>44029</v>
      </c>
      <c r="D238" s="9"/>
      <c r="E238" s="11">
        <v>4500065087</v>
      </c>
      <c r="F238" s="9"/>
      <c r="G238" s="11">
        <v>1120002597</v>
      </c>
      <c r="H238" s="9" t="s">
        <v>19</v>
      </c>
      <c r="I238" s="11">
        <f>18-3-2-2-3-2-2-2</f>
        <v>2</v>
      </c>
      <c r="J238" s="11">
        <f>55255-9198-6132-6132-9198-6132-6132-6132</f>
        <v>6199</v>
      </c>
      <c r="K238" s="11"/>
      <c r="L238" s="10">
        <v>44053</v>
      </c>
      <c r="M238" s="9" t="s">
        <v>823</v>
      </c>
      <c r="N238" s="13" t="str">
        <f>VLOOKUP(H238,基础数据!G:H,2,FALSE)</f>
        <v>SR140大梁</v>
      </c>
    </row>
    <row r="239" spans="1:14" s="12" customFormat="1">
      <c r="A239" s="11">
        <v>1270</v>
      </c>
      <c r="B239" s="13" t="str">
        <f>VLOOKUP(A239,基础数据!A:B,2,FALSE)</f>
        <v>洛阳</v>
      </c>
      <c r="C239" s="10">
        <v>44037</v>
      </c>
      <c r="D239" s="9"/>
      <c r="E239" s="11">
        <v>4500065974</v>
      </c>
      <c r="F239" s="9"/>
      <c r="G239" s="11">
        <v>1120002601</v>
      </c>
      <c r="H239" s="9" t="s">
        <v>20</v>
      </c>
      <c r="I239" s="11"/>
      <c r="J239" s="11">
        <v>6912</v>
      </c>
      <c r="K239" s="11"/>
      <c r="L239" s="10">
        <v>44068</v>
      </c>
      <c r="M239" s="9" t="s">
        <v>824</v>
      </c>
      <c r="N239" s="13" t="str">
        <f>VLOOKUP(H239,基础数据!G:H,2,FALSE)</f>
        <v>TTX1500H-1.27-100</v>
      </c>
    </row>
    <row r="240" spans="1:14" s="12" customFormat="1">
      <c r="A240" s="11">
        <v>1270</v>
      </c>
      <c r="B240" s="13" t="str">
        <f>VLOOKUP(A240,基础数据!A:B,2,FALSE)</f>
        <v>洛阳</v>
      </c>
      <c r="C240" s="10">
        <v>44037</v>
      </c>
      <c r="D240" s="9"/>
      <c r="E240" s="11">
        <v>4500065974</v>
      </c>
      <c r="F240" s="9"/>
      <c r="G240" s="11">
        <v>1120002596</v>
      </c>
      <c r="H240" s="9" t="s">
        <v>18</v>
      </c>
      <c r="I240" s="11">
        <v>3</v>
      </c>
      <c r="J240" s="11">
        <v>1959</v>
      </c>
      <c r="K240" s="11"/>
      <c r="L240" s="10">
        <v>44068</v>
      </c>
      <c r="M240" s="9" t="s">
        <v>825</v>
      </c>
      <c r="N240" s="13" t="str">
        <f>VLOOKUP(H240,基础数据!G:H,2,FALSE)</f>
        <v>SR140后缘</v>
      </c>
    </row>
    <row r="241" spans="1:14" s="12" customFormat="1">
      <c r="A241" s="11">
        <v>1270</v>
      </c>
      <c r="B241" s="13" t="str">
        <f>VLOOKUP(A241,基础数据!A:B,2,FALSE)</f>
        <v>洛阳</v>
      </c>
      <c r="C241" s="10">
        <v>44037</v>
      </c>
      <c r="D241" s="9"/>
      <c r="E241" s="11">
        <v>4500065974</v>
      </c>
      <c r="F241" s="9"/>
      <c r="G241" s="11">
        <v>1120002597</v>
      </c>
      <c r="H241" s="9" t="s">
        <v>19</v>
      </c>
      <c r="I241" s="11">
        <v>3</v>
      </c>
      <c r="J241" s="11">
        <v>9198</v>
      </c>
      <c r="K241" s="11"/>
      <c r="L241" s="10">
        <v>44068</v>
      </c>
      <c r="M241" s="9" t="s">
        <v>825</v>
      </c>
      <c r="N241" s="13" t="str">
        <f>VLOOKUP(H241,基础数据!G:H,2,FALSE)</f>
        <v>SR140大梁</v>
      </c>
    </row>
    <row r="242" spans="1:14" s="12" customFormat="1">
      <c r="A242" s="11">
        <v>1270</v>
      </c>
      <c r="B242" s="13" t="str">
        <f>VLOOKUP(A242,基础数据!A:B,2,FALSE)</f>
        <v>洛阳</v>
      </c>
      <c r="C242" s="10">
        <v>44037</v>
      </c>
      <c r="D242" s="9"/>
      <c r="E242" s="11">
        <v>4500065974</v>
      </c>
      <c r="F242" s="9"/>
      <c r="G242" s="11">
        <v>1120002596</v>
      </c>
      <c r="H242" s="9" t="s">
        <v>18</v>
      </c>
      <c r="I242" s="11">
        <v>2</v>
      </c>
      <c r="J242" s="11">
        <v>1286</v>
      </c>
      <c r="K242" s="11"/>
      <c r="L242" s="10">
        <v>44068</v>
      </c>
      <c r="M242" s="9" t="s">
        <v>833</v>
      </c>
      <c r="N242" s="13" t="str">
        <f>VLOOKUP(H242,基础数据!G:H,2,FALSE)</f>
        <v>SR140后缘</v>
      </c>
    </row>
    <row r="243" spans="1:14" s="12" customFormat="1">
      <c r="A243" s="11">
        <v>1270</v>
      </c>
      <c r="B243" s="13" t="str">
        <f>VLOOKUP(A243,基础数据!A:B,2,FALSE)</f>
        <v>洛阳</v>
      </c>
      <c r="C243" s="10">
        <v>44037</v>
      </c>
      <c r="D243" s="9"/>
      <c r="E243" s="11">
        <v>4500065974</v>
      </c>
      <c r="F243" s="9"/>
      <c r="G243" s="11">
        <v>1120002597</v>
      </c>
      <c r="H243" s="9" t="s">
        <v>19</v>
      </c>
      <c r="I243" s="11">
        <v>2</v>
      </c>
      <c r="J243" s="11">
        <v>6132</v>
      </c>
      <c r="K243" s="11"/>
      <c r="L243" s="10">
        <v>44068</v>
      </c>
      <c r="M243" s="9" t="s">
        <v>833</v>
      </c>
      <c r="N243" s="13" t="str">
        <f>VLOOKUP(H243,基础数据!G:H,2,FALSE)</f>
        <v>SR140大梁</v>
      </c>
    </row>
    <row r="244" spans="1:14" s="12" customFormat="1">
      <c r="A244" s="11">
        <v>1270</v>
      </c>
      <c r="B244" s="13" t="str">
        <f>VLOOKUP(A244,基础数据!A:B,2,FALSE)</f>
        <v>洛阳</v>
      </c>
      <c r="C244" s="10">
        <v>44037</v>
      </c>
      <c r="D244" s="9"/>
      <c r="E244" s="11">
        <v>4500065974</v>
      </c>
      <c r="F244" s="9"/>
      <c r="G244" s="11">
        <v>1120002601</v>
      </c>
      <c r="H244" s="9" t="s">
        <v>20</v>
      </c>
      <c r="I244" s="11"/>
      <c r="J244" s="11">
        <v>5760</v>
      </c>
      <c r="K244" s="11"/>
      <c r="L244" s="10">
        <v>44068</v>
      </c>
      <c r="M244" s="9" t="s">
        <v>832</v>
      </c>
      <c r="N244" s="13" t="str">
        <f>VLOOKUP(H244,基础数据!G:H,2,FALSE)</f>
        <v>TTX1500H-1.27-100</v>
      </c>
    </row>
    <row r="245" spans="1:14" s="12" customFormat="1">
      <c r="A245" s="11">
        <v>1270</v>
      </c>
      <c r="B245" s="13" t="str">
        <f>VLOOKUP(A245,基础数据!A:B,2,FALSE)</f>
        <v>洛阳</v>
      </c>
      <c r="C245" s="10">
        <v>44037</v>
      </c>
      <c r="D245" s="9"/>
      <c r="E245" s="11">
        <v>4500065974</v>
      </c>
      <c r="F245" s="9"/>
      <c r="G245" s="11">
        <v>1120002596</v>
      </c>
      <c r="H245" s="9" t="s">
        <v>18</v>
      </c>
      <c r="I245" s="11">
        <v>3</v>
      </c>
      <c r="J245" s="11">
        <v>1959</v>
      </c>
      <c r="K245" s="11"/>
      <c r="L245" s="10">
        <v>44068</v>
      </c>
      <c r="M245" s="9" t="s">
        <v>843</v>
      </c>
      <c r="N245" s="13" t="str">
        <f>VLOOKUP(H245,基础数据!G:H,2,FALSE)</f>
        <v>SR140后缘</v>
      </c>
    </row>
    <row r="246" spans="1:14" s="12" customFormat="1">
      <c r="A246" s="11">
        <v>1270</v>
      </c>
      <c r="B246" s="13" t="str">
        <f>VLOOKUP(A246,基础数据!A:B,2,FALSE)</f>
        <v>洛阳</v>
      </c>
      <c r="C246" s="10">
        <v>44037</v>
      </c>
      <c r="D246" s="9"/>
      <c r="E246" s="11">
        <v>4500065974</v>
      </c>
      <c r="F246" s="9"/>
      <c r="G246" s="11">
        <v>1120002597</v>
      </c>
      <c r="H246" s="9" t="s">
        <v>19</v>
      </c>
      <c r="I246" s="11">
        <v>3</v>
      </c>
      <c r="J246" s="11">
        <v>9198</v>
      </c>
      <c r="K246" s="11"/>
      <c r="L246" s="10">
        <v>44068</v>
      </c>
      <c r="M246" s="9" t="s">
        <v>843</v>
      </c>
      <c r="N246" s="13" t="str">
        <f>VLOOKUP(H246,基础数据!G:H,2,FALSE)</f>
        <v>SR140大梁</v>
      </c>
    </row>
    <row r="247" spans="1:14" s="12" customFormat="1">
      <c r="A247" s="11">
        <v>1270</v>
      </c>
      <c r="B247" s="13" t="str">
        <f>VLOOKUP(A247,基础数据!A:B,2,FALSE)</f>
        <v>洛阳</v>
      </c>
      <c r="C247" s="10">
        <v>44037</v>
      </c>
      <c r="D247" s="9"/>
      <c r="E247" s="11">
        <v>4500065974</v>
      </c>
      <c r="F247" s="9"/>
      <c r="G247" s="11">
        <v>1120002596</v>
      </c>
      <c r="H247" s="9" t="s">
        <v>18</v>
      </c>
      <c r="I247" s="11">
        <v>2</v>
      </c>
      <c r="J247" s="11">
        <v>1286</v>
      </c>
      <c r="K247" s="11"/>
      <c r="L247" s="10">
        <v>44068</v>
      </c>
      <c r="M247" s="9" t="s">
        <v>1177</v>
      </c>
      <c r="N247" s="13" t="str">
        <f>VLOOKUP(H247,基础数据!G:H,2,FALSE)</f>
        <v>SR140后缘</v>
      </c>
    </row>
    <row r="248" spans="1:14" s="12" customFormat="1">
      <c r="A248" s="11">
        <v>1270</v>
      </c>
      <c r="B248" s="13" t="str">
        <f>VLOOKUP(A248,基础数据!A:B,2,FALSE)</f>
        <v>洛阳</v>
      </c>
      <c r="C248" s="10">
        <v>44037</v>
      </c>
      <c r="D248" s="9"/>
      <c r="E248" s="11">
        <v>4500065974</v>
      </c>
      <c r="F248" s="9"/>
      <c r="G248" s="11">
        <v>1120002597</v>
      </c>
      <c r="H248" s="9" t="s">
        <v>19</v>
      </c>
      <c r="I248" s="11">
        <v>2</v>
      </c>
      <c r="J248" s="11">
        <v>6132</v>
      </c>
      <c r="K248" s="11"/>
      <c r="L248" s="10">
        <v>44068</v>
      </c>
      <c r="M248" s="9" t="s">
        <v>1178</v>
      </c>
      <c r="N248" s="13" t="str">
        <f>VLOOKUP(H248,基础数据!G:H,2,FALSE)</f>
        <v>SR140大梁</v>
      </c>
    </row>
    <row r="249" spans="1:14" s="12" customFormat="1">
      <c r="A249" s="11">
        <v>1270</v>
      </c>
      <c r="B249" s="13" t="str">
        <f>VLOOKUP(A249,基础数据!A:B,2,FALSE)</f>
        <v>洛阳</v>
      </c>
      <c r="C249" s="10">
        <v>44037</v>
      </c>
      <c r="D249" s="9"/>
      <c r="E249" s="11">
        <v>4500065974</v>
      </c>
      <c r="F249" s="9"/>
      <c r="G249" s="11">
        <v>1120002601</v>
      </c>
      <c r="H249" s="9" t="s">
        <v>20</v>
      </c>
      <c r="I249" s="11"/>
      <c r="J249" s="11">
        <v>6840</v>
      </c>
      <c r="K249" s="11"/>
      <c r="L249" s="10">
        <v>44068</v>
      </c>
      <c r="M249" s="9" t="s">
        <v>1179</v>
      </c>
      <c r="N249" s="13" t="str">
        <f>VLOOKUP(H249,基础数据!G:H,2,FALSE)</f>
        <v>TTX1500H-1.27-100</v>
      </c>
    </row>
    <row r="250" spans="1:14" s="12" customFormat="1">
      <c r="A250" s="11">
        <v>1270</v>
      </c>
      <c r="B250" s="13" t="str">
        <f>VLOOKUP(A250,基础数据!A:B,2,FALSE)</f>
        <v>洛阳</v>
      </c>
      <c r="C250" s="10">
        <v>44037</v>
      </c>
      <c r="D250" s="9"/>
      <c r="E250" s="11">
        <v>4500065974</v>
      </c>
      <c r="F250" s="9"/>
      <c r="G250" s="11">
        <v>1120002596</v>
      </c>
      <c r="H250" s="9" t="s">
        <v>18</v>
      </c>
      <c r="I250" s="11">
        <v>3</v>
      </c>
      <c r="J250" s="11">
        <v>1959</v>
      </c>
      <c r="K250" s="11"/>
      <c r="L250" s="10">
        <v>44068</v>
      </c>
      <c r="M250" s="9" t="s">
        <v>1180</v>
      </c>
      <c r="N250" s="13" t="str">
        <f>VLOOKUP(H250,基础数据!G:H,2,FALSE)</f>
        <v>SR140后缘</v>
      </c>
    </row>
    <row r="251" spans="1:14" s="12" customFormat="1">
      <c r="A251" s="11">
        <v>1270</v>
      </c>
      <c r="B251" s="13" t="str">
        <f>VLOOKUP(A251,基础数据!A:B,2,FALSE)</f>
        <v>洛阳</v>
      </c>
      <c r="C251" s="10">
        <v>44037</v>
      </c>
      <c r="D251" s="9"/>
      <c r="E251" s="11">
        <v>4500065974</v>
      </c>
      <c r="F251" s="9"/>
      <c r="G251" s="11">
        <v>1120002597</v>
      </c>
      <c r="H251" s="9" t="s">
        <v>19</v>
      </c>
      <c r="I251" s="11">
        <v>3</v>
      </c>
      <c r="J251" s="11">
        <v>9198</v>
      </c>
      <c r="K251" s="11"/>
      <c r="L251" s="10">
        <v>44068</v>
      </c>
      <c r="M251" s="9" t="s">
        <v>1181</v>
      </c>
      <c r="N251" s="13" t="str">
        <f>VLOOKUP(H251,基础数据!G:H,2,FALSE)</f>
        <v>SR140大梁</v>
      </c>
    </row>
    <row r="252" spans="1:14" s="12" customFormat="1">
      <c r="A252" s="11">
        <v>1270</v>
      </c>
      <c r="B252" s="13" t="str">
        <f>VLOOKUP(A252,基础数据!A:B,2,FALSE)</f>
        <v>洛阳</v>
      </c>
      <c r="C252" s="10">
        <v>44037</v>
      </c>
      <c r="D252" s="9"/>
      <c r="E252" s="11">
        <v>4500065974</v>
      </c>
      <c r="F252" s="9"/>
      <c r="G252" s="11">
        <v>1120002596</v>
      </c>
      <c r="H252" s="9" t="s">
        <v>18</v>
      </c>
      <c r="I252" s="11">
        <v>2</v>
      </c>
      <c r="J252" s="11">
        <v>1286</v>
      </c>
      <c r="K252" s="11"/>
      <c r="L252" s="10">
        <v>44068</v>
      </c>
      <c r="M252" s="9" t="s">
        <v>1182</v>
      </c>
      <c r="N252" s="13" t="str">
        <f>VLOOKUP(H252,基础数据!G:H,2,FALSE)</f>
        <v>SR140后缘</v>
      </c>
    </row>
    <row r="253" spans="1:14" s="12" customFormat="1">
      <c r="A253" s="11">
        <v>1270</v>
      </c>
      <c r="B253" s="13" t="str">
        <f>VLOOKUP(A253,基础数据!A:B,2,FALSE)</f>
        <v>洛阳</v>
      </c>
      <c r="C253" s="10">
        <v>44037</v>
      </c>
      <c r="D253" s="9"/>
      <c r="E253" s="11">
        <v>4500065974</v>
      </c>
      <c r="F253" s="9"/>
      <c r="G253" s="11">
        <v>1120002597</v>
      </c>
      <c r="H253" s="9" t="s">
        <v>19</v>
      </c>
      <c r="I253" s="11">
        <v>2</v>
      </c>
      <c r="J253" s="11">
        <v>6132</v>
      </c>
      <c r="K253" s="11"/>
      <c r="L253" s="10">
        <v>44068</v>
      </c>
      <c r="M253" s="9" t="s">
        <v>1183</v>
      </c>
      <c r="N253" s="13" t="str">
        <f>VLOOKUP(H253,基础数据!G:H,2,FALSE)</f>
        <v>SR140大梁</v>
      </c>
    </row>
    <row r="254" spans="1:14" s="12" customFormat="1">
      <c r="A254" s="11">
        <v>1270</v>
      </c>
      <c r="B254" s="13" t="str">
        <f>VLOOKUP(A254,基础数据!A:B,2,FALSE)</f>
        <v>洛阳</v>
      </c>
      <c r="C254" s="10">
        <v>44037</v>
      </c>
      <c r="D254" s="9"/>
      <c r="E254" s="11">
        <v>4500065974</v>
      </c>
      <c r="F254" s="9"/>
      <c r="G254" s="11">
        <v>1120002601</v>
      </c>
      <c r="H254" s="9" t="s">
        <v>20</v>
      </c>
      <c r="I254" s="11"/>
      <c r="J254" s="11">
        <v>6840</v>
      </c>
      <c r="K254" s="11"/>
      <c r="L254" s="10">
        <v>44068</v>
      </c>
      <c r="M254" s="9" t="s">
        <v>1184</v>
      </c>
      <c r="N254" s="13" t="str">
        <f>VLOOKUP(H254,基础数据!G:H,2,FALSE)</f>
        <v>TTX1500H-1.27-100</v>
      </c>
    </row>
    <row r="255" spans="1:14" s="12" customFormat="1">
      <c r="A255" s="11">
        <v>1270</v>
      </c>
      <c r="B255" s="13" t="str">
        <f>VLOOKUP(A255,基础数据!A:B,2,FALSE)</f>
        <v>洛阳</v>
      </c>
      <c r="C255" s="10">
        <v>44037</v>
      </c>
      <c r="D255" s="9"/>
      <c r="E255" s="11">
        <v>4500065974</v>
      </c>
      <c r="F255" s="9"/>
      <c r="G255" s="11">
        <v>1120002596</v>
      </c>
      <c r="H255" s="9" t="s">
        <v>18</v>
      </c>
      <c r="I255" s="11">
        <v>3</v>
      </c>
      <c r="J255" s="11">
        <v>1959</v>
      </c>
      <c r="K255" s="11"/>
      <c r="L255" s="10">
        <v>44068</v>
      </c>
      <c r="M255" s="9" t="s">
        <v>1185</v>
      </c>
      <c r="N255" s="13" t="str">
        <f>VLOOKUP(H255,基础数据!G:H,2,FALSE)</f>
        <v>SR140后缘</v>
      </c>
    </row>
    <row r="256" spans="1:14" s="12" customFormat="1">
      <c r="A256" s="11">
        <v>1270</v>
      </c>
      <c r="B256" s="13" t="str">
        <f>VLOOKUP(A256,基础数据!A:B,2,FALSE)</f>
        <v>洛阳</v>
      </c>
      <c r="C256" s="10">
        <v>44037</v>
      </c>
      <c r="D256" s="9"/>
      <c r="E256" s="11">
        <v>4500065974</v>
      </c>
      <c r="F256" s="9"/>
      <c r="G256" s="11">
        <v>1120002597</v>
      </c>
      <c r="H256" s="9" t="s">
        <v>19</v>
      </c>
      <c r="I256" s="11">
        <v>3</v>
      </c>
      <c r="J256" s="11">
        <v>9198</v>
      </c>
      <c r="K256" s="11"/>
      <c r="L256" s="10">
        <v>44068</v>
      </c>
      <c r="M256" s="9" t="s">
        <v>1186</v>
      </c>
      <c r="N256" s="13" t="str">
        <f>VLOOKUP(H256,基础数据!G:H,2,FALSE)</f>
        <v>SR140大梁</v>
      </c>
    </row>
    <row r="257" spans="1:14" s="12" customFormat="1">
      <c r="A257" s="11">
        <v>1270</v>
      </c>
      <c r="B257" s="13" t="str">
        <f>VLOOKUP(A257,基础数据!A:B,2,FALSE)</f>
        <v>洛阳</v>
      </c>
      <c r="C257" s="10">
        <v>44037</v>
      </c>
      <c r="D257" s="9"/>
      <c r="E257" s="11">
        <v>4500065974</v>
      </c>
      <c r="F257" s="9"/>
      <c r="G257" s="11">
        <v>1120002596</v>
      </c>
      <c r="H257" s="9" t="s">
        <v>18</v>
      </c>
      <c r="I257" s="11">
        <v>2</v>
      </c>
      <c r="J257" s="11">
        <v>1286</v>
      </c>
      <c r="K257" s="11"/>
      <c r="L257" s="10">
        <v>44068</v>
      </c>
      <c r="M257" s="9" t="s">
        <v>1187</v>
      </c>
      <c r="N257" s="13" t="str">
        <f>VLOOKUP(H257,基础数据!G:H,2,FALSE)</f>
        <v>SR140后缘</v>
      </c>
    </row>
    <row r="258" spans="1:14" s="12" customFormat="1">
      <c r="A258" s="11">
        <v>1270</v>
      </c>
      <c r="B258" s="13" t="str">
        <f>VLOOKUP(A258,基础数据!A:B,2,FALSE)</f>
        <v>洛阳</v>
      </c>
      <c r="C258" s="10">
        <v>44037</v>
      </c>
      <c r="D258" s="9"/>
      <c r="E258" s="11">
        <v>4500065974</v>
      </c>
      <c r="F258" s="9"/>
      <c r="G258" s="11">
        <v>1120002597</v>
      </c>
      <c r="H258" s="9" t="s">
        <v>19</v>
      </c>
      <c r="I258" s="11">
        <v>2</v>
      </c>
      <c r="J258" s="11">
        <v>6132</v>
      </c>
      <c r="K258" s="11"/>
      <c r="L258" s="10">
        <v>44068</v>
      </c>
      <c r="M258" s="9" t="s">
        <v>1188</v>
      </c>
      <c r="N258" s="13" t="str">
        <f>VLOOKUP(H258,基础数据!G:H,2,FALSE)</f>
        <v>SR140大梁</v>
      </c>
    </row>
    <row r="259" spans="1:14" s="12" customFormat="1">
      <c r="A259" s="11">
        <v>1270</v>
      </c>
      <c r="B259" s="13" t="str">
        <f>VLOOKUP(A259,基础数据!A:B,2,FALSE)</f>
        <v>洛阳</v>
      </c>
      <c r="C259" s="10">
        <v>44037</v>
      </c>
      <c r="D259" s="9"/>
      <c r="E259" s="11">
        <v>4500065974</v>
      </c>
      <c r="F259" s="9"/>
      <c r="G259" s="11">
        <v>1120002601</v>
      </c>
      <c r="H259" s="9" t="s">
        <v>20</v>
      </c>
      <c r="I259" s="11"/>
      <c r="J259" s="11">
        <v>6840</v>
      </c>
      <c r="K259" s="11"/>
      <c r="L259" s="10">
        <v>44068</v>
      </c>
      <c r="M259" s="9" t="s">
        <v>1189</v>
      </c>
      <c r="N259" s="13" t="str">
        <f>VLOOKUP(H259,基础数据!G:H,2,FALSE)</f>
        <v>TTX1500H-1.27-100</v>
      </c>
    </row>
    <row r="260" spans="1:14" s="12" customFormat="1">
      <c r="A260" s="11">
        <v>1270</v>
      </c>
      <c r="B260" s="13" t="str">
        <f>VLOOKUP(A260,基础数据!A:B,2,FALSE)</f>
        <v>洛阳</v>
      </c>
      <c r="C260" s="10">
        <v>44037</v>
      </c>
      <c r="D260" s="9"/>
      <c r="E260" s="11">
        <v>4500065974</v>
      </c>
      <c r="F260" s="9"/>
      <c r="G260" s="11">
        <v>1120002596</v>
      </c>
      <c r="H260" s="9" t="s">
        <v>18</v>
      </c>
      <c r="I260" s="11">
        <v>3</v>
      </c>
      <c r="J260" s="11">
        <v>1959</v>
      </c>
      <c r="K260" s="11"/>
      <c r="L260" s="10">
        <v>44068</v>
      </c>
      <c r="M260" s="9" t="s">
        <v>1190</v>
      </c>
      <c r="N260" s="13" t="str">
        <f>VLOOKUP(H260,基础数据!G:H,2,FALSE)</f>
        <v>SR140后缘</v>
      </c>
    </row>
    <row r="261" spans="1:14" s="12" customFormat="1">
      <c r="A261" s="11">
        <v>1270</v>
      </c>
      <c r="B261" s="13" t="str">
        <f>VLOOKUP(A261,基础数据!A:B,2,FALSE)</f>
        <v>洛阳</v>
      </c>
      <c r="C261" s="10">
        <v>44037</v>
      </c>
      <c r="D261" s="9"/>
      <c r="E261" s="11">
        <v>4500065974</v>
      </c>
      <c r="F261" s="9"/>
      <c r="G261" s="11">
        <v>1120002597</v>
      </c>
      <c r="H261" s="9" t="s">
        <v>19</v>
      </c>
      <c r="I261" s="11">
        <v>3</v>
      </c>
      <c r="J261" s="11">
        <v>9198</v>
      </c>
      <c r="K261" s="11"/>
      <c r="L261" s="10">
        <v>44068</v>
      </c>
      <c r="M261" s="9" t="s">
        <v>1191</v>
      </c>
      <c r="N261" s="13" t="str">
        <f>VLOOKUP(H261,基础数据!G:H,2,FALSE)</f>
        <v>SR140大梁</v>
      </c>
    </row>
    <row r="262" spans="1:14" s="12" customFormat="1">
      <c r="A262" s="11">
        <v>1270</v>
      </c>
      <c r="B262" s="13" t="str">
        <f>VLOOKUP(A262,基础数据!A:B,2,FALSE)</f>
        <v>洛阳</v>
      </c>
      <c r="C262" s="10">
        <v>44037</v>
      </c>
      <c r="D262" s="9"/>
      <c r="E262" s="11">
        <v>4500065974</v>
      </c>
      <c r="F262" s="9"/>
      <c r="G262" s="11">
        <v>1120002596</v>
      </c>
      <c r="H262" s="9" t="s">
        <v>18</v>
      </c>
      <c r="I262" s="11">
        <v>4</v>
      </c>
      <c r="J262" s="11">
        <v>2572</v>
      </c>
      <c r="K262" s="11"/>
      <c r="L262" s="10">
        <v>44068</v>
      </c>
      <c r="M262" s="9" t="s">
        <v>1192</v>
      </c>
      <c r="N262" s="13" t="str">
        <f>VLOOKUP(H262,基础数据!G:H,2,FALSE)</f>
        <v>SR140后缘</v>
      </c>
    </row>
    <row r="263" spans="1:14" s="12" customFormat="1">
      <c r="A263" s="11">
        <v>1270</v>
      </c>
      <c r="B263" s="13" t="str">
        <f>VLOOKUP(A263,基础数据!A:B,2,FALSE)</f>
        <v>洛阳</v>
      </c>
      <c r="C263" s="10">
        <v>44037</v>
      </c>
      <c r="D263" s="9"/>
      <c r="E263" s="11">
        <v>4500065974</v>
      </c>
      <c r="F263" s="9"/>
      <c r="G263" s="11">
        <v>1120002597</v>
      </c>
      <c r="H263" s="9" t="s">
        <v>19</v>
      </c>
      <c r="I263" s="11">
        <v>4</v>
      </c>
      <c r="J263" s="11">
        <v>12264</v>
      </c>
      <c r="K263" s="11"/>
      <c r="L263" s="10">
        <v>44068</v>
      </c>
      <c r="M263" s="9" t="s">
        <v>1193</v>
      </c>
      <c r="N263" s="13" t="str">
        <f>VLOOKUP(H263,基础数据!G:H,2,FALSE)</f>
        <v>SR140大梁</v>
      </c>
    </row>
    <row r="264" spans="1:14" s="12" customFormat="1">
      <c r="A264" s="11">
        <v>1270</v>
      </c>
      <c r="B264" s="13" t="str">
        <f>VLOOKUP(A264,基础数据!A:B,2,FALSE)</f>
        <v>洛阳</v>
      </c>
      <c r="C264" s="10">
        <v>44037</v>
      </c>
      <c r="D264" s="9"/>
      <c r="E264" s="11">
        <v>4500065974</v>
      </c>
      <c r="F264" s="9"/>
      <c r="G264" s="11">
        <v>1120002596</v>
      </c>
      <c r="H264" s="9" t="s">
        <v>18</v>
      </c>
      <c r="I264" s="11">
        <v>3</v>
      </c>
      <c r="J264" s="11">
        <v>1956</v>
      </c>
      <c r="K264" s="11"/>
      <c r="L264" s="10">
        <v>44068</v>
      </c>
      <c r="M264" s="9" t="s">
        <v>1194</v>
      </c>
      <c r="N264" s="13" t="str">
        <f>VLOOKUP(H264,基础数据!G:H,2,FALSE)</f>
        <v>SR140后缘</v>
      </c>
    </row>
    <row r="265" spans="1:14" s="12" customFormat="1">
      <c r="A265" s="11">
        <v>1270</v>
      </c>
      <c r="B265" s="13" t="str">
        <f>VLOOKUP(A265,基础数据!A:B,2,FALSE)</f>
        <v>洛阳</v>
      </c>
      <c r="C265" s="10">
        <v>44037</v>
      </c>
      <c r="D265" s="9"/>
      <c r="E265" s="11">
        <v>4500065974</v>
      </c>
      <c r="F265" s="9"/>
      <c r="G265" s="11">
        <v>1120002597</v>
      </c>
      <c r="H265" s="9" t="s">
        <v>19</v>
      </c>
      <c r="I265" s="11">
        <v>3</v>
      </c>
      <c r="J265" s="11">
        <v>9198</v>
      </c>
      <c r="K265" s="11"/>
      <c r="L265" s="10">
        <v>44068</v>
      </c>
      <c r="M265" s="9" t="s">
        <v>1195</v>
      </c>
      <c r="N265" s="13" t="str">
        <f>VLOOKUP(H265,基础数据!G:H,2,FALSE)</f>
        <v>SR140大梁</v>
      </c>
    </row>
    <row r="266" spans="1:14" s="12" customFormat="1">
      <c r="A266" s="11">
        <v>1270</v>
      </c>
      <c r="B266" s="13" t="str">
        <f>VLOOKUP(A266,基础数据!A:B,2,FALSE)</f>
        <v>洛阳</v>
      </c>
      <c r="C266" s="10">
        <v>44037</v>
      </c>
      <c r="D266" s="9"/>
      <c r="E266" s="11">
        <v>4500065974</v>
      </c>
      <c r="F266" s="9"/>
      <c r="G266" s="11">
        <v>1120002596</v>
      </c>
      <c r="H266" s="9" t="s">
        <v>18</v>
      </c>
      <c r="I266" s="11">
        <v>3</v>
      </c>
      <c r="J266" s="11">
        <v>1956</v>
      </c>
      <c r="K266" s="11"/>
      <c r="L266" s="10">
        <v>44068</v>
      </c>
      <c r="M266" s="9" t="s">
        <v>1196</v>
      </c>
      <c r="N266" s="13" t="str">
        <f>VLOOKUP(H266,基础数据!G:H,2,FALSE)</f>
        <v>SR140后缘</v>
      </c>
    </row>
    <row r="267" spans="1:14" s="12" customFormat="1">
      <c r="A267" s="11">
        <v>1270</v>
      </c>
      <c r="B267" s="13" t="str">
        <f>VLOOKUP(A267,基础数据!A:B,2,FALSE)</f>
        <v>洛阳</v>
      </c>
      <c r="C267" s="10">
        <v>44037</v>
      </c>
      <c r="D267" s="9"/>
      <c r="E267" s="11">
        <v>4500065974</v>
      </c>
      <c r="F267" s="9"/>
      <c r="G267" s="11">
        <v>1120002597</v>
      </c>
      <c r="H267" s="9" t="s">
        <v>19</v>
      </c>
      <c r="I267" s="11">
        <v>3</v>
      </c>
      <c r="J267" s="11">
        <v>9198</v>
      </c>
      <c r="K267" s="11"/>
      <c r="L267" s="10">
        <v>44068</v>
      </c>
      <c r="M267" s="9" t="s">
        <v>1197</v>
      </c>
      <c r="N267" s="13" t="str">
        <f>VLOOKUP(H267,基础数据!G:H,2,FALSE)</f>
        <v>SR140大梁</v>
      </c>
    </row>
    <row r="268" spans="1:14" s="12" customFormat="1">
      <c r="A268" s="11">
        <v>1270</v>
      </c>
      <c r="B268" s="13" t="str">
        <f>VLOOKUP(A268,基础数据!A:B,2,FALSE)</f>
        <v>洛阳</v>
      </c>
      <c r="C268" s="10">
        <v>44037</v>
      </c>
      <c r="D268" s="9"/>
      <c r="E268" s="11">
        <v>4500065974</v>
      </c>
      <c r="F268" s="9"/>
      <c r="G268" s="11">
        <v>1120002596</v>
      </c>
      <c r="H268" s="9" t="s">
        <v>18</v>
      </c>
      <c r="I268" s="11">
        <v>2</v>
      </c>
      <c r="J268" s="11">
        <v>1286</v>
      </c>
      <c r="K268" s="11"/>
      <c r="L268" s="10">
        <v>44068</v>
      </c>
      <c r="M268" s="9" t="s">
        <v>942</v>
      </c>
      <c r="N268" s="13" t="str">
        <f>VLOOKUP(H268,基础数据!G:H,2,FALSE)</f>
        <v>SR140后缘</v>
      </c>
    </row>
    <row r="269" spans="1:14" s="12" customFormat="1">
      <c r="A269" s="11">
        <v>1270</v>
      </c>
      <c r="B269" s="13" t="str">
        <f>VLOOKUP(A269,基础数据!A:B,2,FALSE)</f>
        <v>洛阳</v>
      </c>
      <c r="C269" s="10">
        <v>44037</v>
      </c>
      <c r="D269" s="9"/>
      <c r="E269" s="11">
        <v>4500065974</v>
      </c>
      <c r="F269" s="9"/>
      <c r="G269" s="11">
        <v>1120002597</v>
      </c>
      <c r="H269" s="9" t="s">
        <v>19</v>
      </c>
      <c r="I269" s="11">
        <v>2</v>
      </c>
      <c r="J269" s="11">
        <v>6132</v>
      </c>
      <c r="K269" s="11"/>
      <c r="L269" s="10">
        <v>44068</v>
      </c>
      <c r="M269" s="9" t="s">
        <v>943</v>
      </c>
      <c r="N269" s="13" t="str">
        <f>VLOOKUP(H269,基础数据!G:H,2,FALSE)</f>
        <v>SR140大梁</v>
      </c>
    </row>
    <row r="270" spans="1:14" s="12" customFormat="1">
      <c r="A270" s="11">
        <v>1270</v>
      </c>
      <c r="B270" s="13" t="str">
        <f>VLOOKUP(A270,基础数据!A:B,2,FALSE)</f>
        <v>洛阳</v>
      </c>
      <c r="C270" s="10">
        <v>44037</v>
      </c>
      <c r="D270" s="9"/>
      <c r="E270" s="11">
        <v>4500065974</v>
      </c>
      <c r="F270" s="9"/>
      <c r="G270" s="11">
        <v>1120002601</v>
      </c>
      <c r="H270" s="9" t="s">
        <v>20</v>
      </c>
      <c r="I270" s="11"/>
      <c r="J270" s="11">
        <v>6927</v>
      </c>
      <c r="K270" s="11"/>
      <c r="L270" s="10">
        <v>44068</v>
      </c>
      <c r="M270" s="9" t="s">
        <v>1198</v>
      </c>
      <c r="N270" s="13" t="str">
        <f>VLOOKUP(H270,基础数据!G:H,2,FALSE)</f>
        <v>TTX1500H-1.27-100</v>
      </c>
    </row>
    <row r="271" spans="1:14" s="12" customFormat="1">
      <c r="A271" s="11">
        <v>1270</v>
      </c>
      <c r="B271" s="13" t="str">
        <f>VLOOKUP(A271,基础数据!A:B,2,FALSE)</f>
        <v>洛阳</v>
      </c>
      <c r="C271" s="10">
        <v>44037</v>
      </c>
      <c r="D271" s="9"/>
      <c r="E271" s="11">
        <v>4500065974</v>
      </c>
      <c r="F271" s="9"/>
      <c r="G271" s="11">
        <v>1120002596</v>
      </c>
      <c r="H271" s="9" t="s">
        <v>18</v>
      </c>
      <c r="I271" s="11">
        <v>2</v>
      </c>
      <c r="J271" s="11">
        <v>1286</v>
      </c>
      <c r="K271" s="11"/>
      <c r="L271" s="10">
        <v>44068</v>
      </c>
      <c r="M271" s="9" t="s">
        <v>1199</v>
      </c>
      <c r="N271" s="13" t="str">
        <f>VLOOKUP(H271,基础数据!G:H,2,FALSE)</f>
        <v>SR140后缘</v>
      </c>
    </row>
    <row r="272" spans="1:14" s="12" customFormat="1">
      <c r="A272" s="11">
        <v>1270</v>
      </c>
      <c r="B272" s="13" t="str">
        <f>VLOOKUP(A272,基础数据!A:B,2,FALSE)</f>
        <v>洛阳</v>
      </c>
      <c r="C272" s="10">
        <v>44037</v>
      </c>
      <c r="D272" s="9"/>
      <c r="E272" s="11">
        <v>4500065974</v>
      </c>
      <c r="F272" s="9"/>
      <c r="G272" s="11">
        <v>1120002597</v>
      </c>
      <c r="H272" s="9" t="s">
        <v>19</v>
      </c>
      <c r="I272" s="11">
        <v>2</v>
      </c>
      <c r="J272" s="11">
        <v>6132</v>
      </c>
      <c r="K272" s="11"/>
      <c r="L272" s="10">
        <v>44068</v>
      </c>
      <c r="M272" s="9" t="s">
        <v>1200</v>
      </c>
      <c r="N272" s="13" t="str">
        <f>VLOOKUP(H272,基础数据!G:H,2,FALSE)</f>
        <v>SR140大梁</v>
      </c>
    </row>
    <row r="273" spans="1:14" s="12" customFormat="1">
      <c r="A273" s="11">
        <v>1270</v>
      </c>
      <c r="B273" s="13" t="str">
        <f>VLOOKUP(A273,基础数据!A:B,2,FALSE)</f>
        <v>洛阳</v>
      </c>
      <c r="C273" s="10">
        <v>44037</v>
      </c>
      <c r="D273" s="9"/>
      <c r="E273" s="11">
        <v>4500065974</v>
      </c>
      <c r="F273" s="9"/>
      <c r="G273" s="11">
        <v>1120002601</v>
      </c>
      <c r="H273" s="9" t="s">
        <v>20</v>
      </c>
      <c r="I273" s="11"/>
      <c r="J273" s="11">
        <v>6478</v>
      </c>
      <c r="K273" s="11"/>
      <c r="L273" s="10">
        <v>44068</v>
      </c>
      <c r="M273" s="9" t="s">
        <v>965</v>
      </c>
      <c r="N273" s="13" t="str">
        <f>VLOOKUP(H273,基础数据!G:H,2,FALSE)</f>
        <v>TTX1500H-1.27-100</v>
      </c>
    </row>
    <row r="274" spans="1:14" s="12" customFormat="1">
      <c r="A274" s="11">
        <v>1270</v>
      </c>
      <c r="B274" s="13" t="str">
        <f>VLOOKUP(A274,基础数据!A:B,2,FALSE)</f>
        <v>洛阳</v>
      </c>
      <c r="C274" s="10">
        <v>44037</v>
      </c>
      <c r="D274" s="9"/>
      <c r="E274" s="11">
        <v>4500065974</v>
      </c>
      <c r="F274" s="9"/>
      <c r="G274" s="11">
        <v>1120002596</v>
      </c>
      <c r="H274" s="9" t="s">
        <v>18</v>
      </c>
      <c r="I274" s="11">
        <v>3</v>
      </c>
      <c r="J274" s="11">
        <v>1956</v>
      </c>
      <c r="K274" s="11"/>
      <c r="L274" s="10">
        <v>44068</v>
      </c>
      <c r="M274" s="9" t="s">
        <v>1201</v>
      </c>
      <c r="N274" s="13" t="str">
        <f>VLOOKUP(H274,基础数据!G:H,2,FALSE)</f>
        <v>SR140后缘</v>
      </c>
    </row>
    <row r="275" spans="1:14" s="12" customFormat="1">
      <c r="A275" s="11">
        <v>1270</v>
      </c>
      <c r="B275" s="13" t="str">
        <f>VLOOKUP(A275,基础数据!A:B,2,FALSE)</f>
        <v>洛阳</v>
      </c>
      <c r="C275" s="10">
        <v>44037</v>
      </c>
      <c r="D275" s="9"/>
      <c r="E275" s="11">
        <v>4500065974</v>
      </c>
      <c r="F275" s="9"/>
      <c r="G275" s="11">
        <v>1120002597</v>
      </c>
      <c r="H275" s="9" t="s">
        <v>19</v>
      </c>
      <c r="I275" s="11">
        <v>3</v>
      </c>
      <c r="J275" s="11">
        <v>9198</v>
      </c>
      <c r="K275" s="11"/>
      <c r="L275" s="10">
        <v>44068</v>
      </c>
      <c r="M275" s="9" t="s">
        <v>1202</v>
      </c>
      <c r="N275" s="13" t="str">
        <f>VLOOKUP(H275,基础数据!G:H,2,FALSE)</f>
        <v>SR140大梁</v>
      </c>
    </row>
    <row r="276" spans="1:14" s="12" customFormat="1">
      <c r="A276" s="11">
        <v>1270</v>
      </c>
      <c r="B276" s="13" t="str">
        <f>VLOOKUP(A276,基础数据!A:B,2,FALSE)</f>
        <v>洛阳</v>
      </c>
      <c r="C276" s="10">
        <v>44037</v>
      </c>
      <c r="D276" s="9"/>
      <c r="E276" s="11">
        <v>4500065974</v>
      </c>
      <c r="F276" s="9"/>
      <c r="G276" s="11">
        <v>1120002596</v>
      </c>
      <c r="H276" s="9" t="s">
        <v>18</v>
      </c>
      <c r="I276" s="11">
        <f>48-3-3-2-3-2-3-2-3-2-3-4-3-3-2-2-3</f>
        <v>5</v>
      </c>
      <c r="J276" s="11">
        <f>30864-1959-1959-1286-1959-1286-1959-1286-1959-1286-1959-2572-1956-1956-1286-1286-1956</f>
        <v>2954</v>
      </c>
      <c r="K276" s="11"/>
      <c r="L276" s="10">
        <v>44068</v>
      </c>
      <c r="M276" s="9" t="s">
        <v>1203</v>
      </c>
      <c r="N276" s="13" t="str">
        <f>VLOOKUP(H276,基础数据!G:H,2,FALSE)</f>
        <v>SR140后缘</v>
      </c>
    </row>
    <row r="277" spans="1:14" s="12" customFormat="1">
      <c r="A277" s="11">
        <v>1270</v>
      </c>
      <c r="B277" s="13" t="str">
        <f>VLOOKUP(A277,基础数据!A:B,2,FALSE)</f>
        <v>洛阳</v>
      </c>
      <c r="C277" s="10">
        <v>44037</v>
      </c>
      <c r="D277" s="9"/>
      <c r="E277" s="11">
        <v>4500065974</v>
      </c>
      <c r="F277" s="9"/>
      <c r="G277" s="11">
        <v>1120002597</v>
      </c>
      <c r="H277" s="9" t="s">
        <v>19</v>
      </c>
      <c r="I277" s="11">
        <f>48-3-3-2-3-2-3-2-3-2-3-4-3-3-2-2-3</f>
        <v>5</v>
      </c>
      <c r="J277" s="11">
        <f>147168-9198-9198-6132-9198-6132-9198-6132-9198-6132-9198-12264-9198-9198-6132-6132-9198</f>
        <v>15330</v>
      </c>
      <c r="K277" s="11"/>
      <c r="L277" s="10">
        <v>44068</v>
      </c>
      <c r="M277" s="9" t="s">
        <v>1204</v>
      </c>
      <c r="N277" s="13" t="str">
        <f>VLOOKUP(H277,基础数据!G:H,2,FALSE)</f>
        <v>SR140大梁</v>
      </c>
    </row>
    <row r="278" spans="1:14" s="12" customFormat="1">
      <c r="A278" s="11">
        <v>1270</v>
      </c>
      <c r="B278" s="13" t="str">
        <f>VLOOKUP(A278,基础数据!A:B,2,FALSE)</f>
        <v>洛阳</v>
      </c>
      <c r="C278" s="10">
        <v>44037</v>
      </c>
      <c r="D278" s="9"/>
      <c r="E278" s="11">
        <v>4500065974</v>
      </c>
      <c r="F278" s="9"/>
      <c r="G278" s="11">
        <v>1120002601</v>
      </c>
      <c r="H278" s="9" t="s">
        <v>20</v>
      </c>
      <c r="I278" s="11"/>
      <c r="J278" s="11">
        <v>6840</v>
      </c>
      <c r="K278" s="11"/>
      <c r="L278" s="10">
        <v>44068</v>
      </c>
      <c r="M278" s="9" t="s">
        <v>990</v>
      </c>
      <c r="N278" s="13" t="str">
        <f>VLOOKUP(H278,基础数据!G:H,2,FALSE)</f>
        <v>TTX1500H-1.27-100</v>
      </c>
    </row>
    <row r="279" spans="1:14" s="18" customFormat="1">
      <c r="A279" s="14">
        <v>1270</v>
      </c>
      <c r="B279" s="17" t="str">
        <f>VLOOKUP(A279,基础数据!A:B,2,FALSE)</f>
        <v>洛阳</v>
      </c>
      <c r="C279" s="16">
        <v>44057</v>
      </c>
      <c r="D279" s="15"/>
      <c r="E279" s="14">
        <v>4500067741</v>
      </c>
      <c r="F279" s="15"/>
      <c r="G279" s="14">
        <v>1120002601</v>
      </c>
      <c r="H279" s="15" t="s">
        <v>20</v>
      </c>
      <c r="I279" s="14"/>
      <c r="J279" s="14">
        <f>71208-16764</f>
        <v>54444</v>
      </c>
      <c r="K279" s="14"/>
      <c r="L279" s="16">
        <v>44099</v>
      </c>
      <c r="M279" s="15" t="s">
        <v>1383</v>
      </c>
      <c r="N279" s="17" t="str">
        <f>VLOOKUP(H279,基础数据!G:H,2,FALSE)</f>
        <v>TTX1500H-1.27-100</v>
      </c>
    </row>
    <row r="280" spans="1:14" s="18" customFormat="1">
      <c r="A280" s="14">
        <v>1270</v>
      </c>
      <c r="B280" s="17" t="str">
        <f>VLOOKUP(A280,基础数据!A:B,2,FALSE)</f>
        <v>洛阳</v>
      </c>
      <c r="C280" s="16">
        <v>44037</v>
      </c>
      <c r="D280" s="15"/>
      <c r="E280" s="14">
        <v>4500065974</v>
      </c>
      <c r="F280" s="15"/>
      <c r="G280" s="14">
        <v>1120002601</v>
      </c>
      <c r="H280" s="15" t="s">
        <v>20</v>
      </c>
      <c r="I280" s="14"/>
      <c r="J280" s="14">
        <v>12050</v>
      </c>
      <c r="K280" s="14"/>
      <c r="L280" s="16">
        <v>44068</v>
      </c>
      <c r="M280" s="15" t="s">
        <v>1024</v>
      </c>
      <c r="N280" s="17" t="str">
        <f>VLOOKUP(H280,基础数据!G:H,2,FALSE)</f>
        <v>TTX1500H-1.27-100</v>
      </c>
    </row>
    <row r="281" spans="1:14" s="12" customFormat="1">
      <c r="A281" s="11">
        <v>1270</v>
      </c>
      <c r="B281" s="13" t="str">
        <f>VLOOKUP(A281,基础数据!A:B,2,FALSE)</f>
        <v>洛阳</v>
      </c>
      <c r="C281" s="10">
        <v>44057</v>
      </c>
      <c r="D281" s="9"/>
      <c r="E281" s="11">
        <v>4500067741</v>
      </c>
      <c r="F281" s="9"/>
      <c r="G281" s="11">
        <v>1120002596</v>
      </c>
      <c r="H281" s="9" t="s">
        <v>18</v>
      </c>
      <c r="I281" s="11">
        <v>3</v>
      </c>
      <c r="J281" s="11">
        <v>1929</v>
      </c>
      <c r="K281" s="11"/>
      <c r="L281" s="10">
        <v>44099</v>
      </c>
      <c r="M281" s="9" t="s">
        <v>1025</v>
      </c>
      <c r="N281" s="13" t="str">
        <f>VLOOKUP(H281,基础数据!G:H,2,FALSE)</f>
        <v>SR140后缘</v>
      </c>
    </row>
    <row r="282" spans="1:14" s="12" customFormat="1">
      <c r="A282" s="11">
        <v>1270</v>
      </c>
      <c r="B282" s="13" t="str">
        <f>VLOOKUP(A282,基础数据!A:B,2,FALSE)</f>
        <v>洛阳</v>
      </c>
      <c r="C282" s="10">
        <v>44057</v>
      </c>
      <c r="D282" s="9"/>
      <c r="E282" s="11">
        <v>4500067741</v>
      </c>
      <c r="F282" s="9"/>
      <c r="G282" s="11">
        <v>1120002597</v>
      </c>
      <c r="H282" s="9" t="s">
        <v>19</v>
      </c>
      <c r="I282" s="11">
        <v>3</v>
      </c>
      <c r="J282" s="11">
        <v>9198</v>
      </c>
      <c r="K282" s="11"/>
      <c r="L282" s="10">
        <v>44099</v>
      </c>
      <c r="M282" s="9" t="s">
        <v>1026</v>
      </c>
      <c r="N282" s="13" t="str">
        <f>VLOOKUP(H282,基础数据!G:H,2,FALSE)</f>
        <v>SR140大梁</v>
      </c>
    </row>
    <row r="283" spans="1:14" s="12" customFormat="1">
      <c r="A283" s="11">
        <v>1270</v>
      </c>
      <c r="B283" s="13" t="str">
        <f>VLOOKUP(A283,基础数据!A:B,2,FALSE)</f>
        <v>洛阳</v>
      </c>
      <c r="C283" s="10">
        <v>44057</v>
      </c>
      <c r="D283" s="9"/>
      <c r="E283" s="11">
        <v>4500067741</v>
      </c>
      <c r="F283" s="9"/>
      <c r="G283" s="11">
        <v>1120002596</v>
      </c>
      <c r="H283" s="9" t="s">
        <v>18</v>
      </c>
      <c r="I283" s="11">
        <v>2</v>
      </c>
      <c r="J283" s="11">
        <v>1286</v>
      </c>
      <c r="K283" s="11"/>
      <c r="L283" s="10">
        <v>44099</v>
      </c>
      <c r="M283" s="9" t="s">
        <v>1038</v>
      </c>
      <c r="N283" s="13" t="str">
        <f>VLOOKUP(H283,基础数据!G:H,2,FALSE)</f>
        <v>SR140后缘</v>
      </c>
    </row>
    <row r="284" spans="1:14" s="12" customFormat="1">
      <c r="A284" s="11">
        <v>1270</v>
      </c>
      <c r="B284" s="13" t="str">
        <f>VLOOKUP(A284,基础数据!A:B,2,FALSE)</f>
        <v>洛阳</v>
      </c>
      <c r="C284" s="10">
        <v>44057</v>
      </c>
      <c r="D284" s="9"/>
      <c r="E284" s="11">
        <v>4500067741</v>
      </c>
      <c r="F284" s="9"/>
      <c r="G284" s="11">
        <v>1120002597</v>
      </c>
      <c r="H284" s="9" t="s">
        <v>19</v>
      </c>
      <c r="I284" s="11">
        <v>2</v>
      </c>
      <c r="J284" s="11">
        <f>141206-3066*12-9198-6132</f>
        <v>89084</v>
      </c>
      <c r="K284" s="11"/>
      <c r="L284" s="10">
        <v>44099</v>
      </c>
      <c r="M284" s="9" t="s">
        <v>1037</v>
      </c>
      <c r="N284" s="13" t="str">
        <f>VLOOKUP(H284,基础数据!G:H,2,FALSE)</f>
        <v>SR140大梁</v>
      </c>
    </row>
    <row r="285" spans="1:14" s="12" customFormat="1">
      <c r="A285" s="11">
        <v>1270</v>
      </c>
      <c r="B285" s="13" t="str">
        <f>VLOOKUP(A285,基础数据!A:B,2,FALSE)</f>
        <v>洛阳</v>
      </c>
      <c r="C285" s="10">
        <v>44062</v>
      </c>
      <c r="D285" s="9"/>
      <c r="E285" s="11">
        <v>4500070744</v>
      </c>
      <c r="F285" s="9"/>
      <c r="G285" s="11">
        <v>2019000591</v>
      </c>
      <c r="H285" s="9" t="s">
        <v>436</v>
      </c>
      <c r="I285" s="11">
        <v>3</v>
      </c>
      <c r="J285" s="11">
        <f>45632-4416</f>
        <v>41216</v>
      </c>
      <c r="K285" s="11"/>
      <c r="L285" s="10">
        <v>44099</v>
      </c>
      <c r="M285" s="9" t="s">
        <v>1036</v>
      </c>
      <c r="N285" s="13" t="e">
        <f>VLOOKUP(H285,基础数据!G:H,2,FALSE)</f>
        <v>#N/A</v>
      </c>
    </row>
    <row r="286" spans="1:14" s="12" customFormat="1">
      <c r="A286" s="11">
        <v>1270</v>
      </c>
      <c r="B286" s="13" t="str">
        <f>VLOOKUP(A286,基础数据!A:B,2,FALSE)</f>
        <v>洛阳</v>
      </c>
      <c r="C286" s="10">
        <v>44062</v>
      </c>
      <c r="D286" s="9"/>
      <c r="E286" s="11">
        <v>4500070744</v>
      </c>
      <c r="F286" s="9"/>
      <c r="G286" s="11">
        <v>2019000591</v>
      </c>
      <c r="H286" s="9" t="s">
        <v>436</v>
      </c>
      <c r="I286" s="11">
        <v>9</v>
      </c>
      <c r="J286" s="11">
        <v>13248</v>
      </c>
      <c r="K286" s="11"/>
      <c r="L286" s="10">
        <v>44099</v>
      </c>
      <c r="M286" s="9" t="s">
        <v>1044</v>
      </c>
      <c r="N286" s="13" t="e">
        <f>VLOOKUP(H286,基础数据!G:H,2,FALSE)</f>
        <v>#N/A</v>
      </c>
    </row>
    <row r="287" spans="1:14" s="12" customFormat="1">
      <c r="A287" s="11">
        <v>1270</v>
      </c>
      <c r="B287" s="13" t="str">
        <f>VLOOKUP(A287,基础数据!A:B,2,FALSE)</f>
        <v>洛阳</v>
      </c>
      <c r="C287" s="10">
        <v>44057</v>
      </c>
      <c r="D287" s="9"/>
      <c r="E287" s="11">
        <v>4500067741</v>
      </c>
      <c r="F287" s="9"/>
      <c r="G287" s="11">
        <v>1120002596</v>
      </c>
      <c r="H287" s="9" t="s">
        <v>18</v>
      </c>
      <c r="I287" s="11">
        <v>3</v>
      </c>
      <c r="J287" s="11">
        <v>1929</v>
      </c>
      <c r="K287" s="11"/>
      <c r="L287" s="10">
        <v>44099</v>
      </c>
      <c r="M287" s="9" t="s">
        <v>1061</v>
      </c>
      <c r="N287" s="13" t="str">
        <f>VLOOKUP(H287,基础数据!G:H,2,FALSE)</f>
        <v>SR140后缘</v>
      </c>
    </row>
    <row r="288" spans="1:14" s="12" customFormat="1">
      <c r="A288" s="11">
        <v>1270</v>
      </c>
      <c r="B288" s="13" t="str">
        <f>VLOOKUP(A288,基础数据!A:B,2,FALSE)</f>
        <v>洛阳</v>
      </c>
      <c r="C288" s="10">
        <v>44057</v>
      </c>
      <c r="D288" s="9"/>
      <c r="E288" s="11">
        <v>4500067741</v>
      </c>
      <c r="F288" s="9"/>
      <c r="G288" s="11">
        <v>1120002597</v>
      </c>
      <c r="H288" s="9" t="s">
        <v>19</v>
      </c>
      <c r="I288" s="11">
        <v>3</v>
      </c>
      <c r="J288" s="11">
        <v>9198</v>
      </c>
      <c r="K288" s="11"/>
      <c r="L288" s="10">
        <v>44099</v>
      </c>
      <c r="M288" s="9" t="s">
        <v>1062</v>
      </c>
      <c r="N288" s="13" t="str">
        <f>VLOOKUP(H288,基础数据!G:H,2,FALSE)</f>
        <v>SR140大梁</v>
      </c>
    </row>
    <row r="289" spans="1:14" s="12" customFormat="1">
      <c r="A289" s="11">
        <v>1270</v>
      </c>
      <c r="B289" s="13" t="str">
        <f>VLOOKUP(A289,基础数据!A:B,2,FALSE)</f>
        <v>洛阳</v>
      </c>
      <c r="C289" s="10">
        <v>44057</v>
      </c>
      <c r="D289" s="9"/>
      <c r="E289" s="11">
        <v>4500067741</v>
      </c>
      <c r="F289" s="9"/>
      <c r="G289" s="11">
        <v>1120002596</v>
      </c>
      <c r="H289" s="9" t="s">
        <v>18</v>
      </c>
      <c r="I289" s="11">
        <v>4</v>
      </c>
      <c r="J289" s="11">
        <v>2572</v>
      </c>
      <c r="K289" s="11"/>
      <c r="L289" s="10">
        <v>44099</v>
      </c>
      <c r="M289" s="9" t="s">
        <v>1063</v>
      </c>
      <c r="N289" s="13" t="str">
        <f>VLOOKUP(H289,基础数据!G:H,2,FALSE)</f>
        <v>SR140后缘</v>
      </c>
    </row>
    <row r="290" spans="1:14" s="12" customFormat="1">
      <c r="A290" s="11">
        <v>1270</v>
      </c>
      <c r="B290" s="13" t="str">
        <f>VLOOKUP(A290,基础数据!A:B,2,FALSE)</f>
        <v>洛阳</v>
      </c>
      <c r="C290" s="10">
        <v>44057</v>
      </c>
      <c r="D290" s="9"/>
      <c r="E290" s="11">
        <v>4500067741</v>
      </c>
      <c r="F290" s="9"/>
      <c r="G290" s="11">
        <v>1120002597</v>
      </c>
      <c r="H290" s="9" t="s">
        <v>19</v>
      </c>
      <c r="I290" s="11">
        <v>4</v>
      </c>
      <c r="J290" s="11">
        <v>12264</v>
      </c>
      <c r="K290" s="11"/>
      <c r="L290" s="10">
        <v>44099</v>
      </c>
      <c r="M290" s="9" t="s">
        <v>1064</v>
      </c>
      <c r="N290" s="13" t="str">
        <f>VLOOKUP(H290,基础数据!G:H,2,FALSE)</f>
        <v>SR140大梁</v>
      </c>
    </row>
    <row r="291" spans="1:14" s="12" customFormat="1">
      <c r="A291" s="11">
        <v>1270</v>
      </c>
      <c r="B291" s="13" t="str">
        <f>VLOOKUP(A291,基础数据!A:B,2,FALSE)</f>
        <v>洛阳</v>
      </c>
      <c r="C291" s="10">
        <v>44057</v>
      </c>
      <c r="D291" s="9"/>
      <c r="E291" s="11">
        <v>4500067741</v>
      </c>
      <c r="F291" s="9"/>
      <c r="G291" s="11">
        <v>1120002596</v>
      </c>
      <c r="H291" s="9" t="s">
        <v>18</v>
      </c>
      <c r="I291" s="11">
        <v>2</v>
      </c>
      <c r="J291" s="11">
        <v>1286</v>
      </c>
      <c r="K291" s="11"/>
      <c r="L291" s="10">
        <v>44099</v>
      </c>
      <c r="M291" s="9" t="s">
        <v>1087</v>
      </c>
      <c r="N291" s="13" t="str">
        <f>VLOOKUP(H291,基础数据!G:H,2,FALSE)</f>
        <v>SR140后缘</v>
      </c>
    </row>
    <row r="292" spans="1:14" s="12" customFormat="1">
      <c r="A292" s="11">
        <v>1270</v>
      </c>
      <c r="B292" s="13" t="str">
        <f>VLOOKUP(A292,基础数据!A:B,2,FALSE)</f>
        <v>洛阳</v>
      </c>
      <c r="C292" s="10">
        <v>44057</v>
      </c>
      <c r="D292" s="9"/>
      <c r="E292" s="11">
        <v>4500067741</v>
      </c>
      <c r="F292" s="9"/>
      <c r="G292" s="11">
        <v>1120002597</v>
      </c>
      <c r="H292" s="9" t="s">
        <v>19</v>
      </c>
      <c r="I292" s="11">
        <v>2</v>
      </c>
      <c r="J292" s="11">
        <v>6132</v>
      </c>
      <c r="K292" s="11"/>
      <c r="L292" s="10">
        <v>44099</v>
      </c>
      <c r="M292" s="9" t="s">
        <v>1088</v>
      </c>
      <c r="N292" s="13" t="str">
        <f>VLOOKUP(H292,基础数据!G:H,2,FALSE)</f>
        <v>SR140大梁</v>
      </c>
    </row>
    <row r="293" spans="1:14" s="12" customFormat="1">
      <c r="A293" s="11">
        <v>1270</v>
      </c>
      <c r="B293" s="13" t="str">
        <f>VLOOKUP(A293,基础数据!A:B,2,FALSE)</f>
        <v>洛阳</v>
      </c>
      <c r="C293" s="10">
        <v>44062</v>
      </c>
      <c r="D293" s="9"/>
      <c r="E293" s="11">
        <v>4500070744</v>
      </c>
      <c r="F293" s="9"/>
      <c r="G293" s="11">
        <v>2019000591</v>
      </c>
      <c r="H293" s="9" t="s">
        <v>436</v>
      </c>
      <c r="I293" s="11">
        <v>2</v>
      </c>
      <c r="J293" s="11">
        <v>2944</v>
      </c>
      <c r="K293" s="11"/>
      <c r="L293" s="10">
        <v>44099</v>
      </c>
      <c r="M293" s="9" t="s">
        <v>1089</v>
      </c>
      <c r="N293" s="13" t="e">
        <f>VLOOKUP(H293,基础数据!G:H,2,FALSE)</f>
        <v>#N/A</v>
      </c>
    </row>
    <row r="294" spans="1:14" s="12" customFormat="1">
      <c r="A294" s="11">
        <v>1270</v>
      </c>
      <c r="B294" s="13" t="str">
        <f>VLOOKUP(A294,基础数据!A:B,2,FALSE)</f>
        <v>洛阳</v>
      </c>
      <c r="C294" s="10">
        <v>44037</v>
      </c>
      <c r="D294" s="9"/>
      <c r="E294" s="11">
        <v>4500065974</v>
      </c>
      <c r="F294" s="9"/>
      <c r="G294" s="11">
        <v>1120002601</v>
      </c>
      <c r="H294" s="9" t="s">
        <v>20</v>
      </c>
      <c r="I294" s="11"/>
      <c r="J294" s="11">
        <f>74304-6912-6912-5760-6840-6840-6840-6927-6478-6840-12050</f>
        <v>1905</v>
      </c>
      <c r="K294" s="11"/>
      <c r="L294" s="10">
        <v>44068</v>
      </c>
      <c r="M294" s="9" t="s">
        <v>1090</v>
      </c>
      <c r="N294" s="13" t="str">
        <f>VLOOKUP(H294,基础数据!G:H,2,FALSE)</f>
        <v>TTX1500H-1.27-100</v>
      </c>
    </row>
    <row r="295" spans="1:14" s="12" customFormat="1">
      <c r="A295" s="11">
        <v>1270</v>
      </c>
      <c r="B295" s="13" t="str">
        <f>VLOOKUP(A295,基础数据!A:B,2,FALSE)</f>
        <v>洛阳</v>
      </c>
      <c r="C295" s="10">
        <v>44057</v>
      </c>
      <c r="D295" s="9"/>
      <c r="E295" s="11">
        <v>4500067741</v>
      </c>
      <c r="F295" s="9"/>
      <c r="G295" s="11">
        <v>1120002596</v>
      </c>
      <c r="H295" s="9" t="s">
        <v>18</v>
      </c>
      <c r="I295" s="11">
        <v>2</v>
      </c>
      <c r="J295" s="11">
        <v>1286</v>
      </c>
      <c r="K295" s="11"/>
      <c r="L295" s="10">
        <v>44099</v>
      </c>
      <c r="M295" s="9" t="s">
        <v>1093</v>
      </c>
      <c r="N295" s="13" t="str">
        <f>VLOOKUP(H295,基础数据!G:H,2,FALSE)</f>
        <v>SR140后缘</v>
      </c>
    </row>
    <row r="296" spans="1:14" s="12" customFormat="1">
      <c r="A296" s="11">
        <v>1270</v>
      </c>
      <c r="B296" s="13" t="str">
        <f>VLOOKUP(A296,基础数据!A:B,2,FALSE)</f>
        <v>洛阳</v>
      </c>
      <c r="C296" s="10">
        <v>44057</v>
      </c>
      <c r="D296" s="9"/>
      <c r="E296" s="11">
        <v>4500067741</v>
      </c>
      <c r="F296" s="9"/>
      <c r="G296" s="11">
        <v>1120002597</v>
      </c>
      <c r="H296" s="9" t="s">
        <v>19</v>
      </c>
      <c r="I296" s="11">
        <v>2</v>
      </c>
      <c r="J296" s="11">
        <v>6132</v>
      </c>
      <c r="K296" s="11"/>
      <c r="L296" s="10">
        <v>44099</v>
      </c>
      <c r="M296" s="9" t="s">
        <v>1094</v>
      </c>
      <c r="N296" s="13" t="str">
        <f>VLOOKUP(H296,基础数据!G:H,2,FALSE)</f>
        <v>SR140大梁</v>
      </c>
    </row>
    <row r="297" spans="1:14" s="12" customFormat="1">
      <c r="A297" s="11">
        <v>1270</v>
      </c>
      <c r="B297" s="13" t="str">
        <f>VLOOKUP(A297,基础数据!A:B,2,FALSE)</f>
        <v>洛阳</v>
      </c>
      <c r="C297" s="10">
        <v>44062</v>
      </c>
      <c r="D297" s="9"/>
      <c r="E297" s="11">
        <v>4500070744</v>
      </c>
      <c r="F297" s="9"/>
      <c r="G297" s="11">
        <v>2019000591</v>
      </c>
      <c r="H297" s="9" t="s">
        <v>436</v>
      </c>
      <c r="I297" s="11">
        <v>3</v>
      </c>
      <c r="J297" s="11">
        <v>4416</v>
      </c>
      <c r="K297" s="11"/>
      <c r="L297" s="10">
        <v>44099</v>
      </c>
      <c r="M297" s="9" t="s">
        <v>1095</v>
      </c>
      <c r="N297" s="13" t="e">
        <f>VLOOKUP(H297,基础数据!G:H,2,FALSE)</f>
        <v>#N/A</v>
      </c>
    </row>
    <row r="298" spans="1:14" s="12" customFormat="1">
      <c r="A298" s="11">
        <v>1270</v>
      </c>
      <c r="B298" s="13" t="str">
        <f>VLOOKUP(A298,基础数据!A:B,2,FALSE)</f>
        <v>洛阳</v>
      </c>
      <c r="C298" s="10">
        <v>44062</v>
      </c>
      <c r="D298" s="9"/>
      <c r="E298" s="11">
        <v>4500070744</v>
      </c>
      <c r="F298" s="9"/>
      <c r="G298" s="11">
        <v>2019000591</v>
      </c>
      <c r="H298" s="9" t="s">
        <v>436</v>
      </c>
      <c r="I298" s="11">
        <v>1</v>
      </c>
      <c r="J298" s="11">
        <v>1472</v>
      </c>
      <c r="K298" s="11"/>
      <c r="L298" s="10">
        <v>44099</v>
      </c>
      <c r="M298" s="9" t="s">
        <v>1108</v>
      </c>
      <c r="N298" s="13" t="e">
        <f>VLOOKUP(H298,基础数据!G:H,2,FALSE)</f>
        <v>#N/A</v>
      </c>
    </row>
    <row r="299" spans="1:14" s="12" customFormat="1">
      <c r="A299" s="11">
        <v>1270</v>
      </c>
      <c r="B299" s="13" t="str">
        <f>VLOOKUP(A299,基础数据!A:B,2,FALSE)</f>
        <v>洛阳</v>
      </c>
      <c r="C299" s="10">
        <v>44057</v>
      </c>
      <c r="D299" s="9"/>
      <c r="E299" s="11">
        <v>4500067741</v>
      </c>
      <c r="F299" s="9"/>
      <c r="G299" s="11">
        <v>1120002597</v>
      </c>
      <c r="H299" s="9" t="s">
        <v>19</v>
      </c>
      <c r="I299" s="11">
        <v>6</v>
      </c>
      <c r="J299" s="11">
        <v>18396</v>
      </c>
      <c r="K299" s="11"/>
      <c r="L299" s="10">
        <v>44099</v>
      </c>
      <c r="M299" s="9" t="s">
        <v>1109</v>
      </c>
      <c r="N299" s="13" t="str">
        <f>VLOOKUP(H299,基础数据!G:H,2,FALSE)</f>
        <v>SR140大梁</v>
      </c>
    </row>
    <row r="300" spans="1:14" s="12" customFormat="1">
      <c r="A300" s="11">
        <v>1270</v>
      </c>
      <c r="B300" s="13" t="str">
        <f>VLOOKUP(A300,基础数据!A:B,2,FALSE)</f>
        <v>洛阳</v>
      </c>
      <c r="C300" s="10">
        <v>44057</v>
      </c>
      <c r="D300" s="9"/>
      <c r="E300" s="11">
        <v>4500067741</v>
      </c>
      <c r="F300" s="9"/>
      <c r="G300" s="11">
        <v>1120002596</v>
      </c>
      <c r="H300" s="9" t="s">
        <v>18</v>
      </c>
      <c r="I300" s="11">
        <v>8</v>
      </c>
      <c r="J300" s="11">
        <v>5144</v>
      </c>
      <c r="K300" s="11"/>
      <c r="L300" s="10">
        <v>44099</v>
      </c>
      <c r="M300" s="9" t="s">
        <v>1123</v>
      </c>
      <c r="N300" s="13" t="str">
        <f>VLOOKUP(H300,基础数据!G:H,2,FALSE)</f>
        <v>SR140后缘</v>
      </c>
    </row>
    <row r="301" spans="1:14" s="12" customFormat="1">
      <c r="A301" s="11">
        <v>1270</v>
      </c>
      <c r="B301" s="13" t="str">
        <f>VLOOKUP(A301,基础数据!A:B,2,FALSE)</f>
        <v>洛阳</v>
      </c>
      <c r="C301" s="10">
        <v>44057</v>
      </c>
      <c r="D301" s="9"/>
      <c r="E301" s="11">
        <v>4500067741</v>
      </c>
      <c r="F301" s="9"/>
      <c r="G301" s="11">
        <v>1120002597</v>
      </c>
      <c r="H301" s="9" t="s">
        <v>19</v>
      </c>
      <c r="I301" s="11">
        <v>2</v>
      </c>
      <c r="J301" s="11">
        <v>6132</v>
      </c>
      <c r="K301" s="11"/>
      <c r="L301" s="10">
        <v>44099</v>
      </c>
      <c r="M301" s="9" t="s">
        <v>1124</v>
      </c>
      <c r="N301" s="13" t="str">
        <f>VLOOKUP(H301,基础数据!G:H,2,FALSE)</f>
        <v>SR140大梁</v>
      </c>
    </row>
    <row r="302" spans="1:14" s="12" customFormat="1">
      <c r="A302" s="11">
        <v>1270</v>
      </c>
      <c r="B302" s="13" t="str">
        <f>VLOOKUP(A302,基础数据!A:B,2,FALSE)</f>
        <v>洛阳</v>
      </c>
      <c r="C302" s="10">
        <v>44062</v>
      </c>
      <c r="D302" s="9"/>
      <c r="E302" s="11">
        <v>4500070744</v>
      </c>
      <c r="F302" s="9"/>
      <c r="G302" s="11">
        <v>2019000591</v>
      </c>
      <c r="H302" s="9" t="s">
        <v>436</v>
      </c>
      <c r="I302" s="11">
        <v>2</v>
      </c>
      <c r="J302" s="11">
        <v>2944</v>
      </c>
      <c r="K302" s="11"/>
      <c r="L302" s="10">
        <v>44099</v>
      </c>
      <c r="M302" s="9" t="s">
        <v>1125</v>
      </c>
      <c r="N302" s="13" t="e">
        <f>VLOOKUP(H302,基础数据!G:H,2,FALSE)</f>
        <v>#N/A</v>
      </c>
    </row>
    <row r="303" spans="1:14" s="18" customFormat="1">
      <c r="A303" s="14">
        <v>1270</v>
      </c>
      <c r="B303" s="17" t="str">
        <f>VLOOKUP(A303,基础数据!A:B,2,FALSE)</f>
        <v>洛阳</v>
      </c>
      <c r="C303" s="16">
        <v>44062</v>
      </c>
      <c r="D303" s="15"/>
      <c r="E303" s="14">
        <v>4500070744</v>
      </c>
      <c r="F303" s="15"/>
      <c r="G303" s="14">
        <v>2019000591</v>
      </c>
      <c r="H303" s="15" t="s">
        <v>436</v>
      </c>
      <c r="I303" s="14">
        <f>31-3-9-2-3-1-2</f>
        <v>11</v>
      </c>
      <c r="J303" s="14">
        <f>45632-4416-13248-2944-4416-1472-2944</f>
        <v>16192</v>
      </c>
      <c r="K303" s="14"/>
      <c r="L303" s="16">
        <v>44099</v>
      </c>
      <c r="M303" s="15" t="s">
        <v>1362</v>
      </c>
      <c r="N303" s="17" t="e">
        <f>VLOOKUP(H303,基础数据!G:H,2,FALSE)</f>
        <v>#N/A</v>
      </c>
    </row>
    <row r="304" spans="1:14" s="18" customFormat="1">
      <c r="A304" s="14">
        <v>1270</v>
      </c>
      <c r="B304" s="17" t="str">
        <f>VLOOKUP(A304,基础数据!A:B,2,FALSE)</f>
        <v>洛阳</v>
      </c>
      <c r="C304" s="16">
        <v>44057</v>
      </c>
      <c r="D304" s="15"/>
      <c r="E304" s="14">
        <v>4500067741</v>
      </c>
      <c r="F304" s="15"/>
      <c r="G304" s="14">
        <v>1120002596</v>
      </c>
      <c r="H304" s="15" t="s">
        <v>18</v>
      </c>
      <c r="I304" s="14">
        <f>46-12-3-2-3-4-2-2-8</f>
        <v>10</v>
      </c>
      <c r="J304" s="14">
        <f>29780-643*12-1929-1286-1929-2572-1286-1286-5144</f>
        <v>6632</v>
      </c>
      <c r="K304" s="14"/>
      <c r="L304" s="16">
        <v>44099</v>
      </c>
      <c r="M304" s="15" t="s">
        <v>1382</v>
      </c>
      <c r="N304" s="17" t="str">
        <f>VLOOKUP(H304,基础数据!G:H,2,FALSE)</f>
        <v>SR140后缘</v>
      </c>
    </row>
    <row r="305" spans="1:14" s="12" customFormat="1">
      <c r="A305" s="11">
        <v>1270</v>
      </c>
      <c r="B305" s="13" t="str">
        <f>VLOOKUP(A305,基础数据!A:B,2,FALSE)</f>
        <v>洛阳</v>
      </c>
      <c r="C305" s="10">
        <v>44098</v>
      </c>
      <c r="D305" s="9"/>
      <c r="E305" s="11">
        <v>4500071156</v>
      </c>
      <c r="F305" s="9"/>
      <c r="G305" s="11">
        <v>1120002589</v>
      </c>
      <c r="H305" s="9" t="s">
        <v>1072</v>
      </c>
      <c r="I305" s="11">
        <v>4</v>
      </c>
      <c r="J305" s="11">
        <v>12080</v>
      </c>
      <c r="K305" s="11"/>
      <c r="L305" s="10">
        <v>44114</v>
      </c>
      <c r="M305" s="9" t="s">
        <v>1393</v>
      </c>
      <c r="N305" s="13" t="str">
        <f>VLOOKUP(H305,基础数据!G:H,2,FALSE)</f>
        <v>GW68.6D大梁</v>
      </c>
    </row>
    <row r="306" spans="1:14" s="12" customFormat="1">
      <c r="A306" s="11">
        <v>1270</v>
      </c>
      <c r="B306" s="13" t="str">
        <f>VLOOKUP(A306,基础数据!A:B,2,FALSE)</f>
        <v>洛阳</v>
      </c>
      <c r="C306" s="10">
        <v>44098</v>
      </c>
      <c r="D306" s="9"/>
      <c r="E306" s="11">
        <v>4500071156</v>
      </c>
      <c r="F306" s="9"/>
      <c r="G306" s="11">
        <v>1120000133</v>
      </c>
      <c r="H306" s="9" t="s">
        <v>115</v>
      </c>
      <c r="I306" s="11"/>
      <c r="J306" s="11">
        <v>2060</v>
      </c>
      <c r="K306" s="11"/>
      <c r="L306" s="10">
        <v>44114</v>
      </c>
      <c r="M306" s="9" t="s">
        <v>1394</v>
      </c>
      <c r="N306" s="13" t="str">
        <f>VLOOKUP(H306,基础数据!G:H,2,FALSE)</f>
        <v>BX800-1.27-100</v>
      </c>
    </row>
    <row r="307" spans="1:14" s="12" customFormat="1">
      <c r="A307" s="11">
        <v>1270</v>
      </c>
      <c r="B307" s="13" t="str">
        <f>VLOOKUP(A307,基础数据!A:B,2,FALSE)</f>
        <v>洛阳</v>
      </c>
      <c r="C307" s="10">
        <v>44098</v>
      </c>
      <c r="D307" s="9"/>
      <c r="E307" s="11">
        <v>4500071156</v>
      </c>
      <c r="F307" s="9"/>
      <c r="G307" s="11">
        <v>1120002589</v>
      </c>
      <c r="H307" s="9" t="s">
        <v>1072</v>
      </c>
      <c r="I307" s="11">
        <v>4</v>
      </c>
      <c r="J307" s="11">
        <v>12080</v>
      </c>
      <c r="K307" s="11"/>
      <c r="L307" s="10">
        <v>44114</v>
      </c>
      <c r="M307" s="9" t="s">
        <v>1402</v>
      </c>
      <c r="N307" s="13" t="str">
        <f>VLOOKUP(H307,基础数据!G:H,2,FALSE)</f>
        <v>GW68.6D大梁</v>
      </c>
    </row>
    <row r="308" spans="1:14" s="12" customFormat="1">
      <c r="A308" s="11">
        <v>1270</v>
      </c>
      <c r="B308" s="13" t="str">
        <f>VLOOKUP(A308,基础数据!A:B,2,FALSE)</f>
        <v>洛阳</v>
      </c>
      <c r="C308" s="10">
        <v>44098</v>
      </c>
      <c r="D308" s="9"/>
      <c r="E308" s="11">
        <v>4500071156</v>
      </c>
      <c r="F308" s="9"/>
      <c r="G308" s="11">
        <v>1120000133</v>
      </c>
      <c r="H308" s="9" t="s">
        <v>115</v>
      </c>
      <c r="I308" s="11"/>
      <c r="J308" s="11">
        <v>2060</v>
      </c>
      <c r="K308" s="11"/>
      <c r="L308" s="10">
        <v>44114</v>
      </c>
      <c r="M308" s="9" t="s">
        <v>1403</v>
      </c>
      <c r="N308" s="13" t="str">
        <f>VLOOKUP(H308,基础数据!G:H,2,FALSE)</f>
        <v>BX800-1.27-100</v>
      </c>
    </row>
    <row r="309" spans="1:14" s="12" customFormat="1">
      <c r="A309" s="11">
        <v>1270</v>
      </c>
      <c r="B309" s="13" t="str">
        <f>VLOOKUP(A309,基础数据!A:B,2,FALSE)</f>
        <v>洛阳</v>
      </c>
      <c r="C309" s="10">
        <v>44057</v>
      </c>
      <c r="D309" s="9"/>
      <c r="E309" s="11">
        <v>4500067741</v>
      </c>
      <c r="F309" s="9"/>
      <c r="G309" s="11">
        <v>1120002597</v>
      </c>
      <c r="H309" s="9" t="s">
        <v>19</v>
      </c>
      <c r="I309" s="11">
        <v>1</v>
      </c>
      <c r="J309" s="11">
        <v>3066</v>
      </c>
      <c r="K309" s="11"/>
      <c r="L309" s="10">
        <v>44099</v>
      </c>
      <c r="M309" s="9" t="s">
        <v>1411</v>
      </c>
      <c r="N309" s="13" t="str">
        <f>VLOOKUP(H309,基础数据!G:H,2,FALSE)</f>
        <v>SR140大梁</v>
      </c>
    </row>
    <row r="310" spans="1:14" s="12" customFormat="1">
      <c r="A310" s="11">
        <v>1270</v>
      </c>
      <c r="B310" s="13" t="str">
        <f>VLOOKUP(A310,基础数据!A:B,2,FALSE)</f>
        <v>洛阳</v>
      </c>
      <c r="C310" s="10">
        <v>44057</v>
      </c>
      <c r="D310" s="9"/>
      <c r="E310" s="11">
        <v>4500067741</v>
      </c>
      <c r="F310" s="9"/>
      <c r="G310" s="11">
        <v>1120002601</v>
      </c>
      <c r="H310" s="9" t="s">
        <v>20</v>
      </c>
      <c r="I310" s="11"/>
      <c r="J310" s="11">
        <v>15960</v>
      </c>
      <c r="K310" s="11"/>
      <c r="L310" s="10">
        <v>44099</v>
      </c>
      <c r="M310" s="9" t="s">
        <v>1412</v>
      </c>
      <c r="N310" s="13" t="str">
        <f>VLOOKUP(H310,基础数据!G:H,2,FALSE)</f>
        <v>TTX1500H-1.27-100</v>
      </c>
    </row>
    <row r="311" spans="1:14" s="12" customFormat="1">
      <c r="A311" s="11">
        <v>1270</v>
      </c>
      <c r="B311" s="13" t="str">
        <f>VLOOKUP(A311,基础数据!A:B,2,FALSE)</f>
        <v>洛阳</v>
      </c>
      <c r="C311" s="10">
        <v>44057</v>
      </c>
      <c r="D311" s="9"/>
      <c r="E311" s="11">
        <v>4500067741</v>
      </c>
      <c r="F311" s="9"/>
      <c r="G311" s="11">
        <v>1120002597</v>
      </c>
      <c r="H311" s="9" t="s">
        <v>19</v>
      </c>
      <c r="I311" s="11">
        <f>46-12-3+0.6-2-3-4-2-2-6-2-9-1</f>
        <v>0.60000000000000142</v>
      </c>
      <c r="J311" s="11">
        <f>141206-3066*12-9198-6132-9198-12264-6132-6132-18396-6132-27594-3066</f>
        <v>170</v>
      </c>
      <c r="K311" s="11"/>
      <c r="L311" s="10">
        <v>44099</v>
      </c>
      <c r="M311" s="9" t="s">
        <v>1424</v>
      </c>
      <c r="N311" s="13" t="str">
        <f>VLOOKUP(H311,基础数据!G:H,2,FALSE)</f>
        <v>SR140大梁</v>
      </c>
    </row>
    <row r="312" spans="1:14" s="12" customFormat="1">
      <c r="A312" s="11">
        <v>1270</v>
      </c>
      <c r="B312" s="13" t="str">
        <f>VLOOKUP(A312,基础数据!A:B,2,FALSE)</f>
        <v>洛阳</v>
      </c>
      <c r="C312" s="10">
        <v>44098</v>
      </c>
      <c r="D312" s="9"/>
      <c r="E312" s="11">
        <v>4500071156</v>
      </c>
      <c r="F312" s="9"/>
      <c r="G312" s="11">
        <v>1120002589</v>
      </c>
      <c r="H312" s="9" t="s">
        <v>1072</v>
      </c>
      <c r="I312" s="11">
        <v>1</v>
      </c>
      <c r="J312" s="11">
        <v>3020</v>
      </c>
      <c r="K312" s="11"/>
      <c r="L312" s="10">
        <v>44114</v>
      </c>
      <c r="M312" s="9" t="s">
        <v>1425</v>
      </c>
      <c r="N312" s="13" t="str">
        <f>VLOOKUP(H312,基础数据!G:H,2,FALSE)</f>
        <v>GW68.6D大梁</v>
      </c>
    </row>
    <row r="313" spans="1:14" s="12" customFormat="1">
      <c r="A313" s="11">
        <v>1270</v>
      </c>
      <c r="B313" s="13" t="str">
        <f>VLOOKUP(A313,基础数据!A:B,2,FALSE)</f>
        <v>洛阳</v>
      </c>
      <c r="C313" s="10">
        <v>44098</v>
      </c>
      <c r="D313" s="9"/>
      <c r="E313" s="11">
        <v>4500071156</v>
      </c>
      <c r="F313" s="9"/>
      <c r="G313" s="11">
        <v>1120000133</v>
      </c>
      <c r="H313" s="9" t="s">
        <v>115</v>
      </c>
      <c r="I313" s="11"/>
      <c r="J313" s="11">
        <v>7270</v>
      </c>
      <c r="K313" s="11"/>
      <c r="L313" s="10">
        <v>44114</v>
      </c>
      <c r="M313" s="9" t="s">
        <v>1426</v>
      </c>
      <c r="N313" s="13" t="str">
        <f>VLOOKUP(H313,基础数据!G:H,2,FALSE)</f>
        <v>BX800-1.27-100</v>
      </c>
    </row>
    <row r="314" spans="1:14" s="12" customFormat="1">
      <c r="A314" s="11">
        <v>1270</v>
      </c>
      <c r="B314" s="13" t="str">
        <f>VLOOKUP(A314,基础数据!A:B,2,FALSE)</f>
        <v>洛阳</v>
      </c>
      <c r="C314" s="10">
        <v>44098</v>
      </c>
      <c r="D314" s="9"/>
      <c r="E314" s="11">
        <v>4500071156</v>
      </c>
      <c r="F314" s="9"/>
      <c r="G314" s="11">
        <v>1120000133</v>
      </c>
      <c r="H314" s="9" t="s">
        <v>115</v>
      </c>
      <c r="I314" s="11"/>
      <c r="J314" s="11">
        <f>20000-2060-2060-7270</f>
        <v>8610</v>
      </c>
      <c r="K314" s="11">
        <f>J314</f>
        <v>8610</v>
      </c>
      <c r="L314" s="10">
        <v>44114</v>
      </c>
      <c r="M314" s="9" t="s">
        <v>1451</v>
      </c>
      <c r="N314" s="13" t="str">
        <f>VLOOKUP(H314,基础数据!G:H,2,FALSE)</f>
        <v>BX800-1.27-100</v>
      </c>
    </row>
    <row r="315" spans="1:14" s="12" customFormat="1">
      <c r="A315" s="11">
        <v>1270</v>
      </c>
      <c r="B315" s="13" t="str">
        <f>VLOOKUP(A315,基础数据!A:B,2,FALSE)</f>
        <v>洛阳</v>
      </c>
      <c r="C315" s="10">
        <v>44098</v>
      </c>
      <c r="D315" s="9"/>
      <c r="E315" s="11">
        <v>4500071156</v>
      </c>
      <c r="F315" s="9"/>
      <c r="G315" s="11">
        <v>1120002589</v>
      </c>
      <c r="H315" s="9" t="s">
        <v>1072</v>
      </c>
      <c r="I315" s="11">
        <v>2</v>
      </c>
      <c r="J315" s="11">
        <v>6040</v>
      </c>
      <c r="K315" s="11">
        <f>I315</f>
        <v>2</v>
      </c>
      <c r="L315" s="10">
        <v>44114</v>
      </c>
      <c r="M315" s="9" t="s">
        <v>1450</v>
      </c>
      <c r="N315" s="13" t="str">
        <f>VLOOKUP(H315,基础数据!G:H,2,FALSE)</f>
        <v>GW68.6D大梁</v>
      </c>
    </row>
    <row r="316" spans="1:14" s="12" customFormat="1">
      <c r="A316" s="11">
        <v>1270</v>
      </c>
      <c r="B316" s="13" t="str">
        <f>VLOOKUP(A316,基础数据!A:B,2,FALSE)</f>
        <v>洛阳</v>
      </c>
      <c r="C316" s="10">
        <v>44057</v>
      </c>
      <c r="D316" s="9"/>
      <c r="E316" s="11">
        <v>4500067741</v>
      </c>
      <c r="F316" s="9"/>
      <c r="G316" s="11">
        <v>1120002601</v>
      </c>
      <c r="H316" s="9" t="s">
        <v>20</v>
      </c>
      <c r="I316" s="11"/>
      <c r="J316" s="11">
        <f>16764-15960+336</f>
        <v>1140</v>
      </c>
      <c r="K316" s="11">
        <f>J316</f>
        <v>1140</v>
      </c>
      <c r="L316" s="10">
        <v>44099</v>
      </c>
      <c r="M316" s="9" t="s">
        <v>1495</v>
      </c>
      <c r="N316" s="13" t="str">
        <f>VLOOKUP(H316,基础数据!G:H,2,FALSE)</f>
        <v>TTX1500H-1.27-100</v>
      </c>
    </row>
    <row r="317" spans="1:14" s="12" customFormat="1">
      <c r="A317" s="11">
        <v>1270</v>
      </c>
      <c r="B317" s="13" t="str">
        <f>VLOOKUP(A317,基础数据!A:B,2,FALSE)</f>
        <v>洛阳</v>
      </c>
      <c r="C317" s="10">
        <v>44098</v>
      </c>
      <c r="D317" s="9"/>
      <c r="E317" s="11">
        <v>4500071156</v>
      </c>
      <c r="F317" s="9"/>
      <c r="G317" s="11">
        <v>1120002589</v>
      </c>
      <c r="H317" s="9" t="s">
        <v>1072</v>
      </c>
      <c r="I317" s="11">
        <v>4</v>
      </c>
      <c r="J317" s="11">
        <v>12080</v>
      </c>
      <c r="K317" s="11">
        <f>I317</f>
        <v>4</v>
      </c>
      <c r="L317" s="10">
        <v>44114</v>
      </c>
      <c r="M317" s="9" t="s">
        <v>1496</v>
      </c>
      <c r="N317" s="13" t="str">
        <f>VLOOKUP(H317,基础数据!G:H,2,FALSE)</f>
        <v>GW68.6D大梁</v>
      </c>
    </row>
    <row r="318" spans="1:14" s="12" customFormat="1">
      <c r="A318" s="11">
        <v>1270</v>
      </c>
      <c r="B318" s="13" t="str">
        <f>VLOOKUP(A318,基础数据!A:B,2,FALSE)</f>
        <v>洛阳</v>
      </c>
      <c r="C318" s="10">
        <v>44098</v>
      </c>
      <c r="D318" s="9"/>
      <c r="E318" s="11">
        <v>4500071156</v>
      </c>
      <c r="F318" s="9"/>
      <c r="G318" s="11">
        <v>1120002589</v>
      </c>
      <c r="H318" s="9" t="s">
        <v>1072</v>
      </c>
      <c r="I318" s="11">
        <f>18-4-4-1-2-4</f>
        <v>3</v>
      </c>
      <c r="J318" s="11">
        <f>54591-12080-12080-3020-6040-12080</f>
        <v>9291</v>
      </c>
      <c r="K318" s="11">
        <f>I318</f>
        <v>3</v>
      </c>
      <c r="L318" s="10">
        <v>44114</v>
      </c>
      <c r="M318" s="9" t="s">
        <v>1504</v>
      </c>
      <c r="N318" s="13" t="str">
        <f>VLOOKUP(H318,基础数据!G:H,2,FALSE)</f>
        <v>GW68.6D大梁</v>
      </c>
    </row>
    <row r="319" spans="1:14" s="12" customFormat="1">
      <c r="A319" s="11">
        <v>1270</v>
      </c>
      <c r="B319" s="13" t="str">
        <f>VLOOKUP(A319,基础数据!A:B,2,FALSE)</f>
        <v>洛阳</v>
      </c>
      <c r="C319" s="10">
        <v>44118</v>
      </c>
      <c r="D319" s="9"/>
      <c r="E319" s="11">
        <v>4500067741</v>
      </c>
      <c r="F319" s="9"/>
      <c r="G319" s="11">
        <v>1120002597</v>
      </c>
      <c r="H319" s="9" t="s">
        <v>19</v>
      </c>
      <c r="I319" s="11">
        <v>1</v>
      </c>
      <c r="J319" s="11">
        <v>3066</v>
      </c>
      <c r="K319" s="11">
        <f>I319</f>
        <v>1</v>
      </c>
      <c r="L319" s="10">
        <v>44124</v>
      </c>
      <c r="M319" s="9" t="s">
        <v>1505</v>
      </c>
      <c r="N319" s="13" t="str">
        <f>VLOOKUP(H319,基础数据!G:H,2,FALSE)</f>
        <v>SR140大梁</v>
      </c>
    </row>
    <row r="320" spans="1:14" s="12" customFormat="1">
      <c r="A320" s="11">
        <v>1270</v>
      </c>
      <c r="B320" s="13" t="str">
        <f>VLOOKUP(A320,基础数据!A:B,2,FALSE)</f>
        <v>洛阳</v>
      </c>
      <c r="C320" s="10">
        <v>44057</v>
      </c>
      <c r="D320" s="9"/>
      <c r="E320" s="11">
        <v>4500067741</v>
      </c>
      <c r="F320" s="9"/>
      <c r="G320" s="11">
        <v>1120002601</v>
      </c>
      <c r="H320" s="9" t="s">
        <v>20</v>
      </c>
      <c r="I320" s="11"/>
      <c r="J320" s="11">
        <v>8763</v>
      </c>
      <c r="K320" s="11">
        <f>J320</f>
        <v>8763</v>
      </c>
      <c r="L320" s="10">
        <v>44099</v>
      </c>
      <c r="M320" s="9" t="s">
        <v>1549</v>
      </c>
      <c r="N320" s="13" t="str">
        <f>VLOOKUP(H320,基础数据!G:H,2,FALSE)</f>
        <v>TTX1500H-1.27-100</v>
      </c>
    </row>
    <row r="321" spans="1:14" s="12" customFormat="1">
      <c r="A321" s="11">
        <v>1270</v>
      </c>
      <c r="B321" s="13" t="str">
        <f>VLOOKUP(A321,基础数据!A:B,2,FALSE)</f>
        <v>洛阳</v>
      </c>
      <c r="C321" s="10">
        <v>44139</v>
      </c>
      <c r="D321" s="9"/>
      <c r="E321" s="11">
        <v>4500073444</v>
      </c>
      <c r="F321" s="9"/>
      <c r="G321" s="11">
        <v>1120001233</v>
      </c>
      <c r="H321" s="9" t="s">
        <v>341</v>
      </c>
      <c r="I321" s="11"/>
      <c r="J321" s="11">
        <v>1020</v>
      </c>
      <c r="K321" s="11">
        <f>J321</f>
        <v>1020</v>
      </c>
      <c r="L321" s="10">
        <v>44139</v>
      </c>
      <c r="M321" s="9" t="s">
        <v>1591</v>
      </c>
      <c r="N321" s="13" t="str">
        <f>VLOOKUP(H321,基础数据!G:H,2,FALSE)</f>
        <v>WS2000</v>
      </c>
    </row>
    <row r="322" spans="1:14" s="12" customFormat="1">
      <c r="A322" s="11">
        <v>1270</v>
      </c>
      <c r="B322" s="13" t="str">
        <f>VLOOKUP(A322,基础数据!A:B,2,FALSE)</f>
        <v>洛阳</v>
      </c>
      <c r="C322" s="10">
        <v>44134</v>
      </c>
      <c r="D322" s="9"/>
      <c r="E322" s="11">
        <v>4500073121</v>
      </c>
      <c r="F322" s="9"/>
      <c r="G322" s="11">
        <v>1120000132</v>
      </c>
      <c r="H322" s="9" t="s">
        <v>22</v>
      </c>
      <c r="I322" s="11">
        <v>8</v>
      </c>
      <c r="J322" s="11">
        <v>17912</v>
      </c>
      <c r="K322" s="11">
        <f>I322</f>
        <v>8</v>
      </c>
      <c r="L322" s="10">
        <v>44137</v>
      </c>
      <c r="M322" s="9" t="s">
        <v>1563</v>
      </c>
      <c r="N322" s="13" t="str">
        <f>VLOOKUP(H322,基础数据!G:H,2,FALSE)</f>
        <v>SR120大梁</v>
      </c>
    </row>
    <row r="323" spans="1:14" s="12" customFormat="1">
      <c r="A323" s="11">
        <v>1270</v>
      </c>
      <c r="B323" s="13" t="str">
        <f>VLOOKUP(A323,基础数据!A:B,2,FALSE)</f>
        <v>洛阳</v>
      </c>
      <c r="C323" s="10">
        <v>44134</v>
      </c>
      <c r="D323" s="9"/>
      <c r="E323" s="11">
        <v>4500073121</v>
      </c>
      <c r="F323" s="9"/>
      <c r="G323" s="11">
        <v>1120002578</v>
      </c>
      <c r="H323" s="9" t="s">
        <v>1535</v>
      </c>
      <c r="I323" s="9"/>
      <c r="J323" s="11">
        <v>3850</v>
      </c>
      <c r="K323" s="11">
        <f t="shared" ref="K323" si="0">J323</f>
        <v>3850</v>
      </c>
      <c r="L323" s="10">
        <v>44137</v>
      </c>
      <c r="M323" s="9" t="s">
        <v>1564</v>
      </c>
      <c r="N323" s="13" t="str">
        <f>VLOOKUP(H323,基础数据!G:H,2,FALSE)</f>
        <v>BX1000-1.27-100</v>
      </c>
    </row>
    <row r="324" spans="1:14" s="12" customFormat="1">
      <c r="A324" s="11">
        <v>1270</v>
      </c>
      <c r="B324" s="13" t="str">
        <f>VLOOKUP(A324,基础数据!A:B,2,FALSE)</f>
        <v>洛阳</v>
      </c>
      <c r="C324" s="10">
        <v>44130</v>
      </c>
      <c r="D324" s="9"/>
      <c r="E324" s="11">
        <v>4500073144</v>
      </c>
      <c r="F324" s="9"/>
      <c r="G324" s="11">
        <v>1120000133</v>
      </c>
      <c r="H324" s="9" t="s">
        <v>115</v>
      </c>
      <c r="I324" s="9" t="s">
        <v>1557</v>
      </c>
      <c r="J324" s="11">
        <v>102</v>
      </c>
      <c r="K324" s="11">
        <f t="shared" ref="K324:K331" si="1">J324</f>
        <v>102</v>
      </c>
      <c r="L324" s="10">
        <v>44135</v>
      </c>
      <c r="M324" s="9" t="s">
        <v>1572</v>
      </c>
      <c r="N324" s="13" t="str">
        <f>VLOOKUP(H324,基础数据!G:H,2,FALSE)</f>
        <v>BX800-1.27-100</v>
      </c>
    </row>
    <row r="325" spans="1:14" s="12" customFormat="1">
      <c r="A325" s="11">
        <v>1270</v>
      </c>
      <c r="B325" s="13" t="str">
        <f>VLOOKUP(A325,基础数据!A:B,2,FALSE)</f>
        <v>洛阳</v>
      </c>
      <c r="C325" s="10">
        <v>44130</v>
      </c>
      <c r="D325" s="9"/>
      <c r="E325" s="11">
        <v>4500073144</v>
      </c>
      <c r="F325" s="9"/>
      <c r="G325" s="11">
        <v>1120000146</v>
      </c>
      <c r="H325" s="9" t="s">
        <v>1554</v>
      </c>
      <c r="I325" s="9" t="s">
        <v>1557</v>
      </c>
      <c r="J325" s="11">
        <v>477</v>
      </c>
      <c r="K325" s="11">
        <f t="shared" si="1"/>
        <v>477</v>
      </c>
      <c r="L325" s="10">
        <v>44135</v>
      </c>
      <c r="M325" s="9" t="s">
        <v>1573</v>
      </c>
      <c r="N325" s="13" t="str">
        <f>VLOOKUP(H325,基础数据!G:H,2,FALSE)</f>
        <v>TLX1250-1.27-100</v>
      </c>
    </row>
    <row r="326" spans="1:14" s="12" customFormat="1">
      <c r="A326" s="11">
        <v>1270</v>
      </c>
      <c r="B326" s="13" t="str">
        <f>VLOOKUP(A326,基础数据!A:B,2,FALSE)</f>
        <v>洛阳</v>
      </c>
      <c r="C326" s="10">
        <v>44130</v>
      </c>
      <c r="D326" s="9"/>
      <c r="E326" s="11">
        <v>4500073144</v>
      </c>
      <c r="F326" s="9"/>
      <c r="G326" s="11">
        <v>1120001035</v>
      </c>
      <c r="H326" s="9" t="s">
        <v>12</v>
      </c>
      <c r="I326" s="9" t="s">
        <v>1557</v>
      </c>
      <c r="J326" s="11">
        <v>470</v>
      </c>
      <c r="K326" s="11">
        <f t="shared" si="1"/>
        <v>470</v>
      </c>
      <c r="L326" s="10">
        <v>44135</v>
      </c>
      <c r="M326" s="9" t="s">
        <v>1574</v>
      </c>
      <c r="N326" s="13" t="str">
        <f>VLOOKUP(H326,基础数据!G:H,2,FALSE)</f>
        <v>TLX1250-2.54-100</v>
      </c>
    </row>
    <row r="327" spans="1:14" s="12" customFormat="1">
      <c r="A327" s="11">
        <v>1270</v>
      </c>
      <c r="B327" s="13" t="str">
        <f>VLOOKUP(A327,基础数据!A:B,2,FALSE)</f>
        <v>洛阳</v>
      </c>
      <c r="C327" s="10">
        <v>44130</v>
      </c>
      <c r="D327" s="9"/>
      <c r="E327" s="11">
        <v>4500073144</v>
      </c>
      <c r="F327" s="9"/>
      <c r="G327" s="11">
        <v>1120000142</v>
      </c>
      <c r="H327" s="9" t="s">
        <v>11</v>
      </c>
      <c r="I327" s="9" t="s">
        <v>1557</v>
      </c>
      <c r="J327" s="11">
        <v>623</v>
      </c>
      <c r="K327" s="11">
        <f t="shared" si="1"/>
        <v>623</v>
      </c>
      <c r="L327" s="10">
        <v>44135</v>
      </c>
      <c r="M327" s="9" t="s">
        <v>1575</v>
      </c>
      <c r="N327" s="13" t="str">
        <f>VLOOKUP(H327,基础数据!G:H,2,FALSE)</f>
        <v>TTX1250(60)-2.54-100</v>
      </c>
    </row>
    <row r="328" spans="1:14" s="12" customFormat="1">
      <c r="A328" s="11">
        <v>1270</v>
      </c>
      <c r="B328" s="13" t="str">
        <f>VLOOKUP(A328,基础数据!A:B,2,FALSE)</f>
        <v>洛阳</v>
      </c>
      <c r="C328" s="10">
        <v>44131</v>
      </c>
      <c r="D328" s="9"/>
      <c r="E328" s="9">
        <v>4500073062</v>
      </c>
      <c r="F328" s="9"/>
      <c r="G328" s="11">
        <v>1120000133</v>
      </c>
      <c r="H328" s="9" t="s">
        <v>115</v>
      </c>
      <c r="I328" s="11"/>
      <c r="J328" s="11">
        <v>16610</v>
      </c>
      <c r="K328" s="11">
        <f t="shared" si="1"/>
        <v>16610</v>
      </c>
      <c r="L328" s="10">
        <v>44137</v>
      </c>
      <c r="M328" s="9" t="s">
        <v>1571</v>
      </c>
      <c r="N328" s="13" t="str">
        <f>VLOOKUP(H328,基础数据!G:H,2,FALSE)</f>
        <v>BX800-1.27-100</v>
      </c>
    </row>
    <row r="329" spans="1:14" s="12" customFormat="1">
      <c r="A329" s="11">
        <v>1270</v>
      </c>
      <c r="B329" s="13" t="str">
        <f>VLOOKUP(A329,基础数据!A:B,2,FALSE)</f>
        <v>洛阳</v>
      </c>
      <c r="C329" s="10">
        <v>44131</v>
      </c>
      <c r="D329" s="9"/>
      <c r="E329" s="9">
        <v>4500073062</v>
      </c>
      <c r="F329" s="9"/>
      <c r="G329" s="11">
        <v>1120000133</v>
      </c>
      <c r="H329" s="9" t="s">
        <v>115</v>
      </c>
      <c r="I329" s="11"/>
      <c r="J329" s="11">
        <v>4160</v>
      </c>
      <c r="K329" s="11">
        <f t="shared" si="1"/>
        <v>4160</v>
      </c>
      <c r="L329" s="10">
        <v>44137</v>
      </c>
      <c r="M329" s="9" t="s">
        <v>1579</v>
      </c>
      <c r="N329" s="13" t="str">
        <f>VLOOKUP(H329,基础数据!G:H,2,FALSE)</f>
        <v>BX800-1.27-100</v>
      </c>
    </row>
    <row r="330" spans="1:14" s="12" customFormat="1">
      <c r="A330" s="11">
        <v>1270</v>
      </c>
      <c r="B330" s="13" t="str">
        <f>VLOOKUP(A330,基础数据!A:B,2,FALSE)</f>
        <v>洛阳</v>
      </c>
      <c r="C330" s="10">
        <v>44131</v>
      </c>
      <c r="D330" s="9"/>
      <c r="E330" s="9">
        <v>4500073062</v>
      </c>
      <c r="F330" s="9"/>
      <c r="G330" s="9">
        <v>1120000140</v>
      </c>
      <c r="H330" s="9" t="s">
        <v>114</v>
      </c>
      <c r="I330" s="11"/>
      <c r="J330" s="11">
        <v>7464</v>
      </c>
      <c r="K330" s="11">
        <f t="shared" si="1"/>
        <v>7464</v>
      </c>
      <c r="L330" s="10">
        <v>44137</v>
      </c>
      <c r="M330" s="9" t="s">
        <v>1580</v>
      </c>
      <c r="N330" s="13" t="str">
        <f>VLOOKUP(H330,基础数据!G:H,2,FALSE)</f>
        <v>TLX1215-1.27-100</v>
      </c>
    </row>
    <row r="331" spans="1:14" s="12" customFormat="1">
      <c r="A331" s="11">
        <v>1270</v>
      </c>
      <c r="B331" s="13" t="str">
        <f>VLOOKUP(A331,基础数据!A:B,2,FALSE)</f>
        <v>洛阳</v>
      </c>
      <c r="C331" s="10">
        <v>44057</v>
      </c>
      <c r="D331" s="9"/>
      <c r="E331" s="11">
        <v>4500067741</v>
      </c>
      <c r="F331" s="9"/>
      <c r="G331" s="11">
        <v>1120002601</v>
      </c>
      <c r="H331" s="9" t="s">
        <v>20</v>
      </c>
      <c r="I331" s="11"/>
      <c r="J331" s="11">
        <v>6840</v>
      </c>
      <c r="K331" s="11">
        <f t="shared" si="1"/>
        <v>6840</v>
      </c>
      <c r="L331" s="10">
        <v>44099</v>
      </c>
      <c r="M331" s="9" t="s">
        <v>1581</v>
      </c>
      <c r="N331" s="13" t="str">
        <f>VLOOKUP(H331,基础数据!G:H,2,FALSE)</f>
        <v>TTX1500H-1.27-100</v>
      </c>
    </row>
    <row r="332" spans="1:14" s="12" customFormat="1">
      <c r="A332" s="11">
        <v>1270</v>
      </c>
      <c r="B332" s="13" t="str">
        <f>VLOOKUP(A332,基础数据!A:B,2,FALSE)</f>
        <v>洛阳</v>
      </c>
      <c r="C332" s="10">
        <v>44134</v>
      </c>
      <c r="D332" s="9"/>
      <c r="E332" s="11">
        <v>4500073121</v>
      </c>
      <c r="F332" s="9"/>
      <c r="G332" s="11">
        <v>1120002589</v>
      </c>
      <c r="H332" s="9" t="s">
        <v>1072</v>
      </c>
      <c r="I332" s="11">
        <v>2</v>
      </c>
      <c r="J332" s="11">
        <v>6052.4</v>
      </c>
      <c r="K332" s="11">
        <f>I332</f>
        <v>2</v>
      </c>
      <c r="L332" s="10">
        <v>44137</v>
      </c>
      <c r="M332" s="9" t="s">
        <v>1586</v>
      </c>
      <c r="N332" s="13" t="str">
        <f>VLOOKUP(H332,基础数据!G:H,2,FALSE)</f>
        <v>GW68.6D大梁</v>
      </c>
    </row>
    <row r="333" spans="1:14" s="12" customFormat="1">
      <c r="A333" s="11">
        <v>1270</v>
      </c>
      <c r="B333" s="13" t="str">
        <f>VLOOKUP(A333,基础数据!A:B,2,FALSE)</f>
        <v>洛阳</v>
      </c>
      <c r="C333" s="10">
        <v>44131</v>
      </c>
      <c r="D333" s="9"/>
      <c r="E333" s="9">
        <v>4500073062</v>
      </c>
      <c r="F333" s="9"/>
      <c r="G333" s="9">
        <v>1120000140</v>
      </c>
      <c r="H333" s="9" t="s">
        <v>114</v>
      </c>
      <c r="I333" s="11"/>
      <c r="J333" s="11">
        <v>5598</v>
      </c>
      <c r="K333" s="11">
        <f>J333</f>
        <v>5598</v>
      </c>
      <c r="L333" s="10">
        <v>44137</v>
      </c>
      <c r="M333" s="9" t="s">
        <v>1587</v>
      </c>
      <c r="N333" s="13" t="str">
        <f>VLOOKUP(H333,基础数据!G:H,2,FALSE)</f>
        <v>TLX1215-1.27-100</v>
      </c>
    </row>
    <row r="334" spans="1:14" s="12" customFormat="1">
      <c r="A334" s="11">
        <v>1270</v>
      </c>
      <c r="B334" s="13" t="str">
        <f>VLOOKUP(A334,基础数据!A:B,2,FALSE)</f>
        <v>洛阳</v>
      </c>
      <c r="C334" s="10">
        <v>44131</v>
      </c>
      <c r="D334" s="9"/>
      <c r="E334" s="9">
        <v>4500073062</v>
      </c>
      <c r="F334" s="9"/>
      <c r="G334" s="11">
        <v>1120000133</v>
      </c>
      <c r="H334" s="9" t="s">
        <v>115</v>
      </c>
      <c r="I334" s="11"/>
      <c r="J334" s="11">
        <v>4160</v>
      </c>
      <c r="K334" s="11">
        <f>J334</f>
        <v>4160</v>
      </c>
      <c r="L334" s="10">
        <v>44137</v>
      </c>
      <c r="M334" s="9" t="s">
        <v>1588</v>
      </c>
      <c r="N334" s="13" t="str">
        <f>VLOOKUP(H334,基础数据!G:H,2,FALSE)</f>
        <v>BX800-1.27-100</v>
      </c>
    </row>
    <row r="335" spans="1:14" s="12" customFormat="1">
      <c r="A335" s="11">
        <v>1270</v>
      </c>
      <c r="B335" s="13" t="str">
        <f>VLOOKUP(A335,基础数据!A:B,2,FALSE)</f>
        <v>洛阳</v>
      </c>
      <c r="C335" s="10">
        <v>44131</v>
      </c>
      <c r="D335" s="9"/>
      <c r="E335" s="9">
        <v>4500073062</v>
      </c>
      <c r="F335" s="9"/>
      <c r="G335" s="11">
        <v>1120002589</v>
      </c>
      <c r="H335" s="9" t="s">
        <v>1072</v>
      </c>
      <c r="I335" s="11">
        <v>2</v>
      </c>
      <c r="J335" s="11">
        <v>6040</v>
      </c>
      <c r="K335" s="11">
        <f>I335</f>
        <v>2</v>
      </c>
      <c r="L335" s="10">
        <v>44137</v>
      </c>
      <c r="M335" s="9" t="s">
        <v>1592</v>
      </c>
      <c r="N335" s="13" t="str">
        <f>VLOOKUP(H335,基础数据!G:H,2,FALSE)</f>
        <v>GW68.6D大梁</v>
      </c>
    </row>
    <row r="336" spans="1:14" s="12" customFormat="1">
      <c r="A336" s="11">
        <v>1270</v>
      </c>
      <c r="B336" s="13" t="str">
        <f>VLOOKUP(A336,基础数据!A:B,2,FALSE)</f>
        <v>洛阳</v>
      </c>
      <c r="C336" s="10">
        <v>44131</v>
      </c>
      <c r="D336" s="9"/>
      <c r="E336" s="9">
        <v>4500073062</v>
      </c>
      <c r="F336" s="9"/>
      <c r="G336" s="9">
        <v>1120000140</v>
      </c>
      <c r="H336" s="9" t="s">
        <v>114</v>
      </c>
      <c r="I336" s="11"/>
      <c r="J336" s="11">
        <v>3732</v>
      </c>
      <c r="K336" s="11">
        <f>J336</f>
        <v>3732</v>
      </c>
      <c r="L336" s="10">
        <v>44137</v>
      </c>
      <c r="M336" s="9" t="s">
        <v>1593</v>
      </c>
      <c r="N336" s="13" t="str">
        <f>VLOOKUP(H336,基础数据!G:H,2,FALSE)</f>
        <v>TLX1215-1.27-100</v>
      </c>
    </row>
    <row r="337" spans="1:14" s="12" customFormat="1">
      <c r="A337" s="11">
        <v>1270</v>
      </c>
      <c r="B337" s="13" t="str">
        <f>VLOOKUP(A337,基础数据!A:B,2,FALSE)</f>
        <v>洛阳</v>
      </c>
      <c r="C337" s="10">
        <v>44131</v>
      </c>
      <c r="D337" s="9"/>
      <c r="E337" s="9">
        <v>4500073062</v>
      </c>
      <c r="F337" s="9"/>
      <c r="G337" s="11">
        <v>1120000133</v>
      </c>
      <c r="H337" s="9" t="s">
        <v>115</v>
      </c>
      <c r="I337" s="11"/>
      <c r="J337" s="11">
        <v>2080</v>
      </c>
      <c r="K337" s="11">
        <f>J337</f>
        <v>2080</v>
      </c>
      <c r="L337" s="10">
        <v>44137</v>
      </c>
      <c r="M337" s="9" t="s">
        <v>1594</v>
      </c>
      <c r="N337" s="13" t="str">
        <f>VLOOKUP(H337,基础数据!G:H,2,FALSE)</f>
        <v>BX800-1.27-100</v>
      </c>
    </row>
    <row r="338" spans="1:14" s="12" customFormat="1">
      <c r="A338" s="11">
        <v>1270</v>
      </c>
      <c r="B338" s="13" t="str">
        <f>VLOOKUP(A338,基础数据!A:B,2,FALSE)</f>
        <v>洛阳</v>
      </c>
      <c r="C338" s="10">
        <v>44057</v>
      </c>
      <c r="D338" s="9"/>
      <c r="E338" s="11">
        <v>4500067741</v>
      </c>
      <c r="F338" s="9"/>
      <c r="G338" s="11">
        <v>1120002601</v>
      </c>
      <c r="H338" s="9" t="s">
        <v>20</v>
      </c>
      <c r="I338" s="11"/>
      <c r="J338" s="11">
        <v>4560</v>
      </c>
      <c r="K338" s="11">
        <f>J338</f>
        <v>4560</v>
      </c>
      <c r="L338" s="10">
        <v>44099</v>
      </c>
      <c r="M338" s="9" t="s">
        <v>1595</v>
      </c>
      <c r="N338" s="13" t="str">
        <f>VLOOKUP(H338,基础数据!G:H,2,FALSE)</f>
        <v>TTX1500H-1.27-100</v>
      </c>
    </row>
    <row r="339" spans="1:14" s="12" customFormat="1">
      <c r="A339" s="11">
        <v>1270</v>
      </c>
      <c r="B339" s="13" t="str">
        <f>VLOOKUP(A339,基础数据!A:B,2,FALSE)</f>
        <v>洛阳</v>
      </c>
      <c r="C339" s="10">
        <v>44131</v>
      </c>
      <c r="D339" s="9"/>
      <c r="E339" s="9">
        <v>4500073062</v>
      </c>
      <c r="F339" s="9"/>
      <c r="G339" s="11">
        <v>1120002589</v>
      </c>
      <c r="H339" s="9" t="s">
        <v>1072</v>
      </c>
      <c r="I339" s="11">
        <v>2</v>
      </c>
      <c r="J339" s="11">
        <v>6040</v>
      </c>
      <c r="K339" s="11">
        <f>I339</f>
        <v>2</v>
      </c>
      <c r="L339" s="10">
        <v>44137</v>
      </c>
      <c r="M339" s="9" t="s">
        <v>1601</v>
      </c>
      <c r="N339" s="13" t="str">
        <f>VLOOKUP(H339,基础数据!G:H,2,FALSE)</f>
        <v>GW68.6D大梁</v>
      </c>
    </row>
    <row r="340" spans="1:14" s="12" customFormat="1">
      <c r="A340" s="11">
        <v>1270</v>
      </c>
      <c r="B340" s="13" t="str">
        <f>VLOOKUP(A340,基础数据!A:B,2,FALSE)</f>
        <v>洛阳</v>
      </c>
      <c r="C340" s="10">
        <v>44131</v>
      </c>
      <c r="D340" s="9"/>
      <c r="E340" s="9">
        <v>4500073062</v>
      </c>
      <c r="F340" s="9"/>
      <c r="G340" s="9">
        <v>1120000140</v>
      </c>
      <c r="H340" s="9" t="s">
        <v>114</v>
      </c>
      <c r="I340" s="11"/>
      <c r="J340" s="11">
        <v>4665</v>
      </c>
      <c r="K340" s="11">
        <f>J340</f>
        <v>4665</v>
      </c>
      <c r="L340" s="10">
        <v>44137</v>
      </c>
      <c r="M340" s="9" t="s">
        <v>1602</v>
      </c>
      <c r="N340" s="13" t="str">
        <f>VLOOKUP(H340,基础数据!G:H,2,FALSE)</f>
        <v>TLX1215-1.27-100</v>
      </c>
    </row>
    <row r="341" spans="1:14" s="12" customFormat="1">
      <c r="A341" s="11">
        <v>1270</v>
      </c>
      <c r="B341" s="13" t="str">
        <f>VLOOKUP(A341,基础数据!A:B,2,FALSE)</f>
        <v>洛阳</v>
      </c>
      <c r="C341" s="10">
        <v>44057</v>
      </c>
      <c r="D341" s="9"/>
      <c r="E341" s="11">
        <v>4500067741</v>
      </c>
      <c r="F341" s="9"/>
      <c r="G341" s="11">
        <v>1120002601</v>
      </c>
      <c r="H341" s="9" t="s">
        <v>20</v>
      </c>
      <c r="I341" s="11"/>
      <c r="J341" s="11">
        <v>3420</v>
      </c>
      <c r="K341" s="11">
        <f>J341</f>
        <v>3420</v>
      </c>
      <c r="L341" s="10">
        <v>44099</v>
      </c>
      <c r="M341" s="9" t="s">
        <v>1603</v>
      </c>
      <c r="N341" s="13" t="str">
        <f>VLOOKUP(H341,基础数据!G:H,2,FALSE)</f>
        <v>TTX1500H-1.27-100</v>
      </c>
    </row>
    <row r="342" spans="1:14" s="12" customFormat="1">
      <c r="A342" s="11">
        <v>1270</v>
      </c>
      <c r="B342" s="13" t="str">
        <f>VLOOKUP(A342,基础数据!A:B,2,FALSE)</f>
        <v>洛阳</v>
      </c>
      <c r="C342" s="10">
        <v>44134</v>
      </c>
      <c r="D342" s="9"/>
      <c r="E342" s="11">
        <v>4500073121</v>
      </c>
      <c r="F342" s="9"/>
      <c r="G342" s="11">
        <v>1120002602</v>
      </c>
      <c r="H342" s="9" t="s">
        <v>1556</v>
      </c>
      <c r="I342" s="9"/>
      <c r="J342" s="11">
        <v>1872</v>
      </c>
      <c r="K342" s="11">
        <f>J342</f>
        <v>1872</v>
      </c>
      <c r="L342" s="10">
        <v>44137</v>
      </c>
      <c r="M342" s="9" t="s">
        <v>1604</v>
      </c>
      <c r="N342" s="13" t="str">
        <f>VLOOKUP(H342,基础数据!G:H,2,FALSE)</f>
        <v>BX600-1.27-100</v>
      </c>
    </row>
    <row r="343" spans="1:14" s="12" customFormat="1">
      <c r="A343" s="11">
        <v>1270</v>
      </c>
      <c r="B343" s="13" t="str">
        <f>VLOOKUP(A343,基础数据!A:B,2,FALSE)</f>
        <v>洛阳</v>
      </c>
      <c r="C343" s="10">
        <v>44131</v>
      </c>
      <c r="D343" s="9"/>
      <c r="E343" s="9">
        <v>4500073062</v>
      </c>
      <c r="F343" s="9"/>
      <c r="G343" s="11">
        <v>1120002589</v>
      </c>
      <c r="H343" s="9" t="s">
        <v>1072</v>
      </c>
      <c r="I343" s="11">
        <v>2</v>
      </c>
      <c r="J343" s="11">
        <v>6040</v>
      </c>
      <c r="K343" s="11">
        <f>I343</f>
        <v>2</v>
      </c>
      <c r="L343" s="10">
        <v>44137</v>
      </c>
      <c r="M343" s="9" t="s">
        <v>1608</v>
      </c>
      <c r="N343" s="13" t="str">
        <f>VLOOKUP(H343,基础数据!G:H,2,FALSE)</f>
        <v>GW68.6D大梁</v>
      </c>
    </row>
    <row r="344" spans="1:14" s="12" customFormat="1">
      <c r="A344" s="11">
        <v>1270</v>
      </c>
      <c r="B344" s="13" t="str">
        <f>VLOOKUP(A344,基础数据!A:B,2,FALSE)</f>
        <v>洛阳</v>
      </c>
      <c r="C344" s="10">
        <v>44131</v>
      </c>
      <c r="D344" s="9"/>
      <c r="E344" s="9">
        <v>4500073062</v>
      </c>
      <c r="F344" s="9"/>
      <c r="G344" s="11">
        <v>1120000133</v>
      </c>
      <c r="H344" s="9" t="s">
        <v>115</v>
      </c>
      <c r="I344" s="11"/>
      <c r="J344" s="11">
        <v>3110</v>
      </c>
      <c r="K344" s="11">
        <f>J344</f>
        <v>3110</v>
      </c>
      <c r="L344" s="10">
        <v>44137</v>
      </c>
      <c r="M344" s="9" t="s">
        <v>1609</v>
      </c>
      <c r="N344" s="13" t="str">
        <f>VLOOKUP(H344,基础数据!G:H,2,FALSE)</f>
        <v>BX800-1.27-100</v>
      </c>
    </row>
    <row r="345" spans="1:14" s="12" customFormat="1">
      <c r="A345" s="11">
        <v>1270</v>
      </c>
      <c r="B345" s="13" t="str">
        <f>VLOOKUP(A345,基础数据!A:B,2,FALSE)</f>
        <v>洛阳</v>
      </c>
      <c r="C345" s="10">
        <v>44131</v>
      </c>
      <c r="D345" s="9"/>
      <c r="E345" s="9">
        <v>4500073062</v>
      </c>
      <c r="F345" s="9"/>
      <c r="G345" s="9">
        <v>1120002578</v>
      </c>
      <c r="H345" s="9" t="s">
        <v>1535</v>
      </c>
      <c r="I345" s="11"/>
      <c r="J345" s="11">
        <v>1540</v>
      </c>
      <c r="K345" s="11">
        <f>J345</f>
        <v>1540</v>
      </c>
      <c r="L345" s="10">
        <v>44137</v>
      </c>
      <c r="M345" s="9" t="s">
        <v>1612</v>
      </c>
      <c r="N345" s="13" t="str">
        <f>VLOOKUP(H345,基础数据!G:H,2,FALSE)</f>
        <v>BX1000-1.27-100</v>
      </c>
    </row>
    <row r="346" spans="1:14" s="12" customFormat="1">
      <c r="A346" s="11">
        <v>1270</v>
      </c>
      <c r="B346" s="13" t="str">
        <f>VLOOKUP(A346,基础数据!A:B,2,FALSE)</f>
        <v>洛阳</v>
      </c>
      <c r="C346" s="10">
        <v>44131</v>
      </c>
      <c r="D346" s="9"/>
      <c r="E346" s="9">
        <v>4500073062</v>
      </c>
      <c r="F346" s="9"/>
      <c r="G346" s="9">
        <v>1120000140</v>
      </c>
      <c r="H346" s="9" t="s">
        <v>114</v>
      </c>
      <c r="I346" s="11"/>
      <c r="J346" s="11">
        <v>4665</v>
      </c>
      <c r="K346" s="11">
        <f>J346</f>
        <v>4665</v>
      </c>
      <c r="L346" s="10">
        <v>44137</v>
      </c>
      <c r="M346" s="9" t="s">
        <v>1610</v>
      </c>
      <c r="N346" s="13" t="str">
        <f>VLOOKUP(H346,基础数据!G:H,2,FALSE)</f>
        <v>TLX1215-1.27-100</v>
      </c>
    </row>
    <row r="347" spans="1:14" s="12" customFormat="1">
      <c r="A347" s="11">
        <v>1270</v>
      </c>
      <c r="B347" s="13" t="str">
        <f>VLOOKUP(A347,基础数据!A:B,2,FALSE)</f>
        <v>洛阳</v>
      </c>
      <c r="C347" s="10">
        <v>44134</v>
      </c>
      <c r="D347" s="9"/>
      <c r="E347" s="11">
        <v>4500073121</v>
      </c>
      <c r="F347" s="9"/>
      <c r="G347" s="11">
        <v>1120002602</v>
      </c>
      <c r="H347" s="9" t="s">
        <v>1556</v>
      </c>
      <c r="I347" s="9"/>
      <c r="J347" s="11">
        <v>2080</v>
      </c>
      <c r="K347" s="11">
        <f>J347</f>
        <v>2080</v>
      </c>
      <c r="L347" s="10">
        <v>44137</v>
      </c>
      <c r="M347" s="9" t="s">
        <v>1611</v>
      </c>
      <c r="N347" s="13" t="str">
        <f>VLOOKUP(H347,基础数据!G:H,2,FALSE)</f>
        <v>BX600-1.27-100</v>
      </c>
    </row>
    <row r="348" spans="1:14" s="12" customFormat="1">
      <c r="A348" s="11">
        <v>1270</v>
      </c>
      <c r="B348" s="13" t="str">
        <f>VLOOKUP(A348,基础数据!A:B,2,FALSE)</f>
        <v>洛阳</v>
      </c>
      <c r="C348" s="10">
        <v>44131</v>
      </c>
      <c r="D348" s="9"/>
      <c r="E348" s="9">
        <v>4500073062</v>
      </c>
      <c r="F348" s="9"/>
      <c r="G348" s="11">
        <v>1120002589</v>
      </c>
      <c r="H348" s="9" t="s">
        <v>1072</v>
      </c>
      <c r="I348" s="11">
        <v>2</v>
      </c>
      <c r="J348" s="11">
        <v>6040</v>
      </c>
      <c r="K348" s="11">
        <f>I348</f>
        <v>2</v>
      </c>
      <c r="L348" s="10">
        <v>44137</v>
      </c>
      <c r="M348" s="9" t="s">
        <v>1614</v>
      </c>
      <c r="N348" s="13" t="str">
        <f>VLOOKUP(H348,基础数据!G:H,2,FALSE)</f>
        <v>GW68.6D大梁</v>
      </c>
    </row>
    <row r="349" spans="1:14" s="12" customFormat="1">
      <c r="A349" s="11">
        <v>1270</v>
      </c>
      <c r="B349" s="13" t="str">
        <f>VLOOKUP(A349,基础数据!A:B,2,FALSE)</f>
        <v>洛阳</v>
      </c>
      <c r="C349" s="10">
        <v>44131</v>
      </c>
      <c r="D349" s="9"/>
      <c r="E349" s="9">
        <v>4500073062</v>
      </c>
      <c r="F349" s="9"/>
      <c r="G349" s="11">
        <v>1120000133</v>
      </c>
      <c r="H349" s="9" t="s">
        <v>115</v>
      </c>
      <c r="I349" s="11"/>
      <c r="J349" s="11">
        <v>2080</v>
      </c>
      <c r="K349" s="11">
        <f>J349</f>
        <v>2080</v>
      </c>
      <c r="L349" s="10">
        <v>44137</v>
      </c>
      <c r="M349" s="9" t="s">
        <v>1615</v>
      </c>
      <c r="N349" s="13" t="str">
        <f>VLOOKUP(H349,基础数据!G:H,2,FALSE)</f>
        <v>BX800-1.27-100</v>
      </c>
    </row>
    <row r="350" spans="1:14" s="12" customFormat="1">
      <c r="A350" s="11">
        <v>1270</v>
      </c>
      <c r="B350" s="13" t="str">
        <f>VLOOKUP(A350,基础数据!A:B,2,FALSE)</f>
        <v>洛阳</v>
      </c>
      <c r="C350" s="10">
        <v>44131</v>
      </c>
      <c r="D350" s="9"/>
      <c r="E350" s="9">
        <v>4500073062</v>
      </c>
      <c r="F350" s="9"/>
      <c r="G350" s="9">
        <v>1120000140</v>
      </c>
      <c r="H350" s="9" t="s">
        <v>114</v>
      </c>
      <c r="I350" s="11"/>
      <c r="J350" s="11">
        <v>4665</v>
      </c>
      <c r="K350" s="11">
        <f>J350</f>
        <v>4665</v>
      </c>
      <c r="L350" s="10">
        <v>44137</v>
      </c>
      <c r="M350" s="9" t="s">
        <v>1617</v>
      </c>
      <c r="N350" s="13" t="str">
        <f>VLOOKUP(H350,基础数据!G:H,2,FALSE)</f>
        <v>TLX1215-1.27-100</v>
      </c>
    </row>
    <row r="351" spans="1:14" s="12" customFormat="1">
      <c r="A351" s="11">
        <v>1270</v>
      </c>
      <c r="B351" s="13" t="str">
        <f>VLOOKUP(A351,基础数据!A:B,2,FALSE)</f>
        <v>洛阳</v>
      </c>
      <c r="C351" s="10">
        <v>44057</v>
      </c>
      <c r="D351" s="9"/>
      <c r="E351" s="11">
        <v>4500067741</v>
      </c>
      <c r="F351" s="9"/>
      <c r="G351" s="11">
        <v>1120002601</v>
      </c>
      <c r="H351" s="9" t="s">
        <v>20</v>
      </c>
      <c r="I351" s="11"/>
      <c r="J351" s="11">
        <f>18240-6840-4560-3420</f>
        <v>3420</v>
      </c>
      <c r="K351" s="11">
        <f>J351</f>
        <v>3420</v>
      </c>
      <c r="L351" s="10">
        <v>44099</v>
      </c>
      <c r="M351" s="9" t="s">
        <v>1616</v>
      </c>
      <c r="N351" s="13" t="str">
        <f>VLOOKUP(H351,基础数据!G:H,2,FALSE)</f>
        <v>TTX1500H-1.27-100</v>
      </c>
    </row>
    <row r="352" spans="1:14" s="12" customFormat="1">
      <c r="A352" s="11">
        <v>1270</v>
      </c>
      <c r="B352" s="13" t="str">
        <f>VLOOKUP(A352,基础数据!A:B,2,FALSE)</f>
        <v>洛阳</v>
      </c>
      <c r="C352" s="10">
        <v>44134</v>
      </c>
      <c r="D352" s="9"/>
      <c r="E352" s="11">
        <v>4500073121</v>
      </c>
      <c r="F352" s="9"/>
      <c r="G352" s="11">
        <v>1120002602</v>
      </c>
      <c r="H352" s="9" t="s">
        <v>1556</v>
      </c>
      <c r="I352" s="9"/>
      <c r="J352" s="11">
        <v>2288</v>
      </c>
      <c r="K352" s="11">
        <f>J352</f>
        <v>2288</v>
      </c>
      <c r="L352" s="10">
        <v>44137</v>
      </c>
      <c r="M352" s="9" t="s">
        <v>1618</v>
      </c>
      <c r="N352" s="13" t="str">
        <f>VLOOKUP(H352,基础数据!G:H,2,FALSE)</f>
        <v>BX600-1.27-100</v>
      </c>
    </row>
    <row r="353" spans="1:14" s="12" customFormat="1">
      <c r="A353" s="11">
        <v>1270</v>
      </c>
      <c r="B353" s="13" t="str">
        <f>VLOOKUP(A353,基础数据!A:B,2,FALSE)</f>
        <v>洛阳</v>
      </c>
      <c r="C353" s="10">
        <v>44131</v>
      </c>
      <c r="D353" s="9"/>
      <c r="E353" s="9">
        <v>4500073062</v>
      </c>
      <c r="F353" s="9"/>
      <c r="G353" s="11">
        <v>1120002589</v>
      </c>
      <c r="H353" s="9" t="s">
        <v>1072</v>
      </c>
      <c r="I353" s="11">
        <v>2</v>
      </c>
      <c r="J353" s="11">
        <v>6040</v>
      </c>
      <c r="K353" s="11">
        <f>I353</f>
        <v>2</v>
      </c>
      <c r="L353" s="10">
        <v>44137</v>
      </c>
      <c r="M353" s="9" t="s">
        <v>1622</v>
      </c>
      <c r="N353" s="13" t="str">
        <f>VLOOKUP(H353,基础数据!G:H,2,FALSE)</f>
        <v>GW68.6D大梁</v>
      </c>
    </row>
    <row r="354" spans="1:14" s="12" customFormat="1">
      <c r="A354" s="11">
        <v>1270</v>
      </c>
      <c r="B354" s="13" t="str">
        <f>VLOOKUP(A354,基础数据!A:B,2,FALSE)</f>
        <v>洛阳</v>
      </c>
      <c r="C354" s="10">
        <v>44131</v>
      </c>
      <c r="D354" s="9"/>
      <c r="E354" s="9">
        <v>4500073062</v>
      </c>
      <c r="F354" s="9"/>
      <c r="G354" s="9">
        <v>1120000140</v>
      </c>
      <c r="H354" s="9" t="s">
        <v>114</v>
      </c>
      <c r="I354" s="11"/>
      <c r="J354" s="11">
        <v>5598</v>
      </c>
      <c r="K354" s="11">
        <f>J354</f>
        <v>5598</v>
      </c>
      <c r="L354" s="10">
        <v>44137</v>
      </c>
      <c r="M354" s="9" t="s">
        <v>1625</v>
      </c>
      <c r="N354" s="13" t="str">
        <f>VLOOKUP(H354,基础数据!G:H,2,FALSE)</f>
        <v>TLX1215-1.27-100</v>
      </c>
    </row>
    <row r="355" spans="1:14" s="12" customFormat="1">
      <c r="A355" s="11">
        <v>1270</v>
      </c>
      <c r="B355" s="13" t="str">
        <f>VLOOKUP(A355,基础数据!A:B,2,FALSE)</f>
        <v>洛阳</v>
      </c>
      <c r="C355" s="10">
        <v>44057</v>
      </c>
      <c r="D355" s="9"/>
      <c r="E355" s="11">
        <v>4500067741</v>
      </c>
      <c r="F355" s="9"/>
      <c r="G355" s="11">
        <v>1120002596</v>
      </c>
      <c r="H355" s="9" t="s">
        <v>18</v>
      </c>
      <c r="I355" s="11">
        <v>4</v>
      </c>
      <c r="J355" s="11">
        <v>2572</v>
      </c>
      <c r="K355" s="11">
        <f>I355</f>
        <v>4</v>
      </c>
      <c r="L355" s="10">
        <v>44099</v>
      </c>
      <c r="M355" s="9" t="s">
        <v>1623</v>
      </c>
      <c r="N355" s="13" t="str">
        <f>VLOOKUP(H355,基础数据!G:H,2,FALSE)</f>
        <v>SR140后缘</v>
      </c>
    </row>
    <row r="356" spans="1:14" s="12" customFormat="1">
      <c r="A356" s="11">
        <v>1270</v>
      </c>
      <c r="B356" s="13" t="str">
        <f>VLOOKUP(A356,基础数据!A:B,2,FALSE)</f>
        <v>洛阳</v>
      </c>
      <c r="C356" s="10">
        <v>44134</v>
      </c>
      <c r="D356" s="9"/>
      <c r="E356" s="11">
        <v>4500073121</v>
      </c>
      <c r="F356" s="9"/>
      <c r="G356" s="11">
        <v>1120002602</v>
      </c>
      <c r="H356" s="9" t="s">
        <v>1556</v>
      </c>
      <c r="I356" s="9"/>
      <c r="J356" s="11">
        <v>1754</v>
      </c>
      <c r="K356" s="11">
        <f>J356</f>
        <v>1754</v>
      </c>
      <c r="L356" s="10">
        <v>44137</v>
      </c>
      <c r="M356" s="9" t="s">
        <v>1624</v>
      </c>
      <c r="N356" s="13" t="str">
        <f>VLOOKUP(H356,基础数据!G:H,2,FALSE)</f>
        <v>BX600-1.27-100</v>
      </c>
    </row>
    <row r="357" spans="1:14" s="12" customFormat="1">
      <c r="A357" s="11">
        <v>1270</v>
      </c>
      <c r="B357" s="13" t="str">
        <f>VLOOKUP(A357,基础数据!A:B,2,FALSE)</f>
        <v>洛阳</v>
      </c>
      <c r="C357" s="10">
        <v>44131</v>
      </c>
      <c r="D357" s="9"/>
      <c r="E357" s="9">
        <v>4500073062</v>
      </c>
      <c r="F357" s="9"/>
      <c r="G357" s="9">
        <v>1120000140</v>
      </c>
      <c r="H357" s="9" t="s">
        <v>114</v>
      </c>
      <c r="I357" s="11"/>
      <c r="J357" s="11">
        <v>9330</v>
      </c>
      <c r="K357" s="11">
        <f>J357</f>
        <v>9330</v>
      </c>
      <c r="L357" s="10">
        <v>44137</v>
      </c>
      <c r="M357" s="9" t="s">
        <v>1638</v>
      </c>
      <c r="N357" s="13" t="str">
        <f>VLOOKUP(H357,基础数据!G:H,2,FALSE)</f>
        <v>TLX1215-1.27-100</v>
      </c>
    </row>
    <row r="358" spans="1:14" s="12" customFormat="1">
      <c r="A358" s="11">
        <v>1270</v>
      </c>
      <c r="B358" s="13" t="str">
        <f>VLOOKUP(A358,基础数据!A:B,2,FALSE)</f>
        <v>洛阳</v>
      </c>
      <c r="C358" s="10">
        <v>44134</v>
      </c>
      <c r="D358" s="9"/>
      <c r="E358" s="11">
        <v>4500073121</v>
      </c>
      <c r="F358" s="9"/>
      <c r="G358" s="11">
        <v>1120002587</v>
      </c>
      <c r="H358" s="9" t="s">
        <v>1555</v>
      </c>
      <c r="I358" s="11">
        <v>4</v>
      </c>
      <c r="J358" s="11">
        <v>2560</v>
      </c>
      <c r="K358" s="11">
        <f>I358</f>
        <v>4</v>
      </c>
      <c r="L358" s="10">
        <v>44137</v>
      </c>
      <c r="M358" s="9" t="s">
        <v>1639</v>
      </c>
      <c r="N358" s="13" t="str">
        <f>VLOOKUP(H358,基础数据!G:H,2,FALSE)</f>
        <v>GW68.6D后缘</v>
      </c>
    </row>
    <row r="359" spans="1:14" s="12" customFormat="1">
      <c r="A359" s="11">
        <v>1270</v>
      </c>
      <c r="B359" s="13" t="str">
        <f>VLOOKUP(A359,基础数据!A:B,2,FALSE)</f>
        <v>洛阳</v>
      </c>
      <c r="C359" s="10">
        <v>44134</v>
      </c>
      <c r="D359" s="9"/>
      <c r="E359" s="11">
        <v>4500073121</v>
      </c>
      <c r="F359" s="9"/>
      <c r="G359" s="11">
        <v>1120002602</v>
      </c>
      <c r="H359" s="9" t="s">
        <v>1556</v>
      </c>
      <c r="I359" s="9"/>
      <c r="J359" s="11">
        <v>2288</v>
      </c>
      <c r="K359" s="11">
        <f>J359</f>
        <v>2288</v>
      </c>
      <c r="L359" s="10">
        <v>44137</v>
      </c>
      <c r="M359" s="9" t="s">
        <v>1640</v>
      </c>
      <c r="N359" s="13" t="str">
        <f>VLOOKUP(H359,基础数据!G:H,2,FALSE)</f>
        <v>BX600-1.27-100</v>
      </c>
    </row>
    <row r="360" spans="1:14" s="12" customFormat="1">
      <c r="A360" s="11">
        <v>1270</v>
      </c>
      <c r="B360" s="13" t="str">
        <f>VLOOKUP(A360,基础数据!A:B,2,FALSE)</f>
        <v>洛阳</v>
      </c>
      <c r="C360" s="10">
        <v>44131</v>
      </c>
      <c r="D360" s="9"/>
      <c r="E360" s="9">
        <v>4500073062</v>
      </c>
      <c r="F360" s="9"/>
      <c r="G360" s="11">
        <v>1120000133</v>
      </c>
      <c r="H360" s="9" t="s">
        <v>115</v>
      </c>
      <c r="I360" s="11"/>
      <c r="J360" s="11">
        <v>10370</v>
      </c>
      <c r="K360" s="11">
        <f>J360</f>
        <v>10370</v>
      </c>
      <c r="L360" s="10">
        <v>44137</v>
      </c>
      <c r="M360" s="9" t="s">
        <v>1644</v>
      </c>
      <c r="N360" s="13" t="str">
        <f>VLOOKUP(H360,基础数据!G:H,2,FALSE)</f>
        <v>BX800-1.27-100</v>
      </c>
    </row>
    <row r="361" spans="1:14" s="12" customFormat="1">
      <c r="A361" s="11">
        <v>1270</v>
      </c>
      <c r="B361" s="13" t="str">
        <f>VLOOKUP(A361,基础数据!A:B,2,FALSE)</f>
        <v>洛阳</v>
      </c>
      <c r="C361" s="10">
        <v>44057</v>
      </c>
      <c r="D361" s="9"/>
      <c r="E361" s="11">
        <v>4500067741</v>
      </c>
      <c r="F361" s="9"/>
      <c r="G361" s="11">
        <v>1120002596</v>
      </c>
      <c r="H361" s="9" t="s">
        <v>18</v>
      </c>
      <c r="I361" s="11">
        <v>4</v>
      </c>
      <c r="J361" s="11">
        <v>2572</v>
      </c>
      <c r="K361" s="11">
        <f>I361</f>
        <v>4</v>
      </c>
      <c r="L361" s="10">
        <v>44099</v>
      </c>
      <c r="M361" s="9" t="s">
        <v>1645</v>
      </c>
      <c r="N361" s="13" t="str">
        <f>VLOOKUP(H361,基础数据!G:H,2,FALSE)</f>
        <v>SR140后缘</v>
      </c>
    </row>
    <row r="362" spans="1:14" s="12" customFormat="1">
      <c r="A362" s="11">
        <v>1270</v>
      </c>
      <c r="B362" s="13" t="str">
        <f>VLOOKUP(A362,基础数据!A:B,2,FALSE)</f>
        <v>洛阳</v>
      </c>
      <c r="C362" s="10">
        <v>44134</v>
      </c>
      <c r="D362" s="9"/>
      <c r="E362" s="11">
        <v>4500073121</v>
      </c>
      <c r="F362" s="9"/>
      <c r="G362" s="11">
        <v>1120002587</v>
      </c>
      <c r="H362" s="9" t="s">
        <v>1555</v>
      </c>
      <c r="I362" s="11">
        <v>4</v>
      </c>
      <c r="J362" s="11">
        <v>2560</v>
      </c>
      <c r="K362" s="11">
        <f>I362</f>
        <v>4</v>
      </c>
      <c r="L362" s="10">
        <v>44137</v>
      </c>
      <c r="M362" s="9" t="s">
        <v>1646</v>
      </c>
      <c r="N362" s="13" t="str">
        <f>VLOOKUP(H362,基础数据!G:H,2,FALSE)</f>
        <v>GW68.6D后缘</v>
      </c>
    </row>
    <row r="363" spans="1:14" s="12" customFormat="1">
      <c r="A363" s="11">
        <v>1270</v>
      </c>
      <c r="B363" s="13" t="str">
        <f>VLOOKUP(A363,基础数据!A:B,2,FALSE)</f>
        <v>洛阳</v>
      </c>
      <c r="C363" s="10">
        <v>44134</v>
      </c>
      <c r="D363" s="9"/>
      <c r="E363" s="11">
        <v>4500073121</v>
      </c>
      <c r="F363" s="9"/>
      <c r="G363" s="11">
        <v>1120002602</v>
      </c>
      <c r="H363" s="9" t="s">
        <v>1556</v>
      </c>
      <c r="I363" s="9"/>
      <c r="J363" s="11">
        <v>2288</v>
      </c>
      <c r="K363" s="11">
        <f>J363</f>
        <v>2288</v>
      </c>
      <c r="L363" s="10">
        <v>44137</v>
      </c>
      <c r="M363" s="9" t="s">
        <v>1647</v>
      </c>
      <c r="N363" s="13" t="str">
        <f>VLOOKUP(H363,基础数据!G:H,2,FALSE)</f>
        <v>BX600-1.27-100</v>
      </c>
    </row>
    <row r="364" spans="1:14" s="12" customFormat="1">
      <c r="A364" s="11">
        <v>1270</v>
      </c>
      <c r="B364" s="13" t="str">
        <f>VLOOKUP(A364,基础数据!A:B,2,FALSE)</f>
        <v>洛阳</v>
      </c>
      <c r="C364" s="10">
        <v>44118</v>
      </c>
      <c r="D364" s="9"/>
      <c r="E364" s="11">
        <v>4500067741</v>
      </c>
      <c r="F364" s="9"/>
      <c r="G364" s="11">
        <v>1120002597</v>
      </c>
      <c r="H364" s="9" t="s">
        <v>19</v>
      </c>
      <c r="I364" s="11">
        <v>4</v>
      </c>
      <c r="J364" s="11">
        <v>12264</v>
      </c>
      <c r="K364" s="11">
        <f>I364</f>
        <v>4</v>
      </c>
      <c r="L364" s="10">
        <v>44124</v>
      </c>
      <c r="M364" s="9" t="s">
        <v>1649</v>
      </c>
      <c r="N364" s="13" t="str">
        <f>VLOOKUP(H364,基础数据!G:H,2,FALSE)</f>
        <v>SR140大梁</v>
      </c>
    </row>
    <row r="365" spans="1:14" s="12" customFormat="1">
      <c r="A365" s="11">
        <v>1270</v>
      </c>
      <c r="B365" s="13" t="str">
        <f>VLOOKUP(A365,基础数据!A:B,2,FALSE)</f>
        <v>洛阳</v>
      </c>
      <c r="C365" s="10">
        <v>44057</v>
      </c>
      <c r="D365" s="9"/>
      <c r="E365" s="11">
        <v>4500067741</v>
      </c>
      <c r="F365" s="9"/>
      <c r="G365" s="11">
        <v>1120002596</v>
      </c>
      <c r="H365" s="9" t="s">
        <v>18</v>
      </c>
      <c r="I365" s="11">
        <v>2</v>
      </c>
      <c r="J365" s="11">
        <v>1286</v>
      </c>
      <c r="K365" s="11">
        <f>I365</f>
        <v>2</v>
      </c>
      <c r="L365" s="10">
        <v>44099</v>
      </c>
      <c r="M365" s="9" t="s">
        <v>1650</v>
      </c>
      <c r="N365" s="13" t="str">
        <f>VLOOKUP(H365,基础数据!G:H,2,FALSE)</f>
        <v>SR140后缘</v>
      </c>
    </row>
    <row r="366" spans="1:14" s="12" customFormat="1">
      <c r="A366" s="11">
        <v>1270</v>
      </c>
      <c r="B366" s="13" t="str">
        <f>VLOOKUP(A366,基础数据!A:B,2,FALSE)</f>
        <v>洛阳</v>
      </c>
      <c r="C366" s="10">
        <v>44134</v>
      </c>
      <c r="D366" s="9"/>
      <c r="E366" s="11">
        <v>4500073121</v>
      </c>
      <c r="F366" s="9"/>
      <c r="G366" s="11">
        <v>1120002587</v>
      </c>
      <c r="H366" s="9" t="s">
        <v>1555</v>
      </c>
      <c r="I366" s="11">
        <f>10-4-4</f>
        <v>2</v>
      </c>
      <c r="J366" s="11">
        <f>6300-2560-2560</f>
        <v>1180</v>
      </c>
      <c r="K366" s="11">
        <f>I366</f>
        <v>2</v>
      </c>
      <c r="L366" s="10">
        <v>44137</v>
      </c>
      <c r="M366" s="9" t="s">
        <v>1651</v>
      </c>
      <c r="N366" s="13" t="str">
        <f>VLOOKUP(H366,基础数据!G:H,2,FALSE)</f>
        <v>GW68.6D后缘</v>
      </c>
    </row>
    <row r="367" spans="1:14" s="12" customFormat="1">
      <c r="A367" s="11">
        <v>1270</v>
      </c>
      <c r="B367" s="13" t="str">
        <f>VLOOKUP(A367,基础数据!A:B,2,FALSE)</f>
        <v>洛阳</v>
      </c>
      <c r="C367" s="10">
        <v>44131</v>
      </c>
      <c r="D367" s="9"/>
      <c r="E367" s="9">
        <v>4500073062</v>
      </c>
      <c r="F367" s="9"/>
      <c r="G367" s="9">
        <v>1120000140</v>
      </c>
      <c r="H367" s="9" t="s">
        <v>114</v>
      </c>
      <c r="I367" s="11"/>
      <c r="J367" s="11">
        <v>4354</v>
      </c>
      <c r="K367" s="11">
        <f>J367</f>
        <v>4354</v>
      </c>
      <c r="L367" s="10">
        <v>44137</v>
      </c>
      <c r="M367" s="9" t="s">
        <v>1652</v>
      </c>
      <c r="N367" s="13" t="str">
        <f>VLOOKUP(H367,基础数据!G:H,2,FALSE)</f>
        <v>TLX1215-1.27-100</v>
      </c>
    </row>
    <row r="368" spans="1:14" s="12" customFormat="1">
      <c r="A368" s="11">
        <v>1270</v>
      </c>
      <c r="B368" s="13" t="str">
        <f>VLOOKUP(A368,基础数据!A:B,2,FALSE)</f>
        <v>洛阳</v>
      </c>
      <c r="C368" s="10">
        <v>44131</v>
      </c>
      <c r="D368" s="9"/>
      <c r="E368" s="9">
        <v>4500073062</v>
      </c>
      <c r="F368" s="9"/>
      <c r="G368" s="11">
        <v>1120000133</v>
      </c>
      <c r="H368" s="9" t="s">
        <v>115</v>
      </c>
      <c r="I368" s="11"/>
      <c r="J368" s="11">
        <v>5190</v>
      </c>
      <c r="K368" s="11">
        <f>J368</f>
        <v>5190</v>
      </c>
      <c r="L368" s="10">
        <v>44137</v>
      </c>
      <c r="M368" s="9" t="s">
        <v>1653</v>
      </c>
      <c r="N368" s="13" t="str">
        <f>VLOOKUP(H368,基础数据!G:H,2,FALSE)</f>
        <v>BX800-1.27-100</v>
      </c>
    </row>
    <row r="369" spans="1:14" s="12" customFormat="1">
      <c r="A369" s="11">
        <v>1270</v>
      </c>
      <c r="B369" s="13" t="str">
        <f>VLOOKUP(A369,基础数据!A:B,2,FALSE)</f>
        <v>洛阳</v>
      </c>
      <c r="C369" s="10">
        <v>44057</v>
      </c>
      <c r="D369" s="9"/>
      <c r="E369" s="11">
        <v>4500067741</v>
      </c>
      <c r="F369" s="9"/>
      <c r="G369" s="11">
        <v>1120002596</v>
      </c>
      <c r="H369" s="9" t="s">
        <v>18</v>
      </c>
      <c r="I369" s="11">
        <v>2</v>
      </c>
      <c r="J369" s="11">
        <v>1286</v>
      </c>
      <c r="K369" s="11">
        <f>I369</f>
        <v>2</v>
      </c>
      <c r="L369" s="10">
        <v>44099</v>
      </c>
      <c r="M369" s="9" t="s">
        <v>1660</v>
      </c>
      <c r="N369" s="13" t="str">
        <f>VLOOKUP(H369,基础数据!G:H,2,FALSE)</f>
        <v>SR140后缘</v>
      </c>
    </row>
    <row r="370" spans="1:14" s="12" customFormat="1">
      <c r="A370" s="11">
        <v>1270</v>
      </c>
      <c r="B370" s="13" t="str">
        <f>VLOOKUP(A370,基础数据!A:B,2,FALSE)</f>
        <v>洛阳</v>
      </c>
      <c r="C370" s="10">
        <v>44131</v>
      </c>
      <c r="D370" s="9"/>
      <c r="E370" s="9">
        <v>4500073062</v>
      </c>
      <c r="F370" s="9"/>
      <c r="G370" s="11">
        <v>1120002589</v>
      </c>
      <c r="H370" s="9" t="s">
        <v>1072</v>
      </c>
      <c r="I370" s="11">
        <v>4</v>
      </c>
      <c r="J370" s="11">
        <v>12080</v>
      </c>
      <c r="K370" s="11">
        <f>I370</f>
        <v>4</v>
      </c>
      <c r="L370" s="10">
        <v>44137</v>
      </c>
      <c r="M370" s="9" t="s">
        <v>1661</v>
      </c>
      <c r="N370" s="13" t="str">
        <f>VLOOKUP(H370,基础数据!G:H,2,FALSE)</f>
        <v>GW68.6D大梁</v>
      </c>
    </row>
    <row r="371" spans="1:14" s="12" customFormat="1">
      <c r="A371" s="11">
        <v>1270</v>
      </c>
      <c r="B371" s="13" t="str">
        <f>VLOOKUP(A371,基础数据!A:B,2,FALSE)</f>
        <v>洛阳</v>
      </c>
      <c r="C371" s="10">
        <v>44131</v>
      </c>
      <c r="D371" s="9"/>
      <c r="E371" s="9">
        <v>4500073062</v>
      </c>
      <c r="F371" s="9"/>
      <c r="G371" s="11">
        <v>1120000133</v>
      </c>
      <c r="H371" s="9" t="s">
        <v>115</v>
      </c>
      <c r="I371" s="11"/>
      <c r="J371" s="11">
        <f>50000-16610-4160-4160-2080-3110-2080-10370-5190</f>
        <v>2240</v>
      </c>
      <c r="K371" s="11">
        <f t="shared" ref="K371:K377" si="2">J371</f>
        <v>2240</v>
      </c>
      <c r="L371" s="10">
        <v>44137</v>
      </c>
      <c r="M371" s="9" t="s">
        <v>1653</v>
      </c>
      <c r="N371" s="13" t="str">
        <f>VLOOKUP(H371,基础数据!G:H,2,FALSE)</f>
        <v>BX800-1.27-100</v>
      </c>
    </row>
    <row r="372" spans="1:14" s="12" customFormat="1">
      <c r="A372" s="11">
        <v>1270</v>
      </c>
      <c r="B372" s="13" t="str">
        <f>VLOOKUP(A372,基础数据!A:B,2,FALSE)</f>
        <v>洛阳</v>
      </c>
      <c r="C372" s="10">
        <v>44134</v>
      </c>
      <c r="D372" s="9"/>
      <c r="E372" s="11">
        <v>4500073121</v>
      </c>
      <c r="F372" s="9"/>
      <c r="G372" s="11">
        <v>1120000133</v>
      </c>
      <c r="H372" s="9" t="s">
        <v>115</v>
      </c>
      <c r="I372" s="9"/>
      <c r="J372" s="11">
        <v>4000</v>
      </c>
      <c r="K372" s="11">
        <f t="shared" si="2"/>
        <v>4000</v>
      </c>
      <c r="L372" s="10">
        <v>44137</v>
      </c>
      <c r="M372" s="9" t="s">
        <v>1662</v>
      </c>
      <c r="N372" s="13" t="str">
        <f>VLOOKUP(H372,基础数据!G:H,2,FALSE)</f>
        <v>BX800-1.27-100</v>
      </c>
    </row>
    <row r="373" spans="1:14" s="12" customFormat="1">
      <c r="A373" s="11">
        <v>1270</v>
      </c>
      <c r="B373" s="13" t="str">
        <f>VLOOKUP(A373,基础数据!A:B,2,FALSE)</f>
        <v>洛阳</v>
      </c>
      <c r="C373" s="10">
        <v>44134</v>
      </c>
      <c r="D373" s="9"/>
      <c r="E373" s="11">
        <v>4500073121</v>
      </c>
      <c r="F373" s="9"/>
      <c r="G373" s="11">
        <v>1120002578</v>
      </c>
      <c r="H373" s="9" t="s">
        <v>1535</v>
      </c>
      <c r="I373" s="9"/>
      <c r="J373" s="11">
        <v>1300</v>
      </c>
      <c r="K373" s="11">
        <f t="shared" si="2"/>
        <v>1300</v>
      </c>
      <c r="L373" s="10">
        <v>44137</v>
      </c>
      <c r="M373" s="9" t="s">
        <v>1663</v>
      </c>
      <c r="N373" s="13" t="str">
        <f>VLOOKUP(H373,基础数据!G:H,2,FALSE)</f>
        <v>BX1000-1.27-100</v>
      </c>
    </row>
    <row r="374" spans="1:14" s="12" customFormat="1">
      <c r="A374" s="11">
        <v>1270</v>
      </c>
      <c r="B374" s="13" t="str">
        <f>VLOOKUP(A374,基础数据!A:B,2,FALSE)</f>
        <v>洛阳</v>
      </c>
      <c r="C374" s="10">
        <v>44134</v>
      </c>
      <c r="D374" s="9"/>
      <c r="E374" s="11">
        <v>4500073121</v>
      </c>
      <c r="F374" s="9"/>
      <c r="G374" s="11">
        <v>1120000133</v>
      </c>
      <c r="H374" s="9" t="s">
        <v>115</v>
      </c>
      <c r="I374" s="9"/>
      <c r="J374" s="11">
        <v>4160</v>
      </c>
      <c r="K374" s="11">
        <f t="shared" si="2"/>
        <v>4160</v>
      </c>
      <c r="L374" s="10">
        <v>44137</v>
      </c>
      <c r="M374" s="9" t="s">
        <v>1664</v>
      </c>
      <c r="N374" s="13" t="str">
        <f>VLOOKUP(H374,基础数据!G:H,2,FALSE)</f>
        <v>BX800-1.27-100</v>
      </c>
    </row>
    <row r="375" spans="1:14" s="12" customFormat="1">
      <c r="A375" s="11">
        <v>1270</v>
      </c>
      <c r="B375" s="13" t="str">
        <f>VLOOKUP(A375,基础数据!A:B,2,FALSE)</f>
        <v>洛阳</v>
      </c>
      <c r="C375" s="10">
        <v>44131</v>
      </c>
      <c r="D375" s="9"/>
      <c r="E375" s="9">
        <v>4500073062</v>
      </c>
      <c r="F375" s="9"/>
      <c r="G375" s="9">
        <v>1120002578</v>
      </c>
      <c r="H375" s="9" t="s">
        <v>1535</v>
      </c>
      <c r="I375" s="11"/>
      <c r="J375" s="11">
        <f>2600-1540</f>
        <v>1060</v>
      </c>
      <c r="K375" s="11">
        <f t="shared" si="2"/>
        <v>1060</v>
      </c>
      <c r="L375" s="10">
        <v>44137</v>
      </c>
      <c r="M375" s="9" t="s">
        <v>1665</v>
      </c>
      <c r="N375" s="13" t="str">
        <f>VLOOKUP(H375,基础数据!G:H,2,FALSE)</f>
        <v>BX1000-1.27-100</v>
      </c>
    </row>
    <row r="376" spans="1:14" s="12" customFormat="1">
      <c r="A376" s="11">
        <v>1270</v>
      </c>
      <c r="B376" s="13" t="str">
        <f>VLOOKUP(A376,基础数据!A:B,2,FALSE)</f>
        <v>洛阳</v>
      </c>
      <c r="C376" s="10">
        <v>44134</v>
      </c>
      <c r="D376" s="9"/>
      <c r="E376" s="11">
        <v>4500073121</v>
      </c>
      <c r="F376" s="9"/>
      <c r="G376" s="11">
        <v>1120002578</v>
      </c>
      <c r="H376" s="9" t="s">
        <v>1535</v>
      </c>
      <c r="I376" s="9"/>
      <c r="J376" s="11">
        <f>4714-3850</f>
        <v>864</v>
      </c>
      <c r="K376" s="11">
        <f t="shared" si="2"/>
        <v>864</v>
      </c>
      <c r="L376" s="10">
        <v>44137</v>
      </c>
      <c r="M376" s="9" t="s">
        <v>1666</v>
      </c>
      <c r="N376" s="13" t="str">
        <f>VLOOKUP(H376,基础数据!G:H,2,FALSE)</f>
        <v>BX1000-1.27-100</v>
      </c>
    </row>
    <row r="377" spans="1:14" s="12" customFormat="1">
      <c r="A377" s="11">
        <v>1270</v>
      </c>
      <c r="B377" s="13" t="str">
        <f>VLOOKUP(A377,基础数据!A:B,2,FALSE)</f>
        <v>洛阳</v>
      </c>
      <c r="C377" s="10">
        <v>44134</v>
      </c>
      <c r="D377" s="9"/>
      <c r="E377" s="11">
        <v>4500073121</v>
      </c>
      <c r="F377" s="9"/>
      <c r="G377" s="11">
        <v>1120002578</v>
      </c>
      <c r="H377" s="9" t="s">
        <v>1535</v>
      </c>
      <c r="I377" s="9"/>
      <c r="J377" s="11">
        <f>1748-1300+228</f>
        <v>676</v>
      </c>
      <c r="K377" s="11">
        <f t="shared" si="2"/>
        <v>676</v>
      </c>
      <c r="L377" s="10">
        <v>44137</v>
      </c>
      <c r="M377" s="9" t="s">
        <v>1667</v>
      </c>
      <c r="N377" s="13" t="str">
        <f>VLOOKUP(H377,基础数据!G:H,2,FALSE)</f>
        <v>BX1000-1.27-100</v>
      </c>
    </row>
    <row r="378" spans="1:14" s="12" customFormat="1">
      <c r="A378" s="11">
        <v>1270</v>
      </c>
      <c r="B378" s="13" t="str">
        <f>VLOOKUP(A378,基础数据!A:B,2,FALSE)</f>
        <v>洛阳</v>
      </c>
      <c r="C378" s="10">
        <v>44118</v>
      </c>
      <c r="D378" s="9"/>
      <c r="E378" s="11">
        <v>4500067741</v>
      </c>
      <c r="F378" s="9"/>
      <c r="G378" s="11">
        <v>1120002597</v>
      </c>
      <c r="H378" s="9" t="s">
        <v>19</v>
      </c>
      <c r="I378" s="11">
        <v>2</v>
      </c>
      <c r="J378" s="11">
        <v>6132</v>
      </c>
      <c r="K378" s="11">
        <f>I378</f>
        <v>2</v>
      </c>
      <c r="L378" s="10">
        <v>44124</v>
      </c>
      <c r="M378" s="9" t="s">
        <v>1668</v>
      </c>
      <c r="N378" s="13" t="str">
        <f>VLOOKUP(H378,基础数据!G:H,2,FALSE)</f>
        <v>SR140大梁</v>
      </c>
    </row>
    <row r="379" spans="1:14" s="12" customFormat="1">
      <c r="A379" s="11">
        <v>1270</v>
      </c>
      <c r="B379" s="13" t="str">
        <f>VLOOKUP(A379,基础数据!A:B,2,FALSE)</f>
        <v>洛阳</v>
      </c>
      <c r="C379" s="10">
        <v>44057</v>
      </c>
      <c r="D379" s="9"/>
      <c r="E379" s="11">
        <v>4500067741</v>
      </c>
      <c r="F379" s="9"/>
      <c r="G379" s="11">
        <v>1120002596</v>
      </c>
      <c r="H379" s="9" t="s">
        <v>18</v>
      </c>
      <c r="I379" s="11">
        <v>2</v>
      </c>
      <c r="J379" s="11">
        <v>1286</v>
      </c>
      <c r="K379" s="11">
        <f>I379</f>
        <v>2</v>
      </c>
      <c r="L379" s="10">
        <v>44099</v>
      </c>
      <c r="M379" s="9" t="s">
        <v>1669</v>
      </c>
      <c r="N379" s="13" t="str">
        <f>VLOOKUP(H379,基础数据!G:H,2,FALSE)</f>
        <v>SR140后缘</v>
      </c>
    </row>
    <row r="380" spans="1:14" s="12" customFormat="1">
      <c r="A380" s="11">
        <v>1270</v>
      </c>
      <c r="B380" s="13" t="str">
        <f>VLOOKUP(A380,基础数据!A:B,2,FALSE)</f>
        <v>洛阳</v>
      </c>
      <c r="C380" s="10">
        <v>44134</v>
      </c>
      <c r="D380" s="9"/>
      <c r="E380" s="11">
        <v>4500073121</v>
      </c>
      <c r="F380" s="9"/>
      <c r="G380" s="11">
        <v>1120000133</v>
      </c>
      <c r="H380" s="9" t="s">
        <v>115</v>
      </c>
      <c r="I380" s="9"/>
      <c r="J380" s="11">
        <v>6210</v>
      </c>
      <c r="K380" s="11">
        <f>J380</f>
        <v>6210</v>
      </c>
      <c r="L380" s="10">
        <v>44137</v>
      </c>
      <c r="M380" s="9" t="s">
        <v>1674</v>
      </c>
      <c r="N380" s="13" t="str">
        <f>VLOOKUP(H380,基础数据!G:H,2,FALSE)</f>
        <v>BX800-1.27-100</v>
      </c>
    </row>
    <row r="381" spans="1:14" s="12" customFormat="1">
      <c r="A381" s="11">
        <v>1270</v>
      </c>
      <c r="B381" s="13" t="str">
        <f>VLOOKUP(A381,基础数据!A:B,2,FALSE)</f>
        <v>洛阳</v>
      </c>
      <c r="C381" s="10">
        <v>44118</v>
      </c>
      <c r="D381" s="9"/>
      <c r="E381" s="11">
        <v>4500067741</v>
      </c>
      <c r="F381" s="9"/>
      <c r="G381" s="11">
        <v>1120002597</v>
      </c>
      <c r="H381" s="9" t="s">
        <v>19</v>
      </c>
      <c r="I381" s="11">
        <v>2</v>
      </c>
      <c r="J381" s="11">
        <v>6132</v>
      </c>
      <c r="K381" s="11">
        <f>I381</f>
        <v>2</v>
      </c>
      <c r="L381" s="10">
        <v>44124</v>
      </c>
      <c r="M381" s="9" t="s">
        <v>1675</v>
      </c>
      <c r="N381" s="13" t="str">
        <f>VLOOKUP(H381,基础数据!G:H,2,FALSE)</f>
        <v>SR140大梁</v>
      </c>
    </row>
    <row r="382" spans="1:14" s="12" customFormat="1">
      <c r="A382" s="11">
        <v>1270</v>
      </c>
      <c r="B382" s="13" t="str">
        <f>VLOOKUP(A382,基础数据!A:B,2,FALSE)</f>
        <v>洛阳</v>
      </c>
      <c r="C382" s="10">
        <v>44057</v>
      </c>
      <c r="D382" s="9"/>
      <c r="E382" s="11">
        <v>4500067741</v>
      </c>
      <c r="F382" s="9"/>
      <c r="G382" s="11">
        <v>1120002596</v>
      </c>
      <c r="H382" s="9" t="s">
        <v>18</v>
      </c>
      <c r="I382" s="11">
        <v>2</v>
      </c>
      <c r="J382" s="11">
        <v>1286</v>
      </c>
      <c r="K382" s="11">
        <f>I382</f>
        <v>2</v>
      </c>
      <c r="L382" s="10">
        <v>44099</v>
      </c>
      <c r="M382" s="9" t="s">
        <v>1676</v>
      </c>
      <c r="N382" s="13" t="str">
        <f>VLOOKUP(H382,基础数据!G:H,2,FALSE)</f>
        <v>SR140后缘</v>
      </c>
    </row>
    <row r="383" spans="1:14" s="12" customFormat="1">
      <c r="A383" s="11">
        <v>1270</v>
      </c>
      <c r="B383" s="13" t="str">
        <f>VLOOKUP(A383,基础数据!A:B,2,FALSE)</f>
        <v>洛阳</v>
      </c>
      <c r="C383" s="10">
        <v>44131</v>
      </c>
      <c r="D383" s="9"/>
      <c r="E383" s="9">
        <v>4500073062</v>
      </c>
      <c r="F383" s="9"/>
      <c r="G383" s="11">
        <v>1120002589</v>
      </c>
      <c r="H383" s="9" t="s">
        <v>1072</v>
      </c>
      <c r="I383" s="11">
        <v>4</v>
      </c>
      <c r="J383" s="11">
        <v>12080</v>
      </c>
      <c r="K383" s="11">
        <f t="shared" ref="K383" si="3">I383</f>
        <v>4</v>
      </c>
      <c r="L383" s="10">
        <v>44137</v>
      </c>
      <c r="M383" s="9" t="s">
        <v>1677</v>
      </c>
      <c r="N383" s="13" t="str">
        <f>VLOOKUP(H383,基础数据!G:H,2,FALSE)</f>
        <v>GW68.6D大梁</v>
      </c>
    </row>
    <row r="384" spans="1:14" s="12" customFormat="1">
      <c r="A384" s="11">
        <v>1270</v>
      </c>
      <c r="B384" s="13" t="str">
        <f>VLOOKUP(A384,基础数据!A:B,2,FALSE)</f>
        <v>洛阳</v>
      </c>
      <c r="C384" s="10">
        <v>44131</v>
      </c>
      <c r="D384" s="9"/>
      <c r="E384" s="9">
        <v>4500073062</v>
      </c>
      <c r="F384" s="9"/>
      <c r="G384" s="9">
        <v>1120000140</v>
      </c>
      <c r="H384" s="9" t="s">
        <v>114</v>
      </c>
      <c r="I384" s="11"/>
      <c r="J384" s="11">
        <f>51452-7464-5598-3732-4665-4665-4665-5598-9330-4354</f>
        <v>1381</v>
      </c>
      <c r="K384" s="11">
        <f>J384</f>
        <v>1381</v>
      </c>
      <c r="L384" s="10">
        <v>44137</v>
      </c>
      <c r="M384" s="9" t="s">
        <v>1683</v>
      </c>
      <c r="N384" s="13" t="str">
        <f>VLOOKUP(H384,基础数据!G:H,2,FALSE)</f>
        <v>TLX1215-1.27-100</v>
      </c>
    </row>
    <row r="385" spans="1:14" s="12" customFormat="1">
      <c r="A385" s="11">
        <v>1270</v>
      </c>
      <c r="B385" s="13" t="str">
        <f>VLOOKUP(A385,基础数据!A:B,2,FALSE)</f>
        <v>洛阳</v>
      </c>
      <c r="C385" s="10">
        <v>44148</v>
      </c>
      <c r="D385" s="9"/>
      <c r="E385" s="9">
        <v>4500073963</v>
      </c>
      <c r="F385" s="9"/>
      <c r="G385" s="9">
        <v>1120000140</v>
      </c>
      <c r="H385" s="9" t="s">
        <v>114</v>
      </c>
      <c r="I385" s="11"/>
      <c r="J385" s="11">
        <v>2351</v>
      </c>
      <c r="K385" s="11">
        <f t="shared" ref="K385" si="4">J385</f>
        <v>2351</v>
      </c>
      <c r="L385" s="10">
        <v>44151</v>
      </c>
      <c r="M385" s="9" t="s">
        <v>1682</v>
      </c>
      <c r="N385" s="13" t="str">
        <f>VLOOKUP(H385,基础数据!G:H,2,FALSE)</f>
        <v>TLX1215-1.27-100</v>
      </c>
    </row>
    <row r="386" spans="1:14" s="12" customFormat="1">
      <c r="A386" s="11">
        <v>1270</v>
      </c>
      <c r="B386" s="13" t="str">
        <f>VLOOKUP(A386,基础数据!A:B,2,FALSE)</f>
        <v>洛阳</v>
      </c>
      <c r="C386" s="10">
        <v>44134</v>
      </c>
      <c r="D386" s="9"/>
      <c r="E386" s="11">
        <v>4500073121</v>
      </c>
      <c r="F386" s="9"/>
      <c r="G386" s="11">
        <v>1120000133</v>
      </c>
      <c r="H386" s="9" t="s">
        <v>115</v>
      </c>
      <c r="I386" s="9"/>
      <c r="J386" s="11">
        <v>6230</v>
      </c>
      <c r="K386" s="11">
        <f>J386</f>
        <v>6230</v>
      </c>
      <c r="L386" s="10">
        <v>44137</v>
      </c>
      <c r="M386" s="9" t="s">
        <v>1684</v>
      </c>
      <c r="N386" s="13" t="str">
        <f>VLOOKUP(H386,基础数据!G:H,2,FALSE)</f>
        <v>BX800-1.27-100</v>
      </c>
    </row>
    <row r="387" spans="1:14" s="12" customFormat="1">
      <c r="A387" s="11">
        <v>1270</v>
      </c>
      <c r="B387" s="13" t="str">
        <f>VLOOKUP(A387,基础数据!A:B,2,FALSE)</f>
        <v>洛阳</v>
      </c>
      <c r="C387" s="10">
        <v>44118</v>
      </c>
      <c r="D387" s="9"/>
      <c r="E387" s="11">
        <v>4500067741</v>
      </c>
      <c r="F387" s="9"/>
      <c r="G387" s="11">
        <v>1120002597</v>
      </c>
      <c r="H387" s="9" t="s">
        <v>19</v>
      </c>
      <c r="I387" s="11">
        <v>3</v>
      </c>
      <c r="J387" s="11">
        <v>9198</v>
      </c>
      <c r="K387" s="11">
        <f>I387</f>
        <v>3</v>
      </c>
      <c r="L387" s="10">
        <v>44124</v>
      </c>
      <c r="M387" s="9" t="s">
        <v>1685</v>
      </c>
      <c r="N387" s="13" t="str">
        <f>VLOOKUP(H387,基础数据!G:H,2,FALSE)</f>
        <v>SR140大梁</v>
      </c>
    </row>
    <row r="388" spans="1:14" s="12" customFormat="1">
      <c r="A388" s="11">
        <v>1270</v>
      </c>
      <c r="B388" s="13" t="str">
        <f>VLOOKUP(A388,基础数据!A:B,2,FALSE)</f>
        <v>洛阳</v>
      </c>
      <c r="C388" s="10">
        <v>44057</v>
      </c>
      <c r="D388" s="9"/>
      <c r="E388" s="11">
        <v>4500067741</v>
      </c>
      <c r="F388" s="9"/>
      <c r="G388" s="11">
        <v>1120002596</v>
      </c>
      <c r="H388" s="9" t="s">
        <v>18</v>
      </c>
      <c r="I388" s="11">
        <f>12+7-4-4-2-2-2-2</f>
        <v>3</v>
      </c>
      <c r="J388" s="11">
        <f>4501+7716-2572-2572-1286-1286-1286-1286</f>
        <v>1929</v>
      </c>
      <c r="K388" s="11">
        <f>I388</f>
        <v>3</v>
      </c>
      <c r="L388" s="10">
        <v>44099</v>
      </c>
      <c r="M388" s="9" t="s">
        <v>1686</v>
      </c>
      <c r="N388" s="13" t="str">
        <f>VLOOKUP(H388,基础数据!G:H,2,FALSE)</f>
        <v>SR140后缘</v>
      </c>
    </row>
    <row r="389" spans="1:14" s="12" customFormat="1">
      <c r="A389" s="11">
        <v>1270</v>
      </c>
      <c r="B389" s="13" t="str">
        <f>VLOOKUP(A389,基础数据!A:B,2,FALSE)</f>
        <v>洛阳</v>
      </c>
      <c r="C389" s="10">
        <v>44118</v>
      </c>
      <c r="D389" s="9"/>
      <c r="E389" s="11">
        <v>4500067741</v>
      </c>
      <c r="F389" s="9"/>
      <c r="G389" s="11">
        <v>1120002597</v>
      </c>
      <c r="H389" s="9" t="s">
        <v>19</v>
      </c>
      <c r="I389" s="11">
        <f>12-4-2-2-3</f>
        <v>1</v>
      </c>
      <c r="J389" s="11">
        <f>36792-12264-6132-6132-9198</f>
        <v>3066</v>
      </c>
      <c r="K389" s="11">
        <f>I389</f>
        <v>1</v>
      </c>
      <c r="L389" s="10">
        <v>44124</v>
      </c>
      <c r="M389" s="9" t="s">
        <v>1692</v>
      </c>
      <c r="N389" s="13" t="str">
        <f>VLOOKUP(H389,基础数据!G:H,2,FALSE)</f>
        <v>SR140大梁</v>
      </c>
    </row>
    <row r="390" spans="1:14" s="12" customFormat="1">
      <c r="A390" s="11">
        <v>1270</v>
      </c>
      <c r="B390" s="13" t="str">
        <f>VLOOKUP(A390,基础数据!A:B,2,FALSE)</f>
        <v>洛阳</v>
      </c>
      <c r="C390" s="10">
        <v>44148</v>
      </c>
      <c r="D390" s="9"/>
      <c r="E390" s="9">
        <v>4500073963</v>
      </c>
      <c r="F390" s="9"/>
      <c r="G390" s="9">
        <v>1120000140</v>
      </c>
      <c r="H390" s="9" t="s">
        <v>114</v>
      </c>
      <c r="I390" s="11"/>
      <c r="J390" s="11">
        <v>5598</v>
      </c>
      <c r="K390" s="11">
        <f t="shared" ref="K390" si="5">J390</f>
        <v>5598</v>
      </c>
      <c r="L390" s="10">
        <v>44151</v>
      </c>
      <c r="M390" s="9" t="s">
        <v>1693</v>
      </c>
      <c r="N390" s="13" t="str">
        <f>VLOOKUP(H390,基础数据!G:H,2,FALSE)</f>
        <v>TLX1215-1.27-100</v>
      </c>
    </row>
    <row r="391" spans="1:14" s="12" customFormat="1">
      <c r="A391" s="11">
        <v>1270</v>
      </c>
      <c r="B391" s="13" t="str">
        <f>VLOOKUP(A391,基础数据!A:B,2,FALSE)</f>
        <v>洛阳</v>
      </c>
      <c r="C391" s="10">
        <v>44134</v>
      </c>
      <c r="D391" s="9"/>
      <c r="E391" s="11">
        <v>4500073121</v>
      </c>
      <c r="F391" s="9"/>
      <c r="G391" s="11">
        <v>1120000133</v>
      </c>
      <c r="H391" s="9" t="s">
        <v>115</v>
      </c>
      <c r="I391" s="9"/>
      <c r="J391" s="11">
        <v>6984</v>
      </c>
      <c r="K391" s="11">
        <f>J391</f>
        <v>6984</v>
      </c>
      <c r="L391" s="10">
        <v>44137</v>
      </c>
      <c r="M391" s="9" t="s">
        <v>1694</v>
      </c>
      <c r="N391" s="13" t="str">
        <f>VLOOKUP(H391,基础数据!G:H,2,FALSE)</f>
        <v>BX800-1.27-100</v>
      </c>
    </row>
    <row r="392" spans="1:14" s="12" customFormat="1">
      <c r="A392" s="11">
        <v>1270</v>
      </c>
      <c r="B392" s="13" t="str">
        <f>VLOOKUP(A392,基础数据!A:B,2,FALSE)</f>
        <v>洛阳</v>
      </c>
      <c r="C392" s="10">
        <v>44134</v>
      </c>
      <c r="D392" s="9"/>
      <c r="E392" s="11">
        <v>4500073121</v>
      </c>
      <c r="F392" s="9"/>
      <c r="G392" s="11">
        <v>1120002602</v>
      </c>
      <c r="H392" s="9" t="s">
        <v>1556</v>
      </c>
      <c r="I392" s="9"/>
      <c r="J392" s="11">
        <f>13000-1872-2080-2288-1754-2288-2288</f>
        <v>430</v>
      </c>
      <c r="K392" s="11">
        <f>J392</f>
        <v>430</v>
      </c>
      <c r="L392" s="10">
        <v>44137</v>
      </c>
      <c r="M392" s="9" t="s">
        <v>1695</v>
      </c>
      <c r="N392" s="13" t="str">
        <f>VLOOKUP(H392,基础数据!G:H,2,FALSE)</f>
        <v>BX600-1.27-100</v>
      </c>
    </row>
    <row r="393" spans="1:14" s="12" customFormat="1">
      <c r="A393" s="11">
        <v>1270</v>
      </c>
      <c r="B393" s="13" t="str">
        <f>VLOOKUP(A393,基础数据!A:B,2,FALSE)</f>
        <v>洛阳</v>
      </c>
      <c r="C393" s="10">
        <v>44148</v>
      </c>
      <c r="D393" s="9"/>
      <c r="E393" s="9">
        <v>4500073963</v>
      </c>
      <c r="F393" s="9"/>
      <c r="G393" s="9">
        <v>1120000140</v>
      </c>
      <c r="H393" s="9" t="s">
        <v>114</v>
      </c>
      <c r="I393" s="11"/>
      <c r="J393" s="11">
        <v>7434</v>
      </c>
      <c r="K393" s="11">
        <f t="shared" ref="K393" si="6">J393</f>
        <v>7434</v>
      </c>
      <c r="L393" s="10">
        <v>44151</v>
      </c>
      <c r="M393" s="9" t="s">
        <v>1700</v>
      </c>
      <c r="N393" s="13" t="str">
        <f>VLOOKUP(H393,基础数据!G:H,2,FALSE)</f>
        <v>TLX1215-1.27-100</v>
      </c>
    </row>
    <row r="394" spans="1:14" s="12" customFormat="1">
      <c r="A394" s="11">
        <v>1270</v>
      </c>
      <c r="B394" s="13" t="str">
        <f>VLOOKUP(A394,基础数据!A:B,2,FALSE)</f>
        <v>洛阳</v>
      </c>
      <c r="C394" s="10">
        <v>44134</v>
      </c>
      <c r="D394" s="9"/>
      <c r="E394" s="11">
        <v>4500073121</v>
      </c>
      <c r="F394" s="9"/>
      <c r="G394" s="11">
        <v>1120000133</v>
      </c>
      <c r="H394" s="9" t="s">
        <v>115</v>
      </c>
      <c r="I394" s="9"/>
      <c r="J394" s="11">
        <v>8200</v>
      </c>
      <c r="K394" s="11">
        <f>J394</f>
        <v>8200</v>
      </c>
      <c r="L394" s="10">
        <v>44137</v>
      </c>
      <c r="M394" s="9" t="s">
        <v>1701</v>
      </c>
      <c r="N394" s="13" t="str">
        <f>VLOOKUP(H394,基础数据!G:H,2,FALSE)</f>
        <v>BX800-1.27-100</v>
      </c>
    </row>
    <row r="395" spans="1:14" s="12" customFormat="1">
      <c r="A395" s="11">
        <v>1270</v>
      </c>
      <c r="B395" s="13" t="str">
        <f>VLOOKUP(A395,基础数据!A:B,2,FALSE)</f>
        <v>洛阳</v>
      </c>
      <c r="C395" s="10">
        <v>44148</v>
      </c>
      <c r="D395" s="9"/>
      <c r="E395" s="9">
        <v>4500073963</v>
      </c>
      <c r="F395" s="9"/>
      <c r="G395" s="9">
        <v>1120000140</v>
      </c>
      <c r="H395" s="9" t="s">
        <v>114</v>
      </c>
      <c r="I395" s="11"/>
      <c r="J395" s="11">
        <v>7389</v>
      </c>
      <c r="K395" s="11">
        <f t="shared" ref="K395" si="7">J395</f>
        <v>7389</v>
      </c>
      <c r="L395" s="10">
        <v>44151</v>
      </c>
      <c r="M395" s="9" t="s">
        <v>1708</v>
      </c>
      <c r="N395" s="13" t="str">
        <f>VLOOKUP(H395,基础数据!G:H,2,FALSE)</f>
        <v>TLX1215-1.27-100</v>
      </c>
    </row>
    <row r="396" spans="1:14" s="12" customFormat="1">
      <c r="A396" s="11">
        <v>1270</v>
      </c>
      <c r="B396" s="13" t="str">
        <f>VLOOKUP(A396,基础数据!A:B,2,FALSE)</f>
        <v>洛阳</v>
      </c>
      <c r="C396" s="10">
        <v>44134</v>
      </c>
      <c r="D396" s="9"/>
      <c r="E396" s="11">
        <v>4500073121</v>
      </c>
      <c r="F396" s="9"/>
      <c r="G396" s="11">
        <v>1120000133</v>
      </c>
      <c r="H396" s="9" t="s">
        <v>115</v>
      </c>
      <c r="I396" s="9"/>
      <c r="J396" s="11">
        <v>6220</v>
      </c>
      <c r="K396" s="11">
        <f>J396</f>
        <v>6220</v>
      </c>
      <c r="L396" s="10">
        <v>44137</v>
      </c>
      <c r="M396" s="9" t="s">
        <v>1709</v>
      </c>
      <c r="N396" s="13" t="str">
        <f>VLOOKUP(H396,基础数据!G:H,2,FALSE)</f>
        <v>BX800-1.27-100</v>
      </c>
    </row>
    <row r="397" spans="1:14" s="12" customFormat="1">
      <c r="A397" s="11">
        <v>1270</v>
      </c>
      <c r="B397" s="13" t="str">
        <f>VLOOKUP(A397,基础数据!A:B,2,FALSE)</f>
        <v>洛阳</v>
      </c>
      <c r="C397" s="10">
        <v>44131</v>
      </c>
      <c r="D397" s="9"/>
      <c r="E397" s="9">
        <v>4500073062</v>
      </c>
      <c r="F397" s="9"/>
      <c r="G397" s="11">
        <v>1120002589</v>
      </c>
      <c r="H397" s="9" t="s">
        <v>1072</v>
      </c>
      <c r="I397" s="11">
        <v>1</v>
      </c>
      <c r="J397" s="11">
        <v>3020</v>
      </c>
      <c r="K397" s="11">
        <f>I397</f>
        <v>1</v>
      </c>
      <c r="L397" s="10">
        <v>44137</v>
      </c>
      <c r="M397" s="9" t="s">
        <v>1710</v>
      </c>
      <c r="N397" s="13" t="str">
        <f>VLOOKUP(H397,基础数据!G:H,2,FALSE)</f>
        <v>GW68.6D大梁</v>
      </c>
    </row>
    <row r="398" spans="1:14" s="12" customFormat="1">
      <c r="A398" s="11">
        <v>1270</v>
      </c>
      <c r="B398" s="13" t="str">
        <f>VLOOKUP(A398,基础数据!A:B,2,FALSE)</f>
        <v>洛阳</v>
      </c>
      <c r="C398" s="10">
        <v>44131</v>
      </c>
      <c r="D398" s="9"/>
      <c r="E398" s="9">
        <v>4500073062</v>
      </c>
      <c r="F398" s="9"/>
      <c r="G398" s="11">
        <v>1120002589</v>
      </c>
      <c r="H398" s="9" t="s">
        <v>1072</v>
      </c>
      <c r="I398" s="11">
        <v>1</v>
      </c>
      <c r="J398" s="11">
        <v>3020</v>
      </c>
      <c r="K398" s="11">
        <f t="shared" ref="K398" si="8">I398</f>
        <v>1</v>
      </c>
      <c r="L398" s="10">
        <v>44137</v>
      </c>
      <c r="M398" s="9" t="s">
        <v>1711</v>
      </c>
      <c r="N398" s="13" t="str">
        <f>VLOOKUP(H398,基础数据!G:H,2,FALSE)</f>
        <v>GW68.6D大梁</v>
      </c>
    </row>
    <row r="399" spans="1:14" s="12" customFormat="1">
      <c r="A399" s="11">
        <v>1270</v>
      </c>
      <c r="B399" s="13" t="str">
        <f>VLOOKUP(A399,基础数据!A:B,2,FALSE)</f>
        <v>洛阳</v>
      </c>
      <c r="C399" s="10">
        <v>44134</v>
      </c>
      <c r="D399" s="9"/>
      <c r="E399" s="11">
        <v>4500073121</v>
      </c>
      <c r="F399" s="9"/>
      <c r="G399" s="11">
        <v>1120000133</v>
      </c>
      <c r="H399" s="9" t="s">
        <v>115</v>
      </c>
      <c r="I399" s="9"/>
      <c r="J399" s="11">
        <v>11220</v>
      </c>
      <c r="K399" s="11">
        <f>J399</f>
        <v>11220</v>
      </c>
      <c r="L399" s="10">
        <v>44137</v>
      </c>
      <c r="M399" s="9" t="s">
        <v>1712</v>
      </c>
      <c r="N399" s="13" t="str">
        <f>VLOOKUP(H399,基础数据!G:H,2,FALSE)</f>
        <v>BX800-1.27-100</v>
      </c>
    </row>
    <row r="400" spans="1:14" s="12" customFormat="1">
      <c r="A400" s="11">
        <v>1270</v>
      </c>
      <c r="B400" s="13" t="str">
        <f>VLOOKUP(A400,基础数据!A:B,2,FALSE)</f>
        <v>洛阳</v>
      </c>
      <c r="C400" s="10">
        <v>44148</v>
      </c>
      <c r="D400" s="9"/>
      <c r="E400" s="9">
        <v>4500073963</v>
      </c>
      <c r="F400" s="9"/>
      <c r="G400" s="9">
        <v>1120000140</v>
      </c>
      <c r="H400" s="9" t="s">
        <v>114</v>
      </c>
      <c r="I400" s="11"/>
      <c r="J400" s="11">
        <v>2754</v>
      </c>
      <c r="K400" s="11">
        <f t="shared" ref="K400" si="9">J400</f>
        <v>2754</v>
      </c>
      <c r="L400" s="10">
        <v>44151</v>
      </c>
      <c r="M400" s="9" t="s">
        <v>1713</v>
      </c>
      <c r="N400" s="13" t="str">
        <f>VLOOKUP(H400,基础数据!G:H,2,FALSE)</f>
        <v>TLX1215-1.27-100</v>
      </c>
    </row>
    <row r="401" spans="1:14" s="12" customFormat="1">
      <c r="A401" s="11">
        <v>1270</v>
      </c>
      <c r="B401" s="13" t="str">
        <f>VLOOKUP(A401,基础数据!A:B,2,FALSE)</f>
        <v>洛阳</v>
      </c>
      <c r="C401" s="10">
        <v>44131</v>
      </c>
      <c r="D401" s="9"/>
      <c r="E401" s="9">
        <v>4500073062</v>
      </c>
      <c r="F401" s="9"/>
      <c r="G401" s="11">
        <v>1120002589</v>
      </c>
      <c r="H401" s="9" t="s">
        <v>1072</v>
      </c>
      <c r="I401" s="11">
        <v>1</v>
      </c>
      <c r="J401" s="11">
        <v>3020</v>
      </c>
      <c r="K401" s="11">
        <f t="shared" ref="K401" si="10">I401</f>
        <v>1</v>
      </c>
      <c r="L401" s="10">
        <v>44137</v>
      </c>
      <c r="M401" s="9" t="s">
        <v>1719</v>
      </c>
      <c r="N401" s="13" t="str">
        <f>VLOOKUP(H401,基础数据!G:H,2,FALSE)</f>
        <v>GW68.6D大梁</v>
      </c>
    </row>
    <row r="402" spans="1:14" s="12" customFormat="1">
      <c r="A402" s="11">
        <v>1270</v>
      </c>
      <c r="B402" s="13" t="str">
        <f>VLOOKUP(A402,基础数据!A:B,2,FALSE)</f>
        <v>洛阳</v>
      </c>
      <c r="C402" s="10">
        <v>44134</v>
      </c>
      <c r="D402" s="9"/>
      <c r="E402" s="11">
        <v>4500073121</v>
      </c>
      <c r="F402" s="9"/>
      <c r="G402" s="11">
        <v>1120000133</v>
      </c>
      <c r="H402" s="9" t="s">
        <v>115</v>
      </c>
      <c r="I402" s="9"/>
      <c r="J402" s="11">
        <v>5140</v>
      </c>
      <c r="K402" s="11">
        <f>J402</f>
        <v>5140</v>
      </c>
      <c r="L402" s="10">
        <v>44137</v>
      </c>
      <c r="M402" s="9" t="s">
        <v>1720</v>
      </c>
      <c r="N402" s="13" t="str">
        <f>VLOOKUP(H402,基础数据!G:H,2,FALSE)</f>
        <v>BX800-1.27-100</v>
      </c>
    </row>
    <row r="403" spans="1:14" s="12" customFormat="1">
      <c r="A403" s="11">
        <v>1270</v>
      </c>
      <c r="B403" s="13" t="str">
        <f>VLOOKUP(A403,基础数据!A:B,2,FALSE)</f>
        <v>洛阳</v>
      </c>
      <c r="C403" s="10">
        <v>44148</v>
      </c>
      <c r="D403" s="9"/>
      <c r="E403" s="9">
        <v>4500073963</v>
      </c>
      <c r="F403" s="9"/>
      <c r="G403" s="9">
        <v>1120000140</v>
      </c>
      <c r="H403" s="9" t="s">
        <v>114</v>
      </c>
      <c r="I403" s="11"/>
      <c r="J403" s="11">
        <v>8262</v>
      </c>
      <c r="K403" s="11">
        <f t="shared" ref="K403" si="11">J403</f>
        <v>8262</v>
      </c>
      <c r="L403" s="10">
        <v>44151</v>
      </c>
      <c r="M403" s="9" t="s">
        <v>1721</v>
      </c>
      <c r="N403" s="13" t="str">
        <f>VLOOKUP(H403,基础数据!G:H,2,FALSE)</f>
        <v>TLX1215-1.27-100</v>
      </c>
    </row>
    <row r="404" spans="1:14" s="12" customFormat="1">
      <c r="A404" s="11">
        <v>1270</v>
      </c>
      <c r="B404" s="13" t="str">
        <f>VLOOKUP(A404,基础数据!A:B,2,FALSE)</f>
        <v>洛阳</v>
      </c>
      <c r="C404" s="10">
        <v>44131</v>
      </c>
      <c r="D404" s="9"/>
      <c r="E404" s="9">
        <v>4500073062</v>
      </c>
      <c r="F404" s="9"/>
      <c r="G404" s="11">
        <v>1120002589</v>
      </c>
      <c r="H404" s="9" t="s">
        <v>1072</v>
      </c>
      <c r="I404" s="11">
        <v>1</v>
      </c>
      <c r="J404" s="11">
        <v>3020</v>
      </c>
      <c r="K404" s="11">
        <f t="shared" ref="K404" si="12">I404</f>
        <v>1</v>
      </c>
      <c r="L404" s="10">
        <v>44137</v>
      </c>
      <c r="M404" s="9" t="s">
        <v>1723</v>
      </c>
      <c r="N404" s="13" t="str">
        <f>VLOOKUP(H404,基础数据!G:H,2,FALSE)</f>
        <v>GW68.6D大梁</v>
      </c>
    </row>
    <row r="405" spans="1:14" s="12" customFormat="1">
      <c r="A405" s="11">
        <v>1270</v>
      </c>
      <c r="B405" s="13" t="str">
        <f>VLOOKUP(A405,基础数据!A:B,2,FALSE)</f>
        <v>洛阳</v>
      </c>
      <c r="C405" s="10">
        <v>44148</v>
      </c>
      <c r="D405" s="9"/>
      <c r="E405" s="9">
        <v>4500073963</v>
      </c>
      <c r="F405" s="9"/>
      <c r="G405" s="9">
        <v>1120000140</v>
      </c>
      <c r="H405" s="9" t="s">
        <v>114</v>
      </c>
      <c r="I405" s="11"/>
      <c r="J405" s="11">
        <v>10098</v>
      </c>
      <c r="K405" s="11">
        <f t="shared" ref="K405" si="13">J405</f>
        <v>10098</v>
      </c>
      <c r="L405" s="10">
        <v>44151</v>
      </c>
      <c r="M405" s="9" t="s">
        <v>1724</v>
      </c>
      <c r="N405" s="13" t="str">
        <f>VLOOKUP(H405,基础数据!G:H,2,FALSE)</f>
        <v>TLX1215-1.27-100</v>
      </c>
    </row>
    <row r="406" spans="1:14" s="12" customFormat="1">
      <c r="A406" s="11">
        <v>1270</v>
      </c>
      <c r="B406" s="13" t="str">
        <f>VLOOKUP(A406,基础数据!A:B,2,FALSE)</f>
        <v>洛阳</v>
      </c>
      <c r="C406" s="10">
        <v>44134</v>
      </c>
      <c r="D406" s="9"/>
      <c r="E406" s="11">
        <v>4500073121</v>
      </c>
      <c r="F406" s="9"/>
      <c r="G406" s="11">
        <v>1120000133</v>
      </c>
      <c r="H406" s="9" t="s">
        <v>115</v>
      </c>
      <c r="I406" s="9"/>
      <c r="J406" s="11">
        <v>3100</v>
      </c>
      <c r="K406" s="11">
        <f>J406</f>
        <v>3100</v>
      </c>
      <c r="L406" s="10">
        <v>44137</v>
      </c>
      <c r="M406" s="9" t="s">
        <v>1725</v>
      </c>
      <c r="N406" s="13" t="str">
        <f>VLOOKUP(H406,基础数据!G:H,2,FALSE)</f>
        <v>BX800-1.27-100</v>
      </c>
    </row>
    <row r="407" spans="1:14" s="12" customFormat="1">
      <c r="A407" s="11">
        <v>1270</v>
      </c>
      <c r="B407" s="13" t="str">
        <f>VLOOKUP(A407,基础数据!A:B,2,FALSE)</f>
        <v>洛阳</v>
      </c>
      <c r="C407" s="10">
        <v>44148</v>
      </c>
      <c r="D407" s="9"/>
      <c r="E407" s="9">
        <v>4500073963</v>
      </c>
      <c r="F407" s="9"/>
      <c r="G407" s="9">
        <v>1120000140</v>
      </c>
      <c r="H407" s="9" t="s">
        <v>114</v>
      </c>
      <c r="I407" s="11"/>
      <c r="J407" s="11">
        <v>7344</v>
      </c>
      <c r="K407" s="11">
        <f t="shared" ref="K407" si="14">J407</f>
        <v>7344</v>
      </c>
      <c r="L407" s="10">
        <v>44151</v>
      </c>
      <c r="M407" s="9" t="s">
        <v>1730</v>
      </c>
      <c r="N407" s="13" t="str">
        <f>VLOOKUP(H407,基础数据!G:H,2,FALSE)</f>
        <v>TLX1215-1.27-100</v>
      </c>
    </row>
    <row r="408" spans="1:14" s="12" customFormat="1">
      <c r="A408" s="11">
        <v>1270</v>
      </c>
      <c r="B408" s="13" t="str">
        <f>VLOOKUP(A408,基础数据!A:B,2,FALSE)</f>
        <v>洛阳</v>
      </c>
      <c r="C408" s="10">
        <v>44131</v>
      </c>
      <c r="D408" s="9"/>
      <c r="E408" s="9">
        <v>4500073062</v>
      </c>
      <c r="F408" s="9"/>
      <c r="G408" s="11">
        <v>1120002589</v>
      </c>
      <c r="H408" s="9" t="s">
        <v>1072</v>
      </c>
      <c r="I408" s="11">
        <v>1</v>
      </c>
      <c r="J408" s="11">
        <v>3020</v>
      </c>
      <c r="K408" s="11">
        <f t="shared" ref="K408" si="15">I408</f>
        <v>1</v>
      </c>
      <c r="L408" s="10">
        <v>44137</v>
      </c>
      <c r="M408" s="9" t="s">
        <v>1731</v>
      </c>
      <c r="N408" s="13" t="str">
        <f>VLOOKUP(H408,基础数据!G:H,2,FALSE)</f>
        <v>GW68.6D大梁</v>
      </c>
    </row>
    <row r="409" spans="1:14" s="12" customFormat="1">
      <c r="A409" s="11">
        <v>1270</v>
      </c>
      <c r="B409" s="13" t="str">
        <f>VLOOKUP(A409,基础数据!A:B,2,FALSE)</f>
        <v>洛阳</v>
      </c>
      <c r="C409" s="10">
        <v>44134</v>
      </c>
      <c r="D409" s="9"/>
      <c r="E409" s="11">
        <v>4500073121</v>
      </c>
      <c r="F409" s="9"/>
      <c r="G409" s="11">
        <v>1120000133</v>
      </c>
      <c r="H409" s="9" t="s">
        <v>115</v>
      </c>
      <c r="I409" s="9"/>
      <c r="J409" s="11">
        <f>63009-4000-4160-6210-6230-6984-8200-6220-11220-5140-3100</f>
        <v>1545</v>
      </c>
      <c r="K409" s="11">
        <f>J409</f>
        <v>1545</v>
      </c>
      <c r="L409" s="10">
        <v>44137</v>
      </c>
      <c r="M409" s="9" t="s">
        <v>1732</v>
      </c>
      <c r="N409" s="13" t="str">
        <f>VLOOKUP(H409,基础数据!G:H,2,FALSE)</f>
        <v>BX800-1.27-100</v>
      </c>
    </row>
    <row r="410" spans="1:14" s="12" customFormat="1">
      <c r="A410" s="11">
        <v>1270</v>
      </c>
      <c r="B410" s="13" t="str">
        <f>VLOOKUP(A410,基础数据!A:B,2,FALSE)</f>
        <v>洛阳</v>
      </c>
      <c r="C410" s="10">
        <v>44152</v>
      </c>
      <c r="D410" s="9"/>
      <c r="E410" s="11">
        <v>4500074226</v>
      </c>
      <c r="F410" s="9"/>
      <c r="G410" s="11">
        <v>1120000133</v>
      </c>
      <c r="H410" s="9" t="s">
        <v>115</v>
      </c>
      <c r="I410" s="11"/>
      <c r="J410" s="11">
        <v>535</v>
      </c>
      <c r="K410" s="11">
        <f>J410</f>
        <v>535</v>
      </c>
      <c r="L410" s="10">
        <v>44166</v>
      </c>
      <c r="M410" s="9" t="s">
        <v>1733</v>
      </c>
      <c r="N410" s="13" t="str">
        <f>VLOOKUP(H410,基础数据!G:H,2,FALSE)</f>
        <v>BX800-1.27-100</v>
      </c>
    </row>
    <row r="411" spans="1:14" s="12" customFormat="1">
      <c r="A411" s="11">
        <v>1270</v>
      </c>
      <c r="B411" s="13" t="str">
        <f>VLOOKUP(A411,基础数据!A:B,2,FALSE)</f>
        <v>洛阳</v>
      </c>
      <c r="C411" s="10">
        <v>44131</v>
      </c>
      <c r="D411" s="9"/>
      <c r="E411" s="9">
        <v>4500073062</v>
      </c>
      <c r="F411" s="9"/>
      <c r="G411" s="11">
        <v>1120002589</v>
      </c>
      <c r="H411" s="9" t="s">
        <v>1072</v>
      </c>
      <c r="I411" s="11">
        <v>1</v>
      </c>
      <c r="J411" s="11">
        <v>3020</v>
      </c>
      <c r="K411" s="11">
        <f t="shared" ref="K411" si="16">I411</f>
        <v>1</v>
      </c>
      <c r="L411" s="10">
        <v>44137</v>
      </c>
      <c r="M411" s="9" t="s">
        <v>1739</v>
      </c>
      <c r="N411" s="13" t="str">
        <f>VLOOKUP(H411,基础数据!G:H,2,FALSE)</f>
        <v>GW68.6D大梁</v>
      </c>
    </row>
    <row r="412" spans="1:14" s="12" customFormat="1">
      <c r="A412" s="11">
        <v>1270</v>
      </c>
      <c r="B412" s="13" t="str">
        <f>VLOOKUP(A412,基础数据!A:B,2,FALSE)</f>
        <v>洛阳</v>
      </c>
      <c r="C412" s="10">
        <v>44152</v>
      </c>
      <c r="D412" s="9"/>
      <c r="E412" s="11">
        <v>4500074226</v>
      </c>
      <c r="F412" s="9"/>
      <c r="G412" s="11">
        <v>1120000133</v>
      </c>
      <c r="H412" s="9" t="s">
        <v>115</v>
      </c>
      <c r="I412" s="11"/>
      <c r="J412" s="11">
        <v>8270</v>
      </c>
      <c r="K412" s="11">
        <f>J412</f>
        <v>8270</v>
      </c>
      <c r="L412" s="10">
        <v>44166</v>
      </c>
      <c r="M412" s="9" t="s">
        <v>1741</v>
      </c>
      <c r="N412" s="13" t="str">
        <f>VLOOKUP(H412,基础数据!G:H,2,FALSE)</f>
        <v>BX800-1.27-100</v>
      </c>
    </row>
    <row r="413" spans="1:14" s="12" customFormat="1">
      <c r="A413" s="11">
        <v>1270</v>
      </c>
      <c r="B413" s="13" t="str">
        <f>VLOOKUP(A413,基础数据!A:B,2,FALSE)</f>
        <v>洛阳</v>
      </c>
      <c r="C413" s="10">
        <v>44148</v>
      </c>
      <c r="D413" s="9"/>
      <c r="E413" s="9">
        <v>4500073963</v>
      </c>
      <c r="F413" s="9"/>
      <c r="G413" s="9">
        <v>1120000140</v>
      </c>
      <c r="H413" s="9" t="s">
        <v>114</v>
      </c>
      <c r="I413" s="11"/>
      <c r="J413" s="11">
        <v>5508</v>
      </c>
      <c r="K413" s="11">
        <f t="shared" ref="K413" si="17">J413</f>
        <v>5508</v>
      </c>
      <c r="L413" s="10">
        <v>44151</v>
      </c>
      <c r="M413" s="9" t="s">
        <v>1740</v>
      </c>
      <c r="N413" s="13" t="str">
        <f>VLOOKUP(H413,基础数据!G:H,2,FALSE)</f>
        <v>TLX1215-1.27-100</v>
      </c>
    </row>
    <row r="414" spans="1:14" s="12" customFormat="1">
      <c r="A414" s="11">
        <v>1270</v>
      </c>
      <c r="B414" s="13" t="str">
        <f>VLOOKUP(A414,基础数据!A:B,2,FALSE)</f>
        <v>洛阳</v>
      </c>
      <c r="C414" s="10">
        <v>44131</v>
      </c>
      <c r="D414" s="9"/>
      <c r="E414" s="9">
        <v>4500073062</v>
      </c>
      <c r="F414" s="9"/>
      <c r="G414" s="11">
        <v>1120002589</v>
      </c>
      <c r="H414" s="9" t="s">
        <v>1072</v>
      </c>
      <c r="I414" s="11">
        <v>1</v>
      </c>
      <c r="J414" s="11">
        <v>3020</v>
      </c>
      <c r="K414" s="11">
        <f t="shared" ref="K414" si="18">I414</f>
        <v>1</v>
      </c>
      <c r="L414" s="10">
        <v>44137</v>
      </c>
      <c r="M414" s="9" t="s">
        <v>1750</v>
      </c>
      <c r="N414" s="13" t="str">
        <f>VLOOKUP(H414,基础数据!G:H,2,FALSE)</f>
        <v>GW68.6D大梁</v>
      </c>
    </row>
    <row r="415" spans="1:14" s="12" customFormat="1">
      <c r="A415" s="11">
        <v>1270</v>
      </c>
      <c r="B415" s="13" t="str">
        <f>VLOOKUP(A415,基础数据!A:B,2,FALSE)</f>
        <v>洛阳</v>
      </c>
      <c r="C415" s="10">
        <v>44148</v>
      </c>
      <c r="D415" s="9"/>
      <c r="E415" s="9">
        <v>4500073963</v>
      </c>
      <c r="F415" s="9"/>
      <c r="G415" s="9">
        <v>1120000140</v>
      </c>
      <c r="H415" s="9" t="s">
        <v>114</v>
      </c>
      <c r="I415" s="11"/>
      <c r="J415" s="11">
        <v>5508</v>
      </c>
      <c r="K415" s="11">
        <f t="shared" ref="K415" si="19">J415</f>
        <v>5508</v>
      </c>
      <c r="L415" s="10">
        <v>44151</v>
      </c>
      <c r="M415" s="9" t="s">
        <v>1751</v>
      </c>
      <c r="N415" s="13" t="str">
        <f>VLOOKUP(H415,基础数据!G:H,2,FALSE)</f>
        <v>TLX1215-1.27-100</v>
      </c>
    </row>
    <row r="416" spans="1:14" s="12" customFormat="1">
      <c r="A416" s="11">
        <v>1270</v>
      </c>
      <c r="B416" s="13" t="str">
        <f>VLOOKUP(A416,基础数据!A:B,2,FALSE)</f>
        <v>洛阳</v>
      </c>
      <c r="C416" s="10">
        <v>44152</v>
      </c>
      <c r="D416" s="9"/>
      <c r="E416" s="11">
        <v>4500074226</v>
      </c>
      <c r="F416" s="9"/>
      <c r="G416" s="11">
        <v>1120000133</v>
      </c>
      <c r="H416" s="9" t="s">
        <v>115</v>
      </c>
      <c r="I416" s="11"/>
      <c r="J416" s="11">
        <v>5150</v>
      </c>
      <c r="K416" s="11">
        <f>J416</f>
        <v>5150</v>
      </c>
      <c r="L416" s="10">
        <v>44166</v>
      </c>
      <c r="M416" s="9" t="s">
        <v>1752</v>
      </c>
      <c r="N416" s="13" t="str">
        <f>VLOOKUP(H416,基础数据!G:H,2,FALSE)</f>
        <v>BX800-1.27-100</v>
      </c>
    </row>
    <row r="417" spans="1:14" s="12" customFormat="1">
      <c r="A417" s="11">
        <v>1270</v>
      </c>
      <c r="B417" s="13" t="str">
        <f>VLOOKUP(A417,基础数据!A:B,2,FALSE)</f>
        <v>洛阳</v>
      </c>
      <c r="C417" s="10">
        <v>44158</v>
      </c>
      <c r="D417" s="9"/>
      <c r="E417" s="11">
        <v>4500074608</v>
      </c>
      <c r="F417" s="9"/>
      <c r="G417" s="11">
        <v>1120002601</v>
      </c>
      <c r="H417" s="9" t="s">
        <v>20</v>
      </c>
      <c r="I417" s="11"/>
      <c r="J417" s="11">
        <v>3420</v>
      </c>
      <c r="K417" s="11">
        <f t="shared" ref="K417" si="20">J417</f>
        <v>3420</v>
      </c>
      <c r="L417" s="10">
        <v>44163</v>
      </c>
      <c r="M417" s="9" t="s">
        <v>1753</v>
      </c>
      <c r="N417" s="13" t="str">
        <f>VLOOKUP(H417,基础数据!G:H,2,FALSE)</f>
        <v>TTX1500H-1.27-100</v>
      </c>
    </row>
    <row r="418" spans="1:14" s="12" customFormat="1">
      <c r="A418" s="11">
        <v>1270</v>
      </c>
      <c r="B418" s="13" t="str">
        <f>VLOOKUP(A418,基础数据!A:B,2,FALSE)</f>
        <v>洛阳</v>
      </c>
      <c r="C418" s="10">
        <v>44158</v>
      </c>
      <c r="D418" s="9"/>
      <c r="E418" s="11">
        <v>4500074608</v>
      </c>
      <c r="F418" s="9"/>
      <c r="G418" s="11">
        <v>1120002596</v>
      </c>
      <c r="H418" s="9" t="s">
        <v>18</v>
      </c>
      <c r="I418" s="11">
        <v>2</v>
      </c>
      <c r="J418" s="11">
        <v>1286</v>
      </c>
      <c r="K418" s="11">
        <f t="shared" ref="K418" si="21">I418</f>
        <v>2</v>
      </c>
      <c r="L418" s="10">
        <v>44163</v>
      </c>
      <c r="M418" s="9" t="s">
        <v>1755</v>
      </c>
      <c r="N418" s="13" t="str">
        <f>VLOOKUP(H418,基础数据!G:H,2,FALSE)</f>
        <v>SR140后缘</v>
      </c>
    </row>
    <row r="419" spans="1:14" s="12" customFormat="1">
      <c r="A419" s="11">
        <v>1270</v>
      </c>
      <c r="B419" s="13" t="str">
        <f>VLOOKUP(A419,基础数据!A:B,2,FALSE)</f>
        <v>洛阳</v>
      </c>
      <c r="C419" s="10">
        <v>44158</v>
      </c>
      <c r="D419" s="9"/>
      <c r="E419" s="11">
        <v>4500074608</v>
      </c>
      <c r="F419" s="9"/>
      <c r="G419" s="11">
        <v>1120002601</v>
      </c>
      <c r="H419" s="9" t="s">
        <v>20</v>
      </c>
      <c r="I419" s="11"/>
      <c r="J419" s="11">
        <v>3420</v>
      </c>
      <c r="K419" s="11">
        <f t="shared" ref="K419:K421" si="22">J419</f>
        <v>3420</v>
      </c>
      <c r="L419" s="10">
        <v>44163</v>
      </c>
      <c r="M419" s="9" t="s">
        <v>1756</v>
      </c>
      <c r="N419" s="13" t="str">
        <f>VLOOKUP(H419,基础数据!G:H,2,FALSE)</f>
        <v>TTX1500H-1.27-100</v>
      </c>
    </row>
    <row r="420" spans="1:14" s="12" customFormat="1">
      <c r="A420" s="11">
        <v>1270</v>
      </c>
      <c r="B420" s="13" t="str">
        <f>VLOOKUP(A420,基础数据!A:B,2,FALSE)</f>
        <v>洛阳</v>
      </c>
      <c r="C420" s="10">
        <v>44158</v>
      </c>
      <c r="D420" s="9"/>
      <c r="E420" s="11">
        <v>4500074608</v>
      </c>
      <c r="F420" s="9"/>
      <c r="G420" s="11">
        <v>1120002602</v>
      </c>
      <c r="H420" s="9" t="s">
        <v>1556</v>
      </c>
      <c r="I420" s="11"/>
      <c r="J420" s="11">
        <v>1560</v>
      </c>
      <c r="K420" s="11">
        <f t="shared" ref="K420" si="23">J420</f>
        <v>1560</v>
      </c>
      <c r="L420" s="10">
        <v>44163</v>
      </c>
      <c r="M420" s="9" t="s">
        <v>1759</v>
      </c>
      <c r="N420" s="13" t="str">
        <f>VLOOKUP(H420,基础数据!G:H,2,FALSE)</f>
        <v>BX600-1.27-100</v>
      </c>
    </row>
    <row r="421" spans="1:14" s="12" customFormat="1">
      <c r="A421" s="11">
        <v>1270</v>
      </c>
      <c r="B421" s="13" t="str">
        <f>VLOOKUP(A421,基础数据!A:B,2,FALSE)</f>
        <v>洛阳</v>
      </c>
      <c r="C421" s="10">
        <v>44148</v>
      </c>
      <c r="D421" s="9"/>
      <c r="E421" s="9">
        <v>4500073963</v>
      </c>
      <c r="F421" s="9"/>
      <c r="G421" s="9">
        <v>1120000140</v>
      </c>
      <c r="H421" s="9" t="s">
        <v>114</v>
      </c>
      <c r="I421" s="11"/>
      <c r="J421" s="11">
        <v>4590</v>
      </c>
      <c r="K421" s="11">
        <f t="shared" si="22"/>
        <v>4590</v>
      </c>
      <c r="L421" s="10">
        <v>44151</v>
      </c>
      <c r="M421" s="9" t="s">
        <v>1757</v>
      </c>
      <c r="N421" s="13" t="str">
        <f>VLOOKUP(H421,基础数据!G:H,2,FALSE)</f>
        <v>TLX1215-1.27-100</v>
      </c>
    </row>
    <row r="422" spans="1:14" s="12" customFormat="1">
      <c r="A422" s="11">
        <v>1270</v>
      </c>
      <c r="B422" s="13" t="str">
        <f>VLOOKUP(A422,基础数据!A:B,2,FALSE)</f>
        <v>洛阳</v>
      </c>
      <c r="C422" s="10">
        <v>44152</v>
      </c>
      <c r="D422" s="9"/>
      <c r="E422" s="11">
        <v>4500074226</v>
      </c>
      <c r="F422" s="9"/>
      <c r="G422" s="11">
        <v>1120000133</v>
      </c>
      <c r="H422" s="9" t="s">
        <v>115</v>
      </c>
      <c r="I422" s="11"/>
      <c r="J422" s="11">
        <v>4140</v>
      </c>
      <c r="K422" s="11">
        <f>J422</f>
        <v>4140</v>
      </c>
      <c r="L422" s="10">
        <v>44166</v>
      </c>
      <c r="M422" s="9" t="s">
        <v>1758</v>
      </c>
      <c r="N422" s="13" t="str">
        <f>VLOOKUP(H422,基础数据!G:H,2,FALSE)</f>
        <v>BX800-1.27-100</v>
      </c>
    </row>
    <row r="423" spans="1:14" s="12" customFormat="1">
      <c r="A423" s="11">
        <v>1270</v>
      </c>
      <c r="B423" s="13" t="str">
        <f>VLOOKUP(A423,基础数据!A:B,2,FALSE)</f>
        <v>洛阳</v>
      </c>
      <c r="C423" s="10">
        <v>44131</v>
      </c>
      <c r="D423" s="9"/>
      <c r="E423" s="9">
        <v>4500073062</v>
      </c>
      <c r="F423" s="9"/>
      <c r="G423" s="11">
        <v>1120002589</v>
      </c>
      <c r="H423" s="9" t="s">
        <v>1072</v>
      </c>
      <c r="I423" s="11">
        <v>1</v>
      </c>
      <c r="J423" s="11">
        <v>3020</v>
      </c>
      <c r="K423" s="11">
        <f t="shared" ref="K423" si="24">I423</f>
        <v>1</v>
      </c>
      <c r="L423" s="10">
        <v>44137</v>
      </c>
      <c r="M423" s="9" t="s">
        <v>1760</v>
      </c>
      <c r="N423" s="13" t="str">
        <f>VLOOKUP(H423,基础数据!G:H,2,FALSE)</f>
        <v>GW68.6D大梁</v>
      </c>
    </row>
    <row r="424" spans="1:14" s="12" customFormat="1">
      <c r="A424" s="11">
        <v>1270</v>
      </c>
      <c r="B424" s="13" t="str">
        <f>VLOOKUP(A424,基础数据!A:B,2,FALSE)</f>
        <v>洛阳</v>
      </c>
      <c r="C424" s="10">
        <v>44148</v>
      </c>
      <c r="D424" s="9"/>
      <c r="E424" s="9">
        <v>4500073963</v>
      </c>
      <c r="F424" s="9"/>
      <c r="G424" s="9">
        <v>1120000140</v>
      </c>
      <c r="H424" s="9" t="s">
        <v>114</v>
      </c>
      <c r="I424" s="11"/>
      <c r="J424" s="11">
        <v>4590</v>
      </c>
      <c r="K424" s="11">
        <f t="shared" ref="K424" si="25">J424</f>
        <v>4590</v>
      </c>
      <c r="L424" s="10">
        <v>44151</v>
      </c>
      <c r="M424" s="9" t="s">
        <v>1761</v>
      </c>
      <c r="N424" s="13" t="str">
        <f>VLOOKUP(H424,基础数据!G:H,2,FALSE)</f>
        <v>TLX1215-1.27-100</v>
      </c>
    </row>
    <row r="425" spans="1:14" s="12" customFormat="1">
      <c r="A425" s="11">
        <v>1270</v>
      </c>
      <c r="B425" s="13" t="str">
        <f>VLOOKUP(A425,基础数据!A:B,2,FALSE)</f>
        <v>洛阳</v>
      </c>
      <c r="C425" s="10">
        <v>44152</v>
      </c>
      <c r="D425" s="9"/>
      <c r="E425" s="11">
        <v>4500074226</v>
      </c>
      <c r="F425" s="9"/>
      <c r="G425" s="11">
        <v>1120000133</v>
      </c>
      <c r="H425" s="9" t="s">
        <v>115</v>
      </c>
      <c r="I425" s="11"/>
      <c r="J425" s="11">
        <v>6210</v>
      </c>
      <c r="K425" s="11">
        <f>J425</f>
        <v>6210</v>
      </c>
      <c r="L425" s="10">
        <v>44166</v>
      </c>
      <c r="M425" s="9" t="s">
        <v>1762</v>
      </c>
      <c r="N425" s="13" t="str">
        <f>VLOOKUP(H425,基础数据!G:H,2,FALSE)</f>
        <v>BX800-1.27-100</v>
      </c>
    </row>
    <row r="426" spans="1:14" s="12" customFormat="1">
      <c r="A426" s="11">
        <v>1270</v>
      </c>
      <c r="B426" s="13" t="str">
        <f>VLOOKUP(A426,基础数据!A:B,2,FALSE)</f>
        <v>洛阳</v>
      </c>
      <c r="C426" s="10">
        <v>44158</v>
      </c>
      <c r="D426" s="9"/>
      <c r="E426" s="11">
        <v>4500074608</v>
      </c>
      <c r="F426" s="9"/>
      <c r="G426" s="11">
        <v>1120002601</v>
      </c>
      <c r="H426" s="9" t="s">
        <v>20</v>
      </c>
      <c r="I426" s="11"/>
      <c r="J426" s="11">
        <v>3420</v>
      </c>
      <c r="K426" s="11">
        <f t="shared" ref="K426" si="26">J426</f>
        <v>3420</v>
      </c>
      <c r="L426" s="10">
        <v>44163</v>
      </c>
      <c r="M426" s="9" t="s">
        <v>1763</v>
      </c>
      <c r="N426" s="13" t="str">
        <f>VLOOKUP(H426,基础数据!G:H,2,FALSE)</f>
        <v>TTX1500H-1.27-100</v>
      </c>
    </row>
    <row r="427" spans="1:14" s="12" customFormat="1">
      <c r="A427" s="11">
        <v>1270</v>
      </c>
      <c r="B427" s="13" t="str">
        <f>VLOOKUP(A427,基础数据!A:B,2,FALSE)</f>
        <v>洛阳</v>
      </c>
      <c r="C427" s="10">
        <v>44131</v>
      </c>
      <c r="D427" s="9"/>
      <c r="E427" s="9">
        <v>4500073062</v>
      </c>
      <c r="F427" s="9"/>
      <c r="G427" s="11">
        <v>1120002589</v>
      </c>
      <c r="H427" s="9" t="s">
        <v>1072</v>
      </c>
      <c r="I427" s="11">
        <v>1</v>
      </c>
      <c r="J427" s="11">
        <v>3020</v>
      </c>
      <c r="K427" s="11">
        <f>I427</f>
        <v>1</v>
      </c>
      <c r="L427" s="10">
        <v>44137</v>
      </c>
      <c r="M427" s="9" t="s">
        <v>1769</v>
      </c>
      <c r="N427" s="13" t="str">
        <f>VLOOKUP(H427,基础数据!G:H,2,FALSE)</f>
        <v>GW68.6D大梁</v>
      </c>
    </row>
    <row r="428" spans="1:14" s="12" customFormat="1">
      <c r="A428" s="9">
        <v>1270</v>
      </c>
      <c r="B428" s="13" t="str">
        <f>VLOOKUP(A428,基础数据!A:B,2,FALSE)</f>
        <v>洛阳</v>
      </c>
      <c r="C428" s="10">
        <v>44148</v>
      </c>
      <c r="D428" s="9"/>
      <c r="E428" s="9">
        <v>4500073963</v>
      </c>
      <c r="F428" s="9"/>
      <c r="G428" s="11">
        <v>1120002587</v>
      </c>
      <c r="H428" s="9" t="s">
        <v>1555</v>
      </c>
      <c r="I428" s="11">
        <v>3</v>
      </c>
      <c r="J428" s="11">
        <v>1920</v>
      </c>
      <c r="K428" s="11">
        <f>I428</f>
        <v>3</v>
      </c>
      <c r="L428" s="10">
        <v>44153</v>
      </c>
      <c r="M428" s="9" t="s">
        <v>1770</v>
      </c>
      <c r="N428" s="13" t="str">
        <f>VLOOKUP(H428,基础数据!G:H,2,FALSE)</f>
        <v>GW68.6D后缘</v>
      </c>
    </row>
    <row r="429" spans="1:14" s="12" customFormat="1">
      <c r="A429" s="11">
        <v>1270</v>
      </c>
      <c r="B429" s="13" t="str">
        <f>VLOOKUP(A429,基础数据!A:B,2,FALSE)</f>
        <v>洛阳</v>
      </c>
      <c r="C429" s="10">
        <v>44148</v>
      </c>
      <c r="D429" s="9"/>
      <c r="E429" s="9">
        <v>4500073963</v>
      </c>
      <c r="F429" s="9"/>
      <c r="G429" s="9">
        <v>1120000140</v>
      </c>
      <c r="H429" s="9" t="s">
        <v>114</v>
      </c>
      <c r="I429" s="11"/>
      <c r="J429" s="11">
        <v>4590</v>
      </c>
      <c r="K429" s="11">
        <f t="shared" ref="K429" si="27">J429</f>
        <v>4590</v>
      </c>
      <c r="L429" s="10">
        <v>44151</v>
      </c>
      <c r="M429" s="9" t="s">
        <v>1773</v>
      </c>
      <c r="N429" s="13" t="str">
        <f>VLOOKUP(H429,基础数据!G:H,2,FALSE)</f>
        <v>TLX1215-1.27-100</v>
      </c>
    </row>
    <row r="430" spans="1:14" s="12" customFormat="1" ht="11.1" customHeight="1">
      <c r="A430" s="11">
        <v>1270</v>
      </c>
      <c r="B430" s="13" t="str">
        <f>VLOOKUP(A430,基础数据!A:B,2,FALSE)</f>
        <v>洛阳</v>
      </c>
      <c r="C430" s="10">
        <v>44158</v>
      </c>
      <c r="D430" s="9"/>
      <c r="E430" s="11">
        <v>4500074608</v>
      </c>
      <c r="F430" s="9"/>
      <c r="G430" s="11">
        <v>1120002596</v>
      </c>
      <c r="H430" s="9" t="s">
        <v>18</v>
      </c>
      <c r="I430" s="11">
        <v>2</v>
      </c>
      <c r="J430" s="11">
        <v>1286</v>
      </c>
      <c r="K430" s="11">
        <f t="shared" ref="K430:K431" si="28">I430</f>
        <v>2</v>
      </c>
      <c r="L430" s="10">
        <v>44163</v>
      </c>
      <c r="M430" s="9" t="s">
        <v>1772</v>
      </c>
      <c r="N430" s="13" t="str">
        <f>VLOOKUP(H430,基础数据!G:H,2,FALSE)</f>
        <v>SR140后缘</v>
      </c>
    </row>
    <row r="431" spans="1:14" s="12" customFormat="1" ht="11.1" customHeight="1">
      <c r="A431" s="11">
        <v>1270</v>
      </c>
      <c r="B431" s="13" t="str">
        <f>VLOOKUP(A431,基础数据!A:B,2,FALSE)</f>
        <v>洛阳</v>
      </c>
      <c r="C431" s="10">
        <v>44158</v>
      </c>
      <c r="D431" s="9"/>
      <c r="E431" s="11">
        <v>4500074608</v>
      </c>
      <c r="F431" s="9"/>
      <c r="G431" s="11">
        <v>1120002597</v>
      </c>
      <c r="H431" s="9" t="s">
        <v>19</v>
      </c>
      <c r="I431" s="11">
        <v>2</v>
      </c>
      <c r="J431" s="11">
        <v>6132</v>
      </c>
      <c r="K431" s="11">
        <f t="shared" si="28"/>
        <v>2</v>
      </c>
      <c r="L431" s="10">
        <v>44163</v>
      </c>
      <c r="M431" s="9" t="s">
        <v>1771</v>
      </c>
      <c r="N431" s="13" t="str">
        <f>VLOOKUP(H431,基础数据!G:H,2,FALSE)</f>
        <v>SR140大梁</v>
      </c>
    </row>
    <row r="432" spans="1:14" s="12" customFormat="1">
      <c r="A432" s="11">
        <v>1270</v>
      </c>
      <c r="B432" s="13" t="str">
        <f>VLOOKUP(A432,基础数据!A:B,2,FALSE)</f>
        <v>洛阳</v>
      </c>
      <c r="C432" s="10">
        <v>44158</v>
      </c>
      <c r="D432" s="9"/>
      <c r="E432" s="11">
        <v>4500074608</v>
      </c>
      <c r="F432" s="9"/>
      <c r="G432" s="11">
        <v>1120002601</v>
      </c>
      <c r="H432" s="9" t="s">
        <v>20</v>
      </c>
      <c r="I432" s="11"/>
      <c r="J432" s="11">
        <v>3420</v>
      </c>
      <c r="K432" s="11">
        <f t="shared" ref="K432:K433" si="29">J432</f>
        <v>3420</v>
      </c>
      <c r="L432" s="10">
        <v>44163</v>
      </c>
      <c r="M432" s="9" t="s">
        <v>1775</v>
      </c>
      <c r="N432" s="13" t="str">
        <f>VLOOKUP(H432,基础数据!G:H,2,FALSE)</f>
        <v>TTX1500H-1.27-100</v>
      </c>
    </row>
    <row r="433" spans="1:14" s="12" customFormat="1">
      <c r="A433" s="11">
        <v>1270</v>
      </c>
      <c r="B433" s="13" t="str">
        <f>VLOOKUP(A433,基础数据!A:B,2,FALSE)</f>
        <v>洛阳</v>
      </c>
      <c r="C433" s="10">
        <v>44158</v>
      </c>
      <c r="D433" s="9"/>
      <c r="E433" s="11">
        <v>4500074608</v>
      </c>
      <c r="F433" s="9"/>
      <c r="G433" s="11">
        <v>1120002602</v>
      </c>
      <c r="H433" s="9" t="s">
        <v>1556</v>
      </c>
      <c r="I433" s="11"/>
      <c r="J433" s="11">
        <v>1560</v>
      </c>
      <c r="K433" s="11">
        <f t="shared" si="29"/>
        <v>1560</v>
      </c>
      <c r="L433" s="10">
        <v>44163</v>
      </c>
      <c r="M433" s="9" t="s">
        <v>1776</v>
      </c>
      <c r="N433" s="13" t="str">
        <f>VLOOKUP(H433,基础数据!G:H,2,FALSE)</f>
        <v>BX600-1.27-100</v>
      </c>
    </row>
    <row r="434" spans="1:14" s="12" customFormat="1">
      <c r="A434" s="11">
        <v>1270</v>
      </c>
      <c r="B434" s="13" t="str">
        <f>VLOOKUP(A434,基础数据!A:B,2,FALSE)</f>
        <v>洛阳</v>
      </c>
      <c r="C434" s="10">
        <v>44152</v>
      </c>
      <c r="D434" s="9"/>
      <c r="E434" s="11">
        <v>4500074226</v>
      </c>
      <c r="F434" s="9"/>
      <c r="G434" s="11">
        <v>1120000133</v>
      </c>
      <c r="H434" s="9" t="s">
        <v>115</v>
      </c>
      <c r="I434" s="11"/>
      <c r="J434" s="11">
        <v>4130</v>
      </c>
      <c r="K434" s="11">
        <f>J434</f>
        <v>4130</v>
      </c>
      <c r="L434" s="10">
        <v>44166</v>
      </c>
      <c r="M434" s="9" t="s">
        <v>1774</v>
      </c>
      <c r="N434" s="13" t="str">
        <f>VLOOKUP(H434,基础数据!G:H,2,FALSE)</f>
        <v>BX800-1.27-100</v>
      </c>
    </row>
    <row r="435" spans="1:14" s="12" customFormat="1">
      <c r="A435" s="11">
        <v>1270</v>
      </c>
      <c r="B435" s="13" t="str">
        <f>VLOOKUP(A435,基础数据!A:B,2,FALSE)</f>
        <v>洛阳</v>
      </c>
      <c r="C435" s="10">
        <v>44158</v>
      </c>
      <c r="D435" s="9"/>
      <c r="E435" s="11">
        <v>4500074608</v>
      </c>
      <c r="F435" s="9"/>
      <c r="G435" s="11">
        <v>1120002596</v>
      </c>
      <c r="H435" s="9" t="s">
        <v>18</v>
      </c>
      <c r="I435" s="11">
        <v>3</v>
      </c>
      <c r="J435" s="11">
        <v>1929</v>
      </c>
      <c r="K435" s="11">
        <f>I435</f>
        <v>3</v>
      </c>
      <c r="L435" s="10">
        <v>44163</v>
      </c>
      <c r="M435" s="9" t="s">
        <v>1890</v>
      </c>
      <c r="N435" s="13" t="str">
        <f>VLOOKUP(H435,基础数据!G:H,2,FALSE)</f>
        <v>SR140后缘</v>
      </c>
    </row>
    <row r="436" spans="1:14" s="12" customFormat="1">
      <c r="A436" s="11">
        <v>1270</v>
      </c>
      <c r="B436" s="13" t="str">
        <f>VLOOKUP(A436,基础数据!A:B,2,FALSE)</f>
        <v>洛阳</v>
      </c>
      <c r="C436" s="10">
        <v>44158</v>
      </c>
      <c r="D436" s="9"/>
      <c r="E436" s="11">
        <v>4500074608</v>
      </c>
      <c r="F436" s="9"/>
      <c r="G436" s="11">
        <v>1120002597</v>
      </c>
      <c r="H436" s="9" t="s">
        <v>19</v>
      </c>
      <c r="I436" s="11">
        <v>3</v>
      </c>
      <c r="J436" s="11">
        <v>9198</v>
      </c>
      <c r="K436" s="11">
        <f>I436</f>
        <v>3</v>
      </c>
      <c r="L436" s="10">
        <v>44163</v>
      </c>
      <c r="M436" s="9" t="s">
        <v>1891</v>
      </c>
      <c r="N436" s="13" t="str">
        <f>VLOOKUP(H436,基础数据!G:H,2,FALSE)</f>
        <v>SR140大梁</v>
      </c>
    </row>
    <row r="437" spans="1:14" s="12" customFormat="1">
      <c r="A437" s="11">
        <v>1270</v>
      </c>
      <c r="B437" s="13" t="str">
        <f>VLOOKUP(A437,基础数据!A:B,2,FALSE)</f>
        <v>洛阳</v>
      </c>
      <c r="C437" s="10">
        <v>44158</v>
      </c>
      <c r="D437" s="9"/>
      <c r="E437" s="11">
        <v>4500074608</v>
      </c>
      <c r="F437" s="9"/>
      <c r="G437" s="11">
        <v>1120002602</v>
      </c>
      <c r="H437" s="9" t="s">
        <v>1556</v>
      </c>
      <c r="I437" s="11"/>
      <c r="J437" s="11">
        <v>2663</v>
      </c>
      <c r="K437" s="11">
        <f>J437</f>
        <v>2663</v>
      </c>
      <c r="L437" s="10">
        <v>44211</v>
      </c>
      <c r="M437" s="9" t="s">
        <v>1899</v>
      </c>
      <c r="N437" s="13" t="str">
        <f>VLOOKUP(H437,基础数据!G:H,2,FALSE)</f>
        <v>BX600-1.27-100</v>
      </c>
    </row>
    <row r="438" spans="1:14" s="12" customFormat="1">
      <c r="A438" s="11">
        <v>1270</v>
      </c>
      <c r="B438" s="13" t="str">
        <f>VLOOKUP(A438,基础数据!A:B,2,FALSE)</f>
        <v>洛阳</v>
      </c>
      <c r="C438" s="10">
        <v>44158</v>
      </c>
      <c r="D438" s="9"/>
      <c r="E438" s="11">
        <v>4500074608</v>
      </c>
      <c r="F438" s="9"/>
      <c r="G438" s="11">
        <v>1120002596</v>
      </c>
      <c r="H438" s="9" t="s">
        <v>18</v>
      </c>
      <c r="I438" s="11">
        <v>3</v>
      </c>
      <c r="J438" s="11">
        <v>1929</v>
      </c>
      <c r="K438" s="11">
        <f>I438</f>
        <v>3</v>
      </c>
      <c r="L438" s="10">
        <v>44211</v>
      </c>
      <c r="M438" s="9" t="s">
        <v>1894</v>
      </c>
      <c r="N438" s="13" t="str">
        <f>VLOOKUP(H438,基础数据!G:H,2,FALSE)</f>
        <v>SR140后缘</v>
      </c>
    </row>
    <row r="439" spans="1:14" s="12" customFormat="1">
      <c r="A439" s="11">
        <v>1270</v>
      </c>
      <c r="B439" s="13" t="str">
        <f>VLOOKUP(A439,基础数据!A:B,2,FALSE)</f>
        <v>洛阳</v>
      </c>
      <c r="C439" s="10">
        <v>44158</v>
      </c>
      <c r="D439" s="9"/>
      <c r="E439" s="11">
        <v>4500074608</v>
      </c>
      <c r="F439" s="9"/>
      <c r="G439" s="11">
        <v>1120002597</v>
      </c>
      <c r="H439" s="9" t="s">
        <v>19</v>
      </c>
      <c r="I439" s="11">
        <v>2</v>
      </c>
      <c r="J439" s="11">
        <v>6132</v>
      </c>
      <c r="K439" s="11">
        <f>I439</f>
        <v>2</v>
      </c>
      <c r="L439" s="10">
        <v>44211</v>
      </c>
      <c r="M439" s="9" t="s">
        <v>1895</v>
      </c>
      <c r="N439" s="13" t="str">
        <f>VLOOKUP(H439,基础数据!G:H,2,FALSE)</f>
        <v>SR140大梁</v>
      </c>
    </row>
    <row r="440" spans="1:14" s="12" customFormat="1">
      <c r="A440" s="11">
        <v>1270</v>
      </c>
      <c r="B440" s="13" t="str">
        <f>VLOOKUP(A440,[3]基础数据!A:B,2,FALSE)</f>
        <v>洛阳</v>
      </c>
      <c r="C440" s="10">
        <v>44158</v>
      </c>
      <c r="D440" s="9"/>
      <c r="E440" s="11">
        <v>4500074608</v>
      </c>
      <c r="F440" s="9"/>
      <c r="G440" s="11">
        <v>1120002601</v>
      </c>
      <c r="H440" s="9" t="s">
        <v>20</v>
      </c>
      <c r="I440" s="11"/>
      <c r="J440" s="11">
        <v>6840</v>
      </c>
      <c r="K440" s="11">
        <f t="shared" ref="K440" si="30">J440</f>
        <v>6840</v>
      </c>
      <c r="L440" s="10">
        <v>44219</v>
      </c>
      <c r="M440" s="9" t="s">
        <v>1915</v>
      </c>
      <c r="N440" s="13" t="str">
        <f>VLOOKUP(H440,[3]基础数据!G:H,2,FALSE)</f>
        <v>TTX1500H-1.27-100</v>
      </c>
    </row>
    <row r="441" spans="1:14" s="12" customFormat="1">
      <c r="A441" s="11">
        <v>1270</v>
      </c>
      <c r="B441" s="13" t="s">
        <v>23</v>
      </c>
      <c r="C441" s="10">
        <v>44158</v>
      </c>
      <c r="D441" s="9"/>
      <c r="E441" s="11">
        <v>4500074608</v>
      </c>
      <c r="F441" s="9"/>
      <c r="G441" s="11">
        <v>1120002597</v>
      </c>
      <c r="H441" s="9" t="s">
        <v>19</v>
      </c>
      <c r="I441" s="11">
        <v>5</v>
      </c>
      <c r="J441" s="11">
        <v>15330</v>
      </c>
      <c r="K441" s="11">
        <v>18</v>
      </c>
      <c r="L441" s="10">
        <v>44219</v>
      </c>
      <c r="M441" s="9" t="s">
        <v>1916</v>
      </c>
      <c r="N441" s="13" t="s">
        <v>1545</v>
      </c>
    </row>
    <row r="442" spans="1:14" s="12" customFormat="1">
      <c r="A442" s="11">
        <v>1270</v>
      </c>
      <c r="B442" s="13" t="str">
        <f>VLOOKUP(A442,[3]基础数据!A:B,2,FALSE)</f>
        <v>洛阳</v>
      </c>
      <c r="C442" s="10">
        <v>44158</v>
      </c>
      <c r="D442" s="9"/>
      <c r="E442" s="11">
        <v>4500074608</v>
      </c>
      <c r="F442" s="9"/>
      <c r="G442" s="11">
        <v>1120002602</v>
      </c>
      <c r="H442" s="9" t="s">
        <v>1556</v>
      </c>
      <c r="I442" s="11"/>
      <c r="J442" s="11">
        <v>4680</v>
      </c>
      <c r="K442" s="11">
        <f t="shared" ref="K442" si="31">J442</f>
        <v>4680</v>
      </c>
      <c r="L442" s="10">
        <v>44163</v>
      </c>
      <c r="M442" s="9" t="s">
        <v>1918</v>
      </c>
      <c r="N442" s="13" t="str">
        <f>VLOOKUP(H442,[3]基础数据!G:H,2,FALSE)</f>
        <v>BX600-1.27-100</v>
      </c>
    </row>
    <row r="443" spans="1:14" s="12" customFormat="1">
      <c r="A443" s="11">
        <v>1270</v>
      </c>
      <c r="B443" s="13" t="str">
        <f>VLOOKUP(A443,[3]基础数据!A:B,2,FALSE)</f>
        <v>洛阳</v>
      </c>
      <c r="C443" s="10">
        <v>44158</v>
      </c>
      <c r="D443" s="9"/>
      <c r="E443" s="11">
        <v>4500074608</v>
      </c>
      <c r="F443" s="9"/>
      <c r="G443" s="11">
        <v>1120002596</v>
      </c>
      <c r="H443" s="9" t="s">
        <v>18</v>
      </c>
      <c r="I443" s="11">
        <v>2</v>
      </c>
      <c r="J443" s="11">
        <v>1286</v>
      </c>
      <c r="K443" s="11">
        <f>I443</f>
        <v>2</v>
      </c>
      <c r="L443" s="10">
        <v>44163</v>
      </c>
      <c r="M443" s="9" t="s">
        <v>1917</v>
      </c>
      <c r="N443" s="13" t="str">
        <f>VLOOKUP(H443,[3]基础数据!G:H,2,FALSE)</f>
        <v>SR140后缘</v>
      </c>
    </row>
    <row r="444" spans="1:14" s="12" customFormat="1">
      <c r="A444" s="11">
        <v>1270</v>
      </c>
      <c r="B444" s="13" t="str">
        <f>VLOOKUP(A444,基础数据!A:B,2,FALSE)</f>
        <v>洛阳</v>
      </c>
      <c r="C444" s="10">
        <v>44158</v>
      </c>
      <c r="D444" s="9"/>
      <c r="E444" s="11">
        <v>4500074608</v>
      </c>
      <c r="F444" s="9"/>
      <c r="G444" s="11">
        <v>1120002602</v>
      </c>
      <c r="H444" s="9" t="s">
        <v>1556</v>
      </c>
      <c r="I444" s="11"/>
      <c r="J444" s="11">
        <v>5460</v>
      </c>
      <c r="K444" s="11">
        <f t="shared" ref="K444:K447" si="32">J444</f>
        <v>5460</v>
      </c>
      <c r="L444" s="10">
        <v>44163</v>
      </c>
      <c r="M444" s="9" t="s">
        <v>1928</v>
      </c>
      <c r="N444" s="13" t="str">
        <f>VLOOKUP(H444,基础数据!G:H,2,FALSE)</f>
        <v>BX600-1.27-100</v>
      </c>
    </row>
    <row r="445" spans="1:14" s="12" customFormat="1">
      <c r="A445" s="11">
        <v>1270</v>
      </c>
      <c r="B445" s="13" t="str">
        <f>VLOOKUP(A445,基础数据!A:B,2,FALSE)</f>
        <v>洛阳</v>
      </c>
      <c r="C445" s="10">
        <v>44158</v>
      </c>
      <c r="D445" s="9"/>
      <c r="E445" s="11">
        <v>4500074608</v>
      </c>
      <c r="F445" s="9"/>
      <c r="G445" s="11">
        <v>1120002601</v>
      </c>
      <c r="H445" s="9" t="s">
        <v>20</v>
      </c>
      <c r="I445" s="11"/>
      <c r="J445" s="11">
        <v>9120</v>
      </c>
      <c r="K445" s="11">
        <f t="shared" si="32"/>
        <v>9120</v>
      </c>
      <c r="L445" s="10">
        <v>44163</v>
      </c>
      <c r="M445" s="9" t="s">
        <v>1929</v>
      </c>
      <c r="N445" s="13" t="str">
        <f>VLOOKUP(H445,基础数据!G:H,2,FALSE)</f>
        <v>TTX1500H-1.27-100</v>
      </c>
    </row>
    <row r="446" spans="1:14" s="12" customFormat="1">
      <c r="A446" s="11">
        <v>1270</v>
      </c>
      <c r="B446" s="13" t="str">
        <f>VLOOKUP(A446,基础数据!A:B,2,FALSE)</f>
        <v>洛阳</v>
      </c>
      <c r="C446" s="10">
        <v>44131</v>
      </c>
      <c r="D446" s="9"/>
      <c r="E446" s="11">
        <v>4500073062</v>
      </c>
      <c r="F446" s="9"/>
      <c r="G446" s="11">
        <v>1120002589</v>
      </c>
      <c r="H446" s="9" t="s">
        <v>1072</v>
      </c>
      <c r="I446" s="11">
        <v>5</v>
      </c>
      <c r="J446" s="11">
        <v>15100</v>
      </c>
      <c r="K446" s="11">
        <f t="shared" ref="K446" si="33">I446</f>
        <v>5</v>
      </c>
      <c r="L446" s="10">
        <v>44137</v>
      </c>
      <c r="M446" s="9" t="s">
        <v>1930</v>
      </c>
      <c r="N446" s="13" t="str">
        <f>VLOOKUP(H446,基础数据!G:H,2,FALSE)</f>
        <v>GW68.6D大梁</v>
      </c>
    </row>
    <row r="447" spans="1:14" s="12" customFormat="1">
      <c r="A447" s="11">
        <v>1270</v>
      </c>
      <c r="B447" s="13" t="s">
        <v>23</v>
      </c>
      <c r="C447" s="10">
        <v>44152</v>
      </c>
      <c r="D447" s="9"/>
      <c r="E447" s="11">
        <v>4500074226</v>
      </c>
      <c r="F447" s="9"/>
      <c r="G447" s="11">
        <v>1120000133</v>
      </c>
      <c r="H447" s="9" t="s">
        <v>115</v>
      </c>
      <c r="I447" s="11"/>
      <c r="J447" s="68">
        <v>2336</v>
      </c>
      <c r="K447" s="11">
        <f t="shared" si="32"/>
        <v>2336</v>
      </c>
      <c r="L447" s="10">
        <v>44226</v>
      </c>
      <c r="M447" s="9" t="s">
        <v>1961</v>
      </c>
      <c r="N447" s="13" t="s">
        <v>1540</v>
      </c>
    </row>
    <row r="448" spans="1:14" s="12" customFormat="1">
      <c r="A448" s="11">
        <v>1270</v>
      </c>
      <c r="B448" s="13" t="s">
        <v>23</v>
      </c>
      <c r="C448" s="10">
        <v>44158</v>
      </c>
      <c r="D448" s="9"/>
      <c r="E448" s="11">
        <v>4500074608</v>
      </c>
      <c r="F448" s="9"/>
      <c r="G448" s="11">
        <v>1120000133</v>
      </c>
      <c r="H448" s="9" t="s">
        <v>115</v>
      </c>
      <c r="I448" s="11"/>
      <c r="J448" s="68">
        <v>3864</v>
      </c>
      <c r="K448" s="11">
        <f t="shared" ref="K448" si="34">J448</f>
        <v>3864</v>
      </c>
      <c r="L448" s="10">
        <v>44226</v>
      </c>
      <c r="M448" s="9" t="s">
        <v>1962</v>
      </c>
      <c r="N448" s="13" t="s">
        <v>1540</v>
      </c>
    </row>
    <row r="449" spans="1:14" s="12" customFormat="1">
      <c r="A449" s="11">
        <v>1270</v>
      </c>
      <c r="B449" s="13" t="s">
        <v>23</v>
      </c>
      <c r="C449" s="10">
        <v>44131</v>
      </c>
      <c r="D449" s="9"/>
      <c r="E449" s="9">
        <v>4500073062</v>
      </c>
      <c r="F449" s="9"/>
      <c r="G449" s="11">
        <v>1120002589</v>
      </c>
      <c r="H449" s="9" t="s">
        <v>1072</v>
      </c>
      <c r="I449" s="11">
        <v>4</v>
      </c>
      <c r="J449" s="68">
        <v>12080</v>
      </c>
      <c r="K449" s="11">
        <f t="shared" ref="K449" si="35">I449</f>
        <v>4</v>
      </c>
      <c r="L449" s="10">
        <v>44226</v>
      </c>
      <c r="M449" s="9" t="s">
        <v>1963</v>
      </c>
      <c r="N449" s="13" t="s">
        <v>1539</v>
      </c>
    </row>
    <row r="450" spans="1:14" s="12" customFormat="1">
      <c r="A450" s="11">
        <v>1270</v>
      </c>
      <c r="B450" s="13" t="s">
        <v>23</v>
      </c>
      <c r="C450" s="10">
        <v>44152</v>
      </c>
      <c r="D450" s="9"/>
      <c r="E450" s="11">
        <v>4500074226</v>
      </c>
      <c r="F450" s="9"/>
      <c r="G450" s="11">
        <v>1120002589</v>
      </c>
      <c r="H450" s="9" t="s">
        <v>1072</v>
      </c>
      <c r="I450" s="11">
        <v>1</v>
      </c>
      <c r="J450" s="68">
        <v>3020</v>
      </c>
      <c r="K450" s="11">
        <f>I450</f>
        <v>1</v>
      </c>
      <c r="L450" s="10">
        <v>44226</v>
      </c>
      <c r="M450" s="9" t="s">
        <v>1964</v>
      </c>
      <c r="N450" s="13" t="s">
        <v>1539</v>
      </c>
    </row>
    <row r="451" spans="1:14" s="12" customFormat="1">
      <c r="A451" s="9">
        <v>1270</v>
      </c>
      <c r="B451" s="13" t="str">
        <f>VLOOKUP(A451,基础数据!A:B,2,FALSE)</f>
        <v>洛阳</v>
      </c>
      <c r="C451" s="10">
        <v>44148</v>
      </c>
      <c r="D451" s="9"/>
      <c r="E451" s="9">
        <v>4500073963</v>
      </c>
      <c r="F451" s="9"/>
      <c r="G451" s="11">
        <v>1120002587</v>
      </c>
      <c r="H451" s="9" t="s">
        <v>1555</v>
      </c>
      <c r="I451" s="11">
        <v>5</v>
      </c>
      <c r="J451" s="68">
        <v>3200</v>
      </c>
      <c r="K451" s="11">
        <f t="shared" ref="K451" si="36">I451</f>
        <v>5</v>
      </c>
      <c r="L451" s="10">
        <v>44226</v>
      </c>
      <c r="M451" s="9" t="s">
        <v>1965</v>
      </c>
      <c r="N451" s="13" t="str">
        <f>VLOOKUP(H451,基础数据!G:H,2,FALSE)</f>
        <v>GW68.6D后缘</v>
      </c>
    </row>
    <row r="452" spans="1:14" s="12" customFormat="1">
      <c r="A452" s="11">
        <v>1270</v>
      </c>
      <c r="B452" s="13" t="str">
        <f>VLOOKUP(A452,基础数据!A:B,2,FALSE)</f>
        <v>洛阳</v>
      </c>
      <c r="C452" s="10">
        <v>44158</v>
      </c>
      <c r="D452" s="9"/>
      <c r="E452" s="11">
        <v>4500074608</v>
      </c>
      <c r="F452" s="9"/>
      <c r="G452" s="11">
        <v>1120002601</v>
      </c>
      <c r="H452" s="9" t="s">
        <v>20</v>
      </c>
      <c r="I452" s="11"/>
      <c r="J452" s="68">
        <v>14204</v>
      </c>
      <c r="K452" s="11">
        <f t="shared" ref="K452:K454" si="37">J452</f>
        <v>14204</v>
      </c>
      <c r="L452" s="10">
        <v>44230</v>
      </c>
      <c r="M452" s="9" t="s">
        <v>1987</v>
      </c>
      <c r="N452" s="13" t="str">
        <f>VLOOKUP(H452,基础数据!G:H,2,FALSE)</f>
        <v>TTX1500H-1.27-100</v>
      </c>
    </row>
    <row r="453" spans="1:14" s="12" customFormat="1">
      <c r="A453" s="11">
        <v>1270</v>
      </c>
      <c r="B453" s="13" t="str">
        <f>VLOOKUP(A453,基础数据!A:B,2,FALSE)</f>
        <v>洛阳</v>
      </c>
      <c r="C453" s="10">
        <v>44158</v>
      </c>
      <c r="D453" s="9"/>
      <c r="E453" s="11">
        <v>4500074608</v>
      </c>
      <c r="F453" s="9"/>
      <c r="G453" s="11">
        <v>1120002602</v>
      </c>
      <c r="H453" s="9" t="s">
        <v>1556</v>
      </c>
      <c r="I453" s="11"/>
      <c r="J453" s="68">
        <v>7020</v>
      </c>
      <c r="K453" s="11">
        <f t="shared" si="37"/>
        <v>7020</v>
      </c>
      <c r="L453" s="10">
        <v>44230</v>
      </c>
      <c r="M453" s="9" t="s">
        <v>1988</v>
      </c>
      <c r="N453" s="13" t="str">
        <f>VLOOKUP(H453,基础数据!G:H,2,FALSE)</f>
        <v>BX600-1.27-100</v>
      </c>
    </row>
    <row r="454" spans="1:14" s="12" customFormat="1">
      <c r="A454" s="11">
        <v>1270</v>
      </c>
      <c r="B454" s="13" t="str">
        <f>VLOOKUP(A454,基础数据!A:B,2,FALSE)</f>
        <v>洛阳</v>
      </c>
      <c r="C454" s="10">
        <v>44158</v>
      </c>
      <c r="D454" s="9"/>
      <c r="E454" s="11">
        <v>4500074608</v>
      </c>
      <c r="F454" s="9"/>
      <c r="G454" s="11">
        <v>1120000133</v>
      </c>
      <c r="H454" s="9" t="s">
        <v>115</v>
      </c>
      <c r="I454" s="11"/>
      <c r="J454" s="68">
        <v>7260</v>
      </c>
      <c r="K454" s="11">
        <f t="shared" si="37"/>
        <v>7260</v>
      </c>
      <c r="L454" s="10">
        <v>44230</v>
      </c>
      <c r="M454" s="9" t="s">
        <v>1989</v>
      </c>
      <c r="N454" s="13" t="str">
        <f>VLOOKUP(H454,基础数据!G:H,2,FALSE)</f>
        <v>BX800-1.27-100</v>
      </c>
    </row>
    <row r="455" spans="1:14" s="12" customFormat="1">
      <c r="A455" s="11">
        <v>1270</v>
      </c>
      <c r="B455" s="13" t="str">
        <f>VLOOKUP(A455,基础数据!A:B,2,FALSE)</f>
        <v>洛阳</v>
      </c>
      <c r="C455" s="10">
        <v>44158</v>
      </c>
      <c r="D455" s="9"/>
      <c r="E455" s="11">
        <v>4500074608</v>
      </c>
      <c r="F455" s="9"/>
      <c r="G455" s="11">
        <v>1120002596</v>
      </c>
      <c r="H455" s="9" t="s">
        <v>18</v>
      </c>
      <c r="I455" s="11">
        <v>7</v>
      </c>
      <c r="J455" s="68">
        <v>4501</v>
      </c>
      <c r="K455" s="11">
        <f>I455</f>
        <v>7</v>
      </c>
      <c r="L455" s="10">
        <v>44230</v>
      </c>
      <c r="M455" s="9" t="s">
        <v>1990</v>
      </c>
      <c r="N455" s="13" t="str">
        <f>VLOOKUP(H455,基础数据!G:H,2,FALSE)</f>
        <v>SR140后缘</v>
      </c>
    </row>
    <row r="456" spans="1:14" s="12" customFormat="1">
      <c r="A456" s="11">
        <v>1270</v>
      </c>
      <c r="B456" s="13" t="str">
        <f>VLOOKUP(A456,基础数据!A:B,2,FALSE)</f>
        <v>洛阳</v>
      </c>
      <c r="C456" s="10">
        <v>44158</v>
      </c>
      <c r="D456" s="9"/>
      <c r="E456" s="11">
        <v>4500074608</v>
      </c>
      <c r="F456" s="9"/>
      <c r="G456" s="11">
        <v>1120002597</v>
      </c>
      <c r="H456" s="9" t="s">
        <v>19</v>
      </c>
      <c r="I456" s="11">
        <v>5</v>
      </c>
      <c r="J456" s="68">
        <v>15330</v>
      </c>
      <c r="K456" s="11">
        <f>I456</f>
        <v>5</v>
      </c>
      <c r="L456" s="10">
        <v>44230</v>
      </c>
      <c r="M456" s="9" t="s">
        <v>1991</v>
      </c>
      <c r="N456" s="13" t="str">
        <f>VLOOKUP(H456,基础数据!G:H,2,FALSE)</f>
        <v>SR140大梁</v>
      </c>
    </row>
    <row r="457" spans="1:14" s="12" customFormat="1">
      <c r="A457" s="11">
        <v>1270</v>
      </c>
      <c r="B457" s="13" t="str">
        <f>VLOOKUP(A457,基础数据!A:B,2,FALSE)</f>
        <v>洛阳</v>
      </c>
      <c r="C457" s="10">
        <v>44148</v>
      </c>
      <c r="D457" s="9"/>
      <c r="E457" s="11">
        <v>4500073963</v>
      </c>
      <c r="F457" s="9"/>
      <c r="G457" s="11">
        <v>1120000140</v>
      </c>
      <c r="H457" s="9" t="s">
        <v>114</v>
      </c>
      <c r="I457" s="11"/>
      <c r="J457" s="68">
        <v>8262</v>
      </c>
      <c r="K457" s="11">
        <f>J457</f>
        <v>8262</v>
      </c>
      <c r="L457" s="10">
        <v>44230</v>
      </c>
      <c r="M457" s="9" t="s">
        <v>1992</v>
      </c>
      <c r="N457" s="13" t="str">
        <f>VLOOKUP(H457,基础数据!G:H,2,FALSE)</f>
        <v>TLX1215-1.27-100</v>
      </c>
    </row>
    <row r="458" spans="1:14" s="12" customFormat="1">
      <c r="A458" s="9">
        <v>1270</v>
      </c>
      <c r="B458" s="13" t="str">
        <f>VLOOKUP(A458,基础数据!A:B,2,FALSE)</f>
        <v>洛阳</v>
      </c>
      <c r="C458" s="10">
        <v>44148</v>
      </c>
      <c r="D458" s="9"/>
      <c r="E458" s="9">
        <v>4500073963</v>
      </c>
      <c r="F458" s="9"/>
      <c r="G458" s="11">
        <v>1120002587</v>
      </c>
      <c r="H458" s="9" t="s">
        <v>1555</v>
      </c>
      <c r="I458" s="11">
        <v>2</v>
      </c>
      <c r="J458" s="11">
        <v>1280</v>
      </c>
      <c r="K458" s="11">
        <f>I458</f>
        <v>2</v>
      </c>
      <c r="L458" s="10">
        <v>44153</v>
      </c>
      <c r="M458" s="9" t="s">
        <v>2017</v>
      </c>
      <c r="N458" s="13" t="str">
        <f>VLOOKUP(H458,基础数据!G:H,2,FALSE)</f>
        <v>GW68.6D后缘</v>
      </c>
    </row>
    <row r="459" spans="1:14" s="12" customFormat="1">
      <c r="A459" s="11">
        <v>1270</v>
      </c>
      <c r="B459" s="13" t="str">
        <f>VLOOKUP(A459,基础数据!A:B,2,FALSE)</f>
        <v>洛阳</v>
      </c>
      <c r="C459" s="10">
        <v>44152</v>
      </c>
      <c r="D459" s="9"/>
      <c r="E459" s="11">
        <v>4500074226</v>
      </c>
      <c r="F459" s="9"/>
      <c r="G459" s="11">
        <v>1120002589</v>
      </c>
      <c r="H459" s="9" t="s">
        <v>1072</v>
      </c>
      <c r="I459" s="11">
        <v>2</v>
      </c>
      <c r="J459" s="11">
        <v>6040</v>
      </c>
      <c r="K459" s="11">
        <f>I459</f>
        <v>2</v>
      </c>
      <c r="L459" s="10">
        <v>44166</v>
      </c>
      <c r="M459" s="9" t="s">
        <v>2018</v>
      </c>
      <c r="N459" s="13" t="str">
        <f>VLOOKUP(H459,基础数据!G:H,2,FALSE)</f>
        <v>GW68.6D大梁</v>
      </c>
    </row>
    <row r="460" spans="1:14" s="12" customFormat="1">
      <c r="A460" s="11">
        <v>1270</v>
      </c>
      <c r="B460" s="13" t="str">
        <f>VLOOKUP(A460,基础数据!A:B,2,FALSE)</f>
        <v>洛阳</v>
      </c>
      <c r="C460" s="10">
        <v>44158</v>
      </c>
      <c r="D460" s="9"/>
      <c r="E460" s="11">
        <v>4500074608</v>
      </c>
      <c r="F460" s="9"/>
      <c r="G460" s="11">
        <v>1120002601</v>
      </c>
      <c r="H460" s="9" t="s">
        <v>20</v>
      </c>
      <c r="I460" s="11"/>
      <c r="J460" s="11">
        <v>2304</v>
      </c>
      <c r="K460" s="11">
        <f t="shared" ref="K460:K461" si="38">J460</f>
        <v>2304</v>
      </c>
      <c r="L460" s="10">
        <v>44163</v>
      </c>
      <c r="M460" s="9" t="s">
        <v>2015</v>
      </c>
      <c r="N460" s="13" t="str">
        <f>VLOOKUP(H460,基础数据!G:H,2,FALSE)</f>
        <v>TTX1500H-1.27-100</v>
      </c>
    </row>
    <row r="461" spans="1:14" s="12" customFormat="1">
      <c r="A461" s="11">
        <v>1270</v>
      </c>
      <c r="B461" s="13" t="str">
        <f>VLOOKUP(A461,基础数据!A:B,2,FALSE)</f>
        <v>洛阳</v>
      </c>
      <c r="C461" s="10">
        <v>44158</v>
      </c>
      <c r="D461" s="9"/>
      <c r="E461" s="11">
        <v>4500074608</v>
      </c>
      <c r="F461" s="9"/>
      <c r="G461" s="11">
        <v>1120002602</v>
      </c>
      <c r="H461" s="9" t="s">
        <v>1556</v>
      </c>
      <c r="I461" s="11"/>
      <c r="J461" s="11">
        <v>2652</v>
      </c>
      <c r="K461" s="11">
        <f t="shared" si="38"/>
        <v>2652</v>
      </c>
      <c r="L461" s="10">
        <v>44163</v>
      </c>
      <c r="M461" s="9" t="s">
        <v>2016</v>
      </c>
      <c r="N461" s="13" t="str">
        <f>VLOOKUP(H461,基础数据!G:H,2,FALSE)</f>
        <v>BX600-1.27-100</v>
      </c>
    </row>
    <row r="462" spans="1:14" s="12" customFormat="1">
      <c r="A462" s="9">
        <v>1270</v>
      </c>
      <c r="B462" s="13" t="str">
        <f>VLOOKUP(A462,基础数据!A:B,2,FALSE)</f>
        <v>洛阳</v>
      </c>
      <c r="C462" s="10">
        <v>44222</v>
      </c>
      <c r="D462" s="9"/>
      <c r="E462" s="9">
        <v>4500078767</v>
      </c>
      <c r="F462" s="9"/>
      <c r="G462" s="9">
        <v>1120002596</v>
      </c>
      <c r="H462" s="9" t="s">
        <v>18</v>
      </c>
      <c r="I462" s="11">
        <v>0.1</v>
      </c>
      <c r="J462" s="11">
        <v>62</v>
      </c>
      <c r="K462" s="11">
        <f>I462</f>
        <v>0.1</v>
      </c>
      <c r="L462" s="10">
        <v>44227</v>
      </c>
      <c r="M462" s="9" t="s">
        <v>2014</v>
      </c>
      <c r="N462" s="13" t="str">
        <f>VLOOKUP(H462,基础数据!G:H,2,FALSE)</f>
        <v>SR140后缘</v>
      </c>
    </row>
    <row r="463" spans="1:14" s="12" customFormat="1">
      <c r="A463" s="9">
        <v>1270</v>
      </c>
      <c r="B463" s="13" t="str">
        <f>VLOOKUP(A463,基础数据!A:B,2,FALSE)</f>
        <v>洛阳</v>
      </c>
      <c r="C463" s="10">
        <v>44148</v>
      </c>
      <c r="D463" s="9"/>
      <c r="E463" s="9">
        <v>4500073963</v>
      </c>
      <c r="F463" s="9"/>
      <c r="G463" s="9">
        <v>1120002587</v>
      </c>
      <c r="H463" s="9" t="s">
        <v>1555</v>
      </c>
      <c r="I463" s="11">
        <v>3</v>
      </c>
      <c r="J463" s="11">
        <v>1920</v>
      </c>
      <c r="K463" s="11">
        <f>I463</f>
        <v>3</v>
      </c>
      <c r="L463" s="10">
        <v>44153</v>
      </c>
      <c r="M463" s="9" t="s">
        <v>2024</v>
      </c>
      <c r="N463" s="13" t="str">
        <f>VLOOKUP(H463,基础数据!G:H,2,FALSE)</f>
        <v>GW68.6D后缘</v>
      </c>
    </row>
    <row r="464" spans="1:14" s="12" customFormat="1">
      <c r="A464" s="9">
        <v>1270</v>
      </c>
      <c r="B464" s="13" t="str">
        <f>VLOOKUP(A464,基础数据!A:B,2,FALSE)</f>
        <v>洛阳</v>
      </c>
      <c r="C464" s="10">
        <v>44152</v>
      </c>
      <c r="D464" s="9"/>
      <c r="E464" s="9">
        <v>4500074226</v>
      </c>
      <c r="F464" s="9"/>
      <c r="G464" s="9">
        <v>1120002589</v>
      </c>
      <c r="H464" s="9" t="s">
        <v>1072</v>
      </c>
      <c r="I464" s="11">
        <v>3</v>
      </c>
      <c r="J464" s="11">
        <v>9060</v>
      </c>
      <c r="K464" s="11">
        <f>I464</f>
        <v>3</v>
      </c>
      <c r="L464" s="10">
        <v>44166</v>
      </c>
      <c r="M464" s="9" t="s">
        <v>2025</v>
      </c>
      <c r="N464" s="13" t="str">
        <f>VLOOKUP(H464,基础数据!G:H,2,FALSE)</f>
        <v>GW68.6D大梁</v>
      </c>
    </row>
    <row r="465" spans="1:14" s="12" customFormat="1">
      <c r="A465" s="9">
        <v>1270</v>
      </c>
      <c r="B465" s="13" t="str">
        <f>VLOOKUP(A465,基础数据!A:B,2,FALSE)</f>
        <v>洛阳</v>
      </c>
      <c r="C465" s="10">
        <v>44158</v>
      </c>
      <c r="D465" s="9"/>
      <c r="E465" s="9">
        <v>4500074608</v>
      </c>
      <c r="F465" s="9"/>
      <c r="G465" s="9">
        <v>1120002596</v>
      </c>
      <c r="H465" s="9" t="s">
        <v>18</v>
      </c>
      <c r="I465" s="11">
        <v>2</v>
      </c>
      <c r="J465" s="11">
        <v>1286</v>
      </c>
      <c r="K465" s="11">
        <f t="shared" ref="K465:K466" si="39">I465</f>
        <v>2</v>
      </c>
      <c r="L465" s="10">
        <v>44257</v>
      </c>
      <c r="M465" s="9" t="s">
        <v>2030</v>
      </c>
      <c r="N465" s="13" t="str">
        <f>VLOOKUP(H465,基础数据!G:H,2,FALSE)</f>
        <v>SR140后缘</v>
      </c>
    </row>
    <row r="466" spans="1:14" s="12" customFormat="1">
      <c r="A466" s="9">
        <v>1270</v>
      </c>
      <c r="B466" s="13" t="str">
        <f>VLOOKUP(A466,基础数据!A:B,2,FALSE)</f>
        <v>洛阳</v>
      </c>
      <c r="C466" s="10">
        <v>44158</v>
      </c>
      <c r="D466" s="9"/>
      <c r="E466" s="9">
        <v>4500074608</v>
      </c>
      <c r="F466" s="9"/>
      <c r="G466" s="9">
        <v>1120002597</v>
      </c>
      <c r="H466" s="9" t="s">
        <v>19</v>
      </c>
      <c r="I466" s="11">
        <v>3</v>
      </c>
      <c r="J466" s="11">
        <v>9198</v>
      </c>
      <c r="K466" s="11">
        <f t="shared" si="39"/>
        <v>3</v>
      </c>
      <c r="L466" s="10">
        <v>44257</v>
      </c>
      <c r="M466" s="9" t="s">
        <v>2031</v>
      </c>
      <c r="N466" s="13" t="str">
        <f>VLOOKUP(H466,基础数据!G:H,2,FALSE)</f>
        <v>SR140大梁</v>
      </c>
    </row>
    <row r="467" spans="1:14" s="12" customFormat="1">
      <c r="A467" s="9">
        <v>1270</v>
      </c>
      <c r="B467" s="13" t="str">
        <f>VLOOKUP(A467,基础数据!A:B,2,FALSE)</f>
        <v>洛阳</v>
      </c>
      <c r="C467" s="10">
        <v>44158</v>
      </c>
      <c r="D467" s="9"/>
      <c r="E467" s="9">
        <v>4500074608</v>
      </c>
      <c r="F467" s="9"/>
      <c r="G467" s="9">
        <v>1120000133</v>
      </c>
      <c r="H467" s="9" t="s">
        <v>115</v>
      </c>
      <c r="I467" s="11"/>
      <c r="J467" s="11">
        <v>2060</v>
      </c>
      <c r="K467" s="11">
        <f t="shared" ref="K467:K468" si="40">J467</f>
        <v>2060</v>
      </c>
      <c r="L467" s="10">
        <v>44257</v>
      </c>
      <c r="M467" s="9" t="s">
        <v>2032</v>
      </c>
      <c r="N467" s="13" t="str">
        <f>VLOOKUP(H467,基础数据!G:H,2,FALSE)</f>
        <v>BX800-1.27-100</v>
      </c>
    </row>
    <row r="468" spans="1:14" s="12" customFormat="1">
      <c r="A468" s="9">
        <v>1270</v>
      </c>
      <c r="B468" s="13" t="str">
        <f>VLOOKUP(A468,[2]基础数据!A:B,2,FALSE)</f>
        <v>洛阳</v>
      </c>
      <c r="C468" s="10">
        <v>44158</v>
      </c>
      <c r="D468" s="9"/>
      <c r="E468" s="9">
        <v>4500074608</v>
      </c>
      <c r="F468" s="9"/>
      <c r="G468" s="9">
        <v>1120000133</v>
      </c>
      <c r="H468" s="9" t="s">
        <v>115</v>
      </c>
      <c r="I468" s="11"/>
      <c r="J468" s="11">
        <v>3828</v>
      </c>
      <c r="K468" s="11">
        <f t="shared" si="40"/>
        <v>3828</v>
      </c>
      <c r="L468" s="10">
        <v>44257</v>
      </c>
      <c r="M468" s="9" t="s">
        <v>2037</v>
      </c>
      <c r="N468" s="13" t="str">
        <f>VLOOKUP(H468,[2]基础数据!G:H,2,FALSE)</f>
        <v>BX800-1.27-100</v>
      </c>
    </row>
    <row r="469" spans="1:14" s="12" customFormat="1">
      <c r="A469" s="9">
        <v>1270</v>
      </c>
      <c r="B469" s="13" t="str">
        <f>VLOOKUP(A469,[2]基础数据!A:B,2,FALSE)</f>
        <v>洛阳</v>
      </c>
      <c r="C469" s="10">
        <v>44158</v>
      </c>
      <c r="D469" s="9"/>
      <c r="E469" s="9">
        <v>4500074608</v>
      </c>
      <c r="F469" s="9"/>
      <c r="G469" s="9">
        <v>1120002596</v>
      </c>
      <c r="H469" s="9" t="s">
        <v>18</v>
      </c>
      <c r="I469" s="11">
        <v>3</v>
      </c>
      <c r="J469" s="11">
        <v>1929</v>
      </c>
      <c r="K469" s="11">
        <f t="shared" ref="K469:K470" si="41">I469</f>
        <v>3</v>
      </c>
      <c r="L469" s="10">
        <v>44163</v>
      </c>
      <c r="M469" s="9" t="s">
        <v>2038</v>
      </c>
      <c r="N469" s="13" t="str">
        <f>VLOOKUP(H469,[2]基础数据!G:H,2,FALSE)</f>
        <v>SR140后缘</v>
      </c>
    </row>
    <row r="470" spans="1:14" s="12" customFormat="1">
      <c r="A470" s="9">
        <v>1270</v>
      </c>
      <c r="B470" s="13" t="str">
        <f>VLOOKUP(A470,[2]基础数据!A:B,2,FALSE)</f>
        <v>洛阳</v>
      </c>
      <c r="C470" s="10">
        <v>44158</v>
      </c>
      <c r="D470" s="9"/>
      <c r="E470" s="9">
        <v>4500074608</v>
      </c>
      <c r="F470" s="9"/>
      <c r="G470" s="9">
        <v>1120002597</v>
      </c>
      <c r="H470" s="9" t="s">
        <v>19</v>
      </c>
      <c r="I470" s="11">
        <v>2</v>
      </c>
      <c r="J470" s="11">
        <v>6132</v>
      </c>
      <c r="K470" s="11">
        <f t="shared" si="41"/>
        <v>2</v>
      </c>
      <c r="L470" s="10">
        <v>44163</v>
      </c>
      <c r="M470" s="9" t="s">
        <v>2039</v>
      </c>
      <c r="N470" s="13" t="str">
        <f>VLOOKUP(H470,[2]基础数据!G:H,2,FALSE)</f>
        <v>SR140大梁</v>
      </c>
    </row>
    <row r="471" spans="1:14" s="12" customFormat="1">
      <c r="A471" s="9">
        <v>1270</v>
      </c>
      <c r="B471" s="13" t="str">
        <f>VLOOKUP(A471,基础数据!A:B,2,FALSE)</f>
        <v>洛阳</v>
      </c>
      <c r="C471" s="10">
        <v>44152</v>
      </c>
      <c r="D471" s="9"/>
      <c r="E471" s="9">
        <v>4500074226</v>
      </c>
      <c r="F471" s="9"/>
      <c r="G471" s="9">
        <v>1120002589</v>
      </c>
      <c r="H471" s="9" t="s">
        <v>1072</v>
      </c>
      <c r="I471" s="11">
        <v>2</v>
      </c>
      <c r="J471" s="11">
        <v>6040</v>
      </c>
      <c r="K471" s="11">
        <f>I471</f>
        <v>2</v>
      </c>
      <c r="L471" s="10">
        <v>44259</v>
      </c>
      <c r="M471" s="9" t="s">
        <v>2047</v>
      </c>
      <c r="N471" s="13" t="str">
        <f>VLOOKUP(H471,基础数据!G:H,2,FALSE)</f>
        <v>GW68.6D大梁</v>
      </c>
    </row>
    <row r="472" spans="1:14" s="12" customFormat="1">
      <c r="A472" s="9">
        <v>1270</v>
      </c>
      <c r="B472" s="13" t="str">
        <f>VLOOKUP(A472,基础数据!A:B,2,FALSE)</f>
        <v>洛阳</v>
      </c>
      <c r="C472" s="10">
        <v>44148</v>
      </c>
      <c r="D472" s="9"/>
      <c r="E472" s="9">
        <v>4500073963</v>
      </c>
      <c r="F472" s="9"/>
      <c r="G472" s="9">
        <v>1120002587</v>
      </c>
      <c r="H472" s="9" t="s">
        <v>1555</v>
      </c>
      <c r="I472" s="11">
        <v>3</v>
      </c>
      <c r="J472" s="11">
        <v>1920</v>
      </c>
      <c r="K472" s="11">
        <f>I472</f>
        <v>3</v>
      </c>
      <c r="L472" s="10">
        <v>44259</v>
      </c>
      <c r="M472" s="9" t="s">
        <v>2048</v>
      </c>
      <c r="N472" s="13" t="str">
        <f>VLOOKUP(H472,基础数据!G:H,2,FALSE)</f>
        <v>GW68.6D后缘</v>
      </c>
    </row>
    <row r="473" spans="1:14" s="12" customFormat="1">
      <c r="A473" s="9">
        <v>1270</v>
      </c>
      <c r="B473" s="13" t="str">
        <f>VLOOKUP(A473,基础数据!A:B,2,FALSE)</f>
        <v>洛阳</v>
      </c>
      <c r="C473" s="10">
        <v>44158</v>
      </c>
      <c r="D473" s="9"/>
      <c r="E473" s="9">
        <v>4500074608</v>
      </c>
      <c r="F473" s="9"/>
      <c r="G473" s="9">
        <v>1120002601</v>
      </c>
      <c r="H473" s="9" t="s">
        <v>20</v>
      </c>
      <c r="I473" s="11"/>
      <c r="J473" s="11">
        <f>46440-3420-3420-3420-3420-6840-9120-14204-2304</f>
        <v>292</v>
      </c>
      <c r="K473" s="11">
        <f t="shared" ref="K473:K474" si="42">J473</f>
        <v>292</v>
      </c>
      <c r="L473" s="10">
        <v>44163</v>
      </c>
      <c r="M473" s="9" t="s">
        <v>2049</v>
      </c>
      <c r="N473" s="13" t="str">
        <f>VLOOKUP(H473,基础数据!G:H,2,FALSE)</f>
        <v>TTX1500H-1.27-100</v>
      </c>
    </row>
    <row r="474" spans="1:14" s="12" customFormat="1">
      <c r="A474" s="9">
        <v>1270</v>
      </c>
      <c r="B474" s="13" t="str">
        <f>VLOOKUP(A474,基础数据!A:B,2,FALSE)</f>
        <v>洛阳</v>
      </c>
      <c r="C474" s="10">
        <v>44253</v>
      </c>
      <c r="D474" s="9"/>
      <c r="E474" s="9">
        <v>4500080146</v>
      </c>
      <c r="F474" s="9"/>
      <c r="G474" s="9">
        <v>1120002601</v>
      </c>
      <c r="H474" s="9" t="s">
        <v>20</v>
      </c>
      <c r="I474" s="11"/>
      <c r="J474" s="11">
        <v>4316</v>
      </c>
      <c r="K474" s="11">
        <f t="shared" si="42"/>
        <v>4316</v>
      </c>
      <c r="L474" s="10">
        <v>44285</v>
      </c>
      <c r="M474" s="9" t="s">
        <v>2050</v>
      </c>
      <c r="N474" s="13" t="str">
        <f>VLOOKUP(H474,基础数据!G:H,2,FALSE)</f>
        <v>TTX1500H-1.27-100</v>
      </c>
    </row>
    <row r="475" spans="1:14" s="84" customFormat="1">
      <c r="A475" s="81">
        <v>1270</v>
      </c>
      <c r="B475" s="85" t="str">
        <f>VLOOKUP(A475,基础数据!A:B,2,FALSE)</f>
        <v>洛阳</v>
      </c>
      <c r="C475" s="82">
        <v>44152</v>
      </c>
      <c r="D475" s="81"/>
      <c r="E475" s="81">
        <v>4500074226</v>
      </c>
      <c r="F475" s="81"/>
      <c r="G475" s="81">
        <v>1120002589</v>
      </c>
      <c r="H475" s="81" t="s">
        <v>1072</v>
      </c>
      <c r="I475" s="83">
        <v>1</v>
      </c>
      <c r="J475" s="83">
        <v>3020</v>
      </c>
      <c r="K475" s="83">
        <f>I475</f>
        <v>1</v>
      </c>
      <c r="L475" s="82">
        <v>44260</v>
      </c>
      <c r="M475" s="81" t="s">
        <v>2056</v>
      </c>
      <c r="N475" s="85" t="str">
        <f>VLOOKUP(H475,基础数据!G:H,2,FALSE)</f>
        <v>GW68.6D大梁</v>
      </c>
    </row>
    <row r="476" spans="1:14" s="84" customFormat="1">
      <c r="A476" s="81">
        <v>1270</v>
      </c>
      <c r="B476" s="85" t="str">
        <f>VLOOKUP(A476,[2]基础数据!A:B,2,FALSE)</f>
        <v>洛阳</v>
      </c>
      <c r="C476" s="82">
        <v>44158</v>
      </c>
      <c r="D476" s="81"/>
      <c r="E476" s="81">
        <v>4500074608</v>
      </c>
      <c r="F476" s="81"/>
      <c r="G476" s="81">
        <v>1120002597</v>
      </c>
      <c r="H476" s="81" t="s">
        <v>19</v>
      </c>
      <c r="I476" s="83">
        <v>2</v>
      </c>
      <c r="J476" s="83">
        <v>6132</v>
      </c>
      <c r="K476" s="83">
        <f t="shared" ref="K476:K477" si="43">I476</f>
        <v>2</v>
      </c>
      <c r="L476" s="82">
        <v>44260</v>
      </c>
      <c r="M476" s="81" t="s">
        <v>2057</v>
      </c>
      <c r="N476" s="85" t="str">
        <f>VLOOKUP(H476,[2]基础数据!G:H,2,FALSE)</f>
        <v>SR140大梁</v>
      </c>
    </row>
    <row r="477" spans="1:14" s="84" customFormat="1">
      <c r="A477" s="81">
        <v>1270</v>
      </c>
      <c r="B477" s="85" t="str">
        <f>VLOOKUP(A477,[2]基础数据!A:B,2,FALSE)</f>
        <v>洛阳</v>
      </c>
      <c r="C477" s="82">
        <v>44158</v>
      </c>
      <c r="D477" s="81"/>
      <c r="E477" s="81">
        <v>4500074608</v>
      </c>
      <c r="F477" s="81"/>
      <c r="G477" s="81">
        <v>1120002596</v>
      </c>
      <c r="H477" s="81" t="s">
        <v>18</v>
      </c>
      <c r="I477" s="83">
        <v>3</v>
      </c>
      <c r="J477" s="83">
        <v>1929</v>
      </c>
      <c r="K477" s="83">
        <f t="shared" si="43"/>
        <v>3</v>
      </c>
      <c r="L477" s="82">
        <v>44163</v>
      </c>
      <c r="M477" s="81" t="s">
        <v>2058</v>
      </c>
      <c r="N477" s="85" t="str">
        <f>VLOOKUP(H477,[2]基础数据!G:H,2,FALSE)</f>
        <v>SR140后缘</v>
      </c>
    </row>
    <row r="478" spans="1:14" s="84" customFormat="1">
      <c r="A478" s="81">
        <v>1270</v>
      </c>
      <c r="B478" s="85" t="str">
        <f>VLOOKUP(A478,基础数据!A:B,2,FALSE)</f>
        <v>洛阳</v>
      </c>
      <c r="C478" s="82">
        <v>44211</v>
      </c>
      <c r="D478" s="81"/>
      <c r="E478" s="81">
        <v>4500078167</v>
      </c>
      <c r="F478" s="81"/>
      <c r="G478" s="81">
        <v>1120002602</v>
      </c>
      <c r="H478" s="81" t="s">
        <v>1556</v>
      </c>
      <c r="I478" s="83"/>
      <c r="J478" s="83">
        <v>8520</v>
      </c>
      <c r="K478" s="83">
        <f t="shared" ref="K478:K510" si="44">IF(I478="",J478,I478)</f>
        <v>8520</v>
      </c>
      <c r="L478" s="82">
        <v>44263</v>
      </c>
      <c r="M478" s="81" t="s">
        <v>2069</v>
      </c>
      <c r="N478" s="85" t="str">
        <f>VLOOKUP(H478,基础数据!G:H,2,FALSE)</f>
        <v>BX600-1.27-100</v>
      </c>
    </row>
    <row r="479" spans="1:14" s="84" customFormat="1">
      <c r="A479" s="81">
        <v>1270</v>
      </c>
      <c r="B479" s="85" t="str">
        <f>VLOOKUP(A479,[2]基础数据!A:B,2,FALSE)</f>
        <v>洛阳</v>
      </c>
      <c r="C479" s="82">
        <v>44158</v>
      </c>
      <c r="D479" s="81"/>
      <c r="E479" s="81">
        <v>4500074608</v>
      </c>
      <c r="F479" s="81"/>
      <c r="G479" s="81">
        <v>1120002597</v>
      </c>
      <c r="H479" s="81" t="s">
        <v>19</v>
      </c>
      <c r="I479" s="83">
        <v>2</v>
      </c>
      <c r="J479" s="83">
        <v>6132</v>
      </c>
      <c r="K479" s="83">
        <f t="shared" si="44"/>
        <v>2</v>
      </c>
      <c r="L479" s="82">
        <v>44163</v>
      </c>
      <c r="M479" s="81" t="s">
        <v>2070</v>
      </c>
      <c r="N479" s="85" t="str">
        <f>VLOOKUP(H479,[2]基础数据!G:H,2,FALSE)</f>
        <v>SR140大梁</v>
      </c>
    </row>
    <row r="480" spans="1:14" s="84" customFormat="1">
      <c r="A480" s="81">
        <v>1270</v>
      </c>
      <c r="B480" s="85" t="str">
        <f>VLOOKUP(A480,[2]基础数据!A:B,2,FALSE)</f>
        <v>洛阳</v>
      </c>
      <c r="C480" s="82">
        <v>44158</v>
      </c>
      <c r="D480" s="81"/>
      <c r="E480" s="81">
        <v>4500074608</v>
      </c>
      <c r="F480" s="81"/>
      <c r="G480" s="81">
        <v>1120002597</v>
      </c>
      <c r="H480" s="81" t="s">
        <v>19</v>
      </c>
      <c r="I480" s="83">
        <v>3</v>
      </c>
      <c r="J480" s="83">
        <v>9198</v>
      </c>
      <c r="K480" s="83">
        <f t="shared" si="44"/>
        <v>3</v>
      </c>
      <c r="L480" s="82">
        <v>44163</v>
      </c>
      <c r="M480" s="81" t="s">
        <v>2083</v>
      </c>
      <c r="N480" s="85" t="str">
        <f>VLOOKUP(H480,[2]基础数据!G:H,2,FALSE)</f>
        <v>SR140大梁</v>
      </c>
    </row>
    <row r="481" spans="1:14" s="84" customFormat="1">
      <c r="A481" s="81">
        <v>1270</v>
      </c>
      <c r="B481" s="85" t="str">
        <f>VLOOKUP(A481,[2]基础数据!A:B,2,FALSE)</f>
        <v>洛阳</v>
      </c>
      <c r="C481" s="82">
        <v>44158</v>
      </c>
      <c r="D481" s="81"/>
      <c r="E481" s="81">
        <v>4500074608</v>
      </c>
      <c r="F481" s="81"/>
      <c r="G481" s="81">
        <v>1120002596</v>
      </c>
      <c r="H481" s="81" t="s">
        <v>18</v>
      </c>
      <c r="I481" s="83">
        <f>30-2-2-3-3-2-7-2-3-3</f>
        <v>3</v>
      </c>
      <c r="J481" s="83">
        <f>19290-1286-1286-1929-1929-1286-4501-1286-1929-1929</f>
        <v>1929</v>
      </c>
      <c r="K481" s="83">
        <f t="shared" si="44"/>
        <v>3</v>
      </c>
      <c r="L481" s="82">
        <v>44163</v>
      </c>
      <c r="M481" s="81" t="s">
        <v>2084</v>
      </c>
      <c r="N481" s="85" t="str">
        <f>VLOOKUP(H481,[2]基础数据!G:H,2,FALSE)</f>
        <v>SR140后缘</v>
      </c>
    </row>
    <row r="482" spans="1:14" s="84" customFormat="1">
      <c r="A482" s="81">
        <v>1270</v>
      </c>
      <c r="B482" s="85" t="str">
        <f>VLOOKUP(A482,基础数据!A:B,2,FALSE)</f>
        <v>洛阳</v>
      </c>
      <c r="C482" s="82">
        <v>44152</v>
      </c>
      <c r="D482" s="81"/>
      <c r="E482" s="81">
        <v>4500074226</v>
      </c>
      <c r="F482" s="81"/>
      <c r="G482" s="81">
        <v>1120002589</v>
      </c>
      <c r="H482" s="81" t="s">
        <v>1072</v>
      </c>
      <c r="I482" s="83">
        <v>3</v>
      </c>
      <c r="J482" s="83">
        <v>9060</v>
      </c>
      <c r="K482" s="83">
        <f t="shared" si="44"/>
        <v>3</v>
      </c>
      <c r="L482" s="82">
        <v>44267</v>
      </c>
      <c r="M482" s="81" t="s">
        <v>2086</v>
      </c>
      <c r="N482" s="85" t="str">
        <f>VLOOKUP(H482,基础数据!G:H,2,FALSE)</f>
        <v>GW68.6D大梁</v>
      </c>
    </row>
    <row r="483" spans="1:14" s="84" customFormat="1">
      <c r="A483" s="81">
        <v>1270</v>
      </c>
      <c r="B483" s="85" t="str">
        <f>VLOOKUP(A483,基础数据!A:B,2,FALSE)</f>
        <v>洛阳</v>
      </c>
      <c r="C483" s="82">
        <v>44148</v>
      </c>
      <c r="D483" s="81"/>
      <c r="E483" s="81">
        <v>4500073963</v>
      </c>
      <c r="F483" s="81"/>
      <c r="G483" s="81">
        <v>1120002587</v>
      </c>
      <c r="H483" s="81" t="s">
        <v>1555</v>
      </c>
      <c r="I483" s="83">
        <v>3</v>
      </c>
      <c r="J483" s="83">
        <v>1911</v>
      </c>
      <c r="K483" s="83">
        <f t="shared" si="44"/>
        <v>3</v>
      </c>
      <c r="L483" s="82">
        <v>44267</v>
      </c>
      <c r="M483" s="81" t="s">
        <v>2087</v>
      </c>
      <c r="N483" s="85" t="str">
        <f>VLOOKUP(H483,基础数据!G:H,2,FALSE)</f>
        <v>GW68.6D后缘</v>
      </c>
    </row>
    <row r="484" spans="1:14" s="84" customFormat="1">
      <c r="A484" s="81">
        <v>1270</v>
      </c>
      <c r="B484" s="85" t="str">
        <f>VLOOKUP(A484,基础数据!A:B,2,FALSE)</f>
        <v>洛阳</v>
      </c>
      <c r="C484" s="82">
        <v>44152</v>
      </c>
      <c r="D484" s="81"/>
      <c r="E484" s="81">
        <v>4500074226</v>
      </c>
      <c r="F484" s="81"/>
      <c r="G484" s="81">
        <v>1120002589</v>
      </c>
      <c r="H484" s="81" t="s">
        <v>1072</v>
      </c>
      <c r="I484" s="83">
        <v>3</v>
      </c>
      <c r="J484" s="83">
        <v>9060</v>
      </c>
      <c r="K484" s="83">
        <f t="shared" si="44"/>
        <v>3</v>
      </c>
      <c r="L484" s="82">
        <v>44270</v>
      </c>
      <c r="M484" s="81" t="s">
        <v>2091</v>
      </c>
      <c r="N484" s="85" t="str">
        <f>VLOOKUP(H484,基础数据!G:H,2,FALSE)</f>
        <v>GW68.6D大梁</v>
      </c>
    </row>
    <row r="485" spans="1:14" s="84" customFormat="1">
      <c r="A485" s="81">
        <v>1270</v>
      </c>
      <c r="B485" s="85" t="str">
        <f>VLOOKUP(A485,基础数据!A:B,2,FALSE)</f>
        <v>洛阳</v>
      </c>
      <c r="C485" s="82">
        <v>44148</v>
      </c>
      <c r="D485" s="81"/>
      <c r="E485" s="81">
        <v>4500073963</v>
      </c>
      <c r="F485" s="81"/>
      <c r="G485" s="81">
        <v>1120002587</v>
      </c>
      <c r="H485" s="81" t="s">
        <v>1555</v>
      </c>
      <c r="I485" s="83">
        <f>20-3-5-2-3-3-3</f>
        <v>1</v>
      </c>
      <c r="J485" s="83">
        <f>12592-1920-3200-1280-1920-1920-1911+190</f>
        <v>631</v>
      </c>
      <c r="K485" s="83">
        <f t="shared" si="44"/>
        <v>1</v>
      </c>
      <c r="L485" s="82">
        <v>44270</v>
      </c>
      <c r="M485" s="81" t="s">
        <v>2092</v>
      </c>
      <c r="N485" s="85" t="str">
        <f>VLOOKUP(H485,基础数据!G:H,2,FALSE)</f>
        <v>GW68.6D后缘</v>
      </c>
    </row>
    <row r="486" spans="1:14" s="84" customFormat="1">
      <c r="A486" s="81">
        <v>1270</v>
      </c>
      <c r="B486" s="85" t="str">
        <f>VLOOKUP(A486,基础数据!A:B,2,FALSE)</f>
        <v>洛阳</v>
      </c>
      <c r="C486" s="82">
        <v>44152</v>
      </c>
      <c r="D486" s="81"/>
      <c r="E486" s="81">
        <v>4500074226</v>
      </c>
      <c r="F486" s="81"/>
      <c r="G486" s="81">
        <v>1120002587</v>
      </c>
      <c r="H486" s="81" t="s">
        <v>1555</v>
      </c>
      <c r="I486" s="83">
        <v>2</v>
      </c>
      <c r="J486" s="83">
        <v>1262</v>
      </c>
      <c r="K486" s="83">
        <f t="shared" si="44"/>
        <v>2</v>
      </c>
      <c r="L486" s="82">
        <v>44270</v>
      </c>
      <c r="M486" s="81" t="s">
        <v>2093</v>
      </c>
      <c r="N486" s="85" t="str">
        <f>VLOOKUP(H486,基础数据!G:H,2,FALSE)</f>
        <v>GW68.6D后缘</v>
      </c>
    </row>
    <row r="487" spans="1:14" s="84" customFormat="1">
      <c r="A487" s="81">
        <v>1270</v>
      </c>
      <c r="B487" s="85" t="str">
        <f>VLOOKUP(A487,基础数据!A:B,2,FALSE)</f>
        <v>洛阳</v>
      </c>
      <c r="C487" s="82">
        <v>44152</v>
      </c>
      <c r="D487" s="81"/>
      <c r="E487" s="81">
        <v>4500074226</v>
      </c>
      <c r="F487" s="81"/>
      <c r="G487" s="81">
        <v>1120002587</v>
      </c>
      <c r="H487" s="81" t="s">
        <v>1555</v>
      </c>
      <c r="I487" s="83">
        <v>3</v>
      </c>
      <c r="J487" s="83">
        <v>1893</v>
      </c>
      <c r="K487" s="83">
        <f t="shared" si="44"/>
        <v>3</v>
      </c>
      <c r="L487" s="82">
        <v>44272</v>
      </c>
      <c r="M487" s="81" t="s">
        <v>2096</v>
      </c>
      <c r="N487" s="85" t="str">
        <f>VLOOKUP(H487,基础数据!G:H,2,FALSE)</f>
        <v>GW68.6D后缘</v>
      </c>
    </row>
    <row r="488" spans="1:14" s="84" customFormat="1">
      <c r="A488" s="81">
        <v>1270</v>
      </c>
      <c r="B488" s="85" t="str">
        <f>VLOOKUP(A488,基础数据!A:B,2,FALSE)</f>
        <v>洛阳</v>
      </c>
      <c r="C488" s="82">
        <v>44152</v>
      </c>
      <c r="D488" s="81"/>
      <c r="E488" s="81">
        <v>4500074226</v>
      </c>
      <c r="F488" s="81"/>
      <c r="G488" s="81">
        <v>1120002589</v>
      </c>
      <c r="H488" s="81" t="s">
        <v>1072</v>
      </c>
      <c r="I488" s="83">
        <v>3</v>
      </c>
      <c r="J488" s="83">
        <v>9060</v>
      </c>
      <c r="K488" s="83">
        <f t="shared" si="44"/>
        <v>3</v>
      </c>
      <c r="L488" s="82">
        <v>44272</v>
      </c>
      <c r="M488" s="81" t="s">
        <v>2097</v>
      </c>
      <c r="N488" s="85" t="str">
        <f>VLOOKUP(H488,基础数据!G:H,2,FALSE)</f>
        <v>GW68.6D大梁</v>
      </c>
    </row>
    <row r="489" spans="1:14" s="84" customFormat="1">
      <c r="A489" s="81">
        <v>1270</v>
      </c>
      <c r="B489" s="85" t="str">
        <f>VLOOKUP(A489,基础数据!A:B,2,FALSE)</f>
        <v>洛阳</v>
      </c>
      <c r="C489" s="82">
        <v>44158</v>
      </c>
      <c r="D489" s="81"/>
      <c r="E489" s="81">
        <v>4500074608</v>
      </c>
      <c r="F489" s="81"/>
      <c r="G489" s="81">
        <v>1120000133</v>
      </c>
      <c r="H489" s="81" t="s">
        <v>115</v>
      </c>
      <c r="I489" s="83"/>
      <c r="J489" s="83">
        <v>14729</v>
      </c>
      <c r="K489" s="83">
        <f t="shared" si="44"/>
        <v>14729</v>
      </c>
      <c r="L489" s="82">
        <v>44273</v>
      </c>
      <c r="M489" s="81" t="s">
        <v>2103</v>
      </c>
      <c r="N489" s="85" t="str">
        <f>VLOOKUP(H489,[2]基础数据!G:H,2,FALSE)</f>
        <v>BX800-1.27-100</v>
      </c>
    </row>
    <row r="490" spans="1:14" s="84" customFormat="1">
      <c r="A490" s="81">
        <v>1270</v>
      </c>
      <c r="B490" s="85" t="str">
        <f>VLOOKUP(A490,基础数据!A:B,2,FALSE)</f>
        <v>洛阳</v>
      </c>
      <c r="C490" s="82">
        <v>44253</v>
      </c>
      <c r="D490" s="81"/>
      <c r="E490" s="81">
        <v>4500080146</v>
      </c>
      <c r="F490" s="81"/>
      <c r="G490" s="81">
        <v>1120002601</v>
      </c>
      <c r="H490" s="81" t="s">
        <v>2041</v>
      </c>
      <c r="I490" s="83"/>
      <c r="J490" s="83">
        <v>5760</v>
      </c>
      <c r="K490" s="83">
        <f t="shared" si="44"/>
        <v>5760</v>
      </c>
      <c r="L490" s="82">
        <v>44285</v>
      </c>
      <c r="M490" s="81" t="s">
        <v>2104</v>
      </c>
      <c r="N490" s="85" t="str">
        <f>VLOOKUP(H490,基础数据!G:H,2,FALSE)</f>
        <v>TTX1500H-1.27-100</v>
      </c>
    </row>
    <row r="491" spans="1:14" s="94" customFormat="1">
      <c r="A491" s="93">
        <v>1270</v>
      </c>
      <c r="B491" s="95" t="str">
        <f>VLOOKUP(A491,[2]基础数据!A:B,2,FALSE)</f>
        <v>洛阳</v>
      </c>
      <c r="C491" s="92">
        <v>44158</v>
      </c>
      <c r="D491" s="91"/>
      <c r="E491" s="93">
        <v>4500074608</v>
      </c>
      <c r="F491" s="91"/>
      <c r="G491" s="91">
        <v>1120000133</v>
      </c>
      <c r="H491" s="91" t="s">
        <v>2113</v>
      </c>
      <c r="I491" s="93"/>
      <c r="J491" s="93">
        <v>9064</v>
      </c>
      <c r="K491" s="93">
        <f t="shared" si="44"/>
        <v>9064</v>
      </c>
      <c r="L491" s="92">
        <v>44274</v>
      </c>
      <c r="M491" s="91" t="s">
        <v>2114</v>
      </c>
      <c r="N491" s="95" t="str">
        <f>VLOOKUP(H491,[2]基础数据!G:H,2,FALSE)</f>
        <v>BX800-1.27-100</v>
      </c>
    </row>
    <row r="492" spans="1:14" s="94" customFormat="1">
      <c r="A492" s="93">
        <v>1270</v>
      </c>
      <c r="B492" s="95" t="str">
        <f>VLOOKUP(A492,[1]基础数据!A:B,2,FALSE)</f>
        <v>洛阳</v>
      </c>
      <c r="C492" s="92">
        <v>44253</v>
      </c>
      <c r="D492" s="91"/>
      <c r="E492" s="93">
        <v>4500080146</v>
      </c>
      <c r="F492" s="91"/>
      <c r="G492" s="91">
        <v>1120002601</v>
      </c>
      <c r="H492" s="91" t="s">
        <v>2041</v>
      </c>
      <c r="I492" s="93"/>
      <c r="J492" s="93">
        <f>11650-4316-5760</f>
        <v>1574</v>
      </c>
      <c r="K492" s="93">
        <f t="shared" si="44"/>
        <v>1574</v>
      </c>
      <c r="L492" s="92">
        <v>44274</v>
      </c>
      <c r="M492" s="91" t="s">
        <v>2115</v>
      </c>
      <c r="N492" s="95" t="str">
        <f>VLOOKUP(H492,[1]基础数据!G:H,2,FALSE)</f>
        <v>TTX1500H-1.27-100</v>
      </c>
    </row>
    <row r="493" spans="1:14" s="94" customFormat="1">
      <c r="A493" s="93">
        <v>1270</v>
      </c>
      <c r="B493" s="95" t="str">
        <f>VLOOKUP(A493,[1]基础数据!A:B,2,FALSE)</f>
        <v>洛阳</v>
      </c>
      <c r="C493" s="92">
        <v>44256</v>
      </c>
      <c r="D493" s="91"/>
      <c r="E493" s="93">
        <v>4500080283</v>
      </c>
      <c r="F493" s="91"/>
      <c r="G493" s="91">
        <v>1120002601</v>
      </c>
      <c r="H493" s="91" t="s">
        <v>2041</v>
      </c>
      <c r="I493" s="93"/>
      <c r="J493" s="93">
        <v>4762</v>
      </c>
      <c r="K493" s="93">
        <f t="shared" si="44"/>
        <v>4762</v>
      </c>
      <c r="L493" s="92">
        <v>44274</v>
      </c>
      <c r="M493" s="91" t="s">
        <v>2116</v>
      </c>
      <c r="N493" s="95" t="str">
        <f>VLOOKUP(H493,[1]基础数据!G:H,2,FALSE)</f>
        <v>TTX1500H-1.27-100</v>
      </c>
    </row>
    <row r="494" spans="1:14" s="94" customFormat="1">
      <c r="A494" s="93">
        <v>1270</v>
      </c>
      <c r="B494" s="95" t="s">
        <v>23</v>
      </c>
      <c r="C494" s="92">
        <v>44158</v>
      </c>
      <c r="D494" s="91"/>
      <c r="E494" s="93">
        <v>4500074608</v>
      </c>
      <c r="F494" s="91"/>
      <c r="G494" s="93">
        <v>1120002602</v>
      </c>
      <c r="H494" s="91" t="s">
        <v>1556</v>
      </c>
      <c r="I494" s="93"/>
      <c r="J494" s="93">
        <f>26136-1560-1560-2663-4680-5460-7020-2652</f>
        <v>541</v>
      </c>
      <c r="K494" s="93">
        <f t="shared" si="44"/>
        <v>541</v>
      </c>
      <c r="L494" s="92">
        <v>44274</v>
      </c>
      <c r="M494" s="91" t="s">
        <v>2117</v>
      </c>
      <c r="N494" s="95" t="s">
        <v>1560</v>
      </c>
    </row>
    <row r="495" spans="1:14" s="94" customFormat="1">
      <c r="A495" s="93">
        <v>1270</v>
      </c>
      <c r="B495" s="95" t="s">
        <v>23</v>
      </c>
      <c r="C495" s="92">
        <v>44211</v>
      </c>
      <c r="D495" s="91"/>
      <c r="E495" s="93">
        <v>4500078167</v>
      </c>
      <c r="F495" s="91"/>
      <c r="G495" s="93">
        <v>1120002602</v>
      </c>
      <c r="H495" s="91" t="s">
        <v>1556</v>
      </c>
      <c r="I495" s="93"/>
      <c r="J495" s="93">
        <v>2867</v>
      </c>
      <c r="K495" s="93">
        <f t="shared" si="44"/>
        <v>2867</v>
      </c>
      <c r="L495" s="92">
        <v>44274</v>
      </c>
      <c r="M495" s="91" t="s">
        <v>2118</v>
      </c>
      <c r="N495" s="95" t="s">
        <v>1560</v>
      </c>
    </row>
    <row r="496" spans="1:14" s="94" customFormat="1">
      <c r="A496" s="93">
        <v>1270</v>
      </c>
      <c r="B496" s="95" t="str">
        <f>VLOOKUP(A496,[1]基础数据!A:B,2,FALSE)</f>
        <v>洛阳</v>
      </c>
      <c r="C496" s="92">
        <v>44152</v>
      </c>
      <c r="D496" s="91"/>
      <c r="E496" s="93">
        <v>4500074226</v>
      </c>
      <c r="F496" s="91"/>
      <c r="G496" s="93">
        <v>1120002589</v>
      </c>
      <c r="H496" s="91" t="s">
        <v>1072</v>
      </c>
      <c r="I496" s="93">
        <v>3</v>
      </c>
      <c r="J496" s="93">
        <v>9060</v>
      </c>
      <c r="K496" s="93">
        <f t="shared" si="44"/>
        <v>3</v>
      </c>
      <c r="L496" s="92">
        <v>44166</v>
      </c>
      <c r="M496" s="91" t="s">
        <v>2119</v>
      </c>
      <c r="N496" s="95" t="str">
        <f>VLOOKUP(H496,[1]基础数据!G:H,2,FALSE)</f>
        <v>GW68.6D大梁</v>
      </c>
    </row>
    <row r="497" spans="1:14" s="94" customFormat="1">
      <c r="A497" s="93">
        <v>1270</v>
      </c>
      <c r="B497" s="95" t="str">
        <f>VLOOKUP(A497,[1]基础数据!A:B,2,FALSE)</f>
        <v>洛阳</v>
      </c>
      <c r="C497" s="92">
        <v>44152</v>
      </c>
      <c r="D497" s="91"/>
      <c r="E497" s="93">
        <v>4500074226</v>
      </c>
      <c r="F497" s="91"/>
      <c r="G497" s="93">
        <v>1120002587</v>
      </c>
      <c r="H497" s="91" t="s">
        <v>1555</v>
      </c>
      <c r="I497" s="93">
        <v>3</v>
      </c>
      <c r="J497" s="93">
        <v>1893</v>
      </c>
      <c r="K497" s="93">
        <f t="shared" si="44"/>
        <v>3</v>
      </c>
      <c r="L497" s="92">
        <v>44166</v>
      </c>
      <c r="M497" s="91" t="s">
        <v>2120</v>
      </c>
      <c r="N497" s="95" t="str">
        <f>VLOOKUP(H497,[1]基础数据!G:H,2,FALSE)</f>
        <v>GW68.6D后缘</v>
      </c>
    </row>
    <row r="498" spans="1:14" s="94" customFormat="1">
      <c r="A498" s="93">
        <v>1270</v>
      </c>
      <c r="B498" s="95" t="str">
        <f>VLOOKUP(A498,[1]基础数据!A:B,2,FALSE)</f>
        <v>洛阳</v>
      </c>
      <c r="C498" s="92">
        <v>44152</v>
      </c>
      <c r="D498" s="91"/>
      <c r="E498" s="93">
        <v>4500074226</v>
      </c>
      <c r="F498" s="91"/>
      <c r="G498" s="93">
        <v>1120002589</v>
      </c>
      <c r="H498" s="91" t="s">
        <v>1072</v>
      </c>
      <c r="I498" s="93">
        <v>3</v>
      </c>
      <c r="J498" s="93">
        <v>9060</v>
      </c>
      <c r="K498" s="93">
        <f t="shared" si="44"/>
        <v>3</v>
      </c>
      <c r="L498" s="92">
        <v>44275</v>
      </c>
      <c r="M498" s="91" t="s">
        <v>2124</v>
      </c>
      <c r="N498" s="95" t="str">
        <f>VLOOKUP(H498,[1]基础数据!G:H,2,FALSE)</f>
        <v>GW68.6D大梁</v>
      </c>
    </row>
    <row r="499" spans="1:14" s="94" customFormat="1">
      <c r="A499" s="93">
        <v>1270</v>
      </c>
      <c r="B499" s="95" t="str">
        <f>VLOOKUP(A499,[1]基础数据!A:B,2,FALSE)</f>
        <v>洛阳</v>
      </c>
      <c r="C499" s="92">
        <v>44152</v>
      </c>
      <c r="D499" s="91"/>
      <c r="E499" s="93">
        <v>4500074226</v>
      </c>
      <c r="F499" s="91"/>
      <c r="G499" s="93">
        <v>1120002587</v>
      </c>
      <c r="H499" s="91" t="s">
        <v>1555</v>
      </c>
      <c r="I499" s="93">
        <v>3</v>
      </c>
      <c r="J499" s="93">
        <v>1893</v>
      </c>
      <c r="K499" s="93">
        <f t="shared" si="44"/>
        <v>3</v>
      </c>
      <c r="L499" s="92">
        <v>44275</v>
      </c>
      <c r="M499" s="91" t="s">
        <v>2125</v>
      </c>
      <c r="N499" s="95" t="str">
        <f>VLOOKUP(H499,[1]基础数据!G:H,2,FALSE)</f>
        <v>GW68.6D后缘</v>
      </c>
    </row>
    <row r="500" spans="1:14" s="107" customFormat="1">
      <c r="A500" s="103">
        <v>1270</v>
      </c>
      <c r="B500" s="104" t="str">
        <f>VLOOKUP(A500,[1]基础数据!A:B,2,FALSE)</f>
        <v>洛阳</v>
      </c>
      <c r="C500" s="105">
        <v>44152</v>
      </c>
      <c r="D500" s="106"/>
      <c r="E500" s="103">
        <v>4500074226</v>
      </c>
      <c r="F500" s="106"/>
      <c r="G500" s="103">
        <v>1120002587</v>
      </c>
      <c r="H500" s="106" t="s">
        <v>1555</v>
      </c>
      <c r="I500" s="103">
        <v>3</v>
      </c>
      <c r="J500" s="103">
        <v>1893</v>
      </c>
      <c r="K500" s="103">
        <f>IF(I500="",J500,I500)</f>
        <v>3</v>
      </c>
      <c r="L500" s="105">
        <v>44279</v>
      </c>
      <c r="M500" s="106" t="s">
        <v>2143</v>
      </c>
      <c r="N500" s="104" t="str">
        <f>VLOOKUP(H500,[1]基础数据!G:H,2,FALSE)</f>
        <v>GW68.6D后缘</v>
      </c>
    </row>
    <row r="501" spans="1:14" s="107" customFormat="1">
      <c r="A501" s="103">
        <v>1270</v>
      </c>
      <c r="B501" s="104" t="str">
        <f>VLOOKUP(A501,[1]基础数据!A:B,2,FALSE)</f>
        <v>洛阳</v>
      </c>
      <c r="C501" s="105">
        <v>44152</v>
      </c>
      <c r="D501" s="106"/>
      <c r="E501" s="103">
        <v>4500074226</v>
      </c>
      <c r="F501" s="106"/>
      <c r="G501" s="103">
        <v>1120002589</v>
      </c>
      <c r="H501" s="106" t="s">
        <v>1072</v>
      </c>
      <c r="I501" s="103">
        <f>40-1-2-3-2-1-3-3-3-3-3-3</f>
        <v>13</v>
      </c>
      <c r="J501" s="103">
        <v>9060</v>
      </c>
      <c r="K501" s="103">
        <f t="shared" si="44"/>
        <v>13</v>
      </c>
      <c r="L501" s="105">
        <v>44279</v>
      </c>
      <c r="M501" s="106" t="s">
        <v>2144</v>
      </c>
      <c r="N501" s="104" t="str">
        <f>VLOOKUP(H501,[1]基础数据!G:H,2,FALSE)</f>
        <v>GW68.6D大梁</v>
      </c>
    </row>
    <row r="502" spans="1:14" s="107" customFormat="1">
      <c r="A502" s="103">
        <v>1270</v>
      </c>
      <c r="B502" s="104" t="str">
        <f>VLOOKUP(A502,基础数据!A:B,2,FALSE)</f>
        <v>洛阳</v>
      </c>
      <c r="C502" s="105">
        <v>44152</v>
      </c>
      <c r="D502" s="106"/>
      <c r="E502" s="103">
        <v>4500074226</v>
      </c>
      <c r="F502" s="106"/>
      <c r="G502" s="103">
        <v>1120002578</v>
      </c>
      <c r="H502" s="106" t="s">
        <v>1535</v>
      </c>
      <c r="I502" s="103"/>
      <c r="J502" s="103">
        <v>3386</v>
      </c>
      <c r="K502" s="103">
        <f t="shared" si="44"/>
        <v>3386</v>
      </c>
      <c r="L502" s="105">
        <v>44279</v>
      </c>
      <c r="M502" s="106" t="s">
        <v>2145</v>
      </c>
      <c r="N502" s="104" t="str">
        <f>VLOOKUP(H502,基础数据!G:H,2,FALSE)</f>
        <v>BX1000-1.27-100</v>
      </c>
    </row>
    <row r="503" spans="1:14" s="107" customFormat="1">
      <c r="A503" s="103">
        <v>1270</v>
      </c>
      <c r="B503" s="104" t="str">
        <f>VLOOKUP(A503,基础数据!A:B,2,FALSE)</f>
        <v>洛阳</v>
      </c>
      <c r="C503" s="105">
        <v>44148</v>
      </c>
      <c r="D503" s="106"/>
      <c r="E503" s="103">
        <v>4500073963</v>
      </c>
      <c r="F503" s="106"/>
      <c r="G503" s="103">
        <v>1120000140</v>
      </c>
      <c r="H503" s="106" t="s">
        <v>114</v>
      </c>
      <c r="I503" s="103"/>
      <c r="J503" s="103">
        <v>7344</v>
      </c>
      <c r="K503" s="103">
        <f t="shared" si="44"/>
        <v>7344</v>
      </c>
      <c r="L503" s="105">
        <v>44279</v>
      </c>
      <c r="M503" s="106" t="s">
        <v>2146</v>
      </c>
      <c r="N503" s="104" t="str">
        <f>VLOOKUP(H503,基础数据!G:H,2,FALSE)</f>
        <v>TLX1215-1.27-100</v>
      </c>
    </row>
    <row r="504" spans="1:14" s="107" customFormat="1">
      <c r="A504" s="103">
        <v>1270</v>
      </c>
      <c r="B504" s="104" t="str">
        <f>VLOOKUP(A504,[2]基础数据!A:B,2,FALSE)</f>
        <v>洛阳</v>
      </c>
      <c r="C504" s="105">
        <v>44158</v>
      </c>
      <c r="D504" s="106"/>
      <c r="E504" s="103">
        <v>4500074608</v>
      </c>
      <c r="F504" s="106"/>
      <c r="G504" s="103">
        <v>1120000133</v>
      </c>
      <c r="H504" s="106" t="s">
        <v>115</v>
      </c>
      <c r="I504" s="103"/>
      <c r="J504" s="103">
        <v>6798</v>
      </c>
      <c r="K504" s="103">
        <f t="shared" si="44"/>
        <v>6798</v>
      </c>
      <c r="L504" s="105">
        <v>44279</v>
      </c>
      <c r="M504" s="106" t="s">
        <v>2147</v>
      </c>
      <c r="N504" s="104" t="str">
        <f>VLOOKUP(H504,[2]基础数据!G:H,2,FALSE)</f>
        <v>BX800-1.27-100</v>
      </c>
    </row>
    <row r="505" spans="1:14" s="107" customFormat="1">
      <c r="A505" s="103">
        <v>1270</v>
      </c>
      <c r="B505" s="104" t="str">
        <f>VLOOKUP(A505,[1]基础数据!A:B,2,FALSE)</f>
        <v>洛阳</v>
      </c>
      <c r="C505" s="105">
        <v>44256</v>
      </c>
      <c r="D505" s="106"/>
      <c r="E505" s="103">
        <v>4500080283</v>
      </c>
      <c r="F505" s="106"/>
      <c r="G505" s="106">
        <v>1120002601</v>
      </c>
      <c r="H505" s="106" t="s">
        <v>2041</v>
      </c>
      <c r="I505" s="103"/>
      <c r="J505" s="103">
        <v>95</v>
      </c>
      <c r="K505" s="103">
        <f t="shared" si="44"/>
        <v>95</v>
      </c>
      <c r="L505" s="105">
        <v>44279</v>
      </c>
      <c r="M505" s="106" t="s">
        <v>2148</v>
      </c>
      <c r="N505" s="104" t="str">
        <f>VLOOKUP(H505,[1]基础数据!G:H,2,FALSE)</f>
        <v>TTX1500H-1.27-100</v>
      </c>
    </row>
    <row r="506" spans="1:14" s="107" customFormat="1">
      <c r="A506" s="103">
        <v>1270</v>
      </c>
      <c r="B506" s="104" t="str">
        <f>VLOOKUP(A506,[2]基础数据!A:B,2,FALSE)</f>
        <v>洛阳</v>
      </c>
      <c r="C506" s="105">
        <v>44158</v>
      </c>
      <c r="D506" s="106"/>
      <c r="E506" s="103">
        <v>4500074608</v>
      </c>
      <c r="F506" s="106"/>
      <c r="G506" s="103">
        <v>1120000133</v>
      </c>
      <c r="H506" s="106" t="s">
        <v>115</v>
      </c>
      <c r="I506" s="103"/>
      <c r="J506" s="103">
        <v>2605</v>
      </c>
      <c r="K506" s="103">
        <f t="shared" si="44"/>
        <v>2605</v>
      </c>
      <c r="L506" s="105">
        <v>44163</v>
      </c>
      <c r="M506" s="106" t="s">
        <v>2153</v>
      </c>
      <c r="N506" s="104" t="str">
        <f>VLOOKUP(H506,[2]基础数据!G:H,2,FALSE)</f>
        <v>BX800-1.27-100</v>
      </c>
    </row>
    <row r="507" spans="1:14" s="38" customFormat="1">
      <c r="A507" s="34">
        <v>1270</v>
      </c>
      <c r="B507" s="35" t="str">
        <f>VLOOKUP(A507,基础数据!A:B,2,FALSE)</f>
        <v>洛阳</v>
      </c>
      <c r="C507" s="36">
        <v>44274</v>
      </c>
      <c r="D507" s="37"/>
      <c r="E507" s="34">
        <v>4500081810</v>
      </c>
      <c r="F507" s="37"/>
      <c r="G507" s="34">
        <v>1120000133</v>
      </c>
      <c r="H507" s="37" t="s">
        <v>115</v>
      </c>
      <c r="I507" s="34"/>
      <c r="J507" s="34">
        <v>794</v>
      </c>
      <c r="K507" s="34">
        <f t="shared" si="44"/>
        <v>794</v>
      </c>
      <c r="L507" s="36">
        <v>44299</v>
      </c>
      <c r="M507" s="37" t="s">
        <v>2154</v>
      </c>
      <c r="N507" s="35" t="str">
        <f>VLOOKUP(H507,基础数据!G:H,2,FALSE)</f>
        <v>BX800-1.27-100</v>
      </c>
    </row>
    <row r="508" spans="1:14" s="107" customFormat="1">
      <c r="A508" s="103">
        <v>1270</v>
      </c>
      <c r="B508" s="104" t="str">
        <f>VLOOKUP(A508,基础数据!A:B,2,FALSE)</f>
        <v>洛阳</v>
      </c>
      <c r="C508" s="105">
        <v>44148</v>
      </c>
      <c r="D508" s="106"/>
      <c r="E508" s="103">
        <v>4500073963</v>
      </c>
      <c r="F508" s="106"/>
      <c r="G508" s="103">
        <v>1120000140</v>
      </c>
      <c r="H508" s="106" t="s">
        <v>114</v>
      </c>
      <c r="I508" s="103"/>
      <c r="J508" s="103">
        <v>2762</v>
      </c>
      <c r="K508" s="103">
        <f t="shared" si="44"/>
        <v>2762</v>
      </c>
      <c r="L508" s="105">
        <v>44151</v>
      </c>
      <c r="M508" s="106" t="s">
        <v>2155</v>
      </c>
      <c r="N508" s="104" t="str">
        <f>VLOOKUP(H508,基础数据!G:H,2,FALSE)</f>
        <v>TLX1215-1.27-100</v>
      </c>
    </row>
    <row r="509" spans="1:14" s="94" customFormat="1">
      <c r="A509" s="93">
        <v>1270</v>
      </c>
      <c r="B509" s="95" t="str">
        <f>VLOOKUP(A509,基础数据!A:B,2,FALSE)</f>
        <v>洛阳</v>
      </c>
      <c r="C509" s="92">
        <v>44152</v>
      </c>
      <c r="D509" s="91"/>
      <c r="E509" s="93">
        <v>4500074226</v>
      </c>
      <c r="F509" s="91"/>
      <c r="G509" s="93">
        <v>1120000140</v>
      </c>
      <c r="H509" s="91" t="s">
        <v>114</v>
      </c>
      <c r="I509" s="93"/>
      <c r="J509" s="93">
        <v>8254</v>
      </c>
      <c r="K509" s="93">
        <f t="shared" si="44"/>
        <v>8254</v>
      </c>
      <c r="L509" s="92">
        <v>44166</v>
      </c>
      <c r="M509" s="91" t="s">
        <v>2156</v>
      </c>
      <c r="N509" s="95" t="str">
        <f>VLOOKUP(H509,基础数据!G:H,2,FALSE)</f>
        <v>TLX1215-1.27-100</v>
      </c>
    </row>
    <row r="510" spans="1:14" s="107" customFormat="1">
      <c r="A510" s="103">
        <v>1270</v>
      </c>
      <c r="B510" s="104" t="str">
        <f>VLOOKUP(A510,[1]基础数据!A:B,2,FALSE)</f>
        <v>洛阳</v>
      </c>
      <c r="C510" s="105">
        <v>44152</v>
      </c>
      <c r="D510" s="106"/>
      <c r="E510" s="103">
        <v>4500074226</v>
      </c>
      <c r="F510" s="106"/>
      <c r="G510" s="103">
        <v>1120002587</v>
      </c>
      <c r="H510" s="106" t="s">
        <v>1555</v>
      </c>
      <c r="I510" s="103">
        <v>25</v>
      </c>
      <c r="J510" s="103">
        <v>15719</v>
      </c>
      <c r="K510" s="103">
        <f t="shared" si="44"/>
        <v>25</v>
      </c>
      <c r="L510" s="105">
        <v>44166</v>
      </c>
      <c r="M510" s="106" t="s">
        <v>2157</v>
      </c>
      <c r="N510" s="104" t="str">
        <f>VLOOKUP(H510,[1]基础数据!G:H,2,FALSE)</f>
        <v>GW68.6D后缘</v>
      </c>
    </row>
  </sheetData>
  <phoneticPr fontId="1" type="noConversion"/>
  <pageMargins left="0.7" right="0.7" top="0.75" bottom="0.75" header="0.3" footer="0.3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80"/>
  <sheetViews>
    <sheetView view="pageBreakPreview" topLeftCell="A67" zoomScaleNormal="100" zoomScaleSheetLayoutView="100" workbookViewId="0">
      <selection activeCell="G89" sqref="G89"/>
    </sheetView>
  </sheetViews>
  <sheetFormatPr defaultColWidth="8.5703125" defaultRowHeight="13.5"/>
  <cols>
    <col min="1" max="1" width="7" style="43" bestFit="1" customWidth="1"/>
    <col min="2" max="2" width="7.28515625" style="43" bestFit="1" customWidth="1"/>
    <col min="3" max="3" width="8.7109375" style="39" bestFit="1" customWidth="1"/>
    <col min="4" max="4" width="8.28515625" style="43" bestFit="1" customWidth="1"/>
    <col min="5" max="5" width="9.140625" style="43" bestFit="1" customWidth="1"/>
    <col min="6" max="6" width="7.85546875" style="43" bestFit="1" customWidth="1"/>
    <col min="7" max="7" width="11.7109375" style="43" bestFit="1" customWidth="1"/>
    <col min="8" max="8" width="34" style="43" bestFit="1" customWidth="1"/>
    <col min="9" max="9" width="7" style="43" bestFit="1" customWidth="1"/>
    <col min="10" max="10" width="6.85546875" style="43" bestFit="1" customWidth="1"/>
    <col min="11" max="11" width="6.85546875" style="43" customWidth="1"/>
    <col min="12" max="12" width="8.7109375" style="39" bestFit="1" customWidth="1"/>
    <col min="13" max="13" width="91.7109375" style="43" bestFit="1" customWidth="1"/>
    <col min="14" max="14" width="9.42578125" style="43" bestFit="1" customWidth="1"/>
    <col min="15" max="16384" width="8.5703125" style="43"/>
  </cols>
  <sheetData>
    <row r="1" spans="1:13" s="42" customFormat="1">
      <c r="A1" s="11" t="s">
        <v>0</v>
      </c>
      <c r="B1" s="11" t="s">
        <v>1</v>
      </c>
      <c r="C1" s="29" t="s">
        <v>2</v>
      </c>
      <c r="D1" s="11" t="s">
        <v>44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89</v>
      </c>
      <c r="J1" s="11" t="s">
        <v>7</v>
      </c>
      <c r="K1" s="11" t="s">
        <v>1432</v>
      </c>
      <c r="L1" s="29" t="s">
        <v>8</v>
      </c>
      <c r="M1" s="11" t="s">
        <v>43</v>
      </c>
    </row>
    <row r="2" spans="1:13" s="42" customFormat="1">
      <c r="A2" s="11">
        <v>1580</v>
      </c>
      <c r="B2" s="11" t="s">
        <v>172</v>
      </c>
      <c r="C2" s="29">
        <v>43806</v>
      </c>
      <c r="D2" s="11">
        <v>101325228</v>
      </c>
      <c r="E2" s="11">
        <v>4500050981</v>
      </c>
      <c r="F2" s="11">
        <v>1012742</v>
      </c>
      <c r="G2" s="11">
        <v>1120001194</v>
      </c>
      <c r="H2" s="11" t="s">
        <v>16</v>
      </c>
      <c r="I2" s="11">
        <v>3</v>
      </c>
      <c r="J2" s="11">
        <v>3790</v>
      </c>
      <c r="K2" s="11"/>
      <c r="L2" s="29">
        <v>43824</v>
      </c>
      <c r="M2" s="11" t="s">
        <v>58</v>
      </c>
    </row>
    <row r="3" spans="1:13" s="42" customFormat="1">
      <c r="A3" s="11">
        <v>1580</v>
      </c>
      <c r="B3" s="11" t="s">
        <v>172</v>
      </c>
      <c r="C3" s="29">
        <v>43826</v>
      </c>
      <c r="D3" s="11">
        <v>101325228</v>
      </c>
      <c r="E3" s="11">
        <v>4500050981</v>
      </c>
      <c r="F3" s="11">
        <v>1012742</v>
      </c>
      <c r="G3" s="11">
        <v>1120001194</v>
      </c>
      <c r="H3" s="11" t="s">
        <v>16</v>
      </c>
      <c r="I3" s="11">
        <v>2</v>
      </c>
      <c r="J3" s="11">
        <v>6140</v>
      </c>
      <c r="K3" s="11"/>
      <c r="L3" s="29">
        <v>43845</v>
      </c>
      <c r="M3" s="11" t="s">
        <v>57</v>
      </c>
    </row>
    <row r="4" spans="1:13" s="42" customFormat="1">
      <c r="A4" s="11">
        <v>1580</v>
      </c>
      <c r="B4" s="11" t="s">
        <v>172</v>
      </c>
      <c r="C4" s="29">
        <v>43826</v>
      </c>
      <c r="D4" s="11">
        <v>101332004</v>
      </c>
      <c r="E4" s="11">
        <v>4500050981</v>
      </c>
      <c r="F4" s="11">
        <v>1012742</v>
      </c>
      <c r="G4" s="11">
        <v>1120001194</v>
      </c>
      <c r="H4" s="11" t="s">
        <v>16</v>
      </c>
      <c r="I4" s="11">
        <v>5</v>
      </c>
      <c r="J4" s="11">
        <v>6140</v>
      </c>
      <c r="K4" s="11"/>
      <c r="L4" s="29">
        <v>43845</v>
      </c>
      <c r="M4" s="11" t="s">
        <v>148</v>
      </c>
    </row>
    <row r="5" spans="1:13" s="42" customFormat="1">
      <c r="A5" s="11">
        <v>1580</v>
      </c>
      <c r="B5" s="11" t="s">
        <v>172</v>
      </c>
      <c r="C5" s="29">
        <v>43841</v>
      </c>
      <c r="D5" s="11">
        <v>101332004</v>
      </c>
      <c r="E5" s="11">
        <v>4500051709</v>
      </c>
      <c r="F5" s="11">
        <v>1012742</v>
      </c>
      <c r="G5" s="11">
        <v>1120001194</v>
      </c>
      <c r="H5" s="11" t="s">
        <v>75</v>
      </c>
      <c r="I5" s="11">
        <v>5</v>
      </c>
      <c r="J5" s="11">
        <v>6316</v>
      </c>
      <c r="K5" s="11"/>
      <c r="L5" s="29">
        <v>43859</v>
      </c>
      <c r="M5" s="11" t="s">
        <v>147</v>
      </c>
    </row>
    <row r="6" spans="1:13" s="42" customFormat="1">
      <c r="A6" s="11">
        <v>1580</v>
      </c>
      <c r="B6" s="11" t="s">
        <v>172</v>
      </c>
      <c r="C6" s="29">
        <v>43894</v>
      </c>
      <c r="D6" s="11">
        <v>101332568</v>
      </c>
      <c r="E6" s="11" t="s">
        <v>132</v>
      </c>
      <c r="F6" s="11">
        <v>1012742</v>
      </c>
      <c r="G6" s="11" t="s">
        <v>15</v>
      </c>
      <c r="H6" s="11" t="s">
        <v>16</v>
      </c>
      <c r="I6" s="11">
        <v>5</v>
      </c>
      <c r="J6" s="11">
        <v>6405</v>
      </c>
      <c r="K6" s="11"/>
      <c r="L6" s="29">
        <v>43915</v>
      </c>
      <c r="M6" s="11" t="s">
        <v>149</v>
      </c>
    </row>
    <row r="7" spans="1:13" s="42" customFormat="1">
      <c r="A7" s="11">
        <v>1580</v>
      </c>
      <c r="B7" s="11" t="str">
        <f>VLOOKUP(A7,基础数据!A:B,2,FALSE)</f>
        <v>大连</v>
      </c>
      <c r="C7" s="29">
        <v>43841</v>
      </c>
      <c r="D7" s="11">
        <v>101333775</v>
      </c>
      <c r="E7" s="11">
        <v>4500051709</v>
      </c>
      <c r="F7" s="11">
        <v>1012742</v>
      </c>
      <c r="G7" s="11">
        <v>1120001194</v>
      </c>
      <c r="H7" s="11" t="s">
        <v>75</v>
      </c>
      <c r="I7" s="11">
        <f>5</f>
        <v>5</v>
      </c>
      <c r="J7" s="11">
        <v>6316</v>
      </c>
      <c r="K7" s="11"/>
      <c r="L7" s="29">
        <v>43859</v>
      </c>
      <c r="M7" s="11" t="s">
        <v>177</v>
      </c>
    </row>
    <row r="8" spans="1:13" s="42" customFormat="1">
      <c r="A8" s="11">
        <v>1580</v>
      </c>
      <c r="B8" s="11" t="str">
        <f>VLOOKUP(A8,基础数据!A:B,2,FALSE)</f>
        <v>大连</v>
      </c>
      <c r="C8" s="29">
        <v>43894</v>
      </c>
      <c r="D8" s="11">
        <v>101334512</v>
      </c>
      <c r="E8" s="11" t="s">
        <v>132</v>
      </c>
      <c r="F8" s="11">
        <v>1012742</v>
      </c>
      <c r="G8" s="11" t="s">
        <v>15</v>
      </c>
      <c r="H8" s="11" t="s">
        <v>16</v>
      </c>
      <c r="I8" s="11">
        <f>6-5</f>
        <v>1</v>
      </c>
      <c r="J8" s="11">
        <f>8010-6405</f>
        <v>1605</v>
      </c>
      <c r="K8" s="11"/>
      <c r="L8" s="29">
        <v>43915</v>
      </c>
      <c r="M8" s="11" t="s">
        <v>190</v>
      </c>
    </row>
    <row r="9" spans="1:13" s="12" customFormat="1">
      <c r="A9" s="9">
        <v>1580</v>
      </c>
      <c r="B9" s="9" t="str">
        <f>VLOOKUP(A9,基础数据!A:B,2,FALSE)</f>
        <v>大连</v>
      </c>
      <c r="C9" s="29">
        <v>43906</v>
      </c>
      <c r="D9" s="9">
        <v>101334630</v>
      </c>
      <c r="E9" s="9" t="s">
        <v>198</v>
      </c>
      <c r="F9" s="9">
        <v>1012742</v>
      </c>
      <c r="G9" s="11" t="s">
        <v>15</v>
      </c>
      <c r="H9" s="9" t="s">
        <v>75</v>
      </c>
      <c r="I9" s="9">
        <v>0.5</v>
      </c>
      <c r="J9" s="9">
        <v>753</v>
      </c>
      <c r="K9" s="9"/>
      <c r="L9" s="29">
        <v>43915</v>
      </c>
      <c r="M9" s="9" t="s">
        <v>139</v>
      </c>
    </row>
    <row r="10" spans="1:13" s="12" customFormat="1">
      <c r="A10" s="9">
        <v>1580</v>
      </c>
      <c r="B10" s="9" t="str">
        <f>VLOOKUP(A10,基础数据!A:B,2,FALSE)</f>
        <v>大连</v>
      </c>
      <c r="C10" s="10">
        <v>43908</v>
      </c>
      <c r="D10" s="9">
        <v>101335326</v>
      </c>
      <c r="E10" s="9">
        <v>4500054816</v>
      </c>
      <c r="F10" s="9">
        <v>1121584</v>
      </c>
      <c r="G10" s="9">
        <v>1120002825</v>
      </c>
      <c r="H10" s="9" t="s">
        <v>176</v>
      </c>
      <c r="I10" s="11">
        <v>5</v>
      </c>
      <c r="J10" s="11">
        <v>6620</v>
      </c>
      <c r="K10" s="11"/>
      <c r="L10" s="10">
        <v>43924</v>
      </c>
      <c r="M10" s="9" t="s">
        <v>211</v>
      </c>
    </row>
    <row r="11" spans="1:13" s="12" customFormat="1">
      <c r="A11" s="9">
        <v>1580</v>
      </c>
      <c r="B11" s="9" t="str">
        <f>VLOOKUP(A11,基础数据!A:B,2,FALSE)</f>
        <v>大连</v>
      </c>
      <c r="C11" s="10">
        <v>43908</v>
      </c>
      <c r="D11" s="9">
        <v>101335952</v>
      </c>
      <c r="E11" s="9">
        <v>4500054816</v>
      </c>
      <c r="F11" s="9">
        <v>1121584</v>
      </c>
      <c r="G11" s="9">
        <v>1120002825</v>
      </c>
      <c r="H11" s="9" t="s">
        <v>212</v>
      </c>
      <c r="I11" s="11">
        <v>5</v>
      </c>
      <c r="J11" s="11">
        <v>6620</v>
      </c>
      <c r="K11" s="11"/>
      <c r="L11" s="10">
        <v>43924</v>
      </c>
      <c r="M11" s="9" t="s">
        <v>246</v>
      </c>
    </row>
    <row r="12" spans="1:13" s="12" customFormat="1">
      <c r="A12" s="9">
        <v>1580</v>
      </c>
      <c r="B12" s="9" t="str">
        <f>VLOOKUP(A12,基础数据!A:B,2,FALSE)</f>
        <v>大连</v>
      </c>
      <c r="C12" s="10">
        <v>43908</v>
      </c>
      <c r="D12" s="9">
        <v>101336531</v>
      </c>
      <c r="E12" s="9">
        <v>4500054816</v>
      </c>
      <c r="F12" s="9">
        <v>1121584</v>
      </c>
      <c r="G12" s="9">
        <v>1120002825</v>
      </c>
      <c r="H12" s="9" t="s">
        <v>212</v>
      </c>
      <c r="I12" s="11">
        <f>12-5-5</f>
        <v>2</v>
      </c>
      <c r="J12" s="11">
        <f>15672-6620-6620</f>
        <v>2432</v>
      </c>
      <c r="K12" s="11"/>
      <c r="L12" s="10">
        <v>43924</v>
      </c>
      <c r="M12" s="9" t="s">
        <v>286</v>
      </c>
    </row>
    <row r="13" spans="1:13" s="12" customFormat="1">
      <c r="A13" s="11">
        <v>1580</v>
      </c>
      <c r="B13" s="13" t="str">
        <f>VLOOKUP(A13,基础数据!A:B,2,FALSE)</f>
        <v>大连</v>
      </c>
      <c r="C13" s="10">
        <v>43931</v>
      </c>
      <c r="D13" s="9"/>
      <c r="E13" s="11">
        <v>4500056656</v>
      </c>
      <c r="F13" s="9">
        <v>1121584</v>
      </c>
      <c r="G13" s="11">
        <v>1120002825</v>
      </c>
      <c r="H13" s="9" t="s">
        <v>176</v>
      </c>
      <c r="I13" s="11">
        <v>5</v>
      </c>
      <c r="J13" s="11">
        <v>6620</v>
      </c>
      <c r="K13" s="11"/>
      <c r="L13" s="10">
        <v>43941</v>
      </c>
      <c r="M13" s="9" t="s">
        <v>290</v>
      </c>
    </row>
    <row r="14" spans="1:13" s="12" customFormat="1">
      <c r="A14" s="11">
        <v>1580</v>
      </c>
      <c r="B14" s="13" t="str">
        <f>VLOOKUP(A14,基础数据!A:B,2,FALSE)</f>
        <v>大连</v>
      </c>
      <c r="C14" s="10">
        <v>43931</v>
      </c>
      <c r="D14" s="9"/>
      <c r="E14" s="11">
        <v>4500056656</v>
      </c>
      <c r="F14" s="9">
        <v>1121584</v>
      </c>
      <c r="G14" s="11">
        <v>1120002825</v>
      </c>
      <c r="H14" s="9" t="s">
        <v>176</v>
      </c>
      <c r="I14" s="11">
        <v>5</v>
      </c>
      <c r="J14" s="11">
        <v>6620</v>
      </c>
      <c r="K14" s="11"/>
      <c r="L14" s="10">
        <v>43941</v>
      </c>
      <c r="M14" s="9" t="s">
        <v>297</v>
      </c>
    </row>
    <row r="15" spans="1:13" s="12" customFormat="1">
      <c r="A15" s="11">
        <v>1580</v>
      </c>
      <c r="B15" s="13" t="s">
        <v>172</v>
      </c>
      <c r="C15" s="10">
        <v>43922</v>
      </c>
      <c r="D15" s="13"/>
      <c r="E15" s="9" t="s">
        <v>343</v>
      </c>
      <c r="F15" s="9">
        <v>1012742</v>
      </c>
      <c r="G15" s="9"/>
      <c r="H15" s="9" t="s">
        <v>16</v>
      </c>
      <c r="I15" s="11"/>
      <c r="J15" s="11">
        <v>111.78</v>
      </c>
      <c r="K15" s="11"/>
      <c r="L15" s="10">
        <v>43936</v>
      </c>
      <c r="M15" s="9" t="s">
        <v>327</v>
      </c>
    </row>
    <row r="16" spans="1:13" s="12" customFormat="1">
      <c r="A16" s="9">
        <v>1580</v>
      </c>
      <c r="B16" s="9" t="s">
        <v>287</v>
      </c>
      <c r="C16" s="10">
        <v>43943</v>
      </c>
      <c r="D16" s="9"/>
      <c r="E16" s="9" t="s">
        <v>344</v>
      </c>
      <c r="F16" s="9">
        <v>1121584</v>
      </c>
      <c r="G16" s="9"/>
      <c r="H16" s="9" t="s">
        <v>176</v>
      </c>
      <c r="I16" s="11"/>
      <c r="J16" s="11">
        <v>60</v>
      </c>
      <c r="K16" s="11"/>
      <c r="L16" s="10">
        <v>43946</v>
      </c>
      <c r="M16" s="9" t="s">
        <v>328</v>
      </c>
    </row>
    <row r="17" spans="1:14" s="12" customFormat="1">
      <c r="A17" s="11">
        <v>1580</v>
      </c>
      <c r="B17" s="13" t="str">
        <f>VLOOKUP(A17,基础数据!A:B,2,FALSE)</f>
        <v>大连</v>
      </c>
      <c r="C17" s="10">
        <v>43938</v>
      </c>
      <c r="D17" s="9"/>
      <c r="E17" s="11">
        <v>4500057387</v>
      </c>
      <c r="F17" s="9">
        <v>1121584</v>
      </c>
      <c r="G17" s="11">
        <v>1120002825</v>
      </c>
      <c r="H17" s="9" t="s">
        <v>176</v>
      </c>
      <c r="I17" s="11">
        <v>5</v>
      </c>
      <c r="J17" s="11">
        <f>10448-6676</f>
        <v>3772</v>
      </c>
      <c r="K17" s="11"/>
      <c r="L17" s="10">
        <v>43955</v>
      </c>
      <c r="M17" s="9" t="s">
        <v>329</v>
      </c>
    </row>
    <row r="18" spans="1:14" s="12" customFormat="1">
      <c r="A18" s="11">
        <v>1580</v>
      </c>
      <c r="B18" s="13" t="str">
        <f>VLOOKUP(A18,基础数据!A:B,2,FALSE)</f>
        <v>大连</v>
      </c>
      <c r="C18" s="10">
        <v>43945</v>
      </c>
      <c r="D18" s="9"/>
      <c r="E18" s="11">
        <v>4500058136</v>
      </c>
      <c r="F18" s="9">
        <v>1121584</v>
      </c>
      <c r="G18" s="11">
        <v>1120002825</v>
      </c>
      <c r="H18" s="9" t="s">
        <v>176</v>
      </c>
      <c r="I18" s="11">
        <v>5</v>
      </c>
      <c r="J18" s="11">
        <v>6676</v>
      </c>
      <c r="K18" s="11"/>
      <c r="L18" s="10">
        <v>43969</v>
      </c>
      <c r="M18" s="9" t="s">
        <v>384</v>
      </c>
      <c r="N18" s="19" t="str">
        <f>VLOOKUP(H18,基础数据!G:H,2,FALSE)</f>
        <v>SR171Ⅲ后缘</v>
      </c>
    </row>
    <row r="19" spans="1:14" s="12" customFormat="1">
      <c r="A19" s="11">
        <v>1580</v>
      </c>
      <c r="B19" s="13" t="str">
        <f>VLOOKUP(A19,基础数据!A:B,2,FALSE)</f>
        <v>大连</v>
      </c>
      <c r="C19" s="10">
        <v>43938</v>
      </c>
      <c r="D19" s="9"/>
      <c r="E19" s="11">
        <v>4500057387</v>
      </c>
      <c r="F19" s="9">
        <v>1121584</v>
      </c>
      <c r="G19" s="11">
        <v>1120002825</v>
      </c>
      <c r="H19" s="9" t="s">
        <v>176</v>
      </c>
      <c r="I19" s="11">
        <f>8-5</f>
        <v>3</v>
      </c>
      <c r="J19" s="11">
        <f>10448-6676</f>
        <v>3772</v>
      </c>
      <c r="K19" s="11"/>
      <c r="L19" s="10">
        <v>43955</v>
      </c>
      <c r="M19" s="9" t="s">
        <v>1212</v>
      </c>
      <c r="N19" s="19" t="str">
        <f>VLOOKUP(H19,基础数据!G:H,2,FALSE)</f>
        <v>SR171Ⅲ后缘</v>
      </c>
    </row>
    <row r="20" spans="1:14" s="12" customFormat="1">
      <c r="A20" s="11">
        <v>1580</v>
      </c>
      <c r="B20" s="13" t="str">
        <f>VLOOKUP(A20,基础数据!A:B,2,FALSE)</f>
        <v>大连</v>
      </c>
      <c r="C20" s="10">
        <v>43945</v>
      </c>
      <c r="D20" s="9"/>
      <c r="E20" s="11">
        <v>4500058136</v>
      </c>
      <c r="F20" s="9">
        <v>1121584</v>
      </c>
      <c r="G20" s="11">
        <v>1120002825</v>
      </c>
      <c r="H20" s="9" t="s">
        <v>176</v>
      </c>
      <c r="I20" s="11">
        <f>6-5</f>
        <v>1</v>
      </c>
      <c r="J20" s="11">
        <f>7836-6676</f>
        <v>1160</v>
      </c>
      <c r="K20" s="11"/>
      <c r="L20" s="10">
        <v>43969</v>
      </c>
      <c r="M20" s="9" t="s">
        <v>1213</v>
      </c>
      <c r="N20" s="19" t="str">
        <f>VLOOKUP(H20,基础数据!G:H,2,FALSE)</f>
        <v>SR171Ⅲ后缘</v>
      </c>
    </row>
    <row r="21" spans="1:14" s="12" customFormat="1">
      <c r="A21" s="11">
        <v>1580</v>
      </c>
      <c r="B21" s="13" t="str">
        <f>VLOOKUP(A21,基础数据!A:B,2,FALSE)</f>
        <v>大连</v>
      </c>
      <c r="C21" s="10">
        <v>43966</v>
      </c>
      <c r="D21" s="9"/>
      <c r="E21" s="11">
        <v>4500059604</v>
      </c>
      <c r="F21" s="9"/>
      <c r="G21" s="11">
        <v>1120002825</v>
      </c>
      <c r="H21" s="9" t="s">
        <v>176</v>
      </c>
      <c r="I21" s="11">
        <v>1</v>
      </c>
      <c r="J21" s="11">
        <v>1335.2</v>
      </c>
      <c r="K21" s="11"/>
      <c r="L21" s="10">
        <v>43983</v>
      </c>
      <c r="M21" s="9" t="s">
        <v>1214</v>
      </c>
      <c r="N21" s="19" t="str">
        <f>VLOOKUP(H21,基础数据!G:H,2,FALSE)</f>
        <v>SR171Ⅲ后缘</v>
      </c>
    </row>
    <row r="22" spans="1:14" s="12" customFormat="1">
      <c r="A22" s="11">
        <v>1580</v>
      </c>
      <c r="B22" s="13" t="str">
        <f>VLOOKUP(A22,基础数据!A:B,2,FALSE)</f>
        <v>大连</v>
      </c>
      <c r="C22" s="10">
        <v>43966</v>
      </c>
      <c r="D22" s="9"/>
      <c r="E22" s="11">
        <v>4500059604</v>
      </c>
      <c r="F22" s="9"/>
      <c r="G22" s="11">
        <v>1120002825</v>
      </c>
      <c r="H22" s="9" t="s">
        <v>176</v>
      </c>
      <c r="I22" s="11">
        <v>5</v>
      </c>
      <c r="J22" s="11">
        <v>6676</v>
      </c>
      <c r="K22" s="11"/>
      <c r="L22" s="10">
        <v>43983</v>
      </c>
      <c r="M22" s="9" t="s">
        <v>430</v>
      </c>
      <c r="N22" s="19" t="str">
        <f>VLOOKUP(H22,基础数据!G:H,2,FALSE)</f>
        <v>SR171Ⅲ后缘</v>
      </c>
    </row>
    <row r="23" spans="1:14" s="12" customFormat="1">
      <c r="A23" s="11">
        <v>1580</v>
      </c>
      <c r="B23" s="13" t="str">
        <f>VLOOKUP(A23,基础数据!A:B,2,FALSE)</f>
        <v>大连</v>
      </c>
      <c r="C23" s="10">
        <v>43973</v>
      </c>
      <c r="D23" s="9"/>
      <c r="E23" s="11">
        <v>4500060341</v>
      </c>
      <c r="F23" s="9"/>
      <c r="G23" s="9" t="s">
        <v>438</v>
      </c>
      <c r="H23" s="9" t="s">
        <v>176</v>
      </c>
      <c r="I23" s="11">
        <v>8</v>
      </c>
      <c r="J23" s="11">
        <v>10681.6</v>
      </c>
      <c r="K23" s="11"/>
      <c r="L23" s="10">
        <v>43995</v>
      </c>
      <c r="M23" s="9" t="s">
        <v>444</v>
      </c>
      <c r="N23" s="19" t="str">
        <f>VLOOKUP(H23,基础数据!G:H,2,FALSE)</f>
        <v>SR171Ⅲ后缘</v>
      </c>
    </row>
    <row r="24" spans="1:14" s="12" customFormat="1">
      <c r="A24" s="11">
        <v>1580</v>
      </c>
      <c r="B24" s="13" t="str">
        <f>VLOOKUP(A24,基础数据!A:B,2,FALSE)</f>
        <v>大连</v>
      </c>
      <c r="C24" s="10">
        <v>43966</v>
      </c>
      <c r="D24" s="9"/>
      <c r="E24" s="11">
        <v>4500059604</v>
      </c>
      <c r="F24" s="9"/>
      <c r="G24" s="11">
        <v>1120002825</v>
      </c>
      <c r="H24" s="9" t="s">
        <v>176</v>
      </c>
      <c r="I24" s="11">
        <f>10-1-5</f>
        <v>4</v>
      </c>
      <c r="J24" s="11">
        <f>13011-1335.2-6676</f>
        <v>4999.7999999999993</v>
      </c>
      <c r="K24" s="11"/>
      <c r="L24" s="10">
        <v>43983</v>
      </c>
      <c r="M24" s="9" t="s">
        <v>510</v>
      </c>
      <c r="N24" s="13" t="str">
        <f>VLOOKUP(H24,基础数据!G:H,2,FALSE)</f>
        <v>SR171Ⅲ后缘</v>
      </c>
    </row>
    <row r="25" spans="1:14" s="12" customFormat="1">
      <c r="A25" s="11">
        <v>1580</v>
      </c>
      <c r="B25" s="13" t="str">
        <f>VLOOKUP(A25,基础数据!A:B,2,FALSE)</f>
        <v>大连</v>
      </c>
      <c r="C25" s="10">
        <v>43987</v>
      </c>
      <c r="D25" s="9"/>
      <c r="E25" s="11">
        <v>4500061552</v>
      </c>
      <c r="F25" s="9"/>
      <c r="G25" s="11">
        <v>1120002825</v>
      </c>
      <c r="H25" s="9" t="s">
        <v>176</v>
      </c>
      <c r="I25" s="11">
        <v>1</v>
      </c>
      <c r="J25" s="11">
        <v>1335.2</v>
      </c>
      <c r="K25" s="11"/>
      <c r="L25" s="10">
        <v>43983</v>
      </c>
      <c r="M25" s="9" t="s">
        <v>508</v>
      </c>
      <c r="N25" s="13" t="str">
        <f>VLOOKUP(H25,基础数据!G:H,2,FALSE)</f>
        <v>SR171Ⅲ后缘</v>
      </c>
    </row>
    <row r="26" spans="1:14" s="12" customFormat="1">
      <c r="A26" s="11">
        <v>1580</v>
      </c>
      <c r="B26" s="13" t="str">
        <f>VLOOKUP(A26,基础数据!A:B,2,FALSE)</f>
        <v>大连</v>
      </c>
      <c r="C26" s="10">
        <v>43987</v>
      </c>
      <c r="D26" s="9"/>
      <c r="E26" s="11">
        <v>4500061552</v>
      </c>
      <c r="F26" s="9"/>
      <c r="G26" s="11">
        <v>1120002825</v>
      </c>
      <c r="H26" s="9" t="s">
        <v>176</v>
      </c>
      <c r="I26" s="11">
        <v>5</v>
      </c>
      <c r="J26" s="11">
        <v>6676</v>
      </c>
      <c r="K26" s="11"/>
      <c r="L26" s="10">
        <v>44003</v>
      </c>
      <c r="M26" s="9" t="s">
        <v>513</v>
      </c>
      <c r="N26" s="13" t="str">
        <f>VLOOKUP(H26,基础数据!G:H,2,FALSE)</f>
        <v>SR171Ⅲ后缘</v>
      </c>
    </row>
    <row r="27" spans="1:14" s="12" customFormat="1">
      <c r="A27" s="11">
        <v>1580</v>
      </c>
      <c r="B27" s="13" t="str">
        <f>VLOOKUP(A27,基础数据!A:B,2,FALSE)</f>
        <v>大连</v>
      </c>
      <c r="C27" s="10">
        <v>43987</v>
      </c>
      <c r="D27" s="9"/>
      <c r="E27" s="11">
        <v>4500061552</v>
      </c>
      <c r="F27" s="9"/>
      <c r="G27" s="11">
        <v>1120002825</v>
      </c>
      <c r="H27" s="9" t="s">
        <v>176</v>
      </c>
      <c r="I27" s="11">
        <v>5</v>
      </c>
      <c r="J27" s="11">
        <v>6676</v>
      </c>
      <c r="K27" s="11"/>
      <c r="L27" s="10">
        <v>44003</v>
      </c>
      <c r="M27" s="9" t="s">
        <v>524</v>
      </c>
      <c r="N27" s="13" t="str">
        <f>VLOOKUP(H27,基础数据!G:H,2,FALSE)</f>
        <v>SR171Ⅲ后缘</v>
      </c>
    </row>
    <row r="28" spans="1:14" s="12" customFormat="1">
      <c r="A28" s="11">
        <v>1580</v>
      </c>
      <c r="B28" s="9" t="s">
        <v>420</v>
      </c>
      <c r="C28" s="10">
        <v>43971</v>
      </c>
      <c r="D28" s="9"/>
      <c r="E28" s="9" t="s">
        <v>599</v>
      </c>
      <c r="F28" s="9"/>
      <c r="G28" s="11">
        <v>1120002825</v>
      </c>
      <c r="H28" s="9" t="s">
        <v>176</v>
      </c>
      <c r="I28" s="11">
        <v>0.5</v>
      </c>
      <c r="J28" s="11">
        <v>753</v>
      </c>
      <c r="K28" s="11"/>
      <c r="L28" s="10">
        <v>43981</v>
      </c>
      <c r="M28" s="9" t="s">
        <v>419</v>
      </c>
      <c r="N28" s="13" t="str">
        <f>VLOOKUP(H28,基础数据!G:H,2,FALSE)</f>
        <v>SR171Ⅲ后缘</v>
      </c>
    </row>
    <row r="29" spans="1:14" s="12" customFormat="1">
      <c r="A29" s="11">
        <v>1580</v>
      </c>
      <c r="B29" s="13" t="str">
        <f>VLOOKUP(A29,基础数据!A:B,2,FALSE)</f>
        <v>大连</v>
      </c>
      <c r="C29" s="10">
        <v>43987</v>
      </c>
      <c r="D29" s="9"/>
      <c r="E29" s="11">
        <v>4500061552</v>
      </c>
      <c r="F29" s="9"/>
      <c r="G29" s="11">
        <v>1120002825</v>
      </c>
      <c r="H29" s="9" t="s">
        <v>176</v>
      </c>
      <c r="I29" s="11">
        <f>12-1-5-5</f>
        <v>1</v>
      </c>
      <c r="J29" s="11">
        <f>15672-1335.2-6676-6676</f>
        <v>984.79999999999927</v>
      </c>
      <c r="K29" s="11"/>
      <c r="L29" s="10">
        <v>44003</v>
      </c>
      <c r="M29" s="9" t="s">
        <v>1205</v>
      </c>
      <c r="N29" s="13" t="str">
        <f>VLOOKUP(H29,基础数据!G:H,2,FALSE)</f>
        <v>SR171Ⅲ后缘</v>
      </c>
    </row>
    <row r="30" spans="1:14" s="12" customFormat="1">
      <c r="A30" s="11">
        <v>1580</v>
      </c>
      <c r="B30" s="13" t="str">
        <f>VLOOKUP(A30,基础数据!A:B,2,FALSE)</f>
        <v>大连</v>
      </c>
      <c r="C30" s="10">
        <v>43993</v>
      </c>
      <c r="D30" s="9"/>
      <c r="E30" s="11">
        <v>4500062140</v>
      </c>
      <c r="F30" s="9"/>
      <c r="G30" s="11">
        <v>1120002825</v>
      </c>
      <c r="H30" s="9" t="s">
        <v>176</v>
      </c>
      <c r="I30" s="11">
        <v>6</v>
      </c>
      <c r="J30" s="11">
        <v>8011.2</v>
      </c>
      <c r="K30" s="11"/>
      <c r="L30" s="10">
        <v>43993</v>
      </c>
      <c r="M30" s="9" t="s">
        <v>597</v>
      </c>
      <c r="N30" s="13" t="str">
        <f>VLOOKUP(H30,基础数据!G:H,2,FALSE)</f>
        <v>SR171Ⅲ后缘</v>
      </c>
    </row>
    <row r="31" spans="1:14" s="12" customFormat="1">
      <c r="A31" s="11">
        <v>1580</v>
      </c>
      <c r="B31" s="13" t="str">
        <f>VLOOKUP(A31,基础数据!A:B,2,FALSE)</f>
        <v>大连</v>
      </c>
      <c r="C31" s="10">
        <v>43993</v>
      </c>
      <c r="D31" s="9"/>
      <c r="E31" s="11">
        <v>4500062140</v>
      </c>
      <c r="F31" s="9"/>
      <c r="G31" s="11">
        <v>1120002825</v>
      </c>
      <c r="H31" s="9" t="s">
        <v>176</v>
      </c>
      <c r="I31" s="11">
        <v>5</v>
      </c>
      <c r="J31" s="11">
        <v>6676</v>
      </c>
      <c r="K31" s="11"/>
      <c r="L31" s="10">
        <v>43993</v>
      </c>
      <c r="M31" s="9" t="s">
        <v>620</v>
      </c>
      <c r="N31" s="13" t="str">
        <f>VLOOKUP(H31,基础数据!G:H,2,FALSE)</f>
        <v>SR171Ⅲ后缘</v>
      </c>
    </row>
    <row r="32" spans="1:14" s="12" customFormat="1">
      <c r="A32" s="11">
        <v>1580</v>
      </c>
      <c r="B32" s="9" t="s">
        <v>652</v>
      </c>
      <c r="C32" s="10">
        <v>44026</v>
      </c>
      <c r="D32" s="9"/>
      <c r="E32" s="9">
        <v>20200757</v>
      </c>
      <c r="F32" s="9"/>
      <c r="G32" s="11">
        <v>1120001397</v>
      </c>
      <c r="H32" s="9" t="s">
        <v>10</v>
      </c>
      <c r="I32" s="11"/>
      <c r="J32" s="11">
        <v>5824</v>
      </c>
      <c r="K32" s="11"/>
      <c r="L32" s="10">
        <v>44032</v>
      </c>
      <c r="M32" s="9" t="s">
        <v>674</v>
      </c>
      <c r="N32" s="13" t="str">
        <f>VLOOKUP(H32,基础数据!G:H,2,FALSE)</f>
        <v>BX800-2.54-100</v>
      </c>
    </row>
    <row r="33" spans="1:14" s="12" customFormat="1">
      <c r="A33" s="11">
        <v>1580</v>
      </c>
      <c r="B33" s="13" t="str">
        <f>VLOOKUP(A33,基础数据!A:B,2,FALSE)</f>
        <v>大连</v>
      </c>
      <c r="C33" s="10">
        <v>43993</v>
      </c>
      <c r="D33" s="9"/>
      <c r="E33" s="11">
        <v>4500062140</v>
      </c>
      <c r="F33" s="9"/>
      <c r="G33" s="11">
        <v>1120002825</v>
      </c>
      <c r="H33" s="9" t="s">
        <v>176</v>
      </c>
      <c r="I33" s="11">
        <v>5</v>
      </c>
      <c r="J33" s="11">
        <v>6676</v>
      </c>
      <c r="K33" s="11"/>
      <c r="L33" s="10">
        <v>43993</v>
      </c>
      <c r="M33" s="9" t="s">
        <v>1206</v>
      </c>
      <c r="N33" s="13" t="str">
        <f>VLOOKUP(H33,基础数据!G:H,2,FALSE)</f>
        <v>SR171Ⅲ后缘</v>
      </c>
    </row>
    <row r="34" spans="1:14" s="12" customFormat="1">
      <c r="A34" s="11">
        <v>1580</v>
      </c>
      <c r="B34" s="13" t="str">
        <f>VLOOKUP(A34,基础数据!A:B,2,FALSE)</f>
        <v>大连</v>
      </c>
      <c r="C34" s="10">
        <v>43993</v>
      </c>
      <c r="D34" s="9"/>
      <c r="E34" s="11">
        <v>4500062140</v>
      </c>
      <c r="F34" s="9"/>
      <c r="G34" s="11">
        <v>1120002825</v>
      </c>
      <c r="H34" s="9" t="s">
        <v>176</v>
      </c>
      <c r="I34" s="11">
        <v>5</v>
      </c>
      <c r="J34" s="11">
        <v>6676</v>
      </c>
      <c r="K34" s="11"/>
      <c r="L34" s="10">
        <v>43993</v>
      </c>
      <c r="M34" s="9" t="s">
        <v>1207</v>
      </c>
      <c r="N34" s="13" t="str">
        <f>VLOOKUP(H34,基础数据!G:H,2,FALSE)</f>
        <v>SR171Ⅲ后缘</v>
      </c>
    </row>
    <row r="35" spans="1:14" s="12" customFormat="1">
      <c r="A35" s="11">
        <v>1580</v>
      </c>
      <c r="B35" s="13" t="str">
        <f>VLOOKUP(A35,基础数据!A:B,2,FALSE)</f>
        <v>大连</v>
      </c>
      <c r="C35" s="10">
        <v>44029</v>
      </c>
      <c r="D35" s="9"/>
      <c r="E35" s="11">
        <v>4500065095</v>
      </c>
      <c r="F35" s="9"/>
      <c r="G35" s="11">
        <v>1120002825</v>
      </c>
      <c r="H35" s="9" t="s">
        <v>176</v>
      </c>
      <c r="I35" s="11">
        <v>5</v>
      </c>
      <c r="J35" s="11">
        <v>6676</v>
      </c>
      <c r="K35" s="11"/>
      <c r="L35" s="10">
        <v>44046</v>
      </c>
      <c r="M35" s="9" t="s">
        <v>711</v>
      </c>
      <c r="N35" s="13" t="str">
        <f>VLOOKUP(H35,基础数据!G:H,2,FALSE)</f>
        <v>SR171Ⅲ后缘</v>
      </c>
    </row>
    <row r="36" spans="1:14" s="12" customFormat="1">
      <c r="A36" s="11">
        <v>1580</v>
      </c>
      <c r="B36" s="13" t="str">
        <f>VLOOKUP(A36,基础数据!A:B,2,FALSE)</f>
        <v>大连</v>
      </c>
      <c r="C36" s="10">
        <v>44037</v>
      </c>
      <c r="D36" s="9"/>
      <c r="E36" s="11">
        <v>4500065998</v>
      </c>
      <c r="F36" s="9"/>
      <c r="G36" s="11">
        <v>1120002825</v>
      </c>
      <c r="H36" s="9" t="s">
        <v>176</v>
      </c>
      <c r="I36" s="11">
        <v>5</v>
      </c>
      <c r="J36" s="11">
        <v>6676</v>
      </c>
      <c r="K36" s="11"/>
      <c r="L36" s="10">
        <v>44068</v>
      </c>
      <c r="M36" s="9" t="s">
        <v>868</v>
      </c>
      <c r="N36" s="13" t="str">
        <f>VLOOKUP(H36,基础数据!G:H,2,FALSE)</f>
        <v>SR171Ⅲ后缘</v>
      </c>
    </row>
    <row r="37" spans="1:14" s="12" customFormat="1">
      <c r="A37" s="11">
        <v>1580</v>
      </c>
      <c r="B37" s="13" t="str">
        <f>VLOOKUP(A37,基础数据!A:B,2,FALSE)</f>
        <v>大连</v>
      </c>
      <c r="C37" s="10">
        <v>44037</v>
      </c>
      <c r="D37" s="9"/>
      <c r="E37" s="11">
        <v>4500065998</v>
      </c>
      <c r="F37" s="9"/>
      <c r="G37" s="11">
        <v>1120002825</v>
      </c>
      <c r="H37" s="9" t="s">
        <v>176</v>
      </c>
      <c r="I37" s="11">
        <v>5</v>
      </c>
      <c r="J37" s="11">
        <v>6676</v>
      </c>
      <c r="K37" s="11"/>
      <c r="L37" s="10">
        <v>44068</v>
      </c>
      <c r="M37" s="9" t="s">
        <v>869</v>
      </c>
      <c r="N37" s="13" t="str">
        <f>VLOOKUP(H37,基础数据!G:H,2,FALSE)</f>
        <v>SR171Ⅲ后缘</v>
      </c>
    </row>
    <row r="38" spans="1:14" s="12" customFormat="1">
      <c r="A38" s="11">
        <v>1580</v>
      </c>
      <c r="B38" s="13" t="str">
        <f>VLOOKUP(A38,基础数据!A:B,2,FALSE)</f>
        <v>大连</v>
      </c>
      <c r="C38" s="10">
        <v>44037</v>
      </c>
      <c r="D38" s="9"/>
      <c r="E38" s="11">
        <v>4500065998</v>
      </c>
      <c r="F38" s="9"/>
      <c r="G38" s="11">
        <v>1120002825</v>
      </c>
      <c r="H38" s="9" t="s">
        <v>176</v>
      </c>
      <c r="I38" s="11">
        <v>5</v>
      </c>
      <c r="J38" s="11">
        <v>6676</v>
      </c>
      <c r="K38" s="11"/>
      <c r="L38" s="10">
        <v>44068</v>
      </c>
      <c r="M38" s="9" t="s">
        <v>870</v>
      </c>
      <c r="N38" s="13" t="str">
        <f>VLOOKUP(H38,基础数据!G:H,2,FALSE)</f>
        <v>SR171Ⅲ后缘</v>
      </c>
    </row>
    <row r="39" spans="1:14" s="12" customFormat="1">
      <c r="A39" s="11">
        <v>1580</v>
      </c>
      <c r="B39" s="9" t="s">
        <v>287</v>
      </c>
      <c r="C39" s="10">
        <v>44049</v>
      </c>
      <c r="D39" s="9"/>
      <c r="E39" s="9">
        <v>20200812</v>
      </c>
      <c r="F39" s="9"/>
      <c r="G39" s="11">
        <v>1120002825</v>
      </c>
      <c r="H39" s="9" t="s">
        <v>176</v>
      </c>
      <c r="I39" s="11"/>
      <c r="J39" s="11">
        <f>1080-687.1</f>
        <v>392.9</v>
      </c>
      <c r="K39" s="11"/>
      <c r="L39" s="10">
        <v>44058</v>
      </c>
      <c r="M39" s="9" t="s">
        <v>803</v>
      </c>
      <c r="N39" s="13" t="str">
        <f>VLOOKUP(H39,基础数据!G:H,2,FALSE)</f>
        <v>SR171Ⅲ后缘</v>
      </c>
    </row>
    <row r="40" spans="1:14" s="12" customFormat="1">
      <c r="A40" s="11">
        <v>1580</v>
      </c>
      <c r="B40" s="13" t="str">
        <f>VLOOKUP(A40,基础数据!A:B,2,FALSE)</f>
        <v>大连</v>
      </c>
      <c r="C40" s="10">
        <v>44037</v>
      </c>
      <c r="D40" s="9"/>
      <c r="E40" s="11">
        <v>4500065998</v>
      </c>
      <c r="F40" s="9"/>
      <c r="G40" s="11">
        <v>1120002825</v>
      </c>
      <c r="H40" s="9" t="s">
        <v>176</v>
      </c>
      <c r="I40" s="11">
        <v>5</v>
      </c>
      <c r="J40" s="11">
        <v>6676</v>
      </c>
      <c r="K40" s="11"/>
      <c r="L40" s="10">
        <v>44068</v>
      </c>
      <c r="M40" s="9" t="s">
        <v>1208</v>
      </c>
      <c r="N40" s="13" t="str">
        <f>VLOOKUP(H40,基础数据!G:H,2,FALSE)</f>
        <v>SR171Ⅲ后缘</v>
      </c>
    </row>
    <row r="41" spans="1:14" s="12" customFormat="1">
      <c r="A41" s="11">
        <v>1580</v>
      </c>
      <c r="B41" s="9" t="s">
        <v>287</v>
      </c>
      <c r="C41" s="10">
        <v>44042</v>
      </c>
      <c r="D41" s="9"/>
      <c r="E41" s="9" t="s">
        <v>799</v>
      </c>
      <c r="F41" s="9"/>
      <c r="G41" s="9"/>
      <c r="H41" s="9" t="s">
        <v>176</v>
      </c>
      <c r="I41" s="11"/>
      <c r="J41" s="11">
        <v>55</v>
      </c>
      <c r="K41" s="11"/>
      <c r="L41" s="10">
        <v>44048</v>
      </c>
      <c r="M41" s="9" t="s">
        <v>798</v>
      </c>
      <c r="N41" s="13" t="str">
        <f>VLOOKUP(H41,基础数据!G:H,2,FALSE)</f>
        <v>SR171Ⅲ后缘</v>
      </c>
    </row>
    <row r="42" spans="1:14" s="12" customFormat="1">
      <c r="A42" s="11">
        <v>1580</v>
      </c>
      <c r="B42" s="13" t="str">
        <f>VLOOKUP(A42,基础数据!A:B,2,FALSE)</f>
        <v>大连</v>
      </c>
      <c r="C42" s="10">
        <v>44037</v>
      </c>
      <c r="D42" s="9"/>
      <c r="E42" s="11">
        <v>4500065998</v>
      </c>
      <c r="F42" s="9"/>
      <c r="G42" s="11">
        <v>1120002825</v>
      </c>
      <c r="H42" s="9" t="s">
        <v>176</v>
      </c>
      <c r="I42" s="11">
        <v>5</v>
      </c>
      <c r="J42" s="11">
        <v>6676</v>
      </c>
      <c r="K42" s="11"/>
      <c r="L42" s="10">
        <v>44068</v>
      </c>
      <c r="M42" s="9" t="s">
        <v>1209</v>
      </c>
      <c r="N42" s="13" t="str">
        <f>VLOOKUP(H42,基础数据!G:H,2,FALSE)</f>
        <v>SR171Ⅲ后缘</v>
      </c>
    </row>
    <row r="43" spans="1:14" s="12" customFormat="1">
      <c r="A43" s="11">
        <v>1580</v>
      </c>
      <c r="B43" s="13" t="str">
        <f>VLOOKUP(A43,基础数据!A:B,2,FALSE)</f>
        <v>大连</v>
      </c>
      <c r="C43" s="10">
        <v>44037</v>
      </c>
      <c r="D43" s="9"/>
      <c r="E43" s="11">
        <v>4500065998</v>
      </c>
      <c r="F43" s="9"/>
      <c r="G43" s="11">
        <v>1120002825</v>
      </c>
      <c r="H43" s="9" t="s">
        <v>176</v>
      </c>
      <c r="I43" s="11">
        <v>5</v>
      </c>
      <c r="J43" s="11">
        <v>6676</v>
      </c>
      <c r="K43" s="11"/>
      <c r="L43" s="10">
        <v>44068</v>
      </c>
      <c r="M43" s="9" t="s">
        <v>1210</v>
      </c>
      <c r="N43" s="13" t="str">
        <f>VLOOKUP(H43,基础数据!G:H,2,FALSE)</f>
        <v>SR171Ⅲ后缘</v>
      </c>
    </row>
    <row r="44" spans="1:14" s="12" customFormat="1">
      <c r="A44" s="9">
        <v>1580</v>
      </c>
      <c r="B44" s="9" t="s">
        <v>820</v>
      </c>
      <c r="C44" s="10">
        <v>44057</v>
      </c>
      <c r="D44" s="9"/>
      <c r="E44" s="9">
        <v>20200853</v>
      </c>
      <c r="F44" s="9"/>
      <c r="G44" s="9"/>
      <c r="H44" s="9" t="s">
        <v>10</v>
      </c>
      <c r="I44" s="11"/>
      <c r="J44" s="11">
        <v>4368</v>
      </c>
      <c r="K44" s="11"/>
      <c r="L44" s="10">
        <v>44063</v>
      </c>
      <c r="M44" s="9" t="s">
        <v>927</v>
      </c>
      <c r="N44" s="13" t="str">
        <f>VLOOKUP(H44,基础数据!G:H,2,FALSE)</f>
        <v>BX800-2.54-100</v>
      </c>
    </row>
    <row r="45" spans="1:14" s="12" customFormat="1">
      <c r="A45" s="11">
        <v>1580</v>
      </c>
      <c r="B45" s="13" t="str">
        <f>VLOOKUP(A45,基础数据!A:B,2,FALSE)</f>
        <v>大连</v>
      </c>
      <c r="C45" s="10">
        <v>43993</v>
      </c>
      <c r="D45" s="9"/>
      <c r="E45" s="11">
        <v>4500062140</v>
      </c>
      <c r="F45" s="9"/>
      <c r="G45" s="11">
        <v>1120002825</v>
      </c>
      <c r="H45" s="9" t="s">
        <v>176</v>
      </c>
      <c r="I45" s="11">
        <f>24-6-5-5-5</f>
        <v>3</v>
      </c>
      <c r="J45" s="11">
        <f>32045-8011.2-6676-6676-6676</f>
        <v>4005.7999999999993</v>
      </c>
      <c r="K45" s="11"/>
      <c r="L45" s="10">
        <v>43993</v>
      </c>
      <c r="M45" s="9" t="s">
        <v>947</v>
      </c>
      <c r="N45" s="13" t="str">
        <f>VLOOKUP(H45,基础数据!G:H,2,FALSE)</f>
        <v>SR171Ⅲ后缘</v>
      </c>
    </row>
    <row r="46" spans="1:14" s="12" customFormat="1">
      <c r="A46" s="11">
        <v>1580</v>
      </c>
      <c r="B46" s="13" t="str">
        <f>VLOOKUP(A46,基础数据!A:B,2,FALSE)</f>
        <v>大连</v>
      </c>
      <c r="C46" s="10">
        <v>44029</v>
      </c>
      <c r="D46" s="9"/>
      <c r="E46" s="11">
        <v>4500065095</v>
      </c>
      <c r="F46" s="9"/>
      <c r="G46" s="11">
        <v>1120002825</v>
      </c>
      <c r="H46" s="9" t="s">
        <v>176</v>
      </c>
      <c r="I46" s="11">
        <f>6-5</f>
        <v>1</v>
      </c>
      <c r="J46" s="11">
        <f>7836-6676</f>
        <v>1160</v>
      </c>
      <c r="K46" s="11"/>
      <c r="L46" s="10">
        <v>44046</v>
      </c>
      <c r="M46" s="9" t="s">
        <v>948</v>
      </c>
      <c r="N46" s="13" t="str">
        <f>VLOOKUP(H46,基础数据!G:H,2,FALSE)</f>
        <v>SR171Ⅲ后缘</v>
      </c>
    </row>
    <row r="47" spans="1:14" s="12" customFormat="1">
      <c r="A47" s="11">
        <v>1580</v>
      </c>
      <c r="B47" s="13" t="str">
        <f>VLOOKUP(A47,基础数据!A:B,2,FALSE)</f>
        <v>大连</v>
      </c>
      <c r="C47" s="10">
        <v>44037</v>
      </c>
      <c r="D47" s="9"/>
      <c r="E47" s="11">
        <v>4500065998</v>
      </c>
      <c r="F47" s="9"/>
      <c r="G47" s="11">
        <v>1120002825</v>
      </c>
      <c r="H47" s="9" t="s">
        <v>176</v>
      </c>
      <c r="I47" s="11">
        <f>36-5-5-5-5-5-5</f>
        <v>6</v>
      </c>
      <c r="J47" s="11">
        <f>49454-6676-6676-6676-6676-6676-6676</f>
        <v>9398</v>
      </c>
      <c r="K47" s="11"/>
      <c r="L47" s="10">
        <v>44068</v>
      </c>
      <c r="M47" s="9" t="s">
        <v>1211</v>
      </c>
      <c r="N47" s="13" t="str">
        <f>VLOOKUP(H47,基础数据!G:H,2,FALSE)</f>
        <v>SR171Ⅲ后缘</v>
      </c>
    </row>
    <row r="48" spans="1:14" s="12" customFormat="1">
      <c r="A48" s="9">
        <v>1580</v>
      </c>
      <c r="B48" s="9" t="s">
        <v>820</v>
      </c>
      <c r="C48" s="10">
        <v>44057</v>
      </c>
      <c r="D48" s="9"/>
      <c r="E48" s="9">
        <v>20200853</v>
      </c>
      <c r="F48" s="9"/>
      <c r="G48" s="9"/>
      <c r="H48" s="9" t="s">
        <v>176</v>
      </c>
      <c r="I48" s="11"/>
      <c r="J48" s="11">
        <v>12.55</v>
      </c>
      <c r="K48" s="11"/>
      <c r="L48" s="10">
        <v>44063</v>
      </c>
      <c r="M48" s="9" t="s">
        <v>1014</v>
      </c>
      <c r="N48" s="13" t="str">
        <f>VLOOKUP(H48,基础数据!G:H,2,FALSE)</f>
        <v>SR171Ⅲ后缘</v>
      </c>
    </row>
    <row r="49" spans="1:14" s="12" customFormat="1">
      <c r="A49" s="11">
        <v>1580</v>
      </c>
      <c r="B49" s="9" t="s">
        <v>766</v>
      </c>
      <c r="C49" s="10">
        <v>44049</v>
      </c>
      <c r="D49" s="9"/>
      <c r="E49" s="9">
        <v>20200812</v>
      </c>
      <c r="F49" s="9"/>
      <c r="G49" s="11">
        <v>1120002825</v>
      </c>
      <c r="H49" s="9" t="s">
        <v>176</v>
      </c>
      <c r="I49" s="11"/>
      <c r="J49" s="11">
        <f>1080-687.1</f>
        <v>392.9</v>
      </c>
      <c r="K49" s="11"/>
      <c r="L49" s="10">
        <v>44058</v>
      </c>
      <c r="M49" s="9" t="s">
        <v>1215</v>
      </c>
      <c r="N49" s="13" t="str">
        <f>VLOOKUP(H49,基础数据!G:H,2,FALSE)</f>
        <v>SR171Ⅲ后缘</v>
      </c>
    </row>
    <row r="50" spans="1:14" s="12" customFormat="1">
      <c r="A50" s="11">
        <v>1580</v>
      </c>
      <c r="B50" s="9" t="s">
        <v>950</v>
      </c>
      <c r="C50" s="10">
        <v>44082</v>
      </c>
      <c r="D50" s="9"/>
      <c r="E50" s="11">
        <v>20200931</v>
      </c>
      <c r="F50" s="9"/>
      <c r="G50" s="9"/>
      <c r="H50" s="9" t="s">
        <v>949</v>
      </c>
      <c r="I50" s="11"/>
      <c r="J50" s="11">
        <v>140</v>
      </c>
      <c r="K50" s="11"/>
      <c r="L50" s="10">
        <v>44107</v>
      </c>
      <c r="M50" s="9" t="s">
        <v>1081</v>
      </c>
      <c r="N50" s="9" t="s">
        <v>951</v>
      </c>
    </row>
    <row r="51" spans="1:14" s="12" customFormat="1">
      <c r="A51" s="11">
        <v>1580</v>
      </c>
      <c r="B51" s="9" t="s">
        <v>950</v>
      </c>
      <c r="C51" s="10">
        <v>44082</v>
      </c>
      <c r="D51" s="9"/>
      <c r="E51" s="11">
        <v>20200926</v>
      </c>
      <c r="F51" s="9"/>
      <c r="G51" s="9"/>
      <c r="H51" s="9" t="s">
        <v>949</v>
      </c>
      <c r="I51" s="11">
        <v>1</v>
      </c>
      <c r="J51" s="11">
        <v>1850</v>
      </c>
      <c r="K51" s="11"/>
      <c r="L51" s="10">
        <v>44107</v>
      </c>
      <c r="M51" s="9" t="s">
        <v>1098</v>
      </c>
      <c r="N51" s="9" t="s">
        <v>951</v>
      </c>
    </row>
    <row r="52" spans="1:14" s="12" customFormat="1">
      <c r="A52" s="11">
        <v>1580</v>
      </c>
      <c r="B52" s="13" t="str">
        <f>VLOOKUP(A52,基础数据!A:B,2,FALSE)</f>
        <v>大连</v>
      </c>
      <c r="C52" s="10">
        <v>44090</v>
      </c>
      <c r="D52" s="9"/>
      <c r="E52" s="9" t="s">
        <v>997</v>
      </c>
      <c r="F52" s="9"/>
      <c r="G52" s="11">
        <v>1120001194</v>
      </c>
      <c r="H52" s="9" t="s">
        <v>75</v>
      </c>
      <c r="I52" s="11">
        <v>10</v>
      </c>
      <c r="J52" s="11">
        <v>12810</v>
      </c>
      <c r="K52" s="11"/>
      <c r="L52" s="10">
        <v>44089</v>
      </c>
      <c r="M52" s="9" t="s">
        <v>1165</v>
      </c>
      <c r="N52" s="13" t="str">
        <f>VLOOKUP(H52,基础数据!G:H,2,FALSE)</f>
        <v>WB171I后缘</v>
      </c>
    </row>
    <row r="53" spans="1:14" s="12" customFormat="1">
      <c r="A53" s="11">
        <v>1580</v>
      </c>
      <c r="B53" s="13" t="str">
        <f>VLOOKUP(A53,基础数据!A:B,2,FALSE)</f>
        <v>大连</v>
      </c>
      <c r="C53" s="10">
        <v>44090</v>
      </c>
      <c r="D53" s="9"/>
      <c r="E53" s="9" t="s">
        <v>997</v>
      </c>
      <c r="F53" s="9"/>
      <c r="G53" s="11">
        <v>1120001194</v>
      </c>
      <c r="H53" s="9" t="s">
        <v>75</v>
      </c>
      <c r="I53" s="11">
        <v>6</v>
      </c>
      <c r="J53" s="11">
        <v>7659</v>
      </c>
      <c r="K53" s="11"/>
      <c r="L53" s="10">
        <v>44089</v>
      </c>
      <c r="M53" s="9" t="s">
        <v>1365</v>
      </c>
      <c r="N53" s="13" t="str">
        <f>VLOOKUP(H53,基础数据!G:H,2,FALSE)</f>
        <v>WB171I后缘</v>
      </c>
    </row>
    <row r="54" spans="1:14" s="12" customFormat="1">
      <c r="A54" s="11">
        <v>1580</v>
      </c>
      <c r="B54" s="13" t="str">
        <f>VLOOKUP(A54,基础数据!A:B,2,FALSE)</f>
        <v>大连</v>
      </c>
      <c r="C54" s="10">
        <v>44090</v>
      </c>
      <c r="D54" s="9"/>
      <c r="E54" s="9" t="s">
        <v>997</v>
      </c>
      <c r="F54" s="9"/>
      <c r="G54" s="11">
        <v>1120001194</v>
      </c>
      <c r="H54" s="9" t="s">
        <v>75</v>
      </c>
      <c r="I54" s="11">
        <v>5</v>
      </c>
      <c r="J54" s="11">
        <v>6405</v>
      </c>
      <c r="K54" s="11">
        <f>I54</f>
        <v>5</v>
      </c>
      <c r="L54" s="10">
        <v>44089</v>
      </c>
      <c r="M54" s="9" t="s">
        <v>1527</v>
      </c>
      <c r="N54" s="13" t="str">
        <f>VLOOKUP(H54,基础数据!G:H,2,FALSE)</f>
        <v>WB171I后缘</v>
      </c>
    </row>
    <row r="55" spans="1:14" s="12" customFormat="1">
      <c r="A55" s="11">
        <v>1580</v>
      </c>
      <c r="B55" s="13" t="str">
        <f>VLOOKUP(A55,基础数据!A:B,2,FALSE)</f>
        <v>大连</v>
      </c>
      <c r="C55" s="10">
        <v>44120</v>
      </c>
      <c r="D55" s="9"/>
      <c r="E55" s="11">
        <v>4500072150</v>
      </c>
      <c r="F55" s="9"/>
      <c r="G55" s="11">
        <v>1120002825</v>
      </c>
      <c r="H55" s="9" t="s">
        <v>176</v>
      </c>
      <c r="I55" s="11">
        <v>3</v>
      </c>
      <c r="J55" s="11">
        <v>2395.1</v>
      </c>
      <c r="K55" s="11">
        <f>I55</f>
        <v>3</v>
      </c>
      <c r="L55" s="10">
        <v>44134</v>
      </c>
      <c r="M55" s="9" t="s">
        <v>1551</v>
      </c>
      <c r="N55" s="13" t="str">
        <f>VLOOKUP(H55,基础数据!G:H,2,FALSE)</f>
        <v>SR171Ⅲ后缘</v>
      </c>
    </row>
    <row r="56" spans="1:14" s="12" customFormat="1">
      <c r="A56" s="11">
        <v>1580</v>
      </c>
      <c r="B56" s="13" t="str">
        <f>VLOOKUP(A56,基础数据!A:B,2,FALSE)</f>
        <v>大连</v>
      </c>
      <c r="C56" s="10">
        <v>44090</v>
      </c>
      <c r="D56" s="9"/>
      <c r="E56" s="9" t="s">
        <v>997</v>
      </c>
      <c r="F56" s="9"/>
      <c r="G56" s="11">
        <v>1120001194</v>
      </c>
      <c r="H56" s="9" t="s">
        <v>75</v>
      </c>
      <c r="I56" s="11">
        <v>5</v>
      </c>
      <c r="J56" s="11">
        <v>6405</v>
      </c>
      <c r="K56" s="11">
        <f>I56</f>
        <v>5</v>
      </c>
      <c r="L56" s="10">
        <v>44089</v>
      </c>
      <c r="M56" s="9" t="s">
        <v>1578</v>
      </c>
      <c r="N56" s="13" t="str">
        <f>VLOOKUP(H56,基础数据!G:H,2,FALSE)</f>
        <v>WB171I后缘</v>
      </c>
    </row>
    <row r="57" spans="1:14" s="12" customFormat="1">
      <c r="A57" s="11">
        <v>1580</v>
      </c>
      <c r="B57" s="13" t="str">
        <f>VLOOKUP(A57,基础数据!A:B,2,FALSE)</f>
        <v>大连</v>
      </c>
      <c r="C57" s="10">
        <v>44127</v>
      </c>
      <c r="D57" s="9"/>
      <c r="E57" s="11">
        <v>4500072684</v>
      </c>
      <c r="F57" s="9"/>
      <c r="G57" s="11">
        <v>1120001194</v>
      </c>
      <c r="H57" s="9" t="s">
        <v>75</v>
      </c>
      <c r="I57" s="11">
        <v>5</v>
      </c>
      <c r="J57" s="11">
        <v>6405</v>
      </c>
      <c r="K57" s="11">
        <f t="shared" ref="K57:K58" si="0">I57</f>
        <v>5</v>
      </c>
      <c r="L57" s="10">
        <v>44150</v>
      </c>
      <c r="M57" s="9" t="s">
        <v>1600</v>
      </c>
      <c r="N57" s="13" t="str">
        <f>VLOOKUP(H57,基础数据!G:H,2,FALSE)</f>
        <v>WB171I后缘</v>
      </c>
    </row>
    <row r="58" spans="1:14" s="12" customFormat="1">
      <c r="A58" s="11">
        <v>1580</v>
      </c>
      <c r="B58" s="13" t="str">
        <f>VLOOKUP(A58,基础数据!A:B,2,FALSE)</f>
        <v>大连</v>
      </c>
      <c r="C58" s="10">
        <v>44141</v>
      </c>
      <c r="D58" s="9"/>
      <c r="E58" s="11">
        <v>4500073562</v>
      </c>
      <c r="F58" s="9"/>
      <c r="G58" s="11">
        <v>1120001194</v>
      </c>
      <c r="H58" s="9" t="s">
        <v>75</v>
      </c>
      <c r="I58" s="11">
        <v>5</v>
      </c>
      <c r="J58" s="11">
        <v>6405</v>
      </c>
      <c r="K58" s="11">
        <f t="shared" si="0"/>
        <v>5</v>
      </c>
      <c r="L58" s="10">
        <v>44154</v>
      </c>
      <c r="M58" s="9" t="s">
        <v>1648</v>
      </c>
      <c r="N58" s="13" t="str">
        <f>VLOOKUP(H58,基础数据!G:H,2,FALSE)</f>
        <v>WB171I后缘</v>
      </c>
    </row>
    <row r="59" spans="1:14" s="12" customFormat="1">
      <c r="A59" s="9">
        <v>1580</v>
      </c>
      <c r="B59" s="13" t="str">
        <f>VLOOKUP(A59,基础数据!A:B,2,FALSE)</f>
        <v>大连</v>
      </c>
      <c r="C59" s="10">
        <v>44148</v>
      </c>
      <c r="D59" s="9"/>
      <c r="E59" s="9">
        <v>4500073964</v>
      </c>
      <c r="F59" s="9"/>
      <c r="G59" s="11">
        <v>1120001194</v>
      </c>
      <c r="H59" s="9" t="s">
        <v>75</v>
      </c>
      <c r="I59" s="11">
        <v>5</v>
      </c>
      <c r="J59" s="11">
        <v>6405</v>
      </c>
      <c r="K59" s="11">
        <f>I59</f>
        <v>5</v>
      </c>
      <c r="L59" s="10">
        <v>44153</v>
      </c>
      <c r="M59" s="9" t="s">
        <v>1678</v>
      </c>
      <c r="N59" s="13" t="str">
        <f>VLOOKUP(H59,基础数据!G:H,2,FALSE)</f>
        <v>WB171I后缘</v>
      </c>
    </row>
    <row r="60" spans="1:14" s="12" customFormat="1">
      <c r="A60" s="9">
        <v>1580</v>
      </c>
      <c r="B60" s="13" t="str">
        <f>VLOOKUP(A60,基础数据!A:B,2,FALSE)</f>
        <v>大连</v>
      </c>
      <c r="C60" s="10">
        <v>44148</v>
      </c>
      <c r="D60" s="9"/>
      <c r="E60" s="9">
        <v>4500073964</v>
      </c>
      <c r="F60" s="9"/>
      <c r="G60" s="11">
        <v>1120001194</v>
      </c>
      <c r="H60" s="9" t="s">
        <v>75</v>
      </c>
      <c r="I60" s="11">
        <v>5</v>
      </c>
      <c r="J60" s="11">
        <v>6405</v>
      </c>
      <c r="K60" s="11">
        <f t="shared" ref="K60" si="1">I60</f>
        <v>5</v>
      </c>
      <c r="L60" s="10">
        <v>44153</v>
      </c>
      <c r="M60" s="9" t="s">
        <v>1714</v>
      </c>
      <c r="N60" s="13" t="str">
        <f>VLOOKUP(H60,基础数据!G:H,2,FALSE)</f>
        <v>WB171I后缘</v>
      </c>
    </row>
    <row r="61" spans="1:14" s="12" customFormat="1">
      <c r="A61" s="9">
        <v>1580</v>
      </c>
      <c r="B61" s="13" t="str">
        <f>VLOOKUP(A61,基础数据!A:B,2,FALSE)</f>
        <v>大连</v>
      </c>
      <c r="C61" s="10">
        <v>44148</v>
      </c>
      <c r="D61" s="9"/>
      <c r="E61" s="9">
        <v>4500073964</v>
      </c>
      <c r="F61" s="9"/>
      <c r="G61" s="11">
        <v>1120001194</v>
      </c>
      <c r="H61" s="9" t="s">
        <v>1659</v>
      </c>
      <c r="I61" s="11">
        <f>13-5-5</f>
        <v>3</v>
      </c>
      <c r="J61" s="11">
        <f>16421-6405-6405</f>
        <v>3611</v>
      </c>
      <c r="K61" s="11">
        <f>I61</f>
        <v>3</v>
      </c>
      <c r="L61" s="10">
        <v>44153</v>
      </c>
      <c r="M61" s="9" t="s">
        <v>1748</v>
      </c>
      <c r="N61" s="13" t="str">
        <f>VLOOKUP(H61,基础数据!G:H,2,FALSE)</f>
        <v>WB171I后缘</v>
      </c>
    </row>
    <row r="62" spans="1:14" s="12" customFormat="1">
      <c r="A62" s="11">
        <v>1580</v>
      </c>
      <c r="B62" s="13" t="str">
        <f>VLOOKUP(A62,基础数据!A:B,2,FALSE)</f>
        <v>大连</v>
      </c>
      <c r="C62" s="10">
        <v>44141</v>
      </c>
      <c r="D62" s="9"/>
      <c r="E62" s="11">
        <v>4500073562</v>
      </c>
      <c r="F62" s="9"/>
      <c r="G62" s="11">
        <v>1120001194</v>
      </c>
      <c r="H62" s="9" t="s">
        <v>75</v>
      </c>
      <c r="I62" s="11">
        <v>2</v>
      </c>
      <c r="J62" s="11">
        <v>2562</v>
      </c>
      <c r="K62" s="11">
        <f>I62</f>
        <v>2</v>
      </c>
      <c r="L62" s="10">
        <v>44154</v>
      </c>
      <c r="M62" s="9" t="s">
        <v>1749</v>
      </c>
      <c r="N62" s="13" t="str">
        <f>VLOOKUP(H62,基础数据!G:H,2,FALSE)</f>
        <v>WB171I后缘</v>
      </c>
    </row>
    <row r="63" spans="1:14" s="12" customFormat="1">
      <c r="A63" s="11">
        <v>1580</v>
      </c>
      <c r="B63" s="13" t="str">
        <f>VLOOKUP(A63,基础数据!A:B,2,FALSE)</f>
        <v>大连</v>
      </c>
      <c r="C63" s="10">
        <v>44090</v>
      </c>
      <c r="D63" s="9"/>
      <c r="E63" s="9" t="s">
        <v>997</v>
      </c>
      <c r="F63" s="9"/>
      <c r="G63" s="11">
        <v>1120001194</v>
      </c>
      <c r="H63" s="9" t="s">
        <v>1000</v>
      </c>
      <c r="I63" s="11">
        <f>27-10-6-5-5</f>
        <v>1</v>
      </c>
      <c r="J63" s="11">
        <f>33992-12810-7659-6405-6405</f>
        <v>713</v>
      </c>
      <c r="K63" s="11">
        <f>I63</f>
        <v>1</v>
      </c>
      <c r="L63" s="10">
        <v>44089</v>
      </c>
      <c r="M63" s="9" t="s">
        <v>1777</v>
      </c>
      <c r="N63" s="13" t="str">
        <f>VLOOKUP(H63,基础数据!G:H,2,FALSE)</f>
        <v>WB171I后缘</v>
      </c>
    </row>
    <row r="64" spans="1:14" s="12" customFormat="1">
      <c r="A64" s="11">
        <v>1580</v>
      </c>
      <c r="B64" s="13" t="str">
        <f>VLOOKUP(A64,基础数据!A:B,2,FALSE)</f>
        <v>大连</v>
      </c>
      <c r="C64" s="10">
        <v>44127</v>
      </c>
      <c r="D64" s="9"/>
      <c r="E64" s="11">
        <v>4500072684</v>
      </c>
      <c r="F64" s="9"/>
      <c r="G64" s="11">
        <v>1120001194</v>
      </c>
      <c r="H64" s="9" t="s">
        <v>1472</v>
      </c>
      <c r="I64" s="11">
        <f>8-5</f>
        <v>3</v>
      </c>
      <c r="J64" s="11">
        <f>10104-6405</f>
        <v>3699</v>
      </c>
      <c r="K64" s="11">
        <f>I64</f>
        <v>3</v>
      </c>
      <c r="L64" s="10">
        <v>44150</v>
      </c>
      <c r="M64" s="9" t="s">
        <v>1778</v>
      </c>
      <c r="N64" s="13" t="str">
        <f>VLOOKUP(H64,基础数据!G:H,2,FALSE)</f>
        <v>WB171I后缘</v>
      </c>
    </row>
    <row r="65" spans="1:14" s="12" customFormat="1">
      <c r="A65" s="11">
        <v>1580</v>
      </c>
      <c r="B65" s="13" t="str">
        <f>VLOOKUP(A65,基础数据!A:B,2,FALSE)</f>
        <v>大连</v>
      </c>
      <c r="C65" s="10">
        <v>44141</v>
      </c>
      <c r="D65" s="9"/>
      <c r="E65" s="11">
        <v>4500073562</v>
      </c>
      <c r="F65" s="9"/>
      <c r="G65" s="11">
        <v>1120001194</v>
      </c>
      <c r="H65" s="9" t="s">
        <v>1607</v>
      </c>
      <c r="I65" s="11">
        <f>8-5-2</f>
        <v>1</v>
      </c>
      <c r="J65" s="11">
        <f>10104-6405-2562</f>
        <v>1137</v>
      </c>
      <c r="K65" s="11">
        <f>I65</f>
        <v>1</v>
      </c>
      <c r="L65" s="10">
        <v>44154</v>
      </c>
      <c r="M65" s="9" t="s">
        <v>1779</v>
      </c>
      <c r="N65" s="13" t="str">
        <f>VLOOKUP(H65,基础数据!G:H,2,FALSE)</f>
        <v>WB171I后缘</v>
      </c>
    </row>
    <row r="66" spans="1:14" s="12" customFormat="1">
      <c r="A66" s="9">
        <v>1580</v>
      </c>
      <c r="B66" s="13" t="str">
        <f>VLOOKUP(A66,基础数据!A:B,2,FALSE)</f>
        <v>大连</v>
      </c>
      <c r="C66" s="10">
        <v>44155</v>
      </c>
      <c r="D66" s="9"/>
      <c r="E66" s="9">
        <v>4500074517</v>
      </c>
      <c r="F66" s="9"/>
      <c r="G66" s="11">
        <v>1120000133</v>
      </c>
      <c r="H66" s="9" t="s">
        <v>115</v>
      </c>
      <c r="I66" s="11"/>
      <c r="J66" s="11">
        <v>3701</v>
      </c>
      <c r="K66" s="11">
        <f>J66</f>
        <v>3701</v>
      </c>
      <c r="L66" s="10">
        <v>44162</v>
      </c>
      <c r="M66" s="9" t="s">
        <v>1780</v>
      </c>
      <c r="N66" s="13" t="str">
        <f>VLOOKUP(H66,基础数据!G:H,2,FALSE)</f>
        <v>BX800-1.27-100</v>
      </c>
    </row>
    <row r="67" spans="1:14" s="12" customFormat="1">
      <c r="A67" s="11">
        <v>1580</v>
      </c>
      <c r="B67" s="13" t="str">
        <f>VLOOKUP(A67,基础数据!A:B,2,FALSE)</f>
        <v>大连</v>
      </c>
      <c r="C67" s="10">
        <v>44169</v>
      </c>
      <c r="D67" s="9"/>
      <c r="E67" s="11">
        <v>4500075370</v>
      </c>
      <c r="F67" s="9"/>
      <c r="G67" s="11">
        <v>1120001194</v>
      </c>
      <c r="H67" s="9" t="s">
        <v>75</v>
      </c>
      <c r="I67" s="11">
        <v>5</v>
      </c>
      <c r="J67" s="11">
        <v>6405</v>
      </c>
      <c r="K67" s="11">
        <f t="shared" ref="K67" si="2">I67</f>
        <v>5</v>
      </c>
      <c r="L67" s="10">
        <v>44202</v>
      </c>
      <c r="M67" s="9" t="s">
        <v>1803</v>
      </c>
      <c r="N67" s="13" t="str">
        <f>VLOOKUP(H67,基础数据!G:H,2,FALSE)</f>
        <v>WB171I后缘</v>
      </c>
    </row>
    <row r="68" spans="1:14" s="12" customFormat="1">
      <c r="A68" s="11">
        <v>1580</v>
      </c>
      <c r="B68" s="13" t="str">
        <f>VLOOKUP(A68,基础数据!A:B,2,FALSE)</f>
        <v>大连</v>
      </c>
      <c r="C68" s="10">
        <v>44190</v>
      </c>
      <c r="D68" s="9"/>
      <c r="E68" s="11">
        <v>4500076672</v>
      </c>
      <c r="F68" s="9"/>
      <c r="G68" s="11">
        <v>1120001194</v>
      </c>
      <c r="H68" s="9" t="s">
        <v>75</v>
      </c>
      <c r="I68" s="11">
        <v>5</v>
      </c>
      <c r="J68" s="11">
        <v>6405</v>
      </c>
      <c r="K68" s="11">
        <f>I68</f>
        <v>5</v>
      </c>
      <c r="L68" s="10">
        <v>44204</v>
      </c>
      <c r="M68" s="9" t="s">
        <v>1853</v>
      </c>
      <c r="N68" s="13" t="str">
        <f>VLOOKUP(H68,基础数据!G:H,2,FALSE)</f>
        <v>WB171I后缘</v>
      </c>
    </row>
    <row r="69" spans="1:14" s="12" customFormat="1">
      <c r="A69" s="11">
        <v>1580</v>
      </c>
      <c r="B69" s="13" t="str">
        <f>VLOOKUP(A69,基础数据!A:B,2,FALSE)</f>
        <v>大连</v>
      </c>
      <c r="C69" s="10">
        <v>44194</v>
      </c>
      <c r="D69" s="9"/>
      <c r="E69" s="11">
        <v>4500076880</v>
      </c>
      <c r="F69" s="9"/>
      <c r="G69" s="11">
        <v>1120000133</v>
      </c>
      <c r="H69" s="9" t="s">
        <v>115</v>
      </c>
      <c r="I69" s="11"/>
      <c r="J69" s="11">
        <f>8240</f>
        <v>8240</v>
      </c>
      <c r="K69" s="11">
        <f>J69</f>
        <v>8240</v>
      </c>
      <c r="L69" s="10">
        <v>44208</v>
      </c>
      <c r="M69" s="9" t="s">
        <v>1866</v>
      </c>
      <c r="N69" s="13" t="str">
        <f>VLOOKUP(H69,基础数据!G:H,2,FALSE)</f>
        <v>BX800-1.27-100</v>
      </c>
    </row>
    <row r="70" spans="1:14" s="12" customFormat="1">
      <c r="A70" s="11">
        <v>1580</v>
      </c>
      <c r="B70" s="13" t="str">
        <f>VLOOKUP(A70,基础数据!A:B,2,FALSE)</f>
        <v>大连</v>
      </c>
      <c r="C70" s="10">
        <v>44190</v>
      </c>
      <c r="D70" s="9"/>
      <c r="E70" s="11">
        <v>4500076672</v>
      </c>
      <c r="F70" s="9"/>
      <c r="G70" s="11">
        <v>1120001194</v>
      </c>
      <c r="H70" s="9" t="s">
        <v>1852</v>
      </c>
      <c r="I70" s="11">
        <f>10-5</f>
        <v>5</v>
      </c>
      <c r="J70" s="11">
        <f>12630-6405</f>
        <v>6225</v>
      </c>
      <c r="K70" s="11">
        <f>I70</f>
        <v>5</v>
      </c>
      <c r="L70" s="10">
        <v>44204</v>
      </c>
      <c r="M70" s="9" t="s">
        <v>1873</v>
      </c>
      <c r="N70" s="13" t="str">
        <f>VLOOKUP(H70,基础数据!G:H,2,FALSE)</f>
        <v>WB171I后缘</v>
      </c>
    </row>
    <row r="71" spans="1:14" s="12" customFormat="1">
      <c r="A71" s="11">
        <v>1580</v>
      </c>
      <c r="B71" s="13" t="str">
        <f>VLOOKUP(A71,基础数据!A:B,2,FALSE)</f>
        <v>大连</v>
      </c>
      <c r="C71" s="10">
        <v>44169</v>
      </c>
      <c r="D71" s="9"/>
      <c r="E71" s="11">
        <v>4500075370</v>
      </c>
      <c r="F71" s="9"/>
      <c r="G71" s="11">
        <v>1120001194</v>
      </c>
      <c r="H71" s="9" t="s">
        <v>75</v>
      </c>
      <c r="I71" s="11">
        <v>1</v>
      </c>
      <c r="J71" s="11">
        <v>1281</v>
      </c>
      <c r="K71" s="11">
        <f>I71</f>
        <v>1</v>
      </c>
      <c r="L71" s="10">
        <v>44202</v>
      </c>
      <c r="M71" s="9" t="s">
        <v>1878</v>
      </c>
      <c r="N71" s="13" t="str">
        <f>VLOOKUP(H71,基础数据!G:H,2,FALSE)</f>
        <v>WB171I后缘</v>
      </c>
    </row>
    <row r="72" spans="1:14" s="12" customFormat="1">
      <c r="A72" s="11">
        <v>1580</v>
      </c>
      <c r="B72" s="13" t="str">
        <f>VLOOKUP(A72,基础数据!A:B,2,FALSE)</f>
        <v>大连</v>
      </c>
      <c r="C72" s="10">
        <v>44196</v>
      </c>
      <c r="D72" s="9"/>
      <c r="E72" s="11">
        <v>4500077068</v>
      </c>
      <c r="F72" s="9"/>
      <c r="G72" s="11">
        <v>1120001194</v>
      </c>
      <c r="H72" s="9" t="s">
        <v>1867</v>
      </c>
      <c r="I72" s="11">
        <v>4</v>
      </c>
      <c r="J72" s="11">
        <v>5052</v>
      </c>
      <c r="K72" s="11">
        <f>I72</f>
        <v>4</v>
      </c>
      <c r="L72" s="10">
        <v>44211</v>
      </c>
      <c r="M72" s="9" t="s">
        <v>1879</v>
      </c>
      <c r="N72" s="13" t="str">
        <f>VLOOKUP(H72,基础数据!G:H,2,FALSE)</f>
        <v>WB171I后缘</v>
      </c>
    </row>
    <row r="73" spans="1:14" s="12" customFormat="1">
      <c r="A73" s="11">
        <v>1580</v>
      </c>
      <c r="B73" s="13" t="str">
        <f>VLOOKUP(A73,[4]基础数据!A:B,2,FALSE)</f>
        <v>大连</v>
      </c>
      <c r="C73" s="10">
        <v>44204</v>
      </c>
      <c r="D73" s="9"/>
      <c r="E73" s="11">
        <v>4500077564</v>
      </c>
      <c r="F73" s="9"/>
      <c r="G73" s="11">
        <v>1120001194</v>
      </c>
      <c r="H73" s="9" t="s">
        <v>75</v>
      </c>
      <c r="I73" s="11">
        <v>6</v>
      </c>
      <c r="J73" s="11">
        <v>7830</v>
      </c>
      <c r="K73" s="11">
        <f t="shared" ref="K73" si="3">I73</f>
        <v>6</v>
      </c>
      <c r="L73" s="10">
        <v>44225</v>
      </c>
      <c r="M73" s="9" t="s">
        <v>1924</v>
      </c>
      <c r="N73" s="13" t="str">
        <f>VLOOKUP(H73,[4]基础数据!G:H,2,FALSE)</f>
        <v>WB171I后缘</v>
      </c>
    </row>
    <row r="74" spans="1:14" s="12" customFormat="1">
      <c r="A74" s="11">
        <v>1580</v>
      </c>
      <c r="B74" s="13" t="str">
        <f>VLOOKUP(A74,[4]基础数据!A:B,2,FALSE)</f>
        <v>大连</v>
      </c>
      <c r="C74" s="10">
        <v>44169</v>
      </c>
      <c r="D74" s="9"/>
      <c r="E74" s="11">
        <v>4500075370</v>
      </c>
      <c r="F74" s="9"/>
      <c r="G74" s="11">
        <v>1120001194</v>
      </c>
      <c r="H74" s="9" t="s">
        <v>75</v>
      </c>
      <c r="I74" s="11">
        <v>2</v>
      </c>
      <c r="J74" s="11">
        <v>2418</v>
      </c>
      <c r="K74" s="11">
        <f>I74</f>
        <v>2</v>
      </c>
      <c r="L74" s="10">
        <v>44202</v>
      </c>
      <c r="M74" s="9" t="s">
        <v>1925</v>
      </c>
      <c r="N74" s="13" t="str">
        <f>VLOOKUP(H74,[4]基础数据!G:H,2,FALSE)</f>
        <v>WB171I后缘</v>
      </c>
    </row>
    <row r="75" spans="1:14" s="12" customFormat="1">
      <c r="A75" s="11">
        <v>1580</v>
      </c>
      <c r="B75" s="13" t="str">
        <f>VLOOKUP(A75,基础数据!A:B,2,FALSE)</f>
        <v>大连</v>
      </c>
      <c r="C75" s="10">
        <v>44204</v>
      </c>
      <c r="D75" s="9"/>
      <c r="E75" s="11">
        <v>4500077564</v>
      </c>
      <c r="F75" s="9"/>
      <c r="G75" s="11">
        <v>1120001194</v>
      </c>
      <c r="H75" s="9" t="s">
        <v>75</v>
      </c>
      <c r="I75" s="11">
        <v>5</v>
      </c>
      <c r="J75" s="11">
        <v>6405</v>
      </c>
      <c r="K75" s="11">
        <f t="shared" ref="K75:K77" si="4">I75</f>
        <v>5</v>
      </c>
      <c r="L75" s="10">
        <v>44225</v>
      </c>
      <c r="M75" s="9" t="s">
        <v>1923</v>
      </c>
      <c r="N75" s="13" t="str">
        <f>VLOOKUP(H75,基础数据!G:H,2,FALSE)</f>
        <v>WB171I后缘</v>
      </c>
    </row>
    <row r="76" spans="1:14" s="12" customFormat="1">
      <c r="A76" s="11">
        <v>1580</v>
      </c>
      <c r="B76" s="13" t="str">
        <f>VLOOKUP(A76,基础数据!A:B,2,FALSE)</f>
        <v>大连</v>
      </c>
      <c r="C76" s="10">
        <v>44204</v>
      </c>
      <c r="D76" s="9"/>
      <c r="E76" s="11">
        <v>4500077564</v>
      </c>
      <c r="F76" s="9"/>
      <c r="G76" s="11">
        <v>1120001194</v>
      </c>
      <c r="H76" s="9" t="s">
        <v>75</v>
      </c>
      <c r="I76" s="11">
        <v>5</v>
      </c>
      <c r="J76" s="11">
        <v>6405</v>
      </c>
      <c r="K76" s="11">
        <f t="shared" si="4"/>
        <v>5</v>
      </c>
      <c r="L76" s="10">
        <v>44225</v>
      </c>
      <c r="M76" s="9" t="s">
        <v>1931</v>
      </c>
      <c r="N76" s="13" t="str">
        <f>VLOOKUP(H76,基础数据!G:H,2,FALSE)</f>
        <v>WB171I后缘</v>
      </c>
    </row>
    <row r="77" spans="1:14" s="84" customFormat="1">
      <c r="A77" s="83">
        <v>1580</v>
      </c>
      <c r="B77" s="85" t="str">
        <f>VLOOKUP(A77,基础数据!A:B,2,FALSE)</f>
        <v>大连</v>
      </c>
      <c r="C77" s="82">
        <v>44253</v>
      </c>
      <c r="D77" s="81"/>
      <c r="E77" s="83">
        <v>4500080148</v>
      </c>
      <c r="F77" s="81"/>
      <c r="G77" s="83">
        <v>1120001194</v>
      </c>
      <c r="H77" s="81" t="s">
        <v>75</v>
      </c>
      <c r="I77" s="83">
        <v>10</v>
      </c>
      <c r="J77" s="83">
        <v>12810</v>
      </c>
      <c r="K77" s="83">
        <f t="shared" si="4"/>
        <v>10</v>
      </c>
      <c r="L77" s="82">
        <v>44262</v>
      </c>
      <c r="M77" s="81" t="s">
        <v>2061</v>
      </c>
      <c r="N77" s="85" t="str">
        <f>VLOOKUP(H77,基础数据!G:H,2,FALSE)</f>
        <v>WB171I后缘</v>
      </c>
    </row>
    <row r="78" spans="1:14" s="94" customFormat="1">
      <c r="A78" s="93">
        <v>1580</v>
      </c>
      <c r="B78" s="95" t="str">
        <f>VLOOKUP(A78,基础数据!A:B,2,FALSE)</f>
        <v>大连</v>
      </c>
      <c r="C78" s="92">
        <v>44260</v>
      </c>
      <c r="D78" s="91"/>
      <c r="E78" s="93">
        <v>4500080653</v>
      </c>
      <c r="F78" s="91"/>
      <c r="G78" s="93">
        <v>1120001194</v>
      </c>
      <c r="H78" s="91" t="s">
        <v>75</v>
      </c>
      <c r="I78" s="93">
        <v>10</v>
      </c>
      <c r="J78" s="93">
        <v>12810</v>
      </c>
      <c r="K78" s="93">
        <f t="shared" ref="K78" si="5">IF(I78="",J78,I78)</f>
        <v>10</v>
      </c>
      <c r="L78" s="92">
        <v>44274</v>
      </c>
      <c r="M78" s="91" t="s">
        <v>2100</v>
      </c>
      <c r="N78" s="95" t="str">
        <f>VLOOKUP(H78,基础数据!G:H,2,FALSE)</f>
        <v>WB171I后缘</v>
      </c>
    </row>
    <row r="79" spans="1:14" s="101" customFormat="1">
      <c r="A79" s="97">
        <v>1580</v>
      </c>
      <c r="B79" s="98" t="s">
        <v>172</v>
      </c>
      <c r="C79" s="99">
        <v>44260</v>
      </c>
      <c r="D79" s="100"/>
      <c r="E79" s="97">
        <v>4500080653</v>
      </c>
      <c r="F79" s="100"/>
      <c r="G79" s="100">
        <v>1120001194</v>
      </c>
      <c r="H79" s="100" t="s">
        <v>75</v>
      </c>
      <c r="I79" s="97">
        <f>12-10</f>
        <v>2</v>
      </c>
      <c r="J79" s="97">
        <v>2073</v>
      </c>
      <c r="K79" s="97">
        <v>2</v>
      </c>
      <c r="L79" s="99">
        <v>44276</v>
      </c>
      <c r="M79" s="100" t="s">
        <v>2130</v>
      </c>
      <c r="N79" s="98" t="s">
        <v>1784</v>
      </c>
    </row>
    <row r="80" spans="1:14" s="101" customFormat="1">
      <c r="A80" s="97">
        <v>1580</v>
      </c>
      <c r="B80" s="98" t="s">
        <v>172</v>
      </c>
      <c r="C80" s="99">
        <v>44267</v>
      </c>
      <c r="D80" s="100"/>
      <c r="E80" s="97">
        <v>4500081206</v>
      </c>
      <c r="F80" s="100"/>
      <c r="G80" s="97">
        <v>1120001194</v>
      </c>
      <c r="H80" s="100" t="s">
        <v>75</v>
      </c>
      <c r="I80" s="97">
        <v>8</v>
      </c>
      <c r="J80" s="97">
        <v>10737</v>
      </c>
      <c r="K80" s="97">
        <v>8</v>
      </c>
      <c r="L80" s="99">
        <v>44276</v>
      </c>
      <c r="M80" s="100" t="s">
        <v>2131</v>
      </c>
      <c r="N80" s="98" t="s">
        <v>1784</v>
      </c>
    </row>
  </sheetData>
  <autoFilter ref="A1:N1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N623"/>
  <sheetViews>
    <sheetView view="pageBreakPreview" topLeftCell="A607" zoomScaleNormal="100" zoomScaleSheetLayoutView="100" workbookViewId="0">
      <selection activeCell="J621" sqref="J621:J623"/>
    </sheetView>
  </sheetViews>
  <sheetFormatPr defaultColWidth="9" defaultRowHeight="13.5"/>
  <cols>
    <col min="1" max="1" width="7" style="44" bestFit="1" customWidth="1"/>
    <col min="2" max="2" width="7.28515625" style="44" bestFit="1" customWidth="1"/>
    <col min="3" max="3" width="8.7109375" style="45" bestFit="1" customWidth="1"/>
    <col min="4" max="4" width="3.28515625" style="44" bestFit="1" customWidth="1"/>
    <col min="5" max="5" width="9" style="44" bestFit="1" customWidth="1"/>
    <col min="6" max="6" width="7.7109375" style="44" bestFit="1" customWidth="1"/>
    <col min="7" max="7" width="11.42578125" style="44" bestFit="1" customWidth="1"/>
    <col min="8" max="8" width="39.28515625" style="44" bestFit="1" customWidth="1"/>
    <col min="9" max="9" width="7" style="44" bestFit="1" customWidth="1"/>
    <col min="10" max="10" width="9.85546875" style="44" bestFit="1" customWidth="1"/>
    <col min="11" max="11" width="5.7109375" style="44" bestFit="1" customWidth="1"/>
    <col min="12" max="12" width="8.7109375" style="45" bestFit="1" customWidth="1"/>
    <col min="13" max="13" width="255.5703125" style="44" bestFit="1" customWidth="1"/>
    <col min="14" max="14" width="16.140625" style="8" bestFit="1" customWidth="1"/>
    <col min="15" max="16384" width="9" style="8"/>
  </cols>
  <sheetData>
    <row r="1" spans="1:14" s="19" customFormat="1">
      <c r="A1" s="13" t="s">
        <v>0</v>
      </c>
      <c r="B1" s="13" t="s">
        <v>1</v>
      </c>
      <c r="C1" s="29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11" t="s">
        <v>1432</v>
      </c>
      <c r="L1" s="29" t="s">
        <v>8</v>
      </c>
      <c r="M1" s="13" t="s">
        <v>43</v>
      </c>
    </row>
    <row r="2" spans="1:14" s="12" customFormat="1">
      <c r="A2" s="11">
        <v>1680</v>
      </c>
      <c r="B2" s="13" t="str">
        <f>VLOOKUP(A2,基础数据!A:B,2,FALSE)</f>
        <v>大丰</v>
      </c>
      <c r="C2" s="10">
        <v>44061</v>
      </c>
      <c r="D2" s="9"/>
      <c r="E2" s="9">
        <v>4500067613</v>
      </c>
      <c r="F2" s="9"/>
      <c r="G2" s="11">
        <v>1120001948</v>
      </c>
      <c r="H2" s="9" t="s">
        <v>14</v>
      </c>
      <c r="I2" s="11">
        <v>2</v>
      </c>
      <c r="J2" s="11">
        <v>1806</v>
      </c>
      <c r="K2" s="11"/>
      <c r="L2" s="10">
        <v>44063</v>
      </c>
      <c r="M2" s="11" t="s">
        <v>877</v>
      </c>
      <c r="N2" s="13" t="str">
        <f>VLOOKUP(H2,基础数据!G:H,2,FALSE)</f>
        <v>SR146Ⅰ后缘</v>
      </c>
    </row>
    <row r="3" spans="1:14" s="12" customFormat="1">
      <c r="A3" s="11">
        <v>1680</v>
      </c>
      <c r="B3" s="13" t="str">
        <f>VLOOKUP(A3,基础数据!A:B,2,FALSE)</f>
        <v>大丰</v>
      </c>
      <c r="C3" s="10">
        <v>44061</v>
      </c>
      <c r="D3" s="9"/>
      <c r="E3" s="9">
        <v>4500067613</v>
      </c>
      <c r="F3" s="9"/>
      <c r="G3" s="11">
        <v>1120002747</v>
      </c>
      <c r="H3" s="9" t="s">
        <v>289</v>
      </c>
      <c r="I3" s="11">
        <v>4</v>
      </c>
      <c r="J3" s="11">
        <v>2344</v>
      </c>
      <c r="K3" s="11"/>
      <c r="L3" s="10">
        <v>44063</v>
      </c>
      <c r="M3" s="11" t="s">
        <v>875</v>
      </c>
      <c r="N3" s="13" t="str">
        <f>VLOOKUP(H3,基础数据!G:H,2,FALSE)</f>
        <v>SR146Ⅱ后缘</v>
      </c>
    </row>
    <row r="4" spans="1:14" s="12" customFormat="1">
      <c r="A4" s="11">
        <v>1680</v>
      </c>
      <c r="B4" s="13" t="str">
        <f>VLOOKUP(A4,基础数据!A:B,2,FALSE)</f>
        <v>大丰</v>
      </c>
      <c r="C4" s="10">
        <v>44061</v>
      </c>
      <c r="D4" s="9"/>
      <c r="E4" s="9">
        <v>4500067613</v>
      </c>
      <c r="F4" s="9"/>
      <c r="G4" s="11">
        <v>1120002746</v>
      </c>
      <c r="H4" s="9" t="s">
        <v>288</v>
      </c>
      <c r="I4" s="11">
        <v>3</v>
      </c>
      <c r="J4" s="11">
        <v>10512</v>
      </c>
      <c r="K4" s="11"/>
      <c r="L4" s="10">
        <v>44063</v>
      </c>
      <c r="M4" s="11" t="s">
        <v>876</v>
      </c>
      <c r="N4" s="13" t="str">
        <f>VLOOKUP(H4,基础数据!G:H,2,FALSE)</f>
        <v>SR146Ⅱ大梁</v>
      </c>
    </row>
    <row r="5" spans="1:14" s="12" customFormat="1">
      <c r="A5" s="11">
        <v>1680</v>
      </c>
      <c r="B5" s="13" t="str">
        <f>VLOOKUP(A5,基础数据!A:B,2,FALSE)</f>
        <v>大丰</v>
      </c>
      <c r="C5" s="10">
        <v>44069</v>
      </c>
      <c r="D5" s="9"/>
      <c r="E5" s="9">
        <v>4500067613</v>
      </c>
      <c r="F5" s="9"/>
      <c r="G5" s="11">
        <v>1120002772</v>
      </c>
      <c r="H5" s="9" t="s">
        <v>492</v>
      </c>
      <c r="I5" s="11">
        <v>5</v>
      </c>
      <c r="J5" s="11">
        <v>9125</v>
      </c>
      <c r="K5" s="11"/>
      <c r="L5" s="10">
        <v>44069</v>
      </c>
      <c r="M5" s="9" t="s">
        <v>881</v>
      </c>
      <c r="N5" s="13" t="str">
        <f>VLOOKUP(H5,基础数据!G:H,2,FALSE)</f>
        <v>GW171后缘</v>
      </c>
    </row>
    <row r="6" spans="1:14" s="12" customFormat="1">
      <c r="A6" s="11">
        <v>1680</v>
      </c>
      <c r="B6" s="13" t="str">
        <f>VLOOKUP(A6,基础数据!A:B,2,FALSE)</f>
        <v>大丰</v>
      </c>
      <c r="C6" s="10">
        <v>44069</v>
      </c>
      <c r="D6" s="9"/>
      <c r="E6" s="9">
        <v>4500067613</v>
      </c>
      <c r="F6" s="9"/>
      <c r="G6" s="11">
        <v>1120002747</v>
      </c>
      <c r="H6" s="9" t="s">
        <v>289</v>
      </c>
      <c r="I6" s="11">
        <v>6</v>
      </c>
      <c r="J6" s="11">
        <v>3516</v>
      </c>
      <c r="K6" s="11"/>
      <c r="L6" s="10">
        <v>44069</v>
      </c>
      <c r="M6" s="9" t="s">
        <v>882</v>
      </c>
      <c r="N6" s="13" t="str">
        <f>VLOOKUP(H6,基础数据!G:H,2,FALSE)</f>
        <v>SR146Ⅱ后缘</v>
      </c>
    </row>
    <row r="7" spans="1:14" s="12" customFormat="1">
      <c r="A7" s="11">
        <v>1680</v>
      </c>
      <c r="B7" s="13" t="str">
        <f>VLOOKUP(A7,基础数据!A:B,2,FALSE)</f>
        <v>大丰</v>
      </c>
      <c r="C7" s="10">
        <v>44069</v>
      </c>
      <c r="D7" s="9"/>
      <c r="E7" s="9">
        <v>4500067613</v>
      </c>
      <c r="F7" s="9"/>
      <c r="G7" s="11">
        <v>1120001948</v>
      </c>
      <c r="H7" s="9" t="s">
        <v>14</v>
      </c>
      <c r="I7" s="11">
        <v>2</v>
      </c>
      <c r="J7" s="11">
        <v>1806</v>
      </c>
      <c r="K7" s="11"/>
      <c r="L7" s="10">
        <v>44069</v>
      </c>
      <c r="M7" s="9" t="s">
        <v>883</v>
      </c>
      <c r="N7" s="13" t="str">
        <f>VLOOKUP(H7,基础数据!G:H,2,FALSE)</f>
        <v>SR146Ⅰ后缘</v>
      </c>
    </row>
    <row r="8" spans="1:14" s="12" customFormat="1">
      <c r="A8" s="11">
        <v>1680</v>
      </c>
      <c r="B8" s="13" t="str">
        <f>VLOOKUP(A8,基础数据!A:B,2,FALSE)</f>
        <v>大丰</v>
      </c>
      <c r="C8" s="10">
        <v>44069</v>
      </c>
      <c r="D8" s="9"/>
      <c r="E8" s="9">
        <v>4500067613</v>
      </c>
      <c r="F8" s="9"/>
      <c r="G8" s="11">
        <v>1120002746</v>
      </c>
      <c r="H8" s="9" t="s">
        <v>288</v>
      </c>
      <c r="I8" s="11">
        <v>3</v>
      </c>
      <c r="J8" s="11">
        <v>10512</v>
      </c>
      <c r="K8" s="11"/>
      <c r="L8" s="10">
        <v>44069</v>
      </c>
      <c r="M8" s="9" t="s">
        <v>884</v>
      </c>
      <c r="N8" s="13" t="str">
        <f>VLOOKUP(H8,基础数据!G:H,2,FALSE)</f>
        <v>SR146Ⅱ大梁</v>
      </c>
    </row>
    <row r="9" spans="1:14" s="12" customFormat="1">
      <c r="A9" s="11">
        <v>1680</v>
      </c>
      <c r="B9" s="13" t="str">
        <f>VLOOKUP(A9,基础数据!A:B,2,FALSE)</f>
        <v>大丰</v>
      </c>
      <c r="C9" s="10">
        <v>44069</v>
      </c>
      <c r="D9" s="9"/>
      <c r="E9" s="9">
        <v>4500067613</v>
      </c>
      <c r="F9" s="9"/>
      <c r="G9" s="11">
        <v>1120000149</v>
      </c>
      <c r="H9" s="9" t="s">
        <v>9</v>
      </c>
      <c r="I9" s="11"/>
      <c r="J9" s="11">
        <v>15200</v>
      </c>
      <c r="K9" s="11"/>
      <c r="L9" s="10">
        <v>44069</v>
      </c>
      <c r="M9" s="9" t="s">
        <v>885</v>
      </c>
      <c r="N9" s="13" t="str">
        <f>VLOOKUP(H9,基础数据!G:H,2,FALSE)</f>
        <v>TTX1500H-2.54-100</v>
      </c>
    </row>
    <row r="10" spans="1:14" s="12" customFormat="1">
      <c r="A10" s="11">
        <v>1680</v>
      </c>
      <c r="B10" s="13" t="str">
        <f>VLOOKUP(A10,基础数据!A:B,2,FALSE)</f>
        <v>大丰</v>
      </c>
      <c r="C10" s="10">
        <v>44069</v>
      </c>
      <c r="D10" s="9"/>
      <c r="E10" s="9">
        <v>4500067613</v>
      </c>
      <c r="F10" s="9"/>
      <c r="G10" s="11">
        <v>1120002746</v>
      </c>
      <c r="H10" s="9" t="s">
        <v>288</v>
      </c>
      <c r="I10" s="11">
        <v>1</v>
      </c>
      <c r="J10" s="11">
        <v>3504</v>
      </c>
      <c r="K10" s="11"/>
      <c r="L10" s="10">
        <v>44069</v>
      </c>
      <c r="M10" s="9" t="s">
        <v>886</v>
      </c>
      <c r="N10" s="13" t="str">
        <f>VLOOKUP(H10,基础数据!G:H,2,FALSE)</f>
        <v>SR146Ⅱ大梁</v>
      </c>
    </row>
    <row r="11" spans="1:14" s="12" customFormat="1">
      <c r="A11" s="11">
        <v>1680</v>
      </c>
      <c r="B11" s="13" t="str">
        <f>VLOOKUP(A11,基础数据!A:B,2,FALSE)</f>
        <v>大丰</v>
      </c>
      <c r="C11" s="10">
        <v>44069</v>
      </c>
      <c r="D11" s="9"/>
      <c r="E11" s="9">
        <v>4500067613</v>
      </c>
      <c r="F11" s="9"/>
      <c r="G11" s="11">
        <v>1120002747</v>
      </c>
      <c r="H11" s="9" t="s">
        <v>289</v>
      </c>
      <c r="I11" s="11">
        <v>5</v>
      </c>
      <c r="J11" s="11">
        <v>2930</v>
      </c>
      <c r="K11" s="11"/>
      <c r="L11" s="10">
        <v>44069</v>
      </c>
      <c r="M11" s="9" t="s">
        <v>887</v>
      </c>
      <c r="N11" s="13" t="str">
        <f>VLOOKUP(H11,基础数据!G:H,2,FALSE)</f>
        <v>SR146Ⅱ后缘</v>
      </c>
    </row>
    <row r="12" spans="1:14" s="12" customFormat="1">
      <c r="A12" s="11">
        <v>1680</v>
      </c>
      <c r="B12" s="13" t="str">
        <f>VLOOKUP(A12,基础数据!A:B,2,FALSE)</f>
        <v>大丰</v>
      </c>
      <c r="C12" s="10">
        <v>44069</v>
      </c>
      <c r="D12" s="9"/>
      <c r="E12" s="9">
        <v>4500067613</v>
      </c>
      <c r="F12" s="9"/>
      <c r="G12" s="11">
        <v>1120001949</v>
      </c>
      <c r="H12" s="9" t="s">
        <v>13</v>
      </c>
      <c r="I12" s="11">
        <v>2</v>
      </c>
      <c r="J12" s="11">
        <v>10492</v>
      </c>
      <c r="K12" s="11"/>
      <c r="L12" s="10">
        <v>44069</v>
      </c>
      <c r="M12" s="9" t="s">
        <v>888</v>
      </c>
      <c r="N12" s="13" t="str">
        <f>VLOOKUP(H12,基础数据!G:H,2,FALSE)</f>
        <v>SR146Ⅰ大梁</v>
      </c>
    </row>
    <row r="13" spans="1:14" s="12" customFormat="1">
      <c r="A13" s="11">
        <v>1680</v>
      </c>
      <c r="B13" s="13" t="str">
        <f>VLOOKUP(A13,基础数据!A:B,2,FALSE)</f>
        <v>大丰</v>
      </c>
      <c r="C13" s="10">
        <v>44069</v>
      </c>
      <c r="D13" s="9"/>
      <c r="E13" s="9">
        <v>4500067613</v>
      </c>
      <c r="F13" s="9"/>
      <c r="G13" s="11">
        <v>1120001948</v>
      </c>
      <c r="H13" s="9" t="s">
        <v>14</v>
      </c>
      <c r="I13" s="11">
        <v>1</v>
      </c>
      <c r="J13" s="11">
        <v>903</v>
      </c>
      <c r="K13" s="11"/>
      <c r="L13" s="10">
        <v>44069</v>
      </c>
      <c r="M13" s="9" t="s">
        <v>889</v>
      </c>
      <c r="N13" s="13" t="str">
        <f>VLOOKUP(H13,基础数据!G:H,2,FALSE)</f>
        <v>SR146Ⅰ后缘</v>
      </c>
    </row>
    <row r="14" spans="1:14" s="12" customFormat="1">
      <c r="A14" s="11">
        <v>1680</v>
      </c>
      <c r="B14" s="13" t="str">
        <f>VLOOKUP(A14,基础数据!A:B,2,FALSE)</f>
        <v>大丰</v>
      </c>
      <c r="C14" s="10">
        <v>44069</v>
      </c>
      <c r="D14" s="9"/>
      <c r="E14" s="9">
        <v>4500067613</v>
      </c>
      <c r="F14" s="9"/>
      <c r="G14" s="11">
        <v>1120002746</v>
      </c>
      <c r="H14" s="9" t="s">
        <v>288</v>
      </c>
      <c r="I14" s="11">
        <v>5</v>
      </c>
      <c r="J14" s="11">
        <v>17520</v>
      </c>
      <c r="K14" s="11"/>
      <c r="L14" s="10">
        <v>44069</v>
      </c>
      <c r="M14" s="9" t="s">
        <v>1230</v>
      </c>
      <c r="N14" s="13" t="str">
        <f>VLOOKUP(H14,基础数据!G:H,2,FALSE)</f>
        <v>SR146Ⅱ大梁</v>
      </c>
    </row>
    <row r="15" spans="1:14" s="12" customFormat="1">
      <c r="A15" s="11">
        <v>1680</v>
      </c>
      <c r="B15" s="13" t="str">
        <f>VLOOKUP(A15,基础数据!A:B,2,FALSE)</f>
        <v>大丰</v>
      </c>
      <c r="C15" s="10">
        <v>44069</v>
      </c>
      <c r="D15" s="9"/>
      <c r="E15" s="9">
        <v>4500067613</v>
      </c>
      <c r="F15" s="9"/>
      <c r="G15" s="11">
        <v>1120001949</v>
      </c>
      <c r="H15" s="9" t="s">
        <v>13</v>
      </c>
      <c r="I15" s="11">
        <v>2</v>
      </c>
      <c r="J15" s="11">
        <v>10492</v>
      </c>
      <c r="K15" s="11"/>
      <c r="L15" s="10">
        <v>44069</v>
      </c>
      <c r="M15" s="9" t="s">
        <v>1231</v>
      </c>
      <c r="N15" s="13" t="str">
        <f>VLOOKUP(H15,基础数据!G:H,2,FALSE)</f>
        <v>SR146Ⅰ大梁</v>
      </c>
    </row>
    <row r="16" spans="1:14" s="12" customFormat="1">
      <c r="A16" s="11">
        <v>1680</v>
      </c>
      <c r="B16" s="13" t="str">
        <f>VLOOKUP(A16,基础数据!A:B,2,FALSE)</f>
        <v>大丰</v>
      </c>
      <c r="C16" s="10">
        <v>44069</v>
      </c>
      <c r="D16" s="9"/>
      <c r="E16" s="9">
        <v>4500067614</v>
      </c>
      <c r="F16" s="9"/>
      <c r="G16" s="11">
        <v>1120000142</v>
      </c>
      <c r="H16" s="9" t="s">
        <v>11</v>
      </c>
      <c r="I16" s="11"/>
      <c r="J16" s="11">
        <v>3210</v>
      </c>
      <c r="K16" s="11"/>
      <c r="L16" s="10">
        <v>44069</v>
      </c>
      <c r="M16" s="9" t="s">
        <v>892</v>
      </c>
      <c r="N16" s="13" t="str">
        <f>VLOOKUP(H16,基础数据!G:H,2,FALSE)</f>
        <v>TTX1250(60)-2.54-100</v>
      </c>
    </row>
    <row r="17" spans="1:14" s="12" customFormat="1">
      <c r="A17" s="11">
        <v>1680</v>
      </c>
      <c r="B17" s="13" t="str">
        <f>VLOOKUP(A17,基础数据!A:B,2,FALSE)</f>
        <v>大丰</v>
      </c>
      <c r="C17" s="10">
        <v>44069</v>
      </c>
      <c r="D17" s="9"/>
      <c r="E17" s="9">
        <v>4500067613</v>
      </c>
      <c r="F17" s="9"/>
      <c r="G17" s="11">
        <v>1120002747</v>
      </c>
      <c r="H17" s="9" t="s">
        <v>289</v>
      </c>
      <c r="I17" s="11">
        <v>2</v>
      </c>
      <c r="J17" s="11">
        <v>1172</v>
      </c>
      <c r="K17" s="11"/>
      <c r="L17" s="10">
        <v>44069</v>
      </c>
      <c r="M17" s="9" t="s">
        <v>1232</v>
      </c>
      <c r="N17" s="13" t="str">
        <f>VLOOKUP(H17,基础数据!G:H,2,FALSE)</f>
        <v>SR146Ⅱ后缘</v>
      </c>
    </row>
    <row r="18" spans="1:14" s="12" customFormat="1">
      <c r="A18" s="11">
        <v>1680</v>
      </c>
      <c r="B18" s="13" t="str">
        <f>VLOOKUP(A18,基础数据!A:B,2,FALSE)</f>
        <v>大丰</v>
      </c>
      <c r="C18" s="10">
        <v>44069</v>
      </c>
      <c r="D18" s="9"/>
      <c r="E18" s="9">
        <v>4500067613</v>
      </c>
      <c r="F18" s="9"/>
      <c r="G18" s="11">
        <v>1120001948</v>
      </c>
      <c r="H18" s="9" t="s">
        <v>14</v>
      </c>
      <c r="I18" s="11">
        <v>4</v>
      </c>
      <c r="J18" s="11">
        <v>3612</v>
      </c>
      <c r="K18" s="11"/>
      <c r="L18" s="10">
        <v>44069</v>
      </c>
      <c r="M18" s="9" t="s">
        <v>1233</v>
      </c>
      <c r="N18" s="13" t="str">
        <f>VLOOKUP(H18,基础数据!G:H,2,FALSE)</f>
        <v>SR146Ⅰ后缘</v>
      </c>
    </row>
    <row r="19" spans="1:14" s="12" customFormat="1">
      <c r="A19" s="11">
        <v>1680</v>
      </c>
      <c r="B19" s="13" t="str">
        <f>VLOOKUP(A19,基础数据!A:B,2,FALSE)</f>
        <v>大丰</v>
      </c>
      <c r="C19" s="10">
        <v>44069</v>
      </c>
      <c r="D19" s="9"/>
      <c r="E19" s="9">
        <v>4500067613</v>
      </c>
      <c r="F19" s="9"/>
      <c r="G19" s="11">
        <v>1120002746</v>
      </c>
      <c r="H19" s="9" t="s">
        <v>288</v>
      </c>
      <c r="I19" s="11">
        <v>2</v>
      </c>
      <c r="J19" s="11">
        <v>7008</v>
      </c>
      <c r="K19" s="11"/>
      <c r="L19" s="10">
        <v>44069</v>
      </c>
      <c r="M19" s="9" t="s">
        <v>1234</v>
      </c>
      <c r="N19" s="13" t="str">
        <f>VLOOKUP(H19,基础数据!G:H,2,FALSE)</f>
        <v>SR146Ⅱ大梁</v>
      </c>
    </row>
    <row r="20" spans="1:14" s="12" customFormat="1">
      <c r="A20" s="11">
        <v>1680</v>
      </c>
      <c r="B20" s="13" t="str">
        <f>VLOOKUP(A20,基础数据!A:B,2,FALSE)</f>
        <v>大丰</v>
      </c>
      <c r="C20" s="10">
        <v>44069</v>
      </c>
      <c r="D20" s="9"/>
      <c r="E20" s="9">
        <v>4500067613</v>
      </c>
      <c r="F20" s="9"/>
      <c r="G20" s="11">
        <v>1120001949</v>
      </c>
      <c r="H20" s="9" t="s">
        <v>13</v>
      </c>
      <c r="I20" s="11">
        <v>2</v>
      </c>
      <c r="J20" s="11">
        <v>10492</v>
      </c>
      <c r="K20" s="11"/>
      <c r="L20" s="10">
        <v>44069</v>
      </c>
      <c r="M20" s="9" t="s">
        <v>1235</v>
      </c>
      <c r="N20" s="13" t="str">
        <f>VLOOKUP(H20,基础数据!G:H,2,FALSE)</f>
        <v>SR146Ⅰ大梁</v>
      </c>
    </row>
    <row r="21" spans="1:14" s="12" customFormat="1">
      <c r="A21" s="11">
        <v>1680</v>
      </c>
      <c r="B21" s="13" t="str">
        <f>VLOOKUP(A21,基础数据!A:B,2,FALSE)</f>
        <v>大丰</v>
      </c>
      <c r="C21" s="10">
        <v>44069</v>
      </c>
      <c r="D21" s="9"/>
      <c r="E21" s="9">
        <v>4500067614</v>
      </c>
      <c r="F21" s="9"/>
      <c r="G21" s="11">
        <v>1120002854</v>
      </c>
      <c r="H21" s="9" t="s">
        <v>94</v>
      </c>
      <c r="I21" s="11"/>
      <c r="J21" s="11">
        <v>3060</v>
      </c>
      <c r="K21" s="11"/>
      <c r="L21" s="10">
        <v>44069</v>
      </c>
      <c r="M21" s="9" t="s">
        <v>893</v>
      </c>
      <c r="N21" s="13" t="str">
        <f>VLOOKUP(H21,基础数据!G:H,2,FALSE)</f>
        <v>TLX1215-2.54-100</v>
      </c>
    </row>
    <row r="22" spans="1:14" s="12" customFormat="1">
      <c r="A22" s="11">
        <v>1680</v>
      </c>
      <c r="B22" s="13" t="str">
        <f>VLOOKUP(A22,基础数据!A:B,2,FALSE)</f>
        <v>大丰</v>
      </c>
      <c r="C22" s="10">
        <v>44069</v>
      </c>
      <c r="D22" s="9"/>
      <c r="E22" s="9">
        <v>4500068637</v>
      </c>
      <c r="F22" s="9"/>
      <c r="G22" s="11">
        <v>1120000142</v>
      </c>
      <c r="H22" s="9" t="s">
        <v>11</v>
      </c>
      <c r="I22" s="11"/>
      <c r="J22" s="11">
        <v>145278</v>
      </c>
      <c r="K22" s="11"/>
      <c r="L22" s="10">
        <v>44069</v>
      </c>
      <c r="M22" s="9" t="s">
        <v>903</v>
      </c>
      <c r="N22" s="13" t="str">
        <f>VLOOKUP(H22,基础数据!G:H,2,FALSE)</f>
        <v>TTX1250(60)-2.54-100</v>
      </c>
    </row>
    <row r="23" spans="1:14" s="12" customFormat="1">
      <c r="A23" s="11">
        <v>1680</v>
      </c>
      <c r="B23" s="13" t="str">
        <f>VLOOKUP(A23,基础数据!A:B,2,FALSE)</f>
        <v>大丰</v>
      </c>
      <c r="C23" s="10">
        <v>44069</v>
      </c>
      <c r="D23" s="9"/>
      <c r="E23" s="9">
        <v>4500068637</v>
      </c>
      <c r="F23" s="9"/>
      <c r="G23" s="11">
        <v>1120000145</v>
      </c>
      <c r="H23" s="9" t="s">
        <v>95</v>
      </c>
      <c r="I23" s="11"/>
      <c r="J23" s="11">
        <v>9558</v>
      </c>
      <c r="K23" s="11"/>
      <c r="L23" s="10">
        <v>44069</v>
      </c>
      <c r="M23" s="9" t="s">
        <v>902</v>
      </c>
      <c r="N23" s="13" t="str">
        <f>VLOOKUP(H23,基础数据!G:H,2,FALSE)</f>
        <v>TTX1215(45)-2.54-100</v>
      </c>
    </row>
    <row r="24" spans="1:14" s="12" customFormat="1">
      <c r="A24" s="11">
        <v>1680</v>
      </c>
      <c r="B24" s="13" t="str">
        <f>VLOOKUP(A24,基础数据!A:B,2,FALSE)</f>
        <v>大丰</v>
      </c>
      <c r="C24" s="10">
        <v>44069</v>
      </c>
      <c r="D24" s="9"/>
      <c r="E24" s="9">
        <v>4500068637</v>
      </c>
      <c r="F24" s="9"/>
      <c r="G24" s="11">
        <v>1120002745</v>
      </c>
      <c r="H24" s="9" t="s">
        <v>537</v>
      </c>
      <c r="I24" s="11"/>
      <c r="J24" s="11">
        <v>61536</v>
      </c>
      <c r="K24" s="11"/>
      <c r="L24" s="10">
        <v>44069</v>
      </c>
      <c r="M24" s="9" t="s">
        <v>902</v>
      </c>
      <c r="N24" s="13" t="str">
        <f>VLOOKUP(H24,基础数据!G:H,2,FALSE)</f>
        <v>BX600-2.54-100</v>
      </c>
    </row>
    <row r="25" spans="1:14" s="12" customFormat="1">
      <c r="A25" s="11">
        <v>1680</v>
      </c>
      <c r="B25" s="13" t="str">
        <f>VLOOKUP(A25,基础数据!A:B,2,FALSE)</f>
        <v>大丰</v>
      </c>
      <c r="C25" s="10">
        <v>44069</v>
      </c>
      <c r="D25" s="9"/>
      <c r="E25" s="9">
        <v>4500068637</v>
      </c>
      <c r="F25" s="9"/>
      <c r="G25" s="11">
        <v>1120002854</v>
      </c>
      <c r="H25" s="9" t="s">
        <v>94</v>
      </c>
      <c r="I25" s="11"/>
      <c r="J25" s="11">
        <v>66006</v>
      </c>
      <c r="K25" s="11"/>
      <c r="L25" s="10">
        <v>44069</v>
      </c>
      <c r="M25" s="9" t="s">
        <v>902</v>
      </c>
      <c r="N25" s="13" t="str">
        <f>VLOOKUP(H25,基础数据!G:H,2,FALSE)</f>
        <v>TLX1215-2.54-100</v>
      </c>
    </row>
    <row r="26" spans="1:14" s="12" customFormat="1">
      <c r="A26" s="11">
        <v>1680</v>
      </c>
      <c r="B26" s="13" t="str">
        <f>VLOOKUP(A26,基础数据!A:B,2,FALSE)</f>
        <v>大丰</v>
      </c>
      <c r="C26" s="10">
        <v>44069</v>
      </c>
      <c r="D26" s="9"/>
      <c r="E26" s="9">
        <v>4500067613</v>
      </c>
      <c r="F26" s="9"/>
      <c r="G26" s="11">
        <v>1120001948</v>
      </c>
      <c r="H26" s="9" t="s">
        <v>14</v>
      </c>
      <c r="I26" s="11">
        <v>2</v>
      </c>
      <c r="J26" s="11">
        <v>1806</v>
      </c>
      <c r="K26" s="11"/>
      <c r="L26" s="10">
        <v>44069</v>
      </c>
      <c r="M26" s="9" t="s">
        <v>1236</v>
      </c>
      <c r="N26" s="13" t="str">
        <f>VLOOKUP(H26,基础数据!G:H,2,FALSE)</f>
        <v>SR146Ⅰ后缘</v>
      </c>
    </row>
    <row r="27" spans="1:14" s="12" customFormat="1">
      <c r="A27" s="11">
        <v>1680</v>
      </c>
      <c r="B27" s="13" t="str">
        <f>VLOOKUP(A27,基础数据!A:B,2,FALSE)</f>
        <v>大丰</v>
      </c>
      <c r="C27" s="10">
        <v>44069</v>
      </c>
      <c r="D27" s="9"/>
      <c r="E27" s="9">
        <v>4500067613</v>
      </c>
      <c r="F27" s="9"/>
      <c r="G27" s="11">
        <v>1120001949</v>
      </c>
      <c r="H27" s="9" t="s">
        <v>13</v>
      </c>
      <c r="I27" s="11">
        <v>2</v>
      </c>
      <c r="J27" s="11">
        <v>10492</v>
      </c>
      <c r="K27" s="11"/>
      <c r="L27" s="10">
        <v>44069</v>
      </c>
      <c r="M27" s="9" t="s">
        <v>1237</v>
      </c>
      <c r="N27" s="13" t="str">
        <f>VLOOKUP(H27,基础数据!G:H,2,FALSE)</f>
        <v>SR146Ⅰ大梁</v>
      </c>
    </row>
    <row r="28" spans="1:14" s="12" customFormat="1">
      <c r="A28" s="11">
        <v>1680</v>
      </c>
      <c r="B28" s="13" t="str">
        <f>VLOOKUP(A28,基础数据!A:B,2,FALSE)</f>
        <v>大丰</v>
      </c>
      <c r="C28" s="10">
        <v>44069</v>
      </c>
      <c r="D28" s="9"/>
      <c r="E28" s="9">
        <v>4500067613</v>
      </c>
      <c r="F28" s="9"/>
      <c r="G28" s="11">
        <v>1120002747</v>
      </c>
      <c r="H28" s="9" t="s">
        <v>289</v>
      </c>
      <c r="I28" s="11">
        <v>2</v>
      </c>
      <c r="J28" s="11">
        <v>1172</v>
      </c>
      <c r="K28" s="11"/>
      <c r="L28" s="10">
        <v>44069</v>
      </c>
      <c r="M28" s="9" t="s">
        <v>1238</v>
      </c>
      <c r="N28" s="13" t="str">
        <f>VLOOKUP(H28,基础数据!G:H,2,FALSE)</f>
        <v>SR146Ⅱ后缘</v>
      </c>
    </row>
    <row r="29" spans="1:14" s="12" customFormat="1">
      <c r="A29" s="11">
        <v>1680</v>
      </c>
      <c r="B29" s="13" t="str">
        <f>VLOOKUP(A29,基础数据!A:B,2,FALSE)</f>
        <v>大丰</v>
      </c>
      <c r="C29" s="10">
        <v>44069</v>
      </c>
      <c r="D29" s="9"/>
      <c r="E29" s="9">
        <v>4500067613</v>
      </c>
      <c r="F29" s="9"/>
      <c r="G29" s="11">
        <v>1120000149</v>
      </c>
      <c r="H29" s="9" t="s">
        <v>9</v>
      </c>
      <c r="I29" s="11"/>
      <c r="J29" s="11">
        <v>15176</v>
      </c>
      <c r="K29" s="11"/>
      <c r="L29" s="10">
        <v>44069</v>
      </c>
      <c r="M29" s="9" t="s">
        <v>906</v>
      </c>
      <c r="N29" s="13" t="str">
        <f>VLOOKUP(H29,基础数据!G:H,2,FALSE)</f>
        <v>TTX1500H-2.54-100</v>
      </c>
    </row>
    <row r="30" spans="1:14" s="12" customFormat="1">
      <c r="A30" s="11">
        <v>1680</v>
      </c>
      <c r="B30" s="13" t="str">
        <f>VLOOKUP(A30,基础数据!A:B,2,FALSE)</f>
        <v>大丰</v>
      </c>
      <c r="C30" s="10">
        <v>44069</v>
      </c>
      <c r="D30" s="9"/>
      <c r="E30" s="9">
        <v>4500067614</v>
      </c>
      <c r="F30" s="9"/>
      <c r="G30" s="11">
        <v>1120000142</v>
      </c>
      <c r="H30" s="9" t="s">
        <v>11</v>
      </c>
      <c r="I30" s="11"/>
      <c r="J30" s="11">
        <v>6420</v>
      </c>
      <c r="K30" s="11"/>
      <c r="L30" s="10">
        <v>44069</v>
      </c>
      <c r="M30" s="9" t="s">
        <v>907</v>
      </c>
      <c r="N30" s="13" t="str">
        <f>VLOOKUP(H30,基础数据!G:H,2,FALSE)</f>
        <v>TTX1250(60)-2.54-100</v>
      </c>
    </row>
    <row r="31" spans="1:14" s="12" customFormat="1">
      <c r="A31" s="11">
        <v>1680</v>
      </c>
      <c r="B31" s="13" t="str">
        <f>VLOOKUP(A31,基础数据!A:B,2,FALSE)</f>
        <v>大丰</v>
      </c>
      <c r="C31" s="10">
        <v>44069</v>
      </c>
      <c r="D31" s="9"/>
      <c r="E31" s="9">
        <v>4500067614</v>
      </c>
      <c r="F31" s="9"/>
      <c r="G31" s="11">
        <v>1120002854</v>
      </c>
      <c r="H31" s="9" t="s">
        <v>94</v>
      </c>
      <c r="I31" s="11"/>
      <c r="J31" s="11">
        <v>9180</v>
      </c>
      <c r="K31" s="11"/>
      <c r="L31" s="10">
        <v>44069</v>
      </c>
      <c r="M31" s="9" t="s">
        <v>908</v>
      </c>
      <c r="N31" s="13" t="str">
        <f>VLOOKUP(H31,基础数据!G:H,2,FALSE)</f>
        <v>TLX1215-2.54-100</v>
      </c>
    </row>
    <row r="32" spans="1:14" s="12" customFormat="1">
      <c r="A32" s="11">
        <v>1680</v>
      </c>
      <c r="B32" s="13" t="str">
        <f>VLOOKUP(A32,基础数据!A:B,2,FALSE)</f>
        <v>大丰</v>
      </c>
      <c r="C32" s="10">
        <v>44069</v>
      </c>
      <c r="D32" s="9"/>
      <c r="E32" s="9">
        <v>4500067613</v>
      </c>
      <c r="F32" s="9"/>
      <c r="G32" s="11">
        <v>1120002746</v>
      </c>
      <c r="H32" s="9" t="s">
        <v>288</v>
      </c>
      <c r="I32" s="11">
        <v>2</v>
      </c>
      <c r="J32" s="11">
        <v>7008</v>
      </c>
      <c r="K32" s="11"/>
      <c r="L32" s="10">
        <v>44069</v>
      </c>
      <c r="M32" s="9" t="s">
        <v>1239</v>
      </c>
      <c r="N32" s="13" t="str">
        <f>VLOOKUP(H32,基础数据!G:H,2,FALSE)</f>
        <v>SR146Ⅱ大梁</v>
      </c>
    </row>
    <row r="33" spans="1:14" s="12" customFormat="1">
      <c r="A33" s="11">
        <v>1680</v>
      </c>
      <c r="B33" s="13" t="str">
        <f>VLOOKUP(A33,基础数据!A:B,2,FALSE)</f>
        <v>大丰</v>
      </c>
      <c r="C33" s="10">
        <v>44069</v>
      </c>
      <c r="D33" s="9"/>
      <c r="E33" s="9">
        <v>4500067613</v>
      </c>
      <c r="F33" s="9"/>
      <c r="G33" s="11">
        <v>1120002747</v>
      </c>
      <c r="H33" s="9" t="s">
        <v>289</v>
      </c>
      <c r="I33" s="11">
        <v>2</v>
      </c>
      <c r="J33" s="11">
        <v>1172</v>
      </c>
      <c r="K33" s="11"/>
      <c r="L33" s="10">
        <v>44069</v>
      </c>
      <c r="M33" s="9" t="s">
        <v>1240</v>
      </c>
      <c r="N33" s="13" t="str">
        <f>VLOOKUP(H33,基础数据!G:H,2,FALSE)</f>
        <v>SR146Ⅱ后缘</v>
      </c>
    </row>
    <row r="34" spans="1:14" s="12" customFormat="1">
      <c r="A34" s="11">
        <v>1680</v>
      </c>
      <c r="B34" s="13" t="str">
        <f>VLOOKUP(A34,基础数据!A:B,2,FALSE)</f>
        <v>大丰</v>
      </c>
      <c r="C34" s="10">
        <v>44069</v>
      </c>
      <c r="D34" s="9"/>
      <c r="E34" s="9">
        <v>4500067613</v>
      </c>
      <c r="F34" s="9"/>
      <c r="G34" s="11">
        <v>1120001948</v>
      </c>
      <c r="H34" s="9" t="s">
        <v>14</v>
      </c>
      <c r="I34" s="11">
        <v>2</v>
      </c>
      <c r="J34" s="11">
        <v>1806</v>
      </c>
      <c r="K34" s="11"/>
      <c r="L34" s="10">
        <v>44069</v>
      </c>
      <c r="M34" s="9" t="s">
        <v>1241</v>
      </c>
      <c r="N34" s="13" t="str">
        <f>VLOOKUP(H34,基础数据!G:H,2,FALSE)</f>
        <v>SR146Ⅰ后缘</v>
      </c>
    </row>
    <row r="35" spans="1:14" s="12" customFormat="1">
      <c r="A35" s="11">
        <v>1680</v>
      </c>
      <c r="B35" s="13" t="str">
        <f>VLOOKUP(A35,基础数据!A:B,2,FALSE)</f>
        <v>大丰</v>
      </c>
      <c r="C35" s="10">
        <v>44069</v>
      </c>
      <c r="D35" s="9"/>
      <c r="E35" s="9">
        <v>4500067613</v>
      </c>
      <c r="F35" s="9"/>
      <c r="G35" s="11">
        <v>1120001949</v>
      </c>
      <c r="H35" s="9" t="s">
        <v>13</v>
      </c>
      <c r="I35" s="11">
        <v>2</v>
      </c>
      <c r="J35" s="11">
        <v>10492</v>
      </c>
      <c r="K35" s="11"/>
      <c r="L35" s="10">
        <v>44069</v>
      </c>
      <c r="M35" s="9" t="s">
        <v>1242</v>
      </c>
      <c r="N35" s="13" t="str">
        <f>VLOOKUP(H35,基础数据!G:H,2,FALSE)</f>
        <v>SR146Ⅰ大梁</v>
      </c>
    </row>
    <row r="36" spans="1:14" s="12" customFormat="1">
      <c r="A36" s="11">
        <v>1680</v>
      </c>
      <c r="B36" s="13" t="str">
        <f>VLOOKUP(A36,基础数据!A:B,2,FALSE)</f>
        <v>大丰</v>
      </c>
      <c r="C36" s="10">
        <v>44069</v>
      </c>
      <c r="D36" s="9"/>
      <c r="E36" s="9">
        <v>4500067614</v>
      </c>
      <c r="F36" s="9"/>
      <c r="G36" s="11">
        <v>1120000142</v>
      </c>
      <c r="H36" s="9" t="s">
        <v>11</v>
      </c>
      <c r="I36" s="11"/>
      <c r="J36" s="11">
        <v>6420</v>
      </c>
      <c r="K36" s="11"/>
      <c r="L36" s="10">
        <v>44069</v>
      </c>
      <c r="M36" s="9" t="s">
        <v>911</v>
      </c>
      <c r="N36" s="13" t="str">
        <f>VLOOKUP(H36,基础数据!G:H,2,FALSE)</f>
        <v>TTX1250(60)-2.54-100</v>
      </c>
    </row>
    <row r="37" spans="1:14" s="12" customFormat="1">
      <c r="A37" s="11">
        <v>1680</v>
      </c>
      <c r="B37" s="13" t="str">
        <f>VLOOKUP(A37,基础数据!A:B,2,FALSE)</f>
        <v>大丰</v>
      </c>
      <c r="C37" s="10">
        <v>44074</v>
      </c>
      <c r="D37" s="9"/>
      <c r="E37" s="11">
        <v>4500069040</v>
      </c>
      <c r="F37" s="9"/>
      <c r="G37" s="11">
        <v>1120001035</v>
      </c>
      <c r="H37" s="9" t="s">
        <v>12</v>
      </c>
      <c r="I37" s="11"/>
      <c r="J37" s="11">
        <v>6420</v>
      </c>
      <c r="K37" s="11"/>
      <c r="L37" s="10">
        <v>44099</v>
      </c>
      <c r="M37" s="9" t="s">
        <v>912</v>
      </c>
      <c r="N37" s="13" t="str">
        <f>VLOOKUP(H37,基础数据!G:H,2,FALSE)</f>
        <v>TLX1250-2.54-100</v>
      </c>
    </row>
    <row r="38" spans="1:14" s="12" customFormat="1">
      <c r="A38" s="11">
        <v>1680</v>
      </c>
      <c r="B38" s="13" t="str">
        <f>VLOOKUP(A38,基础数据!A:B,2,FALSE)</f>
        <v>大丰</v>
      </c>
      <c r="C38" s="10">
        <v>44074</v>
      </c>
      <c r="D38" s="9"/>
      <c r="E38" s="11">
        <v>4500069040</v>
      </c>
      <c r="F38" s="9"/>
      <c r="G38" s="11">
        <v>1120001035</v>
      </c>
      <c r="H38" s="9" t="s">
        <v>12</v>
      </c>
      <c r="I38" s="11"/>
      <c r="J38" s="11">
        <v>6420</v>
      </c>
      <c r="K38" s="11"/>
      <c r="L38" s="10">
        <v>44099</v>
      </c>
      <c r="M38" s="9" t="s">
        <v>916</v>
      </c>
      <c r="N38" s="13" t="str">
        <f>VLOOKUP(H38,基础数据!G:H,2,FALSE)</f>
        <v>TLX1250-2.54-100</v>
      </c>
    </row>
    <row r="39" spans="1:14" s="12" customFormat="1">
      <c r="A39" s="11">
        <v>1680</v>
      </c>
      <c r="B39" s="13" t="str">
        <f>VLOOKUP(A39,基础数据!A:B,2,FALSE)</f>
        <v>大丰</v>
      </c>
      <c r="C39" s="10">
        <v>44069</v>
      </c>
      <c r="D39" s="9"/>
      <c r="E39" s="9">
        <v>4500067613</v>
      </c>
      <c r="F39" s="9"/>
      <c r="G39" s="11">
        <v>1120000149</v>
      </c>
      <c r="H39" s="9" t="s">
        <v>9</v>
      </c>
      <c r="I39" s="11"/>
      <c r="J39" s="11">
        <v>4976</v>
      </c>
      <c r="K39" s="11"/>
      <c r="L39" s="10">
        <v>44069</v>
      </c>
      <c r="M39" s="9" t="s">
        <v>917</v>
      </c>
      <c r="N39" s="13" t="str">
        <f>VLOOKUP(H39,基础数据!G:H,2,FALSE)</f>
        <v>TTX1500H-2.54-100</v>
      </c>
    </row>
    <row r="40" spans="1:14" s="12" customFormat="1">
      <c r="A40" s="11">
        <v>1680</v>
      </c>
      <c r="B40" s="13" t="str">
        <f>VLOOKUP(A40,基础数据!A:B,2,FALSE)</f>
        <v>大丰</v>
      </c>
      <c r="C40" s="10">
        <v>44069</v>
      </c>
      <c r="D40" s="9"/>
      <c r="E40" s="9">
        <v>4500067613</v>
      </c>
      <c r="F40" s="9"/>
      <c r="G40" s="11">
        <v>1120002747</v>
      </c>
      <c r="H40" s="9" t="s">
        <v>289</v>
      </c>
      <c r="I40" s="11">
        <v>2</v>
      </c>
      <c r="J40" s="11">
        <v>1172</v>
      </c>
      <c r="K40" s="11"/>
      <c r="L40" s="10">
        <v>44069</v>
      </c>
      <c r="M40" s="9" t="s">
        <v>1243</v>
      </c>
      <c r="N40" s="13" t="str">
        <f>VLOOKUP(H40,基础数据!G:H,2,FALSE)</f>
        <v>SR146Ⅱ后缘</v>
      </c>
    </row>
    <row r="41" spans="1:14" s="12" customFormat="1">
      <c r="A41" s="11">
        <v>1680</v>
      </c>
      <c r="B41" s="13" t="str">
        <f>VLOOKUP(A41,基础数据!A:B,2,FALSE)</f>
        <v>大丰</v>
      </c>
      <c r="C41" s="10">
        <v>44069</v>
      </c>
      <c r="D41" s="9"/>
      <c r="E41" s="9">
        <v>4500067613</v>
      </c>
      <c r="F41" s="9"/>
      <c r="G41" s="11">
        <v>1120001948</v>
      </c>
      <c r="H41" s="9" t="s">
        <v>14</v>
      </c>
      <c r="I41" s="11">
        <v>2</v>
      </c>
      <c r="J41" s="11">
        <v>1806</v>
      </c>
      <c r="K41" s="11"/>
      <c r="L41" s="10">
        <v>44069</v>
      </c>
      <c r="M41" s="9" t="s">
        <v>1244</v>
      </c>
      <c r="N41" s="13" t="str">
        <f>VLOOKUP(H41,基础数据!G:H,2,FALSE)</f>
        <v>SR146Ⅰ后缘</v>
      </c>
    </row>
    <row r="42" spans="1:14" s="12" customFormat="1">
      <c r="A42" s="11">
        <v>1680</v>
      </c>
      <c r="B42" s="13" t="str">
        <f>VLOOKUP(A42,基础数据!A:B,2,FALSE)</f>
        <v>大丰</v>
      </c>
      <c r="C42" s="10">
        <v>44069</v>
      </c>
      <c r="D42" s="9"/>
      <c r="E42" s="9">
        <v>4500067613</v>
      </c>
      <c r="F42" s="9"/>
      <c r="G42" s="11">
        <v>1120001949</v>
      </c>
      <c r="H42" s="9" t="s">
        <v>13</v>
      </c>
      <c r="I42" s="11">
        <v>2</v>
      </c>
      <c r="J42" s="11">
        <v>10492</v>
      </c>
      <c r="K42" s="11"/>
      <c r="L42" s="10">
        <v>44069</v>
      </c>
      <c r="M42" s="9" t="s">
        <v>1245</v>
      </c>
      <c r="N42" s="13" t="str">
        <f>VLOOKUP(H42,基础数据!G:H,2,FALSE)</f>
        <v>SR146Ⅰ大梁</v>
      </c>
    </row>
    <row r="43" spans="1:14" s="12" customFormat="1">
      <c r="A43" s="11">
        <v>1680</v>
      </c>
      <c r="B43" s="13" t="str">
        <f>VLOOKUP(A43,基础数据!A:B,2,FALSE)</f>
        <v>大丰</v>
      </c>
      <c r="C43" s="10">
        <v>44069</v>
      </c>
      <c r="D43" s="9"/>
      <c r="E43" s="9">
        <v>4500067613</v>
      </c>
      <c r="F43" s="9"/>
      <c r="G43" s="11">
        <v>1120000149</v>
      </c>
      <c r="H43" s="9" t="s">
        <v>9</v>
      </c>
      <c r="I43" s="11"/>
      <c r="J43" s="11">
        <v>4560</v>
      </c>
      <c r="K43" s="11"/>
      <c r="L43" s="10">
        <v>44069</v>
      </c>
      <c r="M43" s="9" t="s">
        <v>921</v>
      </c>
      <c r="N43" s="13" t="str">
        <f>VLOOKUP(H43,基础数据!G:H,2,FALSE)</f>
        <v>TTX1500H-2.54-100</v>
      </c>
    </row>
    <row r="44" spans="1:14" s="12" customFormat="1">
      <c r="A44" s="11">
        <v>1680</v>
      </c>
      <c r="B44" s="13" t="str">
        <f>VLOOKUP(A44,基础数据!A:B,2,FALSE)</f>
        <v>大丰</v>
      </c>
      <c r="C44" s="10">
        <v>44069</v>
      </c>
      <c r="D44" s="9"/>
      <c r="E44" s="9">
        <v>4500067614</v>
      </c>
      <c r="F44" s="9"/>
      <c r="G44" s="11">
        <v>1120002854</v>
      </c>
      <c r="H44" s="9" t="s">
        <v>94</v>
      </c>
      <c r="I44" s="11"/>
      <c r="J44" s="11">
        <v>7650</v>
      </c>
      <c r="K44" s="11"/>
      <c r="L44" s="10">
        <v>44069</v>
      </c>
      <c r="M44" s="9" t="s">
        <v>922</v>
      </c>
      <c r="N44" s="13" t="str">
        <f>VLOOKUP(H44,基础数据!G:H,2,FALSE)</f>
        <v>TLX1215-2.54-100</v>
      </c>
    </row>
    <row r="45" spans="1:14" s="12" customFormat="1">
      <c r="A45" s="11">
        <v>1680</v>
      </c>
      <c r="B45" s="13" t="str">
        <f>VLOOKUP(A45,基础数据!A:B,2,FALSE)</f>
        <v>大丰</v>
      </c>
      <c r="C45" s="10">
        <v>44069</v>
      </c>
      <c r="D45" s="9"/>
      <c r="E45" s="9">
        <v>4500067613</v>
      </c>
      <c r="F45" s="9"/>
      <c r="G45" s="11">
        <v>1120001948</v>
      </c>
      <c r="H45" s="9" t="s">
        <v>14</v>
      </c>
      <c r="I45" s="11">
        <v>2</v>
      </c>
      <c r="J45" s="11">
        <v>1806</v>
      </c>
      <c r="K45" s="11"/>
      <c r="L45" s="10">
        <v>44069</v>
      </c>
      <c r="M45" s="9" t="s">
        <v>1246</v>
      </c>
      <c r="N45" s="13" t="str">
        <f>VLOOKUP(H45,基础数据!G:H,2,FALSE)</f>
        <v>SR146Ⅰ后缘</v>
      </c>
    </row>
    <row r="46" spans="1:14" s="12" customFormat="1">
      <c r="A46" s="11">
        <v>1680</v>
      </c>
      <c r="B46" s="13" t="str">
        <f>VLOOKUP(A46,基础数据!A:B,2,FALSE)</f>
        <v>大丰</v>
      </c>
      <c r="C46" s="10">
        <v>44069</v>
      </c>
      <c r="D46" s="9"/>
      <c r="E46" s="9">
        <v>4500067613</v>
      </c>
      <c r="F46" s="9"/>
      <c r="G46" s="11">
        <v>1120001949</v>
      </c>
      <c r="H46" s="9" t="s">
        <v>13</v>
      </c>
      <c r="I46" s="11">
        <v>2</v>
      </c>
      <c r="J46" s="11">
        <v>10492</v>
      </c>
      <c r="K46" s="11"/>
      <c r="L46" s="10">
        <v>44069</v>
      </c>
      <c r="M46" s="9" t="s">
        <v>1247</v>
      </c>
      <c r="N46" s="13" t="str">
        <f>VLOOKUP(H46,基础数据!G:H,2,FALSE)</f>
        <v>SR146Ⅰ大梁</v>
      </c>
    </row>
    <row r="47" spans="1:14" s="12" customFormat="1">
      <c r="A47" s="11">
        <v>1680</v>
      </c>
      <c r="B47" s="13" t="str">
        <f>VLOOKUP(A47,基础数据!A:B,2,FALSE)</f>
        <v>大丰</v>
      </c>
      <c r="C47" s="10">
        <v>44069</v>
      </c>
      <c r="D47" s="9"/>
      <c r="E47" s="9">
        <v>4500067613</v>
      </c>
      <c r="F47" s="9"/>
      <c r="G47" s="11">
        <v>1120002747</v>
      </c>
      <c r="H47" s="9" t="s">
        <v>289</v>
      </c>
      <c r="I47" s="11">
        <v>2</v>
      </c>
      <c r="J47" s="11">
        <v>1172</v>
      </c>
      <c r="K47" s="11"/>
      <c r="L47" s="10">
        <v>44069</v>
      </c>
      <c r="M47" s="9" t="s">
        <v>1248</v>
      </c>
      <c r="N47" s="13" t="str">
        <f>VLOOKUP(H47,基础数据!G:H,2,FALSE)</f>
        <v>SR146Ⅱ后缘</v>
      </c>
    </row>
    <row r="48" spans="1:14" s="12" customFormat="1">
      <c r="A48" s="11">
        <v>1680</v>
      </c>
      <c r="B48" s="13" t="str">
        <f>VLOOKUP(A48,基础数据!A:B,2,FALSE)</f>
        <v>大丰</v>
      </c>
      <c r="C48" s="10">
        <v>44069</v>
      </c>
      <c r="D48" s="9"/>
      <c r="E48" s="9">
        <v>4500067613</v>
      </c>
      <c r="F48" s="9"/>
      <c r="G48" s="11">
        <v>1120002772</v>
      </c>
      <c r="H48" s="9" t="s">
        <v>492</v>
      </c>
      <c r="I48" s="11">
        <v>5</v>
      </c>
      <c r="J48" s="11">
        <v>9125</v>
      </c>
      <c r="K48" s="11"/>
      <c r="L48" s="10">
        <v>44069</v>
      </c>
      <c r="M48" s="9" t="s">
        <v>925</v>
      </c>
      <c r="N48" s="13" t="str">
        <f>VLOOKUP(H48,基础数据!G:H,2,FALSE)</f>
        <v>GW171后缘</v>
      </c>
    </row>
    <row r="49" spans="1:14" s="12" customFormat="1">
      <c r="A49" s="11">
        <v>1680</v>
      </c>
      <c r="B49" s="13" t="str">
        <f>VLOOKUP(A49,基础数据!A:B,2,FALSE)</f>
        <v>大丰</v>
      </c>
      <c r="C49" s="10">
        <v>44069</v>
      </c>
      <c r="D49" s="9"/>
      <c r="E49" s="9">
        <v>4500067613</v>
      </c>
      <c r="F49" s="9"/>
      <c r="G49" s="11">
        <v>1120001948</v>
      </c>
      <c r="H49" s="9" t="s">
        <v>14</v>
      </c>
      <c r="I49" s="11">
        <v>6</v>
      </c>
      <c r="J49" s="11">
        <v>5418</v>
      </c>
      <c r="K49" s="11"/>
      <c r="L49" s="10">
        <v>44069</v>
      </c>
      <c r="M49" s="9" t="s">
        <v>1249</v>
      </c>
      <c r="N49" s="13" t="str">
        <f>VLOOKUP(H49,基础数据!G:H,2,FALSE)</f>
        <v>SR146Ⅰ后缘</v>
      </c>
    </row>
    <row r="50" spans="1:14" s="12" customFormat="1">
      <c r="A50" s="11">
        <v>1680</v>
      </c>
      <c r="B50" s="13" t="str">
        <f>VLOOKUP(A50,基础数据!A:B,2,FALSE)</f>
        <v>大丰</v>
      </c>
      <c r="C50" s="10">
        <v>44069</v>
      </c>
      <c r="D50" s="9"/>
      <c r="E50" s="9">
        <v>4500067613</v>
      </c>
      <c r="F50" s="9"/>
      <c r="G50" s="11">
        <v>1120001949</v>
      </c>
      <c r="H50" s="9" t="s">
        <v>13</v>
      </c>
      <c r="I50" s="11">
        <v>2</v>
      </c>
      <c r="J50" s="11">
        <v>10492</v>
      </c>
      <c r="K50" s="11"/>
      <c r="L50" s="10">
        <v>44069</v>
      </c>
      <c r="M50" s="9" t="s">
        <v>1250</v>
      </c>
      <c r="N50" s="13" t="str">
        <f>VLOOKUP(H50,基础数据!G:H,2,FALSE)</f>
        <v>SR146Ⅰ大梁</v>
      </c>
    </row>
    <row r="51" spans="1:14" s="12" customFormat="1">
      <c r="A51" s="11">
        <v>1680</v>
      </c>
      <c r="B51" s="13" t="str">
        <f>VLOOKUP(A51,基础数据!A:B,2,FALSE)</f>
        <v>大丰</v>
      </c>
      <c r="C51" s="10">
        <v>44069</v>
      </c>
      <c r="D51" s="9"/>
      <c r="E51" s="9">
        <v>4500067613</v>
      </c>
      <c r="F51" s="9"/>
      <c r="G51" s="11">
        <v>1120002746</v>
      </c>
      <c r="H51" s="9" t="s">
        <v>288</v>
      </c>
      <c r="I51" s="11">
        <v>2</v>
      </c>
      <c r="J51" s="11">
        <v>7008</v>
      </c>
      <c r="K51" s="11"/>
      <c r="L51" s="10">
        <v>44069</v>
      </c>
      <c r="M51" s="9" t="s">
        <v>1251</v>
      </c>
      <c r="N51" s="13" t="str">
        <f>VLOOKUP(H51,基础数据!G:H,2,FALSE)</f>
        <v>SR146Ⅱ大梁</v>
      </c>
    </row>
    <row r="52" spans="1:14" s="12" customFormat="1">
      <c r="A52" s="11">
        <v>1680</v>
      </c>
      <c r="B52" s="13" t="str">
        <f>VLOOKUP(A52,基础数据!A:B,2,FALSE)</f>
        <v>大丰</v>
      </c>
      <c r="C52" s="10">
        <v>44074</v>
      </c>
      <c r="D52" s="9"/>
      <c r="E52" s="11">
        <v>4500069040</v>
      </c>
      <c r="F52" s="9"/>
      <c r="G52" s="11">
        <v>1120001035</v>
      </c>
      <c r="H52" s="9" t="s">
        <v>12</v>
      </c>
      <c r="I52" s="11"/>
      <c r="J52" s="11">
        <v>3210</v>
      </c>
      <c r="K52" s="11"/>
      <c r="L52" s="10">
        <v>44099</v>
      </c>
      <c r="M52" s="9" t="s">
        <v>926</v>
      </c>
      <c r="N52" s="13" t="str">
        <f>VLOOKUP(H52,基础数据!G:H,2,FALSE)</f>
        <v>TLX1250-2.54-100</v>
      </c>
    </row>
    <row r="53" spans="1:14" s="12" customFormat="1">
      <c r="A53" s="11">
        <v>1680</v>
      </c>
      <c r="B53" s="13" t="str">
        <f>VLOOKUP(A53,基础数据!A:B,2,FALSE)</f>
        <v>大丰</v>
      </c>
      <c r="C53" s="10">
        <v>44069</v>
      </c>
      <c r="D53" s="9"/>
      <c r="E53" s="9">
        <v>4500067613</v>
      </c>
      <c r="F53" s="9"/>
      <c r="G53" s="11">
        <v>1120002746</v>
      </c>
      <c r="H53" s="9" t="s">
        <v>288</v>
      </c>
      <c r="I53" s="11">
        <v>2</v>
      </c>
      <c r="J53" s="11">
        <v>7008</v>
      </c>
      <c r="K53" s="11"/>
      <c r="L53" s="10">
        <v>44069</v>
      </c>
      <c r="M53" s="9" t="s">
        <v>1252</v>
      </c>
      <c r="N53" s="13" t="str">
        <f>VLOOKUP(H53,基础数据!G:H,2,FALSE)</f>
        <v>SR146Ⅱ大梁</v>
      </c>
    </row>
    <row r="54" spans="1:14" s="12" customFormat="1">
      <c r="A54" s="11">
        <v>1680</v>
      </c>
      <c r="B54" s="13" t="str">
        <f>VLOOKUP(A54,基础数据!A:B,2,FALSE)</f>
        <v>大丰</v>
      </c>
      <c r="C54" s="10">
        <v>44069</v>
      </c>
      <c r="D54" s="9"/>
      <c r="E54" s="9">
        <v>4500067613</v>
      </c>
      <c r="F54" s="9"/>
      <c r="G54" s="11">
        <v>1120001949</v>
      </c>
      <c r="H54" s="9" t="s">
        <v>13</v>
      </c>
      <c r="I54" s="11">
        <v>2</v>
      </c>
      <c r="J54" s="11">
        <v>10492</v>
      </c>
      <c r="K54" s="11"/>
      <c r="L54" s="10">
        <v>44069</v>
      </c>
      <c r="M54" s="9" t="s">
        <v>1253</v>
      </c>
      <c r="N54" s="13" t="str">
        <f>VLOOKUP(H54,基础数据!G:H,2,FALSE)</f>
        <v>SR146Ⅰ大梁</v>
      </c>
    </row>
    <row r="55" spans="1:14" s="12" customFormat="1">
      <c r="A55" s="11">
        <v>1680</v>
      </c>
      <c r="B55" s="13" t="str">
        <f>VLOOKUP(A55,基础数据!A:B,2,FALSE)</f>
        <v>大丰</v>
      </c>
      <c r="C55" s="10">
        <v>44069</v>
      </c>
      <c r="D55" s="9"/>
      <c r="E55" s="9">
        <v>4500067613</v>
      </c>
      <c r="F55" s="9"/>
      <c r="G55" s="11">
        <v>1120000149</v>
      </c>
      <c r="H55" s="9" t="s">
        <v>9</v>
      </c>
      <c r="I55" s="11"/>
      <c r="J55" s="11">
        <v>9120</v>
      </c>
      <c r="K55" s="11"/>
      <c r="L55" s="10">
        <v>44069</v>
      </c>
      <c r="M55" s="9" t="s">
        <v>929</v>
      </c>
      <c r="N55" s="13" t="str">
        <f>VLOOKUP(H55,基础数据!G:H,2,FALSE)</f>
        <v>TTX1500H-2.54-100</v>
      </c>
    </row>
    <row r="56" spans="1:14" s="12" customFormat="1">
      <c r="A56" s="11">
        <v>1680</v>
      </c>
      <c r="B56" s="13" t="str">
        <f>VLOOKUP(A56,基础数据!A:B,2,FALSE)</f>
        <v>大丰</v>
      </c>
      <c r="C56" s="10">
        <v>44069</v>
      </c>
      <c r="D56" s="9"/>
      <c r="E56" s="9">
        <v>4500067613</v>
      </c>
      <c r="F56" s="9"/>
      <c r="G56" s="11">
        <v>1120001949</v>
      </c>
      <c r="H56" s="9" t="s">
        <v>13</v>
      </c>
      <c r="I56" s="11">
        <v>2</v>
      </c>
      <c r="J56" s="11">
        <v>10492</v>
      </c>
      <c r="K56" s="11"/>
      <c r="L56" s="10">
        <v>44069</v>
      </c>
      <c r="M56" s="9" t="s">
        <v>1254</v>
      </c>
      <c r="N56" s="13" t="str">
        <f>VLOOKUP(H56,基础数据!G:H,2,FALSE)</f>
        <v>SR146Ⅰ大梁</v>
      </c>
    </row>
    <row r="57" spans="1:14" s="12" customFormat="1">
      <c r="A57" s="11">
        <v>1680</v>
      </c>
      <c r="B57" s="13" t="str">
        <f>VLOOKUP(A57,基础数据!A:B,2,FALSE)</f>
        <v>大丰</v>
      </c>
      <c r="C57" s="10">
        <v>44069</v>
      </c>
      <c r="D57" s="9"/>
      <c r="E57" s="9">
        <v>4500067613</v>
      </c>
      <c r="F57" s="9"/>
      <c r="G57" s="11">
        <v>1120002746</v>
      </c>
      <c r="H57" s="9" t="s">
        <v>288</v>
      </c>
      <c r="I57" s="11">
        <v>2</v>
      </c>
      <c r="J57" s="11">
        <v>7008</v>
      </c>
      <c r="K57" s="11"/>
      <c r="L57" s="10">
        <v>44069</v>
      </c>
      <c r="M57" s="9" t="s">
        <v>1255</v>
      </c>
      <c r="N57" s="13" t="str">
        <f>VLOOKUP(H57,基础数据!G:H,2,FALSE)</f>
        <v>SR146Ⅱ大梁</v>
      </c>
    </row>
    <row r="58" spans="1:14" s="12" customFormat="1">
      <c r="A58" s="11">
        <v>1680</v>
      </c>
      <c r="B58" s="13" t="str">
        <f>VLOOKUP(A58,基础数据!A:B,2,FALSE)</f>
        <v>大丰</v>
      </c>
      <c r="C58" s="10">
        <v>44069</v>
      </c>
      <c r="D58" s="9"/>
      <c r="E58" s="9">
        <v>4500067613</v>
      </c>
      <c r="F58" s="9"/>
      <c r="G58" s="11">
        <v>1120001949</v>
      </c>
      <c r="H58" s="9" t="s">
        <v>13</v>
      </c>
      <c r="I58" s="11">
        <v>2</v>
      </c>
      <c r="J58" s="11">
        <v>10492</v>
      </c>
      <c r="K58" s="11"/>
      <c r="L58" s="10">
        <v>44069</v>
      </c>
      <c r="M58" s="9" t="s">
        <v>1256</v>
      </c>
      <c r="N58" s="13" t="str">
        <f>VLOOKUP(H58,基础数据!G:H,2,FALSE)</f>
        <v>SR146Ⅰ大梁</v>
      </c>
    </row>
    <row r="59" spans="1:14" s="12" customFormat="1">
      <c r="A59" s="11">
        <v>1680</v>
      </c>
      <c r="B59" s="13" t="str">
        <f>VLOOKUP(A59,基础数据!A:B,2,FALSE)</f>
        <v>大丰</v>
      </c>
      <c r="C59" s="10">
        <v>44069</v>
      </c>
      <c r="D59" s="9"/>
      <c r="E59" s="9">
        <v>4500067613</v>
      </c>
      <c r="F59" s="9"/>
      <c r="G59" s="11">
        <v>1120002746</v>
      </c>
      <c r="H59" s="9" t="s">
        <v>288</v>
      </c>
      <c r="I59" s="11">
        <v>2</v>
      </c>
      <c r="J59" s="11">
        <v>7008</v>
      </c>
      <c r="K59" s="11"/>
      <c r="L59" s="10">
        <v>44069</v>
      </c>
      <c r="M59" s="9" t="s">
        <v>1257</v>
      </c>
      <c r="N59" s="13" t="str">
        <f>VLOOKUP(H59,基础数据!G:H,2,FALSE)</f>
        <v>SR146Ⅱ大梁</v>
      </c>
    </row>
    <row r="60" spans="1:14" s="12" customFormat="1">
      <c r="A60" s="11">
        <v>1680</v>
      </c>
      <c r="B60" s="13" t="str">
        <f>VLOOKUP(A60,基础数据!A:B,2,FALSE)</f>
        <v>大丰</v>
      </c>
      <c r="C60" s="10">
        <v>44069</v>
      </c>
      <c r="D60" s="9"/>
      <c r="E60" s="9">
        <v>4500067613</v>
      </c>
      <c r="F60" s="9"/>
      <c r="G60" s="11">
        <v>1120002747</v>
      </c>
      <c r="H60" s="9" t="s">
        <v>289</v>
      </c>
      <c r="I60" s="11">
        <v>2</v>
      </c>
      <c r="J60" s="11">
        <v>1172</v>
      </c>
      <c r="K60" s="11"/>
      <c r="L60" s="10">
        <v>44069</v>
      </c>
      <c r="M60" s="9" t="s">
        <v>1258</v>
      </c>
      <c r="N60" s="13" t="str">
        <f>VLOOKUP(H60,基础数据!G:H,2,FALSE)</f>
        <v>SR146Ⅱ后缘</v>
      </c>
    </row>
    <row r="61" spans="1:14" s="12" customFormat="1">
      <c r="A61" s="11">
        <v>1680</v>
      </c>
      <c r="B61" s="13" t="str">
        <f>VLOOKUP(A61,基础数据!A:B,2,FALSE)</f>
        <v>大丰</v>
      </c>
      <c r="C61" s="10">
        <v>44069</v>
      </c>
      <c r="D61" s="9"/>
      <c r="E61" s="9">
        <v>4500067614</v>
      </c>
      <c r="F61" s="9"/>
      <c r="G61" s="11">
        <v>1120000145</v>
      </c>
      <c r="H61" s="9" t="s">
        <v>95</v>
      </c>
      <c r="I61" s="11"/>
      <c r="J61" s="11">
        <v>3090</v>
      </c>
      <c r="K61" s="11"/>
      <c r="L61" s="10">
        <v>44069</v>
      </c>
      <c r="M61" s="9" t="s">
        <v>944</v>
      </c>
      <c r="N61" s="13" t="str">
        <f>VLOOKUP(H61,基础数据!G:H,2,FALSE)</f>
        <v>TTX1215(45)-2.54-100</v>
      </c>
    </row>
    <row r="62" spans="1:14" s="12" customFormat="1">
      <c r="A62" s="11">
        <v>1680</v>
      </c>
      <c r="B62" s="13" t="str">
        <f>VLOOKUP(A62,基础数据!A:B,2,FALSE)</f>
        <v>大丰</v>
      </c>
      <c r="C62" s="10">
        <v>44069</v>
      </c>
      <c r="D62" s="9"/>
      <c r="E62" s="9">
        <v>4500067614</v>
      </c>
      <c r="F62" s="9"/>
      <c r="G62" s="11">
        <v>1120002854</v>
      </c>
      <c r="H62" s="9" t="s">
        <v>94</v>
      </c>
      <c r="I62" s="11"/>
      <c r="J62" s="11">
        <v>3060</v>
      </c>
      <c r="K62" s="11"/>
      <c r="L62" s="10">
        <v>44069</v>
      </c>
      <c r="M62" s="9" t="s">
        <v>945</v>
      </c>
      <c r="N62" s="13" t="str">
        <f>VLOOKUP(H62,基础数据!G:H,2,FALSE)</f>
        <v>TLX1215-2.54-100</v>
      </c>
    </row>
    <row r="63" spans="1:14" s="12" customFormat="1">
      <c r="A63" s="11">
        <v>1680</v>
      </c>
      <c r="B63" s="13" t="str">
        <f>VLOOKUP(A63,基础数据!A:B,2,FALSE)</f>
        <v>大丰</v>
      </c>
      <c r="C63" s="10">
        <v>44069</v>
      </c>
      <c r="D63" s="9"/>
      <c r="E63" s="9">
        <v>4500067613</v>
      </c>
      <c r="F63" s="9"/>
      <c r="G63" s="11">
        <v>1120000149</v>
      </c>
      <c r="H63" s="9" t="s">
        <v>9</v>
      </c>
      <c r="I63" s="11"/>
      <c r="J63" s="11">
        <v>7600</v>
      </c>
      <c r="K63" s="11"/>
      <c r="L63" s="10">
        <v>44069</v>
      </c>
      <c r="M63" s="9" t="s">
        <v>946</v>
      </c>
      <c r="N63" s="13" t="str">
        <f>VLOOKUP(H63,基础数据!G:H,2,FALSE)</f>
        <v>TTX1500H-2.54-100</v>
      </c>
    </row>
    <row r="64" spans="1:14" s="12" customFormat="1">
      <c r="A64" s="11">
        <v>1680</v>
      </c>
      <c r="B64" s="13" t="str">
        <f>VLOOKUP(A64,基础数据!A:B,2,FALSE)</f>
        <v>大丰</v>
      </c>
      <c r="C64" s="10">
        <v>44069</v>
      </c>
      <c r="D64" s="9"/>
      <c r="E64" s="9">
        <v>4500067613</v>
      </c>
      <c r="F64" s="9"/>
      <c r="G64" s="11">
        <v>1120001948</v>
      </c>
      <c r="H64" s="9" t="s">
        <v>14</v>
      </c>
      <c r="I64" s="11">
        <v>2</v>
      </c>
      <c r="J64" s="11">
        <v>1806</v>
      </c>
      <c r="K64" s="11"/>
      <c r="L64" s="10">
        <v>44069</v>
      </c>
      <c r="M64" s="9" t="s">
        <v>1259</v>
      </c>
      <c r="N64" s="13" t="str">
        <f>VLOOKUP(H64,基础数据!G:H,2,FALSE)</f>
        <v>SR146Ⅰ后缘</v>
      </c>
    </row>
    <row r="65" spans="1:14" s="12" customFormat="1">
      <c r="A65" s="11">
        <v>1680</v>
      </c>
      <c r="B65" s="13" t="str">
        <f>VLOOKUP(A65,基础数据!A:B,2,FALSE)</f>
        <v>大丰</v>
      </c>
      <c r="C65" s="10">
        <v>44069</v>
      </c>
      <c r="D65" s="9"/>
      <c r="E65" s="9">
        <v>4500067613</v>
      </c>
      <c r="F65" s="9"/>
      <c r="G65" s="11">
        <v>1120002747</v>
      </c>
      <c r="H65" s="9" t="s">
        <v>289</v>
      </c>
      <c r="I65" s="11">
        <v>2</v>
      </c>
      <c r="J65" s="11">
        <v>1172</v>
      </c>
      <c r="K65" s="11"/>
      <c r="L65" s="10">
        <v>44069</v>
      </c>
      <c r="M65" s="9" t="s">
        <v>1260</v>
      </c>
      <c r="N65" s="13" t="str">
        <f>VLOOKUP(H65,基础数据!G:H,2,FALSE)</f>
        <v>SR146Ⅱ后缘</v>
      </c>
    </row>
    <row r="66" spans="1:14" s="12" customFormat="1">
      <c r="A66" s="11">
        <v>1680</v>
      </c>
      <c r="B66" s="13" t="str">
        <f>VLOOKUP(A66,基础数据!A:B,2,FALSE)</f>
        <v>大丰</v>
      </c>
      <c r="C66" s="10">
        <v>44069</v>
      </c>
      <c r="D66" s="9"/>
      <c r="E66" s="9">
        <v>4500067613</v>
      </c>
      <c r="F66" s="9"/>
      <c r="G66" s="11">
        <v>1120001949</v>
      </c>
      <c r="H66" s="9" t="s">
        <v>13</v>
      </c>
      <c r="I66" s="11">
        <v>2</v>
      </c>
      <c r="J66" s="11">
        <v>10492</v>
      </c>
      <c r="K66" s="11"/>
      <c r="L66" s="10">
        <v>44069</v>
      </c>
      <c r="M66" s="9" t="s">
        <v>1261</v>
      </c>
      <c r="N66" s="13" t="str">
        <f>VLOOKUP(H66,基础数据!G:H,2,FALSE)</f>
        <v>SR146Ⅰ大梁</v>
      </c>
    </row>
    <row r="67" spans="1:14" s="12" customFormat="1">
      <c r="A67" s="11">
        <v>1680</v>
      </c>
      <c r="B67" s="13" t="str">
        <f>VLOOKUP(A67,基础数据!A:B,2,FALSE)</f>
        <v>大丰</v>
      </c>
      <c r="C67" s="10">
        <v>44069</v>
      </c>
      <c r="D67" s="9"/>
      <c r="E67" s="9">
        <v>4500067613</v>
      </c>
      <c r="F67" s="9"/>
      <c r="G67" s="11">
        <v>1120001948</v>
      </c>
      <c r="H67" s="9" t="s">
        <v>14</v>
      </c>
      <c r="I67" s="11">
        <f>30-2-2-1-4-2-2-2-2-6-2-2</f>
        <v>3</v>
      </c>
      <c r="J67" s="11">
        <f>27780-1806-1806-903-3612-1806-1806-1806-1806-5418-1806-1806</f>
        <v>3399</v>
      </c>
      <c r="K67" s="11"/>
      <c r="L67" s="10">
        <v>44069</v>
      </c>
      <c r="M67" s="9" t="s">
        <v>1262</v>
      </c>
      <c r="N67" s="13" t="str">
        <f>VLOOKUP(H67,基础数据!G:H,2,FALSE)</f>
        <v>SR146Ⅰ后缘</v>
      </c>
    </row>
    <row r="68" spans="1:14" s="12" customFormat="1">
      <c r="A68" s="11">
        <v>1680</v>
      </c>
      <c r="B68" s="13" t="str">
        <f>VLOOKUP(A68,基础数据!A:B,2,FALSE)</f>
        <v>大丰</v>
      </c>
      <c r="C68" s="10">
        <v>44069</v>
      </c>
      <c r="D68" s="9"/>
      <c r="E68" s="9">
        <v>4500067613</v>
      </c>
      <c r="F68" s="9"/>
      <c r="G68" s="11">
        <v>1120002747</v>
      </c>
      <c r="H68" s="9" t="s">
        <v>289</v>
      </c>
      <c r="I68" s="11">
        <v>2</v>
      </c>
      <c r="J68" s="11">
        <v>1172</v>
      </c>
      <c r="K68" s="11"/>
      <c r="L68" s="10">
        <v>44069</v>
      </c>
      <c r="M68" s="9" t="s">
        <v>1263</v>
      </c>
      <c r="N68" s="13" t="str">
        <f>VLOOKUP(H68,基础数据!G:H,2,FALSE)</f>
        <v>SR146Ⅱ后缘</v>
      </c>
    </row>
    <row r="69" spans="1:14" s="12" customFormat="1">
      <c r="A69" s="11">
        <v>1680</v>
      </c>
      <c r="B69" s="13" t="str">
        <f>VLOOKUP(A69,基础数据!A:B,2,FALSE)</f>
        <v>大丰</v>
      </c>
      <c r="C69" s="10">
        <v>44069</v>
      </c>
      <c r="D69" s="9"/>
      <c r="E69" s="9">
        <v>4500067613</v>
      </c>
      <c r="F69" s="9"/>
      <c r="G69" s="11">
        <v>1120001949</v>
      </c>
      <c r="H69" s="9" t="s">
        <v>13</v>
      </c>
      <c r="I69" s="11">
        <v>2</v>
      </c>
      <c r="J69" s="11">
        <v>10492</v>
      </c>
      <c r="K69" s="11"/>
      <c r="L69" s="10">
        <v>44069</v>
      </c>
      <c r="M69" s="9" t="s">
        <v>1264</v>
      </c>
      <c r="N69" s="13" t="str">
        <f>VLOOKUP(H69,基础数据!G:H,2,FALSE)</f>
        <v>SR146Ⅰ大梁</v>
      </c>
    </row>
    <row r="70" spans="1:14" s="12" customFormat="1">
      <c r="A70" s="11">
        <v>1680</v>
      </c>
      <c r="B70" s="13" t="str">
        <f>VLOOKUP(A70,基础数据!A:B,2,FALSE)</f>
        <v>大丰</v>
      </c>
      <c r="C70" s="10">
        <v>44069</v>
      </c>
      <c r="D70" s="9"/>
      <c r="E70" s="9">
        <v>4500067613</v>
      </c>
      <c r="F70" s="9"/>
      <c r="G70" s="11">
        <v>1120002746</v>
      </c>
      <c r="H70" s="9" t="s">
        <v>288</v>
      </c>
      <c r="I70" s="11">
        <v>2</v>
      </c>
      <c r="J70" s="11">
        <v>7008</v>
      </c>
      <c r="K70" s="11"/>
      <c r="L70" s="10">
        <v>44069</v>
      </c>
      <c r="M70" s="9" t="s">
        <v>1265</v>
      </c>
      <c r="N70" s="13" t="str">
        <f>VLOOKUP(H70,基础数据!G:H,2,FALSE)</f>
        <v>SR146Ⅱ大梁</v>
      </c>
    </row>
    <row r="71" spans="1:14" s="12" customFormat="1">
      <c r="A71" s="11">
        <v>1680</v>
      </c>
      <c r="B71" s="13" t="str">
        <f>VLOOKUP(A71,基础数据!A:B,2,FALSE)</f>
        <v>大丰</v>
      </c>
      <c r="C71" s="10">
        <v>44069</v>
      </c>
      <c r="D71" s="9"/>
      <c r="E71" s="9">
        <v>4500067613</v>
      </c>
      <c r="F71" s="9"/>
      <c r="G71" s="11">
        <v>1120001948</v>
      </c>
      <c r="H71" s="9" t="s">
        <v>14</v>
      </c>
      <c r="I71" s="11">
        <v>2</v>
      </c>
      <c r="J71" s="11">
        <v>1806</v>
      </c>
      <c r="K71" s="11"/>
      <c r="L71" s="10">
        <v>44069</v>
      </c>
      <c r="M71" s="9" t="s">
        <v>1266</v>
      </c>
      <c r="N71" s="13" t="str">
        <f>VLOOKUP(H71,基础数据!G:H,2,FALSE)</f>
        <v>SR146Ⅰ后缘</v>
      </c>
    </row>
    <row r="72" spans="1:14" s="12" customFormat="1">
      <c r="A72" s="11">
        <v>1680</v>
      </c>
      <c r="B72" s="13" t="str">
        <f>VLOOKUP(A72,基础数据!A:B,2,FALSE)</f>
        <v>大丰</v>
      </c>
      <c r="C72" s="10">
        <v>44069</v>
      </c>
      <c r="D72" s="9"/>
      <c r="E72" s="9" t="s">
        <v>955</v>
      </c>
      <c r="F72" s="9"/>
      <c r="G72" s="11">
        <v>1120002747</v>
      </c>
      <c r="H72" s="9" t="s">
        <v>289</v>
      </c>
      <c r="I72" s="11">
        <v>2</v>
      </c>
      <c r="J72" s="11">
        <v>1172</v>
      </c>
      <c r="K72" s="11"/>
      <c r="L72" s="10">
        <v>44069</v>
      </c>
      <c r="M72" s="9" t="s">
        <v>1267</v>
      </c>
      <c r="N72" s="13" t="str">
        <f>VLOOKUP(H72,基础数据!G:H,2,FALSE)</f>
        <v>SR146Ⅱ后缘</v>
      </c>
    </row>
    <row r="73" spans="1:14" s="12" customFormat="1">
      <c r="A73" s="11">
        <v>1680</v>
      </c>
      <c r="B73" s="13" t="str">
        <f>VLOOKUP(A73,基础数据!A:B,2,FALSE)</f>
        <v>大丰</v>
      </c>
      <c r="C73" s="10">
        <v>44069</v>
      </c>
      <c r="D73" s="9"/>
      <c r="E73" s="9">
        <v>4500067613</v>
      </c>
      <c r="F73" s="9"/>
      <c r="G73" s="11">
        <v>1120001949</v>
      </c>
      <c r="H73" s="9" t="s">
        <v>13</v>
      </c>
      <c r="I73" s="11">
        <v>2</v>
      </c>
      <c r="J73" s="11">
        <v>10492</v>
      </c>
      <c r="K73" s="11"/>
      <c r="L73" s="10">
        <v>44069</v>
      </c>
      <c r="M73" s="9" t="s">
        <v>1268</v>
      </c>
      <c r="N73" s="13" t="str">
        <f>VLOOKUP(H73,基础数据!G:H,2,FALSE)</f>
        <v>SR146Ⅰ大梁</v>
      </c>
    </row>
    <row r="74" spans="1:14" s="12" customFormat="1">
      <c r="A74" s="11">
        <v>1680</v>
      </c>
      <c r="B74" s="13" t="str">
        <f>VLOOKUP(A74,基础数据!A:B,2,FALSE)</f>
        <v>大丰</v>
      </c>
      <c r="C74" s="10">
        <v>44069</v>
      </c>
      <c r="D74" s="9"/>
      <c r="E74" s="9">
        <v>4500067613</v>
      </c>
      <c r="F74" s="9"/>
      <c r="G74" s="11">
        <v>1120002746</v>
      </c>
      <c r="H74" s="9" t="s">
        <v>288</v>
      </c>
      <c r="I74" s="11">
        <v>2</v>
      </c>
      <c r="J74" s="11">
        <v>7008</v>
      </c>
      <c r="K74" s="11"/>
      <c r="L74" s="10">
        <v>44069</v>
      </c>
      <c r="M74" s="9" t="s">
        <v>1269</v>
      </c>
      <c r="N74" s="13" t="str">
        <f>VLOOKUP(H74,基础数据!G:H,2,FALSE)</f>
        <v>SR146Ⅱ大梁</v>
      </c>
    </row>
    <row r="75" spans="1:14" s="12" customFormat="1">
      <c r="A75" s="11">
        <v>1680</v>
      </c>
      <c r="B75" s="13" t="str">
        <f>VLOOKUP(A75,基础数据!A:B,2,FALSE)</f>
        <v>大丰</v>
      </c>
      <c r="C75" s="10">
        <v>44069</v>
      </c>
      <c r="D75" s="9"/>
      <c r="E75" s="9">
        <v>4500067613</v>
      </c>
      <c r="F75" s="9"/>
      <c r="G75" s="11">
        <v>1120000149</v>
      </c>
      <c r="H75" s="9" t="s">
        <v>9</v>
      </c>
      <c r="I75" s="11"/>
      <c r="J75" s="11">
        <v>9120</v>
      </c>
      <c r="K75" s="11"/>
      <c r="L75" s="10">
        <v>44069</v>
      </c>
      <c r="M75" s="9" t="s">
        <v>952</v>
      </c>
      <c r="N75" s="13" t="str">
        <f>VLOOKUP(H75,基础数据!G:H,2,FALSE)</f>
        <v>TTX1500H-2.54-100</v>
      </c>
    </row>
    <row r="76" spans="1:14" s="12" customFormat="1">
      <c r="A76" s="11">
        <v>1680</v>
      </c>
      <c r="B76" s="13" t="str">
        <f>VLOOKUP(A76,基础数据!A:B,2,FALSE)</f>
        <v>大丰</v>
      </c>
      <c r="C76" s="10">
        <v>44069</v>
      </c>
      <c r="D76" s="9"/>
      <c r="E76" s="9">
        <v>4500067614</v>
      </c>
      <c r="F76" s="9"/>
      <c r="G76" s="11">
        <v>1120000145</v>
      </c>
      <c r="H76" s="9" t="s">
        <v>95</v>
      </c>
      <c r="I76" s="11"/>
      <c r="J76" s="11">
        <v>1545</v>
      </c>
      <c r="K76" s="11"/>
      <c r="L76" s="10">
        <v>44069</v>
      </c>
      <c r="M76" s="9" t="s">
        <v>953</v>
      </c>
      <c r="N76" s="13" t="str">
        <f>VLOOKUP(H76,基础数据!G:H,2,FALSE)</f>
        <v>TTX1215(45)-2.54-100</v>
      </c>
    </row>
    <row r="77" spans="1:14" s="12" customFormat="1">
      <c r="A77" s="11">
        <v>1680</v>
      </c>
      <c r="B77" s="13" t="str">
        <f>VLOOKUP(A77,基础数据!A:B,2,FALSE)</f>
        <v>大丰</v>
      </c>
      <c r="C77" s="10">
        <v>44069</v>
      </c>
      <c r="D77" s="9"/>
      <c r="E77" s="9">
        <v>4500067614</v>
      </c>
      <c r="F77" s="9"/>
      <c r="G77" s="11">
        <v>1120002854</v>
      </c>
      <c r="H77" s="9" t="s">
        <v>94</v>
      </c>
      <c r="I77" s="11"/>
      <c r="J77" s="11">
        <v>3060</v>
      </c>
      <c r="K77" s="11"/>
      <c r="L77" s="10">
        <v>44069</v>
      </c>
      <c r="M77" s="9" t="s">
        <v>954</v>
      </c>
      <c r="N77" s="13" t="str">
        <f>VLOOKUP(H77,基础数据!G:H,2,FALSE)</f>
        <v>TLX1215-2.54-100</v>
      </c>
    </row>
    <row r="78" spans="1:14" s="12" customFormat="1">
      <c r="A78" s="11">
        <v>1680</v>
      </c>
      <c r="B78" s="13" t="str">
        <f>VLOOKUP(A78,基础数据!A:B,2,FALSE)</f>
        <v>大丰</v>
      </c>
      <c r="C78" s="10">
        <v>44078</v>
      </c>
      <c r="D78" s="9"/>
      <c r="E78" s="11">
        <v>4500069406</v>
      </c>
      <c r="F78" s="9"/>
      <c r="G78" s="11">
        <v>1120001948</v>
      </c>
      <c r="H78" s="9" t="s">
        <v>14</v>
      </c>
      <c r="I78" s="11">
        <v>6</v>
      </c>
      <c r="J78" s="11">
        <v>5418</v>
      </c>
      <c r="K78" s="11"/>
      <c r="L78" s="10">
        <v>44092</v>
      </c>
      <c r="M78" s="9" t="s">
        <v>961</v>
      </c>
      <c r="N78" s="13" t="str">
        <f>VLOOKUP(H78,基础数据!G:H,2,FALSE)</f>
        <v>SR146Ⅰ后缘</v>
      </c>
    </row>
    <row r="79" spans="1:14" s="12" customFormat="1" ht="13.5" customHeight="1">
      <c r="A79" s="11">
        <v>1680</v>
      </c>
      <c r="B79" s="13" t="str">
        <f>VLOOKUP(A79,基础数据!A:B,2,FALSE)</f>
        <v>大丰</v>
      </c>
      <c r="C79" s="10">
        <v>44069</v>
      </c>
      <c r="D79" s="9"/>
      <c r="E79" s="9">
        <v>4500067613</v>
      </c>
      <c r="F79" s="9"/>
      <c r="G79" s="11">
        <v>1120002747</v>
      </c>
      <c r="H79" s="9" t="s">
        <v>289</v>
      </c>
      <c r="I79" s="11">
        <v>6</v>
      </c>
      <c r="J79" s="11">
        <v>3516</v>
      </c>
      <c r="K79" s="11"/>
      <c r="L79" s="10">
        <v>44069</v>
      </c>
      <c r="M79" s="9" t="s">
        <v>1270</v>
      </c>
      <c r="N79" s="13" t="str">
        <f>VLOOKUP(H79,基础数据!G:H,2,FALSE)</f>
        <v>SR146Ⅱ后缘</v>
      </c>
    </row>
    <row r="80" spans="1:14" s="12" customFormat="1">
      <c r="A80" s="11">
        <v>1680</v>
      </c>
      <c r="B80" s="13" t="str">
        <f>VLOOKUP(A80,基础数据!A:B,2,FALSE)</f>
        <v>大丰</v>
      </c>
      <c r="C80" s="10">
        <v>44069</v>
      </c>
      <c r="D80" s="9"/>
      <c r="E80" s="9">
        <v>4500067613</v>
      </c>
      <c r="F80" s="9"/>
      <c r="G80" s="11">
        <v>1120001949</v>
      </c>
      <c r="H80" s="9" t="s">
        <v>13</v>
      </c>
      <c r="I80" s="11">
        <f>30-2-2-2-2-2-2-2-2-2-2-2-2-2-2</f>
        <v>2</v>
      </c>
      <c r="J80" s="11">
        <f>157860-10492-10492-10492-10492-10492-10492-10492-10492-10492-10492-10492-10492-10492-10492</f>
        <v>10972</v>
      </c>
      <c r="K80" s="11"/>
      <c r="L80" s="10">
        <v>44069</v>
      </c>
      <c r="M80" s="9" t="s">
        <v>1271</v>
      </c>
      <c r="N80" s="13" t="str">
        <f>VLOOKUP(H80,基础数据!G:H,2,FALSE)</f>
        <v>SR146Ⅰ大梁</v>
      </c>
    </row>
    <row r="81" spans="1:14" s="12" customFormat="1" ht="12.75" customHeight="1">
      <c r="A81" s="11">
        <v>1680</v>
      </c>
      <c r="B81" s="13" t="str">
        <f>VLOOKUP(A81,基础数据!A:B,2,FALSE)</f>
        <v>大丰</v>
      </c>
      <c r="C81" s="10">
        <v>44069</v>
      </c>
      <c r="D81" s="9"/>
      <c r="E81" s="9">
        <v>4500067613</v>
      </c>
      <c r="F81" s="9"/>
      <c r="G81" s="11">
        <v>1120002746</v>
      </c>
      <c r="H81" s="9" t="s">
        <v>288</v>
      </c>
      <c r="I81" s="11">
        <v>2</v>
      </c>
      <c r="J81" s="11">
        <v>7008</v>
      </c>
      <c r="K81" s="11"/>
      <c r="L81" s="10">
        <v>44069</v>
      </c>
      <c r="M81" s="9" t="s">
        <v>1272</v>
      </c>
      <c r="N81" s="13" t="str">
        <f>VLOOKUP(H81,基础数据!G:H,2,FALSE)</f>
        <v>SR146Ⅱ大梁</v>
      </c>
    </row>
    <row r="82" spans="1:14" s="12" customFormat="1">
      <c r="A82" s="11">
        <v>1680</v>
      </c>
      <c r="B82" s="13" t="str">
        <f>VLOOKUP(A82,基础数据!A:B,2,FALSE)</f>
        <v>大丰</v>
      </c>
      <c r="C82" s="10">
        <v>44074</v>
      </c>
      <c r="D82" s="9"/>
      <c r="E82" s="11">
        <v>4500069040</v>
      </c>
      <c r="F82" s="9"/>
      <c r="G82" s="11">
        <v>1120001035</v>
      </c>
      <c r="H82" s="9" t="s">
        <v>12</v>
      </c>
      <c r="I82" s="11"/>
      <c r="J82" s="11">
        <v>7925</v>
      </c>
      <c r="K82" s="11"/>
      <c r="L82" s="10">
        <v>44099</v>
      </c>
      <c r="M82" s="9" t="s">
        <v>962</v>
      </c>
      <c r="N82" s="13" t="str">
        <f>VLOOKUP(H82,基础数据!G:H,2,FALSE)</f>
        <v>TLX1250-2.54-100</v>
      </c>
    </row>
    <row r="83" spans="1:14" s="12" customFormat="1">
      <c r="A83" s="11">
        <v>1680</v>
      </c>
      <c r="B83" s="13" t="str">
        <f>VLOOKUP(A83,基础数据!A:B,2,FALSE)</f>
        <v>大丰</v>
      </c>
      <c r="C83" s="10">
        <v>44078</v>
      </c>
      <c r="D83" s="9"/>
      <c r="E83" s="11">
        <v>4500069406</v>
      </c>
      <c r="F83" s="9"/>
      <c r="G83" s="11">
        <v>1120001949</v>
      </c>
      <c r="H83" s="9" t="s">
        <v>13</v>
      </c>
      <c r="I83" s="11">
        <v>2</v>
      </c>
      <c r="J83" s="11">
        <v>10494</v>
      </c>
      <c r="K83" s="11"/>
      <c r="L83" s="10">
        <v>44092</v>
      </c>
      <c r="M83" s="9" t="s">
        <v>967</v>
      </c>
      <c r="N83" s="13" t="str">
        <f>VLOOKUP(H83,基础数据!G:H,2,FALSE)</f>
        <v>SR146Ⅰ大梁</v>
      </c>
    </row>
    <row r="84" spans="1:14" s="12" customFormat="1">
      <c r="A84" s="11">
        <v>1680</v>
      </c>
      <c r="B84" s="13" t="str">
        <f>VLOOKUP(A84,基础数据!A:B,2,FALSE)</f>
        <v>大丰</v>
      </c>
      <c r="C84" s="10">
        <v>44069</v>
      </c>
      <c r="D84" s="9"/>
      <c r="E84" s="9">
        <v>4500067613</v>
      </c>
      <c r="F84" s="9"/>
      <c r="G84" s="11">
        <v>1120002746</v>
      </c>
      <c r="H84" s="9" t="s">
        <v>288</v>
      </c>
      <c r="I84" s="11">
        <v>2</v>
      </c>
      <c r="J84" s="11">
        <v>7008</v>
      </c>
      <c r="K84" s="11"/>
      <c r="L84" s="10">
        <v>44069</v>
      </c>
      <c r="M84" s="9" t="s">
        <v>1273</v>
      </c>
      <c r="N84" s="13" t="str">
        <f>VLOOKUP(H84,基础数据!G:H,2,FALSE)</f>
        <v>SR146Ⅱ大梁</v>
      </c>
    </row>
    <row r="85" spans="1:14" s="12" customFormat="1">
      <c r="A85" s="11">
        <v>1680</v>
      </c>
      <c r="B85" s="13" t="str">
        <f>VLOOKUP(A85,基础数据!A:B,2,FALSE)</f>
        <v>大丰</v>
      </c>
      <c r="C85" s="10">
        <v>44069</v>
      </c>
      <c r="D85" s="9"/>
      <c r="E85" s="9">
        <v>4500067613</v>
      </c>
      <c r="F85" s="9"/>
      <c r="G85" s="11">
        <v>1120000149</v>
      </c>
      <c r="H85" s="9" t="s">
        <v>9</v>
      </c>
      <c r="I85" s="11"/>
      <c r="J85" s="11">
        <v>15200</v>
      </c>
      <c r="K85" s="11"/>
      <c r="L85" s="10">
        <v>44069</v>
      </c>
      <c r="M85" s="9" t="s">
        <v>968</v>
      </c>
      <c r="N85" s="13" t="str">
        <f>VLOOKUP(H85,基础数据!G:H,2,FALSE)</f>
        <v>TTX1500H-2.54-100</v>
      </c>
    </row>
    <row r="86" spans="1:14" s="12" customFormat="1">
      <c r="A86" s="11">
        <v>1680</v>
      </c>
      <c r="B86" s="13" t="str">
        <f>VLOOKUP(A86,基础数据!A:B,2,FALSE)</f>
        <v>大丰</v>
      </c>
      <c r="C86" s="10">
        <v>44069</v>
      </c>
      <c r="D86" s="9"/>
      <c r="E86" s="9">
        <v>4500067614</v>
      </c>
      <c r="F86" s="9"/>
      <c r="G86" s="11">
        <v>1120000145</v>
      </c>
      <c r="H86" s="9" t="s">
        <v>95</v>
      </c>
      <c r="I86" s="11"/>
      <c r="J86" s="11">
        <f>7965-3090-1545</f>
        <v>3330</v>
      </c>
      <c r="K86" s="11"/>
      <c r="L86" s="10">
        <v>44069</v>
      </c>
      <c r="M86" s="9" t="s">
        <v>969</v>
      </c>
      <c r="N86" s="13" t="str">
        <f>VLOOKUP(H86,基础数据!G:H,2,FALSE)</f>
        <v>TTX1215(45)-2.54-100</v>
      </c>
    </row>
    <row r="87" spans="1:14" s="12" customFormat="1">
      <c r="A87" s="11">
        <v>1680</v>
      </c>
      <c r="B87" s="13" t="str">
        <f>VLOOKUP(A87,基础数据!A:B,2,FALSE)</f>
        <v>大丰</v>
      </c>
      <c r="C87" s="10">
        <v>44078</v>
      </c>
      <c r="D87" s="9"/>
      <c r="E87" s="11">
        <v>4500069406</v>
      </c>
      <c r="F87" s="9"/>
      <c r="G87" s="11">
        <v>1120001949</v>
      </c>
      <c r="H87" s="9" t="s">
        <v>13</v>
      </c>
      <c r="I87" s="11">
        <v>2</v>
      </c>
      <c r="J87" s="11">
        <v>10494</v>
      </c>
      <c r="K87" s="11"/>
      <c r="L87" s="10">
        <v>44092</v>
      </c>
      <c r="M87" s="9" t="s">
        <v>1274</v>
      </c>
      <c r="N87" s="13" t="str">
        <f>VLOOKUP(H87,基础数据!G:H,2,FALSE)</f>
        <v>SR146Ⅰ大梁</v>
      </c>
    </row>
    <row r="88" spans="1:14" s="12" customFormat="1">
      <c r="A88" s="11">
        <v>1680</v>
      </c>
      <c r="B88" s="13" t="str">
        <f>VLOOKUP(A88,基础数据!A:B,2,FALSE)</f>
        <v>大丰</v>
      </c>
      <c r="C88" s="10">
        <v>44069</v>
      </c>
      <c r="D88" s="9"/>
      <c r="E88" s="9">
        <v>4500067613</v>
      </c>
      <c r="F88" s="9"/>
      <c r="G88" s="11">
        <v>1120002746</v>
      </c>
      <c r="H88" s="9" t="s">
        <v>288</v>
      </c>
      <c r="I88" s="11">
        <v>2</v>
      </c>
      <c r="J88" s="11">
        <v>7008</v>
      </c>
      <c r="K88" s="11"/>
      <c r="L88" s="10">
        <v>44069</v>
      </c>
      <c r="M88" s="9" t="s">
        <v>1275</v>
      </c>
      <c r="N88" s="13" t="str">
        <f>VLOOKUP(H88,基础数据!G:H,2,FALSE)</f>
        <v>SR146Ⅱ大梁</v>
      </c>
    </row>
    <row r="89" spans="1:14" s="12" customFormat="1">
      <c r="A89" s="11">
        <v>1680</v>
      </c>
      <c r="B89" s="13" t="str">
        <f>VLOOKUP(A89,基础数据!A:B,2,FALSE)</f>
        <v>大丰</v>
      </c>
      <c r="C89" s="10">
        <v>44069</v>
      </c>
      <c r="D89" s="9"/>
      <c r="E89" s="9">
        <v>4500067614</v>
      </c>
      <c r="F89" s="9"/>
      <c r="G89" s="11">
        <v>1120002854</v>
      </c>
      <c r="H89" s="9" t="s">
        <v>94</v>
      </c>
      <c r="I89" s="11"/>
      <c r="J89" s="11">
        <v>3060</v>
      </c>
      <c r="K89" s="11"/>
      <c r="L89" s="10">
        <v>44069</v>
      </c>
      <c r="M89" s="9" t="s">
        <v>1276</v>
      </c>
      <c r="N89" s="13" t="str">
        <f>VLOOKUP(H89,基础数据!G:H,2,FALSE)</f>
        <v>TLX1215-2.54-100</v>
      </c>
    </row>
    <row r="90" spans="1:14" s="12" customFormat="1">
      <c r="A90" s="11">
        <v>1680</v>
      </c>
      <c r="B90" s="13" t="str">
        <f>VLOOKUP(A90,基础数据!A:B,2,FALSE)</f>
        <v>大丰</v>
      </c>
      <c r="C90" s="10">
        <v>44069</v>
      </c>
      <c r="D90" s="9"/>
      <c r="E90" s="9">
        <v>4500067613</v>
      </c>
      <c r="F90" s="9"/>
      <c r="G90" s="11">
        <v>1120002772</v>
      </c>
      <c r="H90" s="9" t="s">
        <v>492</v>
      </c>
      <c r="I90" s="11">
        <v>5</v>
      </c>
      <c r="J90" s="11">
        <v>9125</v>
      </c>
      <c r="K90" s="11"/>
      <c r="L90" s="10">
        <v>44069</v>
      </c>
      <c r="M90" s="9" t="s">
        <v>974</v>
      </c>
      <c r="N90" s="13" t="str">
        <f>VLOOKUP(H90,基础数据!G:H,2,FALSE)</f>
        <v>GW171后缘</v>
      </c>
    </row>
    <row r="91" spans="1:14" s="12" customFormat="1">
      <c r="A91" s="11">
        <v>1680</v>
      </c>
      <c r="B91" s="13" t="str">
        <f>VLOOKUP(A91,基础数据!A:B,2,FALSE)</f>
        <v>大丰</v>
      </c>
      <c r="C91" s="10">
        <v>44069</v>
      </c>
      <c r="D91" s="9"/>
      <c r="E91" s="9">
        <v>4500067613</v>
      </c>
      <c r="F91" s="9"/>
      <c r="G91" s="11">
        <v>1120002747</v>
      </c>
      <c r="H91" s="9" t="s">
        <v>289</v>
      </c>
      <c r="I91" s="11">
        <v>2</v>
      </c>
      <c r="J91" s="11">
        <v>1172</v>
      </c>
      <c r="K91" s="11"/>
      <c r="L91" s="10">
        <v>44069</v>
      </c>
      <c r="M91" s="9" t="s">
        <v>1277</v>
      </c>
      <c r="N91" s="13" t="str">
        <f>VLOOKUP(H91,基础数据!G:H,2,FALSE)</f>
        <v>SR146Ⅱ后缘</v>
      </c>
    </row>
    <row r="92" spans="1:14" s="12" customFormat="1">
      <c r="A92" s="11">
        <v>1680</v>
      </c>
      <c r="B92" s="13" t="str">
        <f>VLOOKUP(A92,基础数据!A:B,2,FALSE)</f>
        <v>大丰</v>
      </c>
      <c r="C92" s="10">
        <v>44078</v>
      </c>
      <c r="D92" s="9"/>
      <c r="E92" s="11">
        <v>4500069406</v>
      </c>
      <c r="F92" s="9"/>
      <c r="G92" s="11">
        <v>1120001948</v>
      </c>
      <c r="H92" s="9" t="s">
        <v>14</v>
      </c>
      <c r="I92" s="11">
        <v>2</v>
      </c>
      <c r="J92" s="11">
        <v>1806</v>
      </c>
      <c r="K92" s="11"/>
      <c r="L92" s="10">
        <v>44092</v>
      </c>
      <c r="M92" s="9" t="s">
        <v>975</v>
      </c>
      <c r="N92" s="13" t="str">
        <f>VLOOKUP(H92,基础数据!G:H,2,FALSE)</f>
        <v>SR146Ⅰ后缘</v>
      </c>
    </row>
    <row r="93" spans="1:14" s="12" customFormat="1">
      <c r="A93" s="11">
        <v>1680</v>
      </c>
      <c r="B93" s="13" t="str">
        <f>VLOOKUP(A93,基础数据!A:B,2,FALSE)</f>
        <v>大丰</v>
      </c>
      <c r="C93" s="10">
        <v>44078</v>
      </c>
      <c r="D93" s="9"/>
      <c r="E93" s="11">
        <v>4500069406</v>
      </c>
      <c r="F93" s="9"/>
      <c r="G93" s="11">
        <v>1120001949</v>
      </c>
      <c r="H93" s="9" t="s">
        <v>13</v>
      </c>
      <c r="I93" s="11">
        <v>2</v>
      </c>
      <c r="J93" s="11">
        <v>10494</v>
      </c>
      <c r="K93" s="11"/>
      <c r="L93" s="10">
        <v>44092</v>
      </c>
      <c r="M93" s="9" t="s">
        <v>1278</v>
      </c>
      <c r="N93" s="13" t="str">
        <f>VLOOKUP(H93,基础数据!G:H,2,FALSE)</f>
        <v>SR146Ⅰ大梁</v>
      </c>
    </row>
    <row r="94" spans="1:14" s="12" customFormat="1">
      <c r="A94" s="11">
        <v>1680</v>
      </c>
      <c r="B94" s="13" t="str">
        <f>VLOOKUP(A94,基础数据!A:B,2,FALSE)</f>
        <v>大丰</v>
      </c>
      <c r="C94" s="10">
        <v>44069</v>
      </c>
      <c r="D94" s="9"/>
      <c r="E94" s="9">
        <v>4500067613</v>
      </c>
      <c r="F94" s="9"/>
      <c r="G94" s="11">
        <v>1120000149</v>
      </c>
      <c r="H94" s="9" t="s">
        <v>9</v>
      </c>
      <c r="I94" s="11"/>
      <c r="J94" s="11">
        <v>4680</v>
      </c>
      <c r="K94" s="11"/>
      <c r="L94" s="10">
        <v>44069</v>
      </c>
      <c r="M94" s="9" t="s">
        <v>976</v>
      </c>
      <c r="N94" s="13" t="str">
        <f>VLOOKUP(H94,基础数据!G:H,2,FALSE)</f>
        <v>TTX1500H-2.54-100</v>
      </c>
    </row>
    <row r="95" spans="1:14" s="12" customFormat="1">
      <c r="A95" s="11">
        <v>1680</v>
      </c>
      <c r="B95" s="13" t="str">
        <f>VLOOKUP(A95,基础数据!A:B,2,FALSE)</f>
        <v>大丰</v>
      </c>
      <c r="C95" s="10">
        <v>44074</v>
      </c>
      <c r="D95" s="9"/>
      <c r="E95" s="11">
        <v>4500069040</v>
      </c>
      <c r="F95" s="9"/>
      <c r="G95" s="11">
        <v>1120001035</v>
      </c>
      <c r="H95" s="9" t="s">
        <v>12</v>
      </c>
      <c r="I95" s="11"/>
      <c r="J95" s="11">
        <v>6340</v>
      </c>
      <c r="K95" s="11"/>
      <c r="L95" s="10">
        <v>44099</v>
      </c>
      <c r="M95" s="9" t="s">
        <v>977</v>
      </c>
      <c r="N95" s="13" t="str">
        <f>VLOOKUP(H95,基础数据!G:H,2,FALSE)</f>
        <v>TLX1250-2.54-100</v>
      </c>
    </row>
    <row r="96" spans="1:14" s="12" customFormat="1">
      <c r="A96" s="11">
        <v>1680</v>
      </c>
      <c r="B96" s="13" t="str">
        <f>VLOOKUP(A96,基础数据!A:B,2,FALSE)</f>
        <v>大丰</v>
      </c>
      <c r="C96" s="10">
        <v>44078</v>
      </c>
      <c r="D96" s="9"/>
      <c r="E96" s="11">
        <v>4500069406</v>
      </c>
      <c r="F96" s="9"/>
      <c r="G96" s="11">
        <v>1120001948</v>
      </c>
      <c r="H96" s="9" t="s">
        <v>14</v>
      </c>
      <c r="I96" s="11">
        <v>2</v>
      </c>
      <c r="J96" s="11">
        <v>1806</v>
      </c>
      <c r="K96" s="11"/>
      <c r="L96" s="10">
        <v>44092</v>
      </c>
      <c r="M96" s="9" t="s">
        <v>985</v>
      </c>
      <c r="N96" s="13" t="str">
        <f>VLOOKUP(H96,基础数据!G:H,2,FALSE)</f>
        <v>SR146Ⅰ后缘</v>
      </c>
    </row>
    <row r="97" spans="1:14" s="12" customFormat="1">
      <c r="A97" s="11">
        <v>1680</v>
      </c>
      <c r="B97" s="13" t="str">
        <f>VLOOKUP(A97,基础数据!A:B,2,FALSE)</f>
        <v>大丰</v>
      </c>
      <c r="C97" s="10">
        <v>44069</v>
      </c>
      <c r="D97" s="9"/>
      <c r="E97" s="9">
        <v>4500067613</v>
      </c>
      <c r="F97" s="9"/>
      <c r="G97" s="11">
        <v>1120002747</v>
      </c>
      <c r="H97" s="9" t="s">
        <v>289</v>
      </c>
      <c r="I97" s="11">
        <v>2</v>
      </c>
      <c r="J97" s="11">
        <v>1172</v>
      </c>
      <c r="K97" s="11"/>
      <c r="L97" s="10">
        <v>44069</v>
      </c>
      <c r="M97" s="9" t="s">
        <v>1279</v>
      </c>
      <c r="N97" s="13" t="str">
        <f>VLOOKUP(H97,基础数据!G:H,2,FALSE)</f>
        <v>SR146Ⅱ后缘</v>
      </c>
    </row>
    <row r="98" spans="1:14" s="12" customFormat="1">
      <c r="A98" s="11">
        <v>1680</v>
      </c>
      <c r="B98" s="13" t="str">
        <f>VLOOKUP(A98,基础数据!A:B,2,FALSE)</f>
        <v>大丰</v>
      </c>
      <c r="C98" s="10">
        <v>44078</v>
      </c>
      <c r="D98" s="9"/>
      <c r="E98" s="11">
        <v>4500069406</v>
      </c>
      <c r="F98" s="9"/>
      <c r="G98" s="11">
        <v>1120001949</v>
      </c>
      <c r="H98" s="9" t="s">
        <v>13</v>
      </c>
      <c r="I98" s="11">
        <v>2</v>
      </c>
      <c r="J98" s="11">
        <v>10494</v>
      </c>
      <c r="K98" s="11"/>
      <c r="L98" s="10">
        <v>44092</v>
      </c>
      <c r="M98" s="9" t="s">
        <v>1280</v>
      </c>
      <c r="N98" s="13" t="str">
        <f>VLOOKUP(H98,基础数据!G:H,2,FALSE)</f>
        <v>SR146Ⅰ大梁</v>
      </c>
    </row>
    <row r="99" spans="1:14" s="12" customFormat="1">
      <c r="A99" s="11">
        <v>1680</v>
      </c>
      <c r="B99" s="13" t="str">
        <f>VLOOKUP(A99,基础数据!A:B,2,FALSE)</f>
        <v>大丰</v>
      </c>
      <c r="C99" s="10">
        <v>44069</v>
      </c>
      <c r="D99" s="9"/>
      <c r="E99" s="9">
        <v>4500067613</v>
      </c>
      <c r="F99" s="9"/>
      <c r="G99" s="11">
        <v>1120002746</v>
      </c>
      <c r="H99" s="9" t="s">
        <v>288</v>
      </c>
      <c r="I99" s="11">
        <v>2</v>
      </c>
      <c r="J99" s="11">
        <v>7008</v>
      </c>
      <c r="K99" s="11"/>
      <c r="L99" s="10">
        <v>44069</v>
      </c>
      <c r="M99" s="9" t="s">
        <v>1281</v>
      </c>
      <c r="N99" s="13" t="str">
        <f>VLOOKUP(H99,基础数据!G:H,2,FALSE)</f>
        <v>SR146Ⅱ大梁</v>
      </c>
    </row>
    <row r="100" spans="1:14" s="12" customFormat="1">
      <c r="A100" s="11">
        <v>1680</v>
      </c>
      <c r="B100" s="13" t="str">
        <f>VLOOKUP(A100,基础数据!A:B,2,FALSE)</f>
        <v>大丰</v>
      </c>
      <c r="C100" s="10">
        <v>44069</v>
      </c>
      <c r="D100" s="9"/>
      <c r="E100" s="9">
        <v>4500067613</v>
      </c>
      <c r="F100" s="9"/>
      <c r="G100" s="11">
        <v>1120000149</v>
      </c>
      <c r="H100" s="9" t="s">
        <v>9</v>
      </c>
      <c r="I100" s="11"/>
      <c r="J100" s="11">
        <f>69480-15200-15176-4976-4560-9120-7600-9120</f>
        <v>3728</v>
      </c>
      <c r="K100" s="11"/>
      <c r="L100" s="10">
        <v>44069</v>
      </c>
      <c r="M100" s="9" t="s">
        <v>986</v>
      </c>
      <c r="N100" s="13" t="str">
        <f>VLOOKUP(H100,基础数据!G:H,2,FALSE)</f>
        <v>TTX1500H-2.54-100</v>
      </c>
    </row>
    <row r="101" spans="1:14" s="12" customFormat="1">
      <c r="A101" s="11">
        <v>1680</v>
      </c>
      <c r="B101" s="13" t="str">
        <f>VLOOKUP(A101,基础数据!A:B,2,FALSE)</f>
        <v>大丰</v>
      </c>
      <c r="C101" s="10">
        <v>44069</v>
      </c>
      <c r="D101" s="9"/>
      <c r="E101" s="9">
        <v>4500067614</v>
      </c>
      <c r="F101" s="9"/>
      <c r="G101" s="11">
        <v>1120000142</v>
      </c>
      <c r="H101" s="9" t="s">
        <v>11</v>
      </c>
      <c r="I101" s="11"/>
      <c r="J101" s="11">
        <v>8025</v>
      </c>
      <c r="K101" s="11"/>
      <c r="L101" s="10">
        <v>44069</v>
      </c>
      <c r="M101" s="9" t="s">
        <v>993</v>
      </c>
      <c r="N101" s="13" t="str">
        <f>VLOOKUP(H101,基础数据!G:H,2,FALSE)</f>
        <v>TTX1250(60)-2.54-100</v>
      </c>
    </row>
    <row r="102" spans="1:14" s="12" customFormat="1">
      <c r="A102" s="11">
        <v>1680</v>
      </c>
      <c r="B102" s="13" t="str">
        <f>VLOOKUP(A102,基础数据!A:B,2,FALSE)</f>
        <v>大丰</v>
      </c>
      <c r="C102" s="10">
        <v>44078</v>
      </c>
      <c r="D102" s="9"/>
      <c r="E102" s="11">
        <v>4500069406</v>
      </c>
      <c r="F102" s="9"/>
      <c r="G102" s="11">
        <v>1120001948</v>
      </c>
      <c r="H102" s="9" t="s">
        <v>14</v>
      </c>
      <c r="I102" s="11">
        <v>2</v>
      </c>
      <c r="J102" s="11">
        <v>1806</v>
      </c>
      <c r="K102" s="11"/>
      <c r="L102" s="10">
        <v>44092</v>
      </c>
      <c r="M102" s="9" t="s">
        <v>994</v>
      </c>
      <c r="N102" s="13" t="str">
        <f>VLOOKUP(H102,基础数据!G:H,2,FALSE)</f>
        <v>SR146Ⅰ后缘</v>
      </c>
    </row>
    <row r="103" spans="1:14" s="12" customFormat="1">
      <c r="A103" s="11">
        <v>1680</v>
      </c>
      <c r="B103" s="13" t="str">
        <f>VLOOKUP(A103,基础数据!A:B,2,FALSE)</f>
        <v>大丰</v>
      </c>
      <c r="C103" s="10">
        <v>44078</v>
      </c>
      <c r="D103" s="9"/>
      <c r="E103" s="11">
        <v>4500069406</v>
      </c>
      <c r="F103" s="9"/>
      <c r="G103" s="11">
        <v>1120001949</v>
      </c>
      <c r="H103" s="9" t="s">
        <v>13</v>
      </c>
      <c r="I103" s="11">
        <v>2</v>
      </c>
      <c r="J103" s="11">
        <v>10494</v>
      </c>
      <c r="K103" s="11"/>
      <c r="L103" s="10">
        <v>44092</v>
      </c>
      <c r="M103" s="9" t="s">
        <v>1282</v>
      </c>
      <c r="N103" s="13" t="str">
        <f>VLOOKUP(H103,基础数据!G:H,2,FALSE)</f>
        <v>SR146Ⅰ大梁</v>
      </c>
    </row>
    <row r="104" spans="1:14" s="12" customFormat="1">
      <c r="A104" s="11">
        <v>1680</v>
      </c>
      <c r="B104" s="13" t="str">
        <f>VLOOKUP(A104,基础数据!A:B,2,FALSE)</f>
        <v>大丰</v>
      </c>
      <c r="C104" s="10">
        <v>44069</v>
      </c>
      <c r="D104" s="9"/>
      <c r="E104" s="9">
        <v>4500067613</v>
      </c>
      <c r="F104" s="9"/>
      <c r="G104" s="11">
        <v>1120002747</v>
      </c>
      <c r="H104" s="9" t="s">
        <v>289</v>
      </c>
      <c r="I104" s="11">
        <v>2</v>
      </c>
      <c r="J104" s="11">
        <v>1172</v>
      </c>
      <c r="K104" s="11"/>
      <c r="L104" s="10">
        <v>44069</v>
      </c>
      <c r="M104" s="9" t="s">
        <v>1283</v>
      </c>
      <c r="N104" s="13" t="str">
        <f>VLOOKUP(H104,基础数据!G:H,2,FALSE)</f>
        <v>SR146Ⅱ后缘</v>
      </c>
    </row>
    <row r="105" spans="1:14" s="12" customFormat="1">
      <c r="A105" s="11">
        <v>1680</v>
      </c>
      <c r="B105" s="13" t="str">
        <f>VLOOKUP(A105,基础数据!A:B,2,FALSE)</f>
        <v>大丰</v>
      </c>
      <c r="C105" s="10">
        <v>44069</v>
      </c>
      <c r="D105" s="9"/>
      <c r="E105" s="9">
        <v>4500067613</v>
      </c>
      <c r="F105" s="9"/>
      <c r="G105" s="11">
        <v>1120002746</v>
      </c>
      <c r="H105" s="9" t="s">
        <v>288</v>
      </c>
      <c r="I105" s="11">
        <v>2</v>
      </c>
      <c r="J105" s="11">
        <v>7008</v>
      </c>
      <c r="K105" s="11"/>
      <c r="L105" s="10">
        <v>44069</v>
      </c>
      <c r="M105" s="9" t="s">
        <v>1284</v>
      </c>
      <c r="N105" s="13" t="str">
        <f>VLOOKUP(H105,基础数据!G:H,2,FALSE)</f>
        <v>SR146Ⅱ大梁</v>
      </c>
    </row>
    <row r="106" spans="1:14" s="12" customFormat="1">
      <c r="A106" s="11">
        <v>1680</v>
      </c>
      <c r="B106" s="13" t="str">
        <f>VLOOKUP(A106,基础数据!A:B,2,FALSE)</f>
        <v>大丰</v>
      </c>
      <c r="C106" s="10">
        <v>44069</v>
      </c>
      <c r="D106" s="9"/>
      <c r="E106" s="9">
        <v>4500067613</v>
      </c>
      <c r="F106" s="9"/>
      <c r="G106" s="11">
        <v>1120000149</v>
      </c>
      <c r="H106" s="9" t="s">
        <v>9</v>
      </c>
      <c r="I106" s="11"/>
      <c r="J106" s="11">
        <v>3040</v>
      </c>
      <c r="K106" s="11"/>
      <c r="L106" s="10">
        <v>44069</v>
      </c>
      <c r="M106" s="9" t="s">
        <v>996</v>
      </c>
      <c r="N106" s="13" t="str">
        <f>VLOOKUP(H106,基础数据!G:H,2,FALSE)</f>
        <v>TTX1500H-2.54-100</v>
      </c>
    </row>
    <row r="107" spans="1:14" s="12" customFormat="1">
      <c r="A107" s="11">
        <v>1680</v>
      </c>
      <c r="B107" s="13" t="str">
        <f>VLOOKUP(A107,基础数据!A:B,2,FALSE)</f>
        <v>大丰</v>
      </c>
      <c r="C107" s="10">
        <v>44074</v>
      </c>
      <c r="D107" s="9"/>
      <c r="E107" s="11">
        <v>4500069040</v>
      </c>
      <c r="F107" s="9"/>
      <c r="G107" s="11">
        <v>1120001035</v>
      </c>
      <c r="H107" s="9" t="s">
        <v>12</v>
      </c>
      <c r="I107" s="11"/>
      <c r="J107" s="11">
        <v>3170</v>
      </c>
      <c r="K107" s="11"/>
      <c r="L107" s="10">
        <v>44099</v>
      </c>
      <c r="M107" s="9" t="s">
        <v>995</v>
      </c>
      <c r="N107" s="13" t="str">
        <f>VLOOKUP(H107,基础数据!G:H,2,FALSE)</f>
        <v>TLX1250-2.54-100</v>
      </c>
    </row>
    <row r="108" spans="1:14" s="12" customFormat="1">
      <c r="A108" s="11">
        <v>1680</v>
      </c>
      <c r="B108" s="13" t="str">
        <f>VLOOKUP(A108,基础数据!A:B,2,FALSE)</f>
        <v>大丰</v>
      </c>
      <c r="C108" s="10">
        <v>44078</v>
      </c>
      <c r="D108" s="9"/>
      <c r="E108" s="11">
        <v>4500069406</v>
      </c>
      <c r="F108" s="9"/>
      <c r="G108" s="11">
        <v>1120001948</v>
      </c>
      <c r="H108" s="9" t="s">
        <v>14</v>
      </c>
      <c r="I108" s="11">
        <v>2</v>
      </c>
      <c r="J108" s="11">
        <v>1806</v>
      </c>
      <c r="K108" s="11"/>
      <c r="L108" s="10">
        <v>44092</v>
      </c>
      <c r="M108" s="9" t="s">
        <v>1004</v>
      </c>
      <c r="N108" s="13" t="str">
        <f>VLOOKUP(H108,基础数据!G:H,2,FALSE)</f>
        <v>SR146Ⅰ后缘</v>
      </c>
    </row>
    <row r="109" spans="1:14" s="12" customFormat="1">
      <c r="A109" s="11">
        <v>1680</v>
      </c>
      <c r="B109" s="13" t="str">
        <f>VLOOKUP(A109,基础数据!A:B,2,FALSE)</f>
        <v>大丰</v>
      </c>
      <c r="C109" s="10">
        <v>44078</v>
      </c>
      <c r="D109" s="9"/>
      <c r="E109" s="11">
        <v>4500069406</v>
      </c>
      <c r="F109" s="9"/>
      <c r="G109" s="11">
        <v>1120001949</v>
      </c>
      <c r="H109" s="9" t="s">
        <v>13</v>
      </c>
      <c r="I109" s="11">
        <v>2</v>
      </c>
      <c r="J109" s="11">
        <v>10494</v>
      </c>
      <c r="K109" s="11"/>
      <c r="L109" s="10">
        <v>44092</v>
      </c>
      <c r="M109" s="9" t="s">
        <v>1285</v>
      </c>
      <c r="N109" s="13" t="str">
        <f>VLOOKUP(H109,基础数据!G:H,2,FALSE)</f>
        <v>SR146Ⅰ大梁</v>
      </c>
    </row>
    <row r="110" spans="1:14" s="12" customFormat="1">
      <c r="A110" s="11">
        <v>1680</v>
      </c>
      <c r="B110" s="13" t="str">
        <f>VLOOKUP(A110,基础数据!A:B,2,FALSE)</f>
        <v>大丰</v>
      </c>
      <c r="C110" s="10">
        <v>44069</v>
      </c>
      <c r="D110" s="9"/>
      <c r="E110" s="9">
        <v>4500067613</v>
      </c>
      <c r="F110" s="9"/>
      <c r="G110" s="11">
        <v>1120002747</v>
      </c>
      <c r="H110" s="9" t="s">
        <v>289</v>
      </c>
      <c r="I110" s="11">
        <v>2</v>
      </c>
      <c r="J110" s="11">
        <v>1172</v>
      </c>
      <c r="K110" s="11"/>
      <c r="L110" s="10">
        <v>44069</v>
      </c>
      <c r="M110" s="9" t="s">
        <v>1286</v>
      </c>
      <c r="N110" s="13" t="str">
        <f>VLOOKUP(H110,基础数据!G:H,2,FALSE)</f>
        <v>SR146Ⅱ后缘</v>
      </c>
    </row>
    <row r="111" spans="1:14" s="12" customFormat="1">
      <c r="A111" s="11">
        <v>1680</v>
      </c>
      <c r="B111" s="13" t="str">
        <f>VLOOKUP(A111,基础数据!A:B,2,FALSE)</f>
        <v>大丰</v>
      </c>
      <c r="C111" s="10">
        <v>44069</v>
      </c>
      <c r="D111" s="9"/>
      <c r="E111" s="9">
        <v>4500067613</v>
      </c>
      <c r="F111" s="9"/>
      <c r="G111" s="11">
        <v>1120002746</v>
      </c>
      <c r="H111" s="9" t="s">
        <v>288</v>
      </c>
      <c r="I111" s="11">
        <v>2</v>
      </c>
      <c r="J111" s="11">
        <v>7008</v>
      </c>
      <c r="K111" s="11"/>
      <c r="L111" s="10">
        <v>44069</v>
      </c>
      <c r="M111" s="9" t="s">
        <v>1287</v>
      </c>
      <c r="N111" s="13" t="str">
        <f>VLOOKUP(H111,基础数据!G:H,2,FALSE)</f>
        <v>SR146Ⅱ大梁</v>
      </c>
    </row>
    <row r="112" spans="1:14" s="12" customFormat="1">
      <c r="A112" s="11">
        <v>1680</v>
      </c>
      <c r="B112" s="13" t="str">
        <f>VLOOKUP(A112,基础数据!A:B,2,FALSE)</f>
        <v>大丰</v>
      </c>
      <c r="C112" s="10">
        <v>44069</v>
      </c>
      <c r="D112" s="9"/>
      <c r="E112" s="9">
        <v>4500067613</v>
      </c>
      <c r="F112" s="9"/>
      <c r="G112" s="11">
        <v>1120000149</v>
      </c>
      <c r="H112" s="9" t="s">
        <v>9</v>
      </c>
      <c r="I112" s="11"/>
      <c r="J112" s="11">
        <v>6080</v>
      </c>
      <c r="K112" s="11"/>
      <c r="L112" s="10">
        <v>44069</v>
      </c>
      <c r="M112" s="9" t="s">
        <v>1005</v>
      </c>
      <c r="N112" s="13" t="str">
        <f>VLOOKUP(H112,基础数据!G:H,2,FALSE)</f>
        <v>TTX1500H-2.54-100</v>
      </c>
    </row>
    <row r="113" spans="1:14" s="12" customFormat="1">
      <c r="A113" s="11">
        <v>1680</v>
      </c>
      <c r="B113" s="13" t="str">
        <f>VLOOKUP(A113,基础数据!A:B,2,FALSE)</f>
        <v>大丰</v>
      </c>
      <c r="C113" s="10">
        <v>44078</v>
      </c>
      <c r="D113" s="9"/>
      <c r="E113" s="11">
        <v>4500069406</v>
      </c>
      <c r="F113" s="9"/>
      <c r="G113" s="11">
        <v>1120001948</v>
      </c>
      <c r="H113" s="9" t="s">
        <v>14</v>
      </c>
      <c r="I113" s="11">
        <v>6</v>
      </c>
      <c r="J113" s="11">
        <v>5418</v>
      </c>
      <c r="K113" s="11"/>
      <c r="L113" s="10">
        <v>44092</v>
      </c>
      <c r="M113" s="9" t="s">
        <v>1015</v>
      </c>
      <c r="N113" s="13" t="str">
        <f>VLOOKUP(H113,基础数据!G:H,2,FALSE)</f>
        <v>SR146Ⅰ后缘</v>
      </c>
    </row>
    <row r="114" spans="1:14" s="12" customFormat="1">
      <c r="A114" s="11">
        <v>1680</v>
      </c>
      <c r="B114" s="13" t="str">
        <f>VLOOKUP(A114,基础数据!A:B,2,FALSE)</f>
        <v>大丰</v>
      </c>
      <c r="C114" s="10">
        <v>44078</v>
      </c>
      <c r="D114" s="9"/>
      <c r="E114" s="11">
        <v>4500069406</v>
      </c>
      <c r="F114" s="9"/>
      <c r="G114" s="11">
        <v>1120001949</v>
      </c>
      <c r="H114" s="9" t="s">
        <v>13</v>
      </c>
      <c r="I114" s="11">
        <v>2</v>
      </c>
      <c r="J114" s="11">
        <v>10494</v>
      </c>
      <c r="K114" s="11"/>
      <c r="L114" s="10">
        <v>44092</v>
      </c>
      <c r="M114" s="9" t="s">
        <v>1288</v>
      </c>
      <c r="N114" s="13" t="str">
        <f>VLOOKUP(H114,基础数据!G:H,2,FALSE)</f>
        <v>SR146Ⅰ大梁</v>
      </c>
    </row>
    <row r="115" spans="1:14" s="12" customFormat="1">
      <c r="A115" s="11">
        <v>1680</v>
      </c>
      <c r="B115" s="13" t="str">
        <f>VLOOKUP(A115,基础数据!A:B,2,FALSE)</f>
        <v>大丰</v>
      </c>
      <c r="C115" s="10">
        <v>44069</v>
      </c>
      <c r="D115" s="9"/>
      <c r="E115" s="9">
        <v>4500067613</v>
      </c>
      <c r="F115" s="9"/>
      <c r="G115" s="11">
        <v>1120002747</v>
      </c>
      <c r="H115" s="9" t="s">
        <v>289</v>
      </c>
      <c r="I115" s="11">
        <v>2</v>
      </c>
      <c r="J115" s="11">
        <v>1172</v>
      </c>
      <c r="K115" s="11"/>
      <c r="L115" s="10">
        <v>44069</v>
      </c>
      <c r="M115" s="9" t="s">
        <v>1289</v>
      </c>
      <c r="N115" s="13" t="str">
        <f>VLOOKUP(H115,基础数据!G:H,2,FALSE)</f>
        <v>SR146Ⅱ后缘</v>
      </c>
    </row>
    <row r="116" spans="1:14" s="12" customFormat="1">
      <c r="A116" s="11">
        <v>1680</v>
      </c>
      <c r="B116" s="13" t="str">
        <f>VLOOKUP(A116,基础数据!A:B,2,FALSE)</f>
        <v>大丰</v>
      </c>
      <c r="C116" s="10">
        <v>44069</v>
      </c>
      <c r="D116" s="9"/>
      <c r="E116" s="9">
        <v>4500067613</v>
      </c>
      <c r="F116" s="9"/>
      <c r="G116" s="11">
        <v>1120000149</v>
      </c>
      <c r="H116" s="9" t="s">
        <v>9</v>
      </c>
      <c r="I116" s="11"/>
      <c r="J116" s="11">
        <v>6080</v>
      </c>
      <c r="K116" s="11"/>
      <c r="L116" s="10">
        <v>44069</v>
      </c>
      <c r="M116" s="9" t="s">
        <v>1017</v>
      </c>
      <c r="N116" s="13" t="str">
        <f>VLOOKUP(H116,基础数据!G:H,2,FALSE)</f>
        <v>TTX1500H-2.54-100</v>
      </c>
    </row>
    <row r="117" spans="1:14" s="12" customFormat="1">
      <c r="A117" s="11">
        <v>1680</v>
      </c>
      <c r="B117" s="13" t="str">
        <f>VLOOKUP(A117,基础数据!A:B,2,FALSE)</f>
        <v>大丰</v>
      </c>
      <c r="C117" s="10">
        <v>44069</v>
      </c>
      <c r="D117" s="9"/>
      <c r="E117" s="9">
        <v>4500067614</v>
      </c>
      <c r="F117" s="9"/>
      <c r="G117" s="11">
        <v>1120000145</v>
      </c>
      <c r="H117" s="9" t="s">
        <v>95</v>
      </c>
      <c r="I117" s="11"/>
      <c r="J117" s="11">
        <v>3090</v>
      </c>
      <c r="K117" s="11"/>
      <c r="L117" s="10">
        <v>44069</v>
      </c>
      <c r="M117" s="9" t="s">
        <v>1016</v>
      </c>
      <c r="N117" s="13" t="str">
        <f>VLOOKUP(H117,基础数据!G:H,2,FALSE)</f>
        <v>TTX1215(45)-2.54-100</v>
      </c>
    </row>
    <row r="118" spans="1:14" s="12" customFormat="1">
      <c r="A118" s="11">
        <v>1680</v>
      </c>
      <c r="B118" s="13" t="str">
        <f>VLOOKUP(A118,基础数据!A:B,2,FALSE)</f>
        <v>大丰</v>
      </c>
      <c r="C118" s="10">
        <v>44069</v>
      </c>
      <c r="D118" s="9"/>
      <c r="E118" s="9">
        <v>4500067614</v>
      </c>
      <c r="F118" s="9"/>
      <c r="G118" s="11">
        <v>1120002854</v>
      </c>
      <c r="H118" s="9" t="s">
        <v>94</v>
      </c>
      <c r="I118" s="11"/>
      <c r="J118" s="11">
        <v>7650</v>
      </c>
      <c r="K118" s="11"/>
      <c r="L118" s="10">
        <v>44069</v>
      </c>
      <c r="M118" s="9" t="s">
        <v>1290</v>
      </c>
      <c r="N118" s="13" t="str">
        <f>VLOOKUP(H118,基础数据!G:H,2,FALSE)</f>
        <v>TLX1215-2.54-100</v>
      </c>
    </row>
    <row r="119" spans="1:14" s="12" customFormat="1">
      <c r="A119" s="11">
        <v>1680</v>
      </c>
      <c r="B119" s="13" t="str">
        <f>VLOOKUP(A119,基础数据!A:B,2,FALSE)</f>
        <v>大丰</v>
      </c>
      <c r="C119" s="10">
        <v>44078</v>
      </c>
      <c r="D119" s="9"/>
      <c r="E119" s="11">
        <v>4500069406</v>
      </c>
      <c r="F119" s="9"/>
      <c r="G119" s="11">
        <v>1120001949</v>
      </c>
      <c r="H119" s="9" t="s">
        <v>13</v>
      </c>
      <c r="I119" s="11">
        <v>2</v>
      </c>
      <c r="J119" s="11">
        <v>10494</v>
      </c>
      <c r="K119" s="11"/>
      <c r="L119" s="10">
        <v>44092</v>
      </c>
      <c r="M119" s="9" t="s">
        <v>1291</v>
      </c>
      <c r="N119" s="13" t="str">
        <f>VLOOKUP(H119,基础数据!G:H,2,FALSE)</f>
        <v>SR146Ⅰ大梁</v>
      </c>
    </row>
    <row r="120" spans="1:14" s="12" customFormat="1">
      <c r="A120" s="11">
        <v>1680</v>
      </c>
      <c r="B120" s="13" t="str">
        <f>VLOOKUP(A120,基础数据!A:B,2,FALSE)</f>
        <v>大丰</v>
      </c>
      <c r="C120" s="10">
        <v>44069</v>
      </c>
      <c r="D120" s="9"/>
      <c r="E120" s="9">
        <v>4500067613</v>
      </c>
      <c r="F120" s="9"/>
      <c r="G120" s="11">
        <v>1120000149</v>
      </c>
      <c r="H120" s="9" t="s">
        <v>9</v>
      </c>
      <c r="I120" s="11"/>
      <c r="J120" s="11">
        <v>12160</v>
      </c>
      <c r="K120" s="11"/>
      <c r="L120" s="10">
        <v>44069</v>
      </c>
      <c r="M120" s="9" t="s">
        <v>1027</v>
      </c>
      <c r="N120" s="13" t="str">
        <f>VLOOKUP(H120,基础数据!G:H,2,FALSE)</f>
        <v>TTX1500H-2.54-100</v>
      </c>
    </row>
    <row r="121" spans="1:14" s="12" customFormat="1">
      <c r="A121" s="11">
        <v>1680</v>
      </c>
      <c r="B121" s="13" t="str">
        <f>VLOOKUP(A121,基础数据!A:B,2,FALSE)</f>
        <v>大丰</v>
      </c>
      <c r="C121" s="10">
        <v>44074</v>
      </c>
      <c r="D121" s="9"/>
      <c r="E121" s="11">
        <v>4500069040</v>
      </c>
      <c r="F121" s="9"/>
      <c r="G121" s="11">
        <v>1120001035</v>
      </c>
      <c r="H121" s="9" t="s">
        <v>12</v>
      </c>
      <c r="I121" s="11"/>
      <c r="J121" s="11">
        <v>12680</v>
      </c>
      <c r="K121" s="11"/>
      <c r="L121" s="10">
        <v>44099</v>
      </c>
      <c r="M121" s="9" t="s">
        <v>1028</v>
      </c>
      <c r="N121" s="13" t="str">
        <f>VLOOKUP(H121,基础数据!G:H,2,FALSE)</f>
        <v>TLX1250-2.54-100</v>
      </c>
    </row>
    <row r="122" spans="1:14" s="12" customFormat="1">
      <c r="A122" s="11">
        <v>1680</v>
      </c>
      <c r="B122" s="13" t="str">
        <f>VLOOKUP(A122,基础数据!A:B,2,FALSE)</f>
        <v>大丰</v>
      </c>
      <c r="C122" s="10">
        <v>44078</v>
      </c>
      <c r="D122" s="9"/>
      <c r="E122" s="11">
        <v>4500069406</v>
      </c>
      <c r="F122" s="9"/>
      <c r="G122" s="11">
        <v>1120001949</v>
      </c>
      <c r="H122" s="9" t="s">
        <v>13</v>
      </c>
      <c r="I122" s="11">
        <v>2</v>
      </c>
      <c r="J122" s="11">
        <v>10494</v>
      </c>
      <c r="K122" s="11"/>
      <c r="L122" s="10">
        <v>44092</v>
      </c>
      <c r="M122" s="9" t="s">
        <v>1292</v>
      </c>
      <c r="N122" s="13" t="str">
        <f>VLOOKUP(H122,基础数据!G:H,2,FALSE)</f>
        <v>SR146Ⅰ大梁</v>
      </c>
    </row>
    <row r="123" spans="1:14" s="12" customFormat="1">
      <c r="A123" s="11">
        <v>1680</v>
      </c>
      <c r="B123" s="13" t="str">
        <f>VLOOKUP(A123,基础数据!A:B,2,FALSE)</f>
        <v>大丰</v>
      </c>
      <c r="C123" s="10">
        <v>44069</v>
      </c>
      <c r="D123" s="9"/>
      <c r="E123" s="9" t="s">
        <v>1035</v>
      </c>
      <c r="F123" s="9"/>
      <c r="G123" s="11">
        <v>1120002746</v>
      </c>
      <c r="H123" s="9" t="s">
        <v>288</v>
      </c>
      <c r="I123" s="11">
        <v>2</v>
      </c>
      <c r="J123" s="11">
        <v>7008</v>
      </c>
      <c r="K123" s="11"/>
      <c r="L123" s="10">
        <v>44069</v>
      </c>
      <c r="M123" s="9" t="s">
        <v>1293</v>
      </c>
      <c r="N123" s="13" t="str">
        <f>VLOOKUP(H123,基础数据!G:H,2,FALSE)</f>
        <v>SR146Ⅱ大梁</v>
      </c>
    </row>
    <row r="124" spans="1:14" s="12" customFormat="1">
      <c r="A124" s="11">
        <v>1680</v>
      </c>
      <c r="B124" s="13" t="str">
        <f>VLOOKUP(A124,基础数据!A:B,2,FALSE)</f>
        <v>大丰</v>
      </c>
      <c r="C124" s="10">
        <v>44074</v>
      </c>
      <c r="D124" s="9"/>
      <c r="E124" s="11">
        <v>4500069040</v>
      </c>
      <c r="F124" s="9"/>
      <c r="G124" s="11">
        <v>1120001035</v>
      </c>
      <c r="H124" s="9" t="s">
        <v>12</v>
      </c>
      <c r="I124" s="11"/>
      <c r="J124" s="11">
        <v>3170</v>
      </c>
      <c r="K124" s="11"/>
      <c r="L124" s="10">
        <v>44099</v>
      </c>
      <c r="M124" s="9" t="s">
        <v>1034</v>
      </c>
      <c r="N124" s="13" t="str">
        <f>VLOOKUP(H124,基础数据!G:H,2,FALSE)</f>
        <v>TLX1250-2.54-100</v>
      </c>
    </row>
    <row r="125" spans="1:14" s="12" customFormat="1">
      <c r="A125" s="11">
        <v>1680</v>
      </c>
      <c r="B125" s="13" t="str">
        <f>VLOOKUP(A125,基础数据!A:B,2,FALSE)</f>
        <v>大丰</v>
      </c>
      <c r="C125" s="10">
        <v>44078</v>
      </c>
      <c r="D125" s="9"/>
      <c r="E125" s="11">
        <v>4500069406</v>
      </c>
      <c r="F125" s="9"/>
      <c r="G125" s="11">
        <v>1120001948</v>
      </c>
      <c r="H125" s="9" t="s">
        <v>14</v>
      </c>
      <c r="I125" s="11">
        <f>22-6-2-2-2-2-6</f>
        <v>2</v>
      </c>
      <c r="J125" s="11">
        <f>20372-5418-1806-1806-1806-1806-5418</f>
        <v>2312</v>
      </c>
      <c r="K125" s="11"/>
      <c r="L125" s="10">
        <v>44092</v>
      </c>
      <c r="M125" s="9" t="s">
        <v>1039</v>
      </c>
      <c r="N125" s="13" t="str">
        <f>VLOOKUP(H125,基础数据!G:H,2,FALSE)</f>
        <v>SR146Ⅰ后缘</v>
      </c>
    </row>
    <row r="126" spans="1:14" s="12" customFormat="1">
      <c r="A126" s="11">
        <v>1680</v>
      </c>
      <c r="B126" s="13" t="str">
        <f>VLOOKUP(A126,基础数据!A:B,2,FALSE)</f>
        <v>大丰</v>
      </c>
      <c r="C126" s="10">
        <v>44078</v>
      </c>
      <c r="D126" s="9"/>
      <c r="E126" s="11">
        <v>4500069406</v>
      </c>
      <c r="F126" s="9"/>
      <c r="G126" s="11">
        <v>1120001949</v>
      </c>
      <c r="H126" s="9" t="s">
        <v>13</v>
      </c>
      <c r="I126" s="11">
        <v>2</v>
      </c>
      <c r="J126" s="11">
        <v>10494</v>
      </c>
      <c r="K126" s="11"/>
      <c r="L126" s="10">
        <v>44092</v>
      </c>
      <c r="M126" s="9" t="s">
        <v>1294</v>
      </c>
      <c r="N126" s="13" t="str">
        <f>VLOOKUP(H126,基础数据!G:H,2,FALSE)</f>
        <v>SR146Ⅰ大梁</v>
      </c>
    </row>
    <row r="127" spans="1:14" s="12" customFormat="1">
      <c r="A127" s="11">
        <v>1680</v>
      </c>
      <c r="B127" s="13" t="str">
        <f>VLOOKUP(A127,基础数据!A:B,2,FALSE)</f>
        <v>大丰</v>
      </c>
      <c r="C127" s="10">
        <v>44069</v>
      </c>
      <c r="D127" s="9"/>
      <c r="E127" s="9">
        <v>4500067613</v>
      </c>
      <c r="F127" s="9"/>
      <c r="G127" s="11">
        <v>1120002746</v>
      </c>
      <c r="H127" s="9" t="s">
        <v>288</v>
      </c>
      <c r="I127" s="11">
        <v>2</v>
      </c>
      <c r="J127" s="11">
        <v>7008</v>
      </c>
      <c r="K127" s="11"/>
      <c r="L127" s="10">
        <v>44069</v>
      </c>
      <c r="M127" s="9" t="s">
        <v>1295</v>
      </c>
      <c r="N127" s="13" t="str">
        <f>VLOOKUP(H127,基础数据!G:H,2,FALSE)</f>
        <v>SR146Ⅱ大梁</v>
      </c>
    </row>
    <row r="128" spans="1:14" s="12" customFormat="1">
      <c r="A128" s="11">
        <v>1680</v>
      </c>
      <c r="B128" s="13" t="str">
        <f>VLOOKUP(A128,基础数据!A:B,2,FALSE)</f>
        <v>大丰</v>
      </c>
      <c r="C128" s="10">
        <v>44069</v>
      </c>
      <c r="D128" s="9"/>
      <c r="E128" s="9">
        <v>4500067613</v>
      </c>
      <c r="F128" s="9"/>
      <c r="G128" s="11">
        <v>1120002747</v>
      </c>
      <c r="H128" s="9" t="s">
        <v>289</v>
      </c>
      <c r="I128" s="11">
        <v>2</v>
      </c>
      <c r="J128" s="11">
        <v>1172</v>
      </c>
      <c r="K128" s="11"/>
      <c r="L128" s="10">
        <v>44069</v>
      </c>
      <c r="M128" s="9" t="s">
        <v>1296</v>
      </c>
      <c r="N128" s="13" t="str">
        <f>VLOOKUP(H128,基础数据!G:H,2,FALSE)</f>
        <v>SR146Ⅱ后缘</v>
      </c>
    </row>
    <row r="129" spans="1:14" s="12" customFormat="1">
      <c r="A129" s="11">
        <v>1680</v>
      </c>
      <c r="B129" s="13" t="str">
        <f>VLOOKUP(A129,基础数据!A:B,2,FALSE)</f>
        <v>大丰</v>
      </c>
      <c r="C129" s="10">
        <v>44069</v>
      </c>
      <c r="D129" s="9"/>
      <c r="E129" s="9">
        <v>4500067614</v>
      </c>
      <c r="F129" s="9"/>
      <c r="G129" s="11">
        <v>1120000142</v>
      </c>
      <c r="H129" s="9" t="s">
        <v>11</v>
      </c>
      <c r="I129" s="11"/>
      <c r="J129" s="11">
        <v>1605</v>
      </c>
      <c r="K129" s="11"/>
      <c r="L129" s="10">
        <v>44069</v>
      </c>
      <c r="M129" s="9" t="s">
        <v>1040</v>
      </c>
      <c r="N129" s="13" t="str">
        <f>VLOOKUP(H129,基础数据!G:H,2,FALSE)</f>
        <v>TTX1250(60)-2.54-100</v>
      </c>
    </row>
    <row r="130" spans="1:14" s="12" customFormat="1">
      <c r="A130" s="11">
        <v>1680</v>
      </c>
      <c r="B130" s="13" t="str">
        <f>VLOOKUP(A130,基础数据!A:B,2,FALSE)</f>
        <v>大丰</v>
      </c>
      <c r="C130" s="10">
        <v>44069</v>
      </c>
      <c r="D130" s="9"/>
      <c r="E130" s="9">
        <v>4500067613</v>
      </c>
      <c r="F130" s="9"/>
      <c r="G130" s="11">
        <v>1120002746</v>
      </c>
      <c r="H130" s="9" t="s">
        <v>288</v>
      </c>
      <c r="I130" s="11">
        <v>2</v>
      </c>
      <c r="J130" s="11">
        <v>7008</v>
      </c>
      <c r="K130" s="11"/>
      <c r="L130" s="10">
        <v>44069</v>
      </c>
      <c r="M130" s="9" t="s">
        <v>1297</v>
      </c>
      <c r="N130" s="13" t="str">
        <f>VLOOKUP(H130,基础数据!G:H,2,FALSE)</f>
        <v>SR146Ⅱ大梁</v>
      </c>
    </row>
    <row r="131" spans="1:14" s="12" customFormat="1">
      <c r="A131" s="11">
        <v>1680</v>
      </c>
      <c r="B131" s="13" t="str">
        <f>VLOOKUP(A131,基础数据!A:B,2,FALSE)</f>
        <v>大丰</v>
      </c>
      <c r="C131" s="10">
        <v>44069</v>
      </c>
      <c r="D131" s="9"/>
      <c r="E131" s="9">
        <v>4500067613</v>
      </c>
      <c r="F131" s="9"/>
      <c r="G131" s="11">
        <v>1120002747</v>
      </c>
      <c r="H131" s="9" t="s">
        <v>289</v>
      </c>
      <c r="I131" s="11">
        <v>2</v>
      </c>
      <c r="J131" s="11">
        <v>1172</v>
      </c>
      <c r="K131" s="11"/>
      <c r="L131" s="10">
        <v>44069</v>
      </c>
      <c r="M131" s="9" t="s">
        <v>1298</v>
      </c>
      <c r="N131" s="13" t="str">
        <f>VLOOKUP(H131,基础数据!G:H,2,FALSE)</f>
        <v>SR146Ⅱ后缘</v>
      </c>
    </row>
    <row r="132" spans="1:14" s="12" customFormat="1">
      <c r="A132" s="11">
        <v>1680</v>
      </c>
      <c r="B132" s="13" t="str">
        <f>VLOOKUP(A132,基础数据!A:B,2,FALSE)</f>
        <v>大丰</v>
      </c>
      <c r="C132" s="10">
        <v>44078</v>
      </c>
      <c r="D132" s="9"/>
      <c r="E132" s="11">
        <v>4500069406</v>
      </c>
      <c r="F132" s="9"/>
      <c r="G132" s="11">
        <v>1120001949</v>
      </c>
      <c r="H132" s="9" t="s">
        <v>13</v>
      </c>
      <c r="I132" s="11">
        <f>22-2-2-2-2-2-2-2-2-2-2</f>
        <v>2</v>
      </c>
      <c r="J132" s="11">
        <f>115764-10494-10494-10494-10494-10494-10494-10494-10494-10494-10494</f>
        <v>10824</v>
      </c>
      <c r="K132" s="11"/>
      <c r="L132" s="10">
        <v>44092</v>
      </c>
      <c r="M132" s="9" t="s">
        <v>1299</v>
      </c>
      <c r="N132" s="13" t="str">
        <f>VLOOKUP(H132,基础数据!G:H,2,FALSE)</f>
        <v>SR146Ⅰ大梁</v>
      </c>
    </row>
    <row r="133" spans="1:14" s="12" customFormat="1">
      <c r="A133" s="11">
        <v>1680</v>
      </c>
      <c r="B133" s="13" t="str">
        <f>VLOOKUP(A133,基础数据!A:B,2,FALSE)</f>
        <v>大丰</v>
      </c>
      <c r="C133" s="10">
        <v>44085</v>
      </c>
      <c r="D133" s="9"/>
      <c r="E133" s="11">
        <v>4500070057</v>
      </c>
      <c r="F133" s="9"/>
      <c r="G133" s="11">
        <v>1120001948</v>
      </c>
      <c r="H133" s="9" t="s">
        <v>14</v>
      </c>
      <c r="I133" s="11">
        <v>2</v>
      </c>
      <c r="J133" s="11">
        <v>1806</v>
      </c>
      <c r="K133" s="11"/>
      <c r="L133" s="10">
        <v>44099</v>
      </c>
      <c r="M133" s="9" t="s">
        <v>1050</v>
      </c>
      <c r="N133" s="13" t="str">
        <f>VLOOKUP(H133,基础数据!G:H,2,FALSE)</f>
        <v>SR146Ⅰ后缘</v>
      </c>
    </row>
    <row r="134" spans="1:14" s="12" customFormat="1">
      <c r="A134" s="11">
        <v>1680</v>
      </c>
      <c r="B134" s="13" t="str">
        <f>VLOOKUP(A134,基础数据!A:B,2,FALSE)</f>
        <v>大丰</v>
      </c>
      <c r="C134" s="10">
        <v>44069</v>
      </c>
      <c r="D134" s="9"/>
      <c r="E134" s="9">
        <v>4500067613</v>
      </c>
      <c r="F134" s="9"/>
      <c r="G134" s="11">
        <v>1120000149</v>
      </c>
      <c r="H134" s="9" t="s">
        <v>9</v>
      </c>
      <c r="I134" s="11"/>
      <c r="J134" s="11">
        <f>55584-15200-4680-3040-6080-6080-12160</f>
        <v>8344</v>
      </c>
      <c r="K134" s="11"/>
      <c r="L134" s="10">
        <v>44069</v>
      </c>
      <c r="M134" s="9" t="s">
        <v>1051</v>
      </c>
      <c r="N134" s="13" t="str">
        <f>VLOOKUP(H134,基础数据!G:H,2,FALSE)</f>
        <v>TTX1500H-2.54-100</v>
      </c>
    </row>
    <row r="135" spans="1:14" s="12" customFormat="1">
      <c r="A135" s="11">
        <v>1680</v>
      </c>
      <c r="B135" s="13" t="str">
        <f>VLOOKUP(A135,基础数据!A:B,2,FALSE)</f>
        <v>大丰</v>
      </c>
      <c r="C135" s="10">
        <v>44069</v>
      </c>
      <c r="D135" s="9"/>
      <c r="E135" s="9">
        <v>4500067614</v>
      </c>
      <c r="F135" s="9"/>
      <c r="G135" s="11">
        <v>1120002854</v>
      </c>
      <c r="H135" s="9" t="s">
        <v>94</v>
      </c>
      <c r="I135" s="11"/>
      <c r="J135" s="11">
        <v>13770</v>
      </c>
      <c r="K135" s="11"/>
      <c r="L135" s="10">
        <v>44069</v>
      </c>
      <c r="M135" s="9" t="s">
        <v>1300</v>
      </c>
      <c r="N135" s="13" t="str">
        <f>VLOOKUP(H135,基础数据!G:H,2,FALSE)</f>
        <v>TLX1215-2.54-100</v>
      </c>
    </row>
    <row r="136" spans="1:14" s="12" customFormat="1">
      <c r="A136" s="11">
        <v>1680</v>
      </c>
      <c r="B136" s="13" t="str">
        <f>VLOOKUP(A136,基础数据!A:B,2,FALSE)</f>
        <v>大丰</v>
      </c>
      <c r="C136" s="10">
        <v>44069</v>
      </c>
      <c r="D136" s="9"/>
      <c r="E136" s="9">
        <v>4500067614</v>
      </c>
      <c r="F136" s="9"/>
      <c r="G136" s="11">
        <v>1120000142</v>
      </c>
      <c r="H136" s="9" t="s">
        <v>11</v>
      </c>
      <c r="I136" s="11"/>
      <c r="J136" s="11">
        <v>4815</v>
      </c>
      <c r="K136" s="11"/>
      <c r="L136" s="10">
        <v>44069</v>
      </c>
      <c r="M136" s="9" t="s">
        <v>1052</v>
      </c>
      <c r="N136" s="13" t="str">
        <f>VLOOKUP(H136,基础数据!G:H,2,FALSE)</f>
        <v>TTX1250(60)-2.54-100</v>
      </c>
    </row>
    <row r="137" spans="1:14" s="12" customFormat="1">
      <c r="A137" s="11">
        <v>1680</v>
      </c>
      <c r="B137" s="13" t="str">
        <f>VLOOKUP(A137,基础数据!A:B,2,FALSE)</f>
        <v>大丰</v>
      </c>
      <c r="C137" s="10">
        <v>44069</v>
      </c>
      <c r="D137" s="9"/>
      <c r="E137" s="9">
        <v>4500067614</v>
      </c>
      <c r="F137" s="9"/>
      <c r="G137" s="11">
        <v>1120000145</v>
      </c>
      <c r="H137" s="9" t="s">
        <v>95</v>
      </c>
      <c r="I137" s="11"/>
      <c r="J137" s="11">
        <v>1545</v>
      </c>
      <c r="K137" s="11"/>
      <c r="L137" s="10">
        <v>44069</v>
      </c>
      <c r="M137" s="9" t="s">
        <v>1053</v>
      </c>
      <c r="N137" s="13" t="str">
        <f>VLOOKUP(H137,基础数据!G:H,2,FALSE)</f>
        <v>TTX1215(45)-2.54-100</v>
      </c>
    </row>
    <row r="138" spans="1:14" s="12" customFormat="1">
      <c r="A138" s="11">
        <v>1680</v>
      </c>
      <c r="B138" s="13" t="str">
        <f>VLOOKUP(A138,基础数据!A:B,2,FALSE)</f>
        <v>大丰</v>
      </c>
      <c r="C138" s="10">
        <v>44085</v>
      </c>
      <c r="D138" s="9"/>
      <c r="E138" s="11">
        <v>4500070057</v>
      </c>
      <c r="F138" s="9"/>
      <c r="G138" s="11">
        <v>1120001948</v>
      </c>
      <c r="H138" s="9" t="s">
        <v>14</v>
      </c>
      <c r="I138" s="11">
        <v>2</v>
      </c>
      <c r="J138" s="11">
        <v>1806</v>
      </c>
      <c r="K138" s="11"/>
      <c r="L138" s="10">
        <v>44099</v>
      </c>
      <c r="M138" s="9" t="s">
        <v>1055</v>
      </c>
      <c r="N138" s="13" t="str">
        <f>VLOOKUP(H138,基础数据!G:H,2,FALSE)</f>
        <v>SR146Ⅰ后缘</v>
      </c>
    </row>
    <row r="139" spans="1:14" s="12" customFormat="1">
      <c r="A139" s="11">
        <v>1680</v>
      </c>
      <c r="B139" s="13" t="str">
        <f>VLOOKUP(A139,基础数据!A:B,2,FALSE)</f>
        <v>大丰</v>
      </c>
      <c r="C139" s="10">
        <v>44085</v>
      </c>
      <c r="D139" s="9"/>
      <c r="E139" s="11">
        <v>4500070057</v>
      </c>
      <c r="F139" s="9"/>
      <c r="G139" s="11">
        <v>1120001949</v>
      </c>
      <c r="H139" s="9" t="s">
        <v>13</v>
      </c>
      <c r="I139" s="11">
        <v>2</v>
      </c>
      <c r="J139" s="11">
        <v>10494</v>
      </c>
      <c r="K139" s="11"/>
      <c r="L139" s="10">
        <v>44099</v>
      </c>
      <c r="M139" s="9" t="s">
        <v>1056</v>
      </c>
      <c r="N139" s="13" t="str">
        <f>VLOOKUP(H139,基础数据!G:H,2,FALSE)</f>
        <v>SR146Ⅰ大梁</v>
      </c>
    </row>
    <row r="140" spans="1:14" s="12" customFormat="1">
      <c r="A140" s="11">
        <v>1680</v>
      </c>
      <c r="B140" s="13" t="str">
        <f>VLOOKUP(A140,基础数据!A:B,2,FALSE)</f>
        <v>大丰</v>
      </c>
      <c r="C140" s="10">
        <v>44069</v>
      </c>
      <c r="D140" s="9"/>
      <c r="E140" s="9">
        <v>4500067613</v>
      </c>
      <c r="F140" s="9"/>
      <c r="G140" s="11">
        <v>1120002746</v>
      </c>
      <c r="H140" s="9" t="s">
        <v>288</v>
      </c>
      <c r="I140" s="11">
        <v>2</v>
      </c>
      <c r="J140" s="11">
        <v>7008</v>
      </c>
      <c r="K140" s="11"/>
      <c r="L140" s="10">
        <v>44069</v>
      </c>
      <c r="M140" s="9" t="s">
        <v>1301</v>
      </c>
      <c r="N140" s="13" t="str">
        <f>VLOOKUP(H140,基础数据!G:H,2,FALSE)</f>
        <v>SR146Ⅱ大梁</v>
      </c>
    </row>
    <row r="141" spans="1:14" s="12" customFormat="1" ht="15" customHeight="1">
      <c r="A141" s="11">
        <v>1680</v>
      </c>
      <c r="B141" s="13" t="str">
        <f>VLOOKUP(A141,基础数据!A:B,2,FALSE)</f>
        <v>大丰</v>
      </c>
      <c r="C141" s="10">
        <v>44069</v>
      </c>
      <c r="D141" s="9"/>
      <c r="E141" s="9">
        <v>4500067613</v>
      </c>
      <c r="F141" s="9"/>
      <c r="G141" s="11">
        <v>1120002747</v>
      </c>
      <c r="H141" s="9" t="s">
        <v>289</v>
      </c>
      <c r="I141" s="11">
        <v>2</v>
      </c>
      <c r="J141" s="11">
        <v>1172</v>
      </c>
      <c r="K141" s="11"/>
      <c r="L141" s="10">
        <v>44069</v>
      </c>
      <c r="M141" s="9" t="s">
        <v>1302</v>
      </c>
      <c r="N141" s="13" t="str">
        <f>VLOOKUP(H141,基础数据!G:H,2,FALSE)</f>
        <v>SR146Ⅱ后缘</v>
      </c>
    </row>
    <row r="142" spans="1:14" s="12" customFormat="1">
      <c r="A142" s="11">
        <v>1680</v>
      </c>
      <c r="B142" s="13" t="str">
        <f>VLOOKUP(A142,基础数据!A:B,2,FALSE)</f>
        <v>大丰</v>
      </c>
      <c r="C142" s="10">
        <v>44069</v>
      </c>
      <c r="D142" s="9"/>
      <c r="E142" s="9">
        <v>4500067614</v>
      </c>
      <c r="F142" s="9"/>
      <c r="G142" s="11">
        <v>1120000142</v>
      </c>
      <c r="H142" s="9" t="s">
        <v>11</v>
      </c>
      <c r="I142" s="11"/>
      <c r="J142" s="11">
        <v>4815</v>
      </c>
      <c r="K142" s="11"/>
      <c r="L142" s="10">
        <v>44069</v>
      </c>
      <c r="M142" s="9" t="s">
        <v>1058</v>
      </c>
      <c r="N142" s="13" t="str">
        <f>VLOOKUP(H142,基础数据!G:H,2,FALSE)</f>
        <v>TTX1250(60)-2.54-100</v>
      </c>
    </row>
    <row r="143" spans="1:14" s="12" customFormat="1">
      <c r="A143" s="11">
        <v>1680</v>
      </c>
      <c r="B143" s="13" t="str">
        <f>VLOOKUP(A143,基础数据!A:B,2,FALSE)</f>
        <v>大丰</v>
      </c>
      <c r="C143" s="10">
        <v>44074</v>
      </c>
      <c r="D143" s="9"/>
      <c r="E143" s="11">
        <v>4500069040</v>
      </c>
      <c r="F143" s="9"/>
      <c r="G143" s="11">
        <v>1120000149</v>
      </c>
      <c r="H143" s="9" t="s">
        <v>9</v>
      </c>
      <c r="I143" s="11"/>
      <c r="J143" s="11">
        <v>10640</v>
      </c>
      <c r="K143" s="11"/>
      <c r="L143" s="10">
        <v>44099</v>
      </c>
      <c r="M143" s="9" t="s">
        <v>1057</v>
      </c>
      <c r="N143" s="13" t="str">
        <f>VLOOKUP(H143,基础数据!G:H,2,FALSE)</f>
        <v>TTX1500H-2.54-100</v>
      </c>
    </row>
    <row r="144" spans="1:14" s="12" customFormat="1">
      <c r="A144" s="11">
        <v>1680</v>
      </c>
      <c r="B144" s="13" t="str">
        <f>VLOOKUP(A144,基础数据!A:B,2,FALSE)</f>
        <v>大丰</v>
      </c>
      <c r="C144" s="10">
        <v>44074</v>
      </c>
      <c r="D144" s="9"/>
      <c r="E144" s="11">
        <v>4500069040</v>
      </c>
      <c r="F144" s="9"/>
      <c r="G144" s="11">
        <v>1120001035</v>
      </c>
      <c r="H144" s="9" t="s">
        <v>12</v>
      </c>
      <c r="I144" s="11"/>
      <c r="J144" s="11">
        <v>7925</v>
      </c>
      <c r="K144" s="11"/>
      <c r="L144" s="10">
        <v>44099</v>
      </c>
      <c r="M144" s="9" t="s">
        <v>1059</v>
      </c>
      <c r="N144" s="13" t="str">
        <f>VLOOKUP(H144,基础数据!G:H,2,FALSE)</f>
        <v>TLX1250-2.54-100</v>
      </c>
    </row>
    <row r="145" spans="1:14" s="12" customFormat="1">
      <c r="A145" s="11">
        <v>1680</v>
      </c>
      <c r="B145" s="13" t="str">
        <f>VLOOKUP(A145,基础数据!A:B,2,FALSE)</f>
        <v>大丰</v>
      </c>
      <c r="C145" s="10">
        <v>44069</v>
      </c>
      <c r="D145" s="9"/>
      <c r="E145" s="9">
        <v>4500067613</v>
      </c>
      <c r="F145" s="9"/>
      <c r="G145" s="11">
        <v>1120002747</v>
      </c>
      <c r="H145" s="9" t="s">
        <v>289</v>
      </c>
      <c r="I145" s="11">
        <v>2</v>
      </c>
      <c r="J145" s="11">
        <v>1172</v>
      </c>
      <c r="K145" s="11"/>
      <c r="L145" s="10">
        <v>44069</v>
      </c>
      <c r="M145" s="9" t="s">
        <v>1303</v>
      </c>
      <c r="N145" s="13" t="str">
        <f>VLOOKUP(H145,基础数据!G:H,2,FALSE)</f>
        <v>SR146Ⅱ后缘</v>
      </c>
    </row>
    <row r="146" spans="1:14" s="12" customFormat="1">
      <c r="A146" s="11">
        <v>1680</v>
      </c>
      <c r="B146" s="13" t="str">
        <f>VLOOKUP(A146,基础数据!A:B,2,FALSE)</f>
        <v>大丰</v>
      </c>
      <c r="C146" s="10">
        <v>44069</v>
      </c>
      <c r="D146" s="9"/>
      <c r="E146" s="9">
        <v>4500067613</v>
      </c>
      <c r="F146" s="9"/>
      <c r="G146" s="11">
        <v>1120002772</v>
      </c>
      <c r="H146" s="9" t="s">
        <v>492</v>
      </c>
      <c r="I146" s="11">
        <v>5</v>
      </c>
      <c r="J146" s="11">
        <v>9125</v>
      </c>
      <c r="K146" s="11"/>
      <c r="L146" s="10">
        <v>44069</v>
      </c>
      <c r="M146" s="9" t="s">
        <v>1069</v>
      </c>
      <c r="N146" s="13" t="str">
        <f>VLOOKUP(H146,基础数据!G:H,2,FALSE)</f>
        <v>GW171后缘</v>
      </c>
    </row>
    <row r="147" spans="1:14" s="12" customFormat="1">
      <c r="A147" s="11">
        <v>1680</v>
      </c>
      <c r="B147" s="13" t="str">
        <f>VLOOKUP(A147,基础数据!A:B,2,FALSE)</f>
        <v>大丰</v>
      </c>
      <c r="C147" s="10">
        <v>44085</v>
      </c>
      <c r="D147" s="9"/>
      <c r="E147" s="11">
        <v>4500070057</v>
      </c>
      <c r="F147" s="9"/>
      <c r="G147" s="11">
        <v>1120001949</v>
      </c>
      <c r="H147" s="9" t="s">
        <v>13</v>
      </c>
      <c r="I147" s="11">
        <v>2</v>
      </c>
      <c r="J147" s="11">
        <v>10494</v>
      </c>
      <c r="K147" s="11"/>
      <c r="L147" s="10">
        <v>44099</v>
      </c>
      <c r="M147" s="9" t="s">
        <v>1070</v>
      </c>
      <c r="N147" s="13" t="str">
        <f>VLOOKUP(H147,基础数据!G:H,2,FALSE)</f>
        <v>SR146Ⅰ大梁</v>
      </c>
    </row>
    <row r="148" spans="1:14" s="12" customFormat="1">
      <c r="A148" s="11">
        <v>1680</v>
      </c>
      <c r="B148" s="13" t="str">
        <f>VLOOKUP(A148,基础数据!A:B,2,FALSE)</f>
        <v>大丰</v>
      </c>
      <c r="C148" s="10">
        <v>44074</v>
      </c>
      <c r="D148" s="9"/>
      <c r="E148" s="11">
        <v>4500069040</v>
      </c>
      <c r="F148" s="9"/>
      <c r="G148" s="11">
        <v>1120000149</v>
      </c>
      <c r="H148" s="9" t="s">
        <v>9</v>
      </c>
      <c r="I148" s="11"/>
      <c r="J148" s="11">
        <v>6080</v>
      </c>
      <c r="K148" s="11"/>
      <c r="L148" s="10">
        <v>44099</v>
      </c>
      <c r="M148" s="9" t="s">
        <v>1071</v>
      </c>
      <c r="N148" s="13" t="str">
        <f>VLOOKUP(H148,基础数据!G:H,2,FALSE)</f>
        <v>TTX1500H-2.54-100</v>
      </c>
    </row>
    <row r="149" spans="1:14" s="12" customFormat="1">
      <c r="A149" s="11">
        <v>1680</v>
      </c>
      <c r="B149" s="13" t="str">
        <f>VLOOKUP(A149,基础数据!A:B,2,FALSE)</f>
        <v>大丰</v>
      </c>
      <c r="C149" s="10">
        <v>44074</v>
      </c>
      <c r="D149" s="9"/>
      <c r="E149" s="11">
        <v>4500069040</v>
      </c>
      <c r="F149" s="9"/>
      <c r="G149" s="11">
        <v>1120000149</v>
      </c>
      <c r="H149" s="9" t="s">
        <v>9</v>
      </c>
      <c r="I149" s="11"/>
      <c r="J149" s="11">
        <v>9120</v>
      </c>
      <c r="K149" s="11"/>
      <c r="L149" s="10">
        <v>44099</v>
      </c>
      <c r="M149" s="9" t="s">
        <v>1080</v>
      </c>
      <c r="N149" s="13" t="str">
        <f>VLOOKUP(H149,基础数据!G:H,2,FALSE)</f>
        <v>TTX1500H-2.54-100</v>
      </c>
    </row>
    <row r="150" spans="1:14" s="12" customFormat="1">
      <c r="A150" s="11">
        <v>1680</v>
      </c>
      <c r="B150" s="13" t="str">
        <f>VLOOKUP(A150,基础数据!A:B,2,FALSE)</f>
        <v>大丰</v>
      </c>
      <c r="C150" s="10">
        <v>44069</v>
      </c>
      <c r="D150" s="9"/>
      <c r="E150" s="9">
        <v>4500067613</v>
      </c>
      <c r="F150" s="9"/>
      <c r="G150" s="11">
        <v>1120002747</v>
      </c>
      <c r="H150" s="9" t="s">
        <v>289</v>
      </c>
      <c r="I150" s="11">
        <v>4</v>
      </c>
      <c r="J150" s="11">
        <v>2344</v>
      </c>
      <c r="K150" s="11"/>
      <c r="L150" s="10">
        <v>44069</v>
      </c>
      <c r="M150" s="9" t="s">
        <v>1164</v>
      </c>
      <c r="N150" s="13" t="str">
        <f>VLOOKUP(H150,基础数据!G:H,2,FALSE)</f>
        <v>SR146Ⅱ后缘</v>
      </c>
    </row>
    <row r="151" spans="1:14" s="12" customFormat="1">
      <c r="A151" s="11">
        <v>1680</v>
      </c>
      <c r="B151" s="13" t="str">
        <f>VLOOKUP(A151,基础数据!A:B,2,FALSE)</f>
        <v>大丰</v>
      </c>
      <c r="C151" s="10">
        <v>44074</v>
      </c>
      <c r="D151" s="9"/>
      <c r="E151" s="11">
        <v>4500069040</v>
      </c>
      <c r="F151" s="9"/>
      <c r="G151" s="11">
        <v>1120001035</v>
      </c>
      <c r="H151" s="9" t="s">
        <v>12</v>
      </c>
      <c r="I151" s="11"/>
      <c r="J151" s="11">
        <v>11095</v>
      </c>
      <c r="K151" s="11"/>
      <c r="L151" s="10">
        <v>44099</v>
      </c>
      <c r="M151" s="9" t="s">
        <v>1091</v>
      </c>
      <c r="N151" s="13" t="str">
        <f>VLOOKUP(H151,基础数据!G:H,2,FALSE)</f>
        <v>TLX1250-2.54-100</v>
      </c>
    </row>
    <row r="152" spans="1:14" s="12" customFormat="1">
      <c r="A152" s="11">
        <v>1680</v>
      </c>
      <c r="B152" s="13" t="str">
        <f>VLOOKUP(A152,基础数据!A:B,2,FALSE)</f>
        <v>大丰</v>
      </c>
      <c r="C152" s="10">
        <v>44098</v>
      </c>
      <c r="D152" s="9"/>
      <c r="E152" s="11">
        <v>4500071168</v>
      </c>
      <c r="F152" s="9"/>
      <c r="G152" s="11">
        <v>1120002904</v>
      </c>
      <c r="H152" s="9" t="s">
        <v>1073</v>
      </c>
      <c r="I152" s="11">
        <v>3</v>
      </c>
      <c r="J152" s="11">
        <v>1506</v>
      </c>
      <c r="K152" s="11"/>
      <c r="L152" s="10">
        <v>44114</v>
      </c>
      <c r="M152" s="9" t="s">
        <v>1092</v>
      </c>
      <c r="N152" s="13" t="str">
        <f>VLOOKUP(H152,基础数据!G:H,2,FALSE)</f>
        <v>SR146Ⅱ腹板套裁</v>
      </c>
    </row>
    <row r="153" spans="1:14" s="12" customFormat="1">
      <c r="A153" s="11">
        <v>1680</v>
      </c>
      <c r="B153" s="13" t="str">
        <f>VLOOKUP(A153,基础数据!A:B,2,FALSE)</f>
        <v>大丰</v>
      </c>
      <c r="C153" s="10">
        <v>44098</v>
      </c>
      <c r="D153" s="9"/>
      <c r="E153" s="11">
        <v>4500071168</v>
      </c>
      <c r="F153" s="9"/>
      <c r="G153" s="11">
        <v>1120002905</v>
      </c>
      <c r="H153" s="9" t="s">
        <v>1074</v>
      </c>
      <c r="I153" s="11">
        <v>3</v>
      </c>
      <c r="J153" s="11">
        <v>7422</v>
      </c>
      <c r="K153" s="11"/>
      <c r="L153" s="10">
        <v>44114</v>
      </c>
      <c r="M153" s="9" t="s">
        <v>1092</v>
      </c>
      <c r="N153" s="13" t="str">
        <f>VLOOKUP(H153,基础数据!G:H,2,FALSE)</f>
        <v>SR146Ⅱ壳体套裁</v>
      </c>
    </row>
    <row r="154" spans="1:14" s="12" customFormat="1">
      <c r="A154" s="11">
        <v>1680</v>
      </c>
      <c r="B154" s="13" t="str">
        <f>VLOOKUP(A154,基础数据!A:B,2,FALSE)</f>
        <v>大丰</v>
      </c>
      <c r="C154" s="10">
        <v>44098</v>
      </c>
      <c r="D154" s="9"/>
      <c r="E154" s="11">
        <v>4500071168</v>
      </c>
      <c r="F154" s="9"/>
      <c r="G154" s="11">
        <v>1120002904</v>
      </c>
      <c r="H154" s="9" t="s">
        <v>1073</v>
      </c>
      <c r="I154" s="11">
        <v>4</v>
      </c>
      <c r="J154" s="11">
        <v>2008</v>
      </c>
      <c r="K154" s="11"/>
      <c r="L154" s="10">
        <v>44114</v>
      </c>
      <c r="M154" s="9" t="s">
        <v>1099</v>
      </c>
      <c r="N154" s="13" t="str">
        <f>VLOOKUP(H154,基础数据!G:H,2,FALSE)</f>
        <v>SR146Ⅱ腹板套裁</v>
      </c>
    </row>
    <row r="155" spans="1:14" s="12" customFormat="1">
      <c r="A155" s="11">
        <v>1680</v>
      </c>
      <c r="B155" s="13" t="str">
        <f>VLOOKUP(A155,基础数据!A:B,2,FALSE)</f>
        <v>大丰</v>
      </c>
      <c r="C155" s="10">
        <v>44098</v>
      </c>
      <c r="D155" s="9"/>
      <c r="E155" s="11">
        <v>4500071168</v>
      </c>
      <c r="F155" s="9"/>
      <c r="G155" s="11">
        <v>1120002905</v>
      </c>
      <c r="H155" s="9" t="s">
        <v>1074</v>
      </c>
      <c r="I155" s="11">
        <v>4</v>
      </c>
      <c r="J155" s="11">
        <v>9896</v>
      </c>
      <c r="K155" s="11"/>
      <c r="L155" s="10">
        <v>44114</v>
      </c>
      <c r="M155" s="9" t="s">
        <v>1100</v>
      </c>
      <c r="N155" s="13" t="str">
        <f>VLOOKUP(H155,基础数据!G:H,2,FALSE)</f>
        <v>SR146Ⅱ壳体套裁</v>
      </c>
    </row>
    <row r="156" spans="1:14" s="12" customFormat="1">
      <c r="A156" s="11">
        <v>1680</v>
      </c>
      <c r="B156" s="13" t="str">
        <f>VLOOKUP(A156,基础数据!A:B,2,FALSE)</f>
        <v>大丰</v>
      </c>
      <c r="C156" s="10">
        <v>44069</v>
      </c>
      <c r="D156" s="9"/>
      <c r="E156" s="9">
        <v>4500067614</v>
      </c>
      <c r="F156" s="9"/>
      <c r="G156" s="11">
        <v>1120002854</v>
      </c>
      <c r="H156" s="9" t="s">
        <v>94</v>
      </c>
      <c r="I156" s="11"/>
      <c r="J156" s="11">
        <f>55005-3060-9180-7650-3060-3060-3060-7650-13770</f>
        <v>4515</v>
      </c>
      <c r="K156" s="11"/>
      <c r="L156" s="10">
        <v>44069</v>
      </c>
      <c r="M156" s="9" t="s">
        <v>1304</v>
      </c>
      <c r="N156" s="13" t="str">
        <f>VLOOKUP(H156,基础数据!G:H,2,FALSE)</f>
        <v>TLX1215-2.54-100</v>
      </c>
    </row>
    <row r="157" spans="1:14" s="12" customFormat="1">
      <c r="A157" s="11">
        <v>1680</v>
      </c>
      <c r="B157" s="13" t="str">
        <f>VLOOKUP(A157,基础数据!A:B,2,FALSE)</f>
        <v>大丰</v>
      </c>
      <c r="C157" s="10">
        <v>44069</v>
      </c>
      <c r="D157" s="9"/>
      <c r="E157" s="9">
        <v>4500067614</v>
      </c>
      <c r="F157" s="9"/>
      <c r="G157" s="11">
        <v>1120002854</v>
      </c>
      <c r="H157" s="9" t="s">
        <v>94</v>
      </c>
      <c r="I157" s="11"/>
      <c r="J157" s="11">
        <v>3135</v>
      </c>
      <c r="K157" s="11"/>
      <c r="L157" s="10">
        <v>44069</v>
      </c>
      <c r="M157" s="9" t="s">
        <v>1101</v>
      </c>
      <c r="N157" s="13" t="str">
        <f>VLOOKUP(H157,基础数据!G:H,2,FALSE)</f>
        <v>TLX1215-2.54-100</v>
      </c>
    </row>
    <row r="158" spans="1:14" s="12" customFormat="1">
      <c r="A158" s="11">
        <v>1680</v>
      </c>
      <c r="B158" s="13" t="str">
        <f>VLOOKUP(A158,基础数据!A:B,2,FALSE)</f>
        <v>大丰</v>
      </c>
      <c r="C158" s="10">
        <v>44069</v>
      </c>
      <c r="D158" s="9"/>
      <c r="E158" s="9">
        <v>4500067614</v>
      </c>
      <c r="F158" s="9"/>
      <c r="G158" s="11">
        <v>1120000145</v>
      </c>
      <c r="H158" s="9" t="s">
        <v>95</v>
      </c>
      <c r="I158" s="11"/>
      <c r="J158" s="11">
        <v>4635</v>
      </c>
      <c r="K158" s="11"/>
      <c r="L158" s="10">
        <v>44069</v>
      </c>
      <c r="M158" s="9" t="s">
        <v>1102</v>
      </c>
      <c r="N158" s="13" t="str">
        <f>VLOOKUP(H158,基础数据!G:H,2,FALSE)</f>
        <v>TTX1215(45)-2.54-100</v>
      </c>
    </row>
    <row r="159" spans="1:14" s="12" customFormat="1">
      <c r="A159" s="11">
        <v>1680</v>
      </c>
      <c r="B159" s="13" t="str">
        <f>VLOOKUP(A159,基础数据!A:B,2,FALSE)</f>
        <v>大丰</v>
      </c>
      <c r="C159" s="10">
        <v>44069</v>
      </c>
      <c r="D159" s="9"/>
      <c r="E159" s="9">
        <v>4500067614</v>
      </c>
      <c r="F159" s="9"/>
      <c r="G159" s="11">
        <v>1120000142</v>
      </c>
      <c r="H159" s="9" t="s">
        <v>11</v>
      </c>
      <c r="I159" s="11"/>
      <c r="J159" s="11">
        <v>9630</v>
      </c>
      <c r="K159" s="11"/>
      <c r="L159" s="10">
        <v>44069</v>
      </c>
      <c r="M159" s="9" t="s">
        <v>1103</v>
      </c>
      <c r="N159" s="13" t="str">
        <f>VLOOKUP(H159,基础数据!G:H,2,FALSE)</f>
        <v>TTX1250(60)-2.54-100</v>
      </c>
    </row>
    <row r="160" spans="1:14" s="12" customFormat="1">
      <c r="A160" s="11">
        <v>1680</v>
      </c>
      <c r="B160" s="13" t="str">
        <f>VLOOKUP(A160,基础数据!A:B,2,FALSE)</f>
        <v>大丰</v>
      </c>
      <c r="C160" s="10">
        <v>44069</v>
      </c>
      <c r="D160" s="9"/>
      <c r="E160" s="9">
        <v>4500067614</v>
      </c>
      <c r="F160" s="9"/>
      <c r="G160" s="11">
        <v>1120002854</v>
      </c>
      <c r="H160" s="9" t="s">
        <v>94</v>
      </c>
      <c r="I160" s="11"/>
      <c r="J160" s="11">
        <v>6120</v>
      </c>
      <c r="K160" s="11"/>
      <c r="L160" s="10">
        <v>44069</v>
      </c>
      <c r="M160" s="9" t="s">
        <v>1112</v>
      </c>
      <c r="N160" s="13" t="str">
        <f>VLOOKUP(H160,基础数据!G:H,2,FALSE)</f>
        <v>TLX1215-2.54-100</v>
      </c>
    </row>
    <row r="161" spans="1:14" s="12" customFormat="1">
      <c r="A161" s="11">
        <v>1680</v>
      </c>
      <c r="B161" s="13" t="str">
        <f>VLOOKUP(A161,基础数据!A:B,2,FALSE)</f>
        <v>大丰</v>
      </c>
      <c r="C161" s="10">
        <v>44069</v>
      </c>
      <c r="D161" s="9"/>
      <c r="E161" s="9">
        <v>4500067614</v>
      </c>
      <c r="F161" s="9"/>
      <c r="G161" s="11">
        <v>1120000142</v>
      </c>
      <c r="H161" s="9" t="s">
        <v>11</v>
      </c>
      <c r="I161" s="11"/>
      <c r="J161" s="11">
        <v>6420</v>
      </c>
      <c r="K161" s="11"/>
      <c r="L161" s="10">
        <v>44069</v>
      </c>
      <c r="M161" s="9" t="s">
        <v>1113</v>
      </c>
      <c r="N161" s="13" t="str">
        <f>VLOOKUP(H161,基础数据!G:H,2,FALSE)</f>
        <v>TTX1250(60)-2.54-100</v>
      </c>
    </row>
    <row r="162" spans="1:14" s="12" customFormat="1">
      <c r="A162" s="11">
        <v>1680</v>
      </c>
      <c r="B162" s="13" t="str">
        <f>VLOOKUP(A162,基础数据!A:B,2,FALSE)</f>
        <v>大丰</v>
      </c>
      <c r="C162" s="10">
        <v>44098</v>
      </c>
      <c r="D162" s="9"/>
      <c r="E162" s="11">
        <v>4500071168</v>
      </c>
      <c r="F162" s="9"/>
      <c r="G162" s="11">
        <v>1120002904</v>
      </c>
      <c r="H162" s="9" t="s">
        <v>1073</v>
      </c>
      <c r="I162" s="11">
        <v>4</v>
      </c>
      <c r="J162" s="11">
        <v>2008</v>
      </c>
      <c r="K162" s="11"/>
      <c r="L162" s="10">
        <v>44114</v>
      </c>
      <c r="M162" s="9" t="s">
        <v>1114</v>
      </c>
      <c r="N162" s="13" t="str">
        <f>VLOOKUP(H162,基础数据!G:H,2,FALSE)</f>
        <v>SR146Ⅱ腹板套裁</v>
      </c>
    </row>
    <row r="163" spans="1:14" s="12" customFormat="1">
      <c r="A163" s="11">
        <v>1680</v>
      </c>
      <c r="B163" s="13" t="str">
        <f>VLOOKUP(A163,基础数据!A:B,2,FALSE)</f>
        <v>大丰</v>
      </c>
      <c r="C163" s="10">
        <v>44098</v>
      </c>
      <c r="D163" s="9"/>
      <c r="E163" s="11">
        <v>4500071168</v>
      </c>
      <c r="F163" s="9"/>
      <c r="G163" s="11">
        <v>1120002905</v>
      </c>
      <c r="H163" s="9" t="s">
        <v>1074</v>
      </c>
      <c r="I163" s="11">
        <v>4</v>
      </c>
      <c r="J163" s="11">
        <v>9896</v>
      </c>
      <c r="K163" s="11"/>
      <c r="L163" s="10">
        <v>44114</v>
      </c>
      <c r="M163" s="9" t="s">
        <v>1115</v>
      </c>
      <c r="N163" s="13" t="str">
        <f>VLOOKUP(H163,基础数据!G:H,2,FALSE)</f>
        <v>SR146Ⅱ壳体套裁</v>
      </c>
    </row>
    <row r="164" spans="1:14" s="12" customFormat="1">
      <c r="A164" s="11">
        <v>1680</v>
      </c>
      <c r="B164" s="13" t="str">
        <f>VLOOKUP(A164,基础数据!A:B,2,FALSE)</f>
        <v>大丰</v>
      </c>
      <c r="C164" s="10">
        <v>44069</v>
      </c>
      <c r="D164" s="9"/>
      <c r="E164" s="9">
        <v>4500067613</v>
      </c>
      <c r="F164" s="9"/>
      <c r="G164" s="11">
        <v>1120001948</v>
      </c>
      <c r="H164" s="9" t="s">
        <v>14</v>
      </c>
      <c r="I164" s="11">
        <f>30-2-2-1-4-2-2-2-2-6-2-2-2</f>
        <v>1</v>
      </c>
      <c r="J164" s="11">
        <f>27780-1806-1806-903-3612-1806-1806-1806-1806-5418-1806-1806-1806</f>
        <v>1593</v>
      </c>
      <c r="K164" s="11"/>
      <c r="L164" s="10">
        <v>44069</v>
      </c>
      <c r="M164" s="9" t="s">
        <v>1305</v>
      </c>
      <c r="N164" s="13" t="str">
        <f>VLOOKUP(H164,基础数据!G:H,2,FALSE)</f>
        <v>SR146Ⅰ后缘</v>
      </c>
    </row>
    <row r="165" spans="1:14" s="12" customFormat="1">
      <c r="A165" s="11">
        <v>1680</v>
      </c>
      <c r="B165" s="13" t="str">
        <f>VLOOKUP(A165,基础数据!A:B,2,FALSE)</f>
        <v>大丰</v>
      </c>
      <c r="C165" s="10">
        <v>44085</v>
      </c>
      <c r="D165" s="9"/>
      <c r="E165" s="11">
        <v>4500070057</v>
      </c>
      <c r="F165" s="9"/>
      <c r="G165" s="11">
        <v>1120001948</v>
      </c>
      <c r="H165" s="9" t="s">
        <v>14</v>
      </c>
      <c r="I165" s="11">
        <v>2</v>
      </c>
      <c r="J165" s="11">
        <v>1806</v>
      </c>
      <c r="K165" s="11"/>
      <c r="L165" s="10">
        <v>44099</v>
      </c>
      <c r="M165" s="9" t="s">
        <v>1116</v>
      </c>
      <c r="N165" s="13" t="str">
        <f>VLOOKUP(H165,基础数据!G:H,2,FALSE)</f>
        <v>SR146Ⅰ后缘</v>
      </c>
    </row>
    <row r="166" spans="1:14" s="12" customFormat="1">
      <c r="A166" s="11">
        <v>1680</v>
      </c>
      <c r="B166" s="13" t="str">
        <f>VLOOKUP(A166,基础数据!A:B,2,FALSE)</f>
        <v>大丰</v>
      </c>
      <c r="C166" s="10">
        <v>44085</v>
      </c>
      <c r="D166" s="9"/>
      <c r="E166" s="11">
        <v>4500070057</v>
      </c>
      <c r="F166" s="9"/>
      <c r="G166" s="11">
        <v>1120001949</v>
      </c>
      <c r="H166" s="9" t="s">
        <v>13</v>
      </c>
      <c r="I166" s="11">
        <v>3</v>
      </c>
      <c r="J166" s="11">
        <v>15738</v>
      </c>
      <c r="K166" s="11"/>
      <c r="L166" s="10">
        <v>44099</v>
      </c>
      <c r="M166" s="9" t="s">
        <v>1117</v>
      </c>
      <c r="N166" s="13" t="str">
        <f>VLOOKUP(H166,基础数据!G:H,2,FALSE)</f>
        <v>SR146Ⅰ大梁</v>
      </c>
    </row>
    <row r="167" spans="1:14" s="12" customFormat="1">
      <c r="A167" s="11">
        <v>1680</v>
      </c>
      <c r="B167" s="13" t="str">
        <f>VLOOKUP(A167,基础数据!A:B,2,FALSE)</f>
        <v>大丰</v>
      </c>
      <c r="C167" s="10">
        <v>44069</v>
      </c>
      <c r="D167" s="9"/>
      <c r="E167" s="9">
        <v>4500067614</v>
      </c>
      <c r="F167" s="9"/>
      <c r="G167" s="11">
        <v>1120002854</v>
      </c>
      <c r="H167" s="9" t="s">
        <v>94</v>
      </c>
      <c r="I167" s="11"/>
      <c r="J167" s="11">
        <v>6120</v>
      </c>
      <c r="K167" s="11"/>
      <c r="L167" s="10">
        <v>44069</v>
      </c>
      <c r="M167" s="9" t="s">
        <v>1118</v>
      </c>
      <c r="N167" s="13" t="str">
        <f>VLOOKUP(H167,基础数据!G:H,2,FALSE)</f>
        <v>TLX1215-2.54-100</v>
      </c>
    </row>
    <row r="168" spans="1:14" s="12" customFormat="1">
      <c r="A168" s="11">
        <v>1680</v>
      </c>
      <c r="B168" s="13" t="str">
        <f>VLOOKUP(A168,基础数据!A:B,2,FALSE)</f>
        <v>大丰</v>
      </c>
      <c r="C168" s="10">
        <v>44069</v>
      </c>
      <c r="D168" s="9"/>
      <c r="E168" s="9">
        <v>4500067614</v>
      </c>
      <c r="F168" s="9"/>
      <c r="G168" s="11">
        <v>1120000142</v>
      </c>
      <c r="H168" s="9" t="s">
        <v>11</v>
      </c>
      <c r="I168" s="11"/>
      <c r="J168" s="11">
        <v>8025</v>
      </c>
      <c r="K168" s="11"/>
      <c r="L168" s="10">
        <v>44069</v>
      </c>
      <c r="M168" s="9" t="s">
        <v>1119</v>
      </c>
      <c r="N168" s="13" t="str">
        <f>VLOOKUP(H168,基础数据!G:H,2,FALSE)</f>
        <v>TTX1250(60)-2.54-100</v>
      </c>
    </row>
    <row r="169" spans="1:14" s="12" customFormat="1">
      <c r="A169" s="11">
        <v>1680</v>
      </c>
      <c r="B169" s="13" t="str">
        <f>VLOOKUP(A169,基础数据!A:B,2,FALSE)</f>
        <v>大丰</v>
      </c>
      <c r="C169" s="10">
        <v>44098</v>
      </c>
      <c r="D169" s="9"/>
      <c r="E169" s="11">
        <v>4500071168</v>
      </c>
      <c r="F169" s="9"/>
      <c r="G169" s="11">
        <v>1120002904</v>
      </c>
      <c r="H169" s="9" t="s">
        <v>1073</v>
      </c>
      <c r="I169" s="11">
        <v>1</v>
      </c>
      <c r="J169" s="11">
        <v>502</v>
      </c>
      <c r="K169" s="11"/>
      <c r="L169" s="10">
        <v>44114</v>
      </c>
      <c r="M169" s="9" t="s">
        <v>1120</v>
      </c>
      <c r="N169" s="13" t="str">
        <f>VLOOKUP(H169,基础数据!G:H,2,FALSE)</f>
        <v>SR146Ⅱ腹板套裁</v>
      </c>
    </row>
    <row r="170" spans="1:14" s="12" customFormat="1">
      <c r="A170" s="11">
        <v>1680</v>
      </c>
      <c r="B170" s="13" t="str">
        <f>VLOOKUP(A170,基础数据!A:B,2,FALSE)</f>
        <v>大丰</v>
      </c>
      <c r="C170" s="10">
        <v>44098</v>
      </c>
      <c r="D170" s="9"/>
      <c r="E170" s="11">
        <v>4500071168</v>
      </c>
      <c r="F170" s="9"/>
      <c r="G170" s="11">
        <v>1120002905</v>
      </c>
      <c r="H170" s="9" t="s">
        <v>1074</v>
      </c>
      <c r="I170" s="11">
        <v>1</v>
      </c>
      <c r="J170" s="11">
        <v>2474</v>
      </c>
      <c r="K170" s="11"/>
      <c r="L170" s="10">
        <v>44114</v>
      </c>
      <c r="M170" s="9" t="s">
        <v>1121</v>
      </c>
      <c r="N170" s="13" t="str">
        <f>VLOOKUP(H170,基础数据!G:H,2,FALSE)</f>
        <v>SR146Ⅱ壳体套裁</v>
      </c>
    </row>
    <row r="171" spans="1:14" s="12" customFormat="1">
      <c r="A171" s="11">
        <v>1680</v>
      </c>
      <c r="B171" s="13" t="str">
        <f>VLOOKUP(A171,基础数据!A:B,2,FALSE)</f>
        <v>大丰</v>
      </c>
      <c r="C171" s="10">
        <v>44069</v>
      </c>
      <c r="D171" s="9"/>
      <c r="E171" s="9">
        <v>4500067613</v>
      </c>
      <c r="F171" s="9"/>
      <c r="G171" s="11">
        <v>1120002746</v>
      </c>
      <c r="H171" s="9" t="s">
        <v>288</v>
      </c>
      <c r="I171" s="11">
        <v>2</v>
      </c>
      <c r="J171" s="11">
        <v>7008</v>
      </c>
      <c r="K171" s="11"/>
      <c r="L171" s="10">
        <v>44069</v>
      </c>
      <c r="M171" s="9" t="s">
        <v>1306</v>
      </c>
      <c r="N171" s="13" t="str">
        <f>VLOOKUP(H171,基础数据!G:H,2,FALSE)</f>
        <v>SR146Ⅱ大梁</v>
      </c>
    </row>
    <row r="172" spans="1:14" s="12" customFormat="1">
      <c r="A172" s="11">
        <v>1680</v>
      </c>
      <c r="B172" s="13" t="str">
        <f>VLOOKUP(A172,基础数据!A:B,2,FALSE)</f>
        <v>大丰</v>
      </c>
      <c r="C172" s="10">
        <v>44069</v>
      </c>
      <c r="D172" s="9"/>
      <c r="E172" s="9">
        <v>4500067613</v>
      </c>
      <c r="F172" s="9"/>
      <c r="G172" s="11">
        <v>1120002772</v>
      </c>
      <c r="H172" s="9" t="s">
        <v>492</v>
      </c>
      <c r="I172" s="11">
        <v>5</v>
      </c>
      <c r="J172" s="11">
        <v>9125</v>
      </c>
      <c r="K172" s="11"/>
      <c r="L172" s="10">
        <v>44069</v>
      </c>
      <c r="M172" s="9" t="s">
        <v>1132</v>
      </c>
      <c r="N172" s="13" t="str">
        <f>VLOOKUP(H172,基础数据!G:H,2,FALSE)</f>
        <v>GW171后缘</v>
      </c>
    </row>
    <row r="173" spans="1:14" s="12" customFormat="1">
      <c r="A173" s="11">
        <v>1680</v>
      </c>
      <c r="B173" s="13" t="str">
        <f>VLOOKUP(A173,基础数据!A:B,2,FALSE)</f>
        <v>大丰</v>
      </c>
      <c r="C173" s="10">
        <v>44085</v>
      </c>
      <c r="D173" s="9"/>
      <c r="E173" s="11">
        <v>4500070057</v>
      </c>
      <c r="F173" s="9"/>
      <c r="G173" s="11">
        <v>1120001949</v>
      </c>
      <c r="H173" s="9" t="s">
        <v>13</v>
      </c>
      <c r="I173" s="11">
        <v>2</v>
      </c>
      <c r="J173" s="11">
        <v>10494</v>
      </c>
      <c r="K173" s="11"/>
      <c r="L173" s="10">
        <v>44099</v>
      </c>
      <c r="M173" s="9" t="s">
        <v>1130</v>
      </c>
      <c r="N173" s="13" t="str">
        <f>VLOOKUP(H173,基础数据!G:H,2,FALSE)</f>
        <v>SR146Ⅰ大梁</v>
      </c>
    </row>
    <row r="174" spans="1:14" s="12" customFormat="1">
      <c r="A174" s="11">
        <v>1680</v>
      </c>
      <c r="B174" s="13" t="str">
        <f>VLOOKUP(A174,基础数据!A:B,2,FALSE)</f>
        <v>大丰</v>
      </c>
      <c r="C174" s="10">
        <v>44085</v>
      </c>
      <c r="D174" s="9"/>
      <c r="E174" s="11">
        <v>4500070057</v>
      </c>
      <c r="F174" s="9"/>
      <c r="G174" s="11">
        <v>1120001948</v>
      </c>
      <c r="H174" s="9" t="s">
        <v>14</v>
      </c>
      <c r="I174" s="11">
        <v>4</v>
      </c>
      <c r="J174" s="11">
        <v>3612</v>
      </c>
      <c r="K174" s="11"/>
      <c r="L174" s="10">
        <v>44099</v>
      </c>
      <c r="M174" s="9" t="s">
        <v>1133</v>
      </c>
      <c r="N174" s="13" t="str">
        <f>VLOOKUP(H174,基础数据!G:H,2,FALSE)</f>
        <v>SR146Ⅰ后缘</v>
      </c>
    </row>
    <row r="175" spans="1:14" s="12" customFormat="1">
      <c r="A175" s="11">
        <v>1680</v>
      </c>
      <c r="B175" s="13" t="str">
        <f>VLOOKUP(A175,基础数据!A:B,2,FALSE)</f>
        <v>大丰</v>
      </c>
      <c r="C175" s="10">
        <v>44069</v>
      </c>
      <c r="D175" s="9"/>
      <c r="E175" s="9">
        <v>4500067614</v>
      </c>
      <c r="F175" s="9"/>
      <c r="G175" s="11">
        <v>1120000145</v>
      </c>
      <c r="H175" s="9" t="s">
        <v>95</v>
      </c>
      <c r="I175" s="11"/>
      <c r="J175" s="11">
        <v>4665</v>
      </c>
      <c r="K175" s="11"/>
      <c r="L175" s="10">
        <v>44069</v>
      </c>
      <c r="M175" s="9" t="s">
        <v>1131</v>
      </c>
      <c r="N175" s="13" t="str">
        <f>VLOOKUP(H175,基础数据!G:H,2,FALSE)</f>
        <v>TTX1215(45)-2.54-100</v>
      </c>
    </row>
    <row r="176" spans="1:14" s="12" customFormat="1">
      <c r="A176" s="11">
        <v>1680</v>
      </c>
      <c r="B176" s="13" t="str">
        <f>VLOOKUP(A176,基础数据!A:B,2,FALSE)</f>
        <v>大丰</v>
      </c>
      <c r="C176" s="10">
        <v>44069</v>
      </c>
      <c r="D176" s="9"/>
      <c r="E176" s="9">
        <v>4500067614</v>
      </c>
      <c r="F176" s="9"/>
      <c r="G176" s="11">
        <v>1120000142</v>
      </c>
      <c r="H176" s="9" t="s">
        <v>11</v>
      </c>
      <c r="I176" s="11"/>
      <c r="J176" s="11">
        <v>2889</v>
      </c>
      <c r="K176" s="11"/>
      <c r="L176" s="10">
        <v>44069</v>
      </c>
      <c r="M176" s="9" t="s">
        <v>1134</v>
      </c>
      <c r="N176" s="13" t="str">
        <f>VLOOKUP(H176,基础数据!G:H,2,FALSE)</f>
        <v>TTX1250(60)-2.54-100</v>
      </c>
    </row>
    <row r="177" spans="1:14" s="12" customFormat="1">
      <c r="A177" s="11">
        <v>1680</v>
      </c>
      <c r="B177" s="13" t="str">
        <f>VLOOKUP(A177,基础数据!A:B,2,FALSE)</f>
        <v>大丰</v>
      </c>
      <c r="C177" s="10">
        <v>44069</v>
      </c>
      <c r="D177" s="9"/>
      <c r="E177" s="9">
        <v>4500067613</v>
      </c>
      <c r="F177" s="9"/>
      <c r="G177" s="11">
        <v>1120002746</v>
      </c>
      <c r="H177" s="9" t="s">
        <v>288</v>
      </c>
      <c r="I177" s="11">
        <v>2</v>
      </c>
      <c r="J177" s="11">
        <v>7008</v>
      </c>
      <c r="K177" s="11"/>
      <c r="L177" s="10">
        <v>44069</v>
      </c>
      <c r="M177" s="9" t="s">
        <v>1163</v>
      </c>
      <c r="N177" s="13" t="str">
        <f>VLOOKUP(H177,基础数据!G:H,2,FALSE)</f>
        <v>SR146Ⅱ大梁</v>
      </c>
    </row>
    <row r="178" spans="1:14" s="12" customFormat="1">
      <c r="A178" s="11">
        <v>1680</v>
      </c>
      <c r="B178" s="13" t="str">
        <f>VLOOKUP(A178,基础数据!A:B,2,FALSE)</f>
        <v>大丰</v>
      </c>
      <c r="C178" s="10">
        <v>44085</v>
      </c>
      <c r="D178" s="9"/>
      <c r="E178" s="11">
        <v>4500070057</v>
      </c>
      <c r="F178" s="9"/>
      <c r="G178" s="11">
        <v>1120001949</v>
      </c>
      <c r="H178" s="9" t="s">
        <v>13</v>
      </c>
      <c r="I178" s="11">
        <v>2</v>
      </c>
      <c r="J178" s="11">
        <v>10494</v>
      </c>
      <c r="K178" s="11"/>
      <c r="L178" s="10">
        <v>44099</v>
      </c>
      <c r="M178" s="9" t="s">
        <v>1159</v>
      </c>
      <c r="N178" s="13" t="str">
        <f>VLOOKUP(H178,基础数据!G:H,2,FALSE)</f>
        <v>SR146Ⅰ大梁</v>
      </c>
    </row>
    <row r="179" spans="1:14" s="12" customFormat="1">
      <c r="A179" s="11">
        <v>1680</v>
      </c>
      <c r="B179" s="13" t="str">
        <f>VLOOKUP(A179,基础数据!A:B,2,FALSE)</f>
        <v>大丰</v>
      </c>
      <c r="C179" s="10">
        <v>44074</v>
      </c>
      <c r="D179" s="9"/>
      <c r="E179" s="11">
        <v>4500069040</v>
      </c>
      <c r="F179" s="9"/>
      <c r="G179" s="11">
        <v>1120001035</v>
      </c>
      <c r="H179" s="9" t="s">
        <v>12</v>
      </c>
      <c r="I179" s="11"/>
      <c r="J179" s="11">
        <v>7925</v>
      </c>
      <c r="K179" s="11"/>
      <c r="L179" s="10">
        <v>44099</v>
      </c>
      <c r="M179" s="9" t="s">
        <v>1161</v>
      </c>
      <c r="N179" s="13" t="str">
        <f>VLOOKUP(H179,基础数据!G:H,2,FALSE)</f>
        <v>TLX1250-2.54-100</v>
      </c>
    </row>
    <row r="180" spans="1:14" s="12" customFormat="1">
      <c r="A180" s="11">
        <v>1680</v>
      </c>
      <c r="B180" s="13" t="str">
        <f>VLOOKUP(A180,基础数据!A:B,2,FALSE)</f>
        <v>大丰</v>
      </c>
      <c r="C180" s="10">
        <v>44069</v>
      </c>
      <c r="D180" s="9"/>
      <c r="E180" s="9">
        <v>4500067614</v>
      </c>
      <c r="F180" s="9"/>
      <c r="G180" s="11">
        <v>1120000142</v>
      </c>
      <c r="H180" s="9" t="s">
        <v>11</v>
      </c>
      <c r="I180" s="11"/>
      <c r="J180" s="11">
        <v>3220</v>
      </c>
      <c r="K180" s="11"/>
      <c r="L180" s="10">
        <v>44069</v>
      </c>
      <c r="M180" s="9" t="s">
        <v>1162</v>
      </c>
      <c r="N180" s="13" t="str">
        <f>VLOOKUP(H180,基础数据!G:H,2,FALSE)</f>
        <v>TTX1250(60)-2.54-100</v>
      </c>
    </row>
    <row r="181" spans="1:14" s="12" customFormat="1">
      <c r="A181" s="11">
        <v>1680</v>
      </c>
      <c r="B181" s="13" t="str">
        <f>VLOOKUP(A181,基础数据!A:B,2,FALSE)</f>
        <v>大丰</v>
      </c>
      <c r="C181" s="10">
        <v>44069</v>
      </c>
      <c r="D181" s="9"/>
      <c r="E181" s="9">
        <v>4500067614</v>
      </c>
      <c r="F181" s="9"/>
      <c r="G181" s="11">
        <v>1120002854</v>
      </c>
      <c r="H181" s="9" t="s">
        <v>94</v>
      </c>
      <c r="I181" s="11"/>
      <c r="J181" s="11">
        <v>7650</v>
      </c>
      <c r="K181" s="11"/>
      <c r="L181" s="10">
        <v>44069</v>
      </c>
      <c r="M181" s="9" t="s">
        <v>1160</v>
      </c>
      <c r="N181" s="13" t="str">
        <f>VLOOKUP(H181,基础数据!G:H,2,FALSE)</f>
        <v>TLX1215-2.54-100</v>
      </c>
    </row>
    <row r="182" spans="1:14" s="12" customFormat="1">
      <c r="A182" s="11">
        <v>1680</v>
      </c>
      <c r="B182" s="13" t="str">
        <f>VLOOKUP(A182,基础数据!A:B,2,FALSE)</f>
        <v>大丰</v>
      </c>
      <c r="C182" s="10">
        <v>44074</v>
      </c>
      <c r="D182" s="9"/>
      <c r="E182" s="11">
        <v>4500069040</v>
      </c>
      <c r="F182" s="9"/>
      <c r="G182" s="11">
        <v>1120000149</v>
      </c>
      <c r="H182" s="9" t="s">
        <v>9</v>
      </c>
      <c r="I182" s="11"/>
      <c r="J182" s="11">
        <v>4560</v>
      </c>
      <c r="K182" s="11"/>
      <c r="L182" s="10">
        <v>44099</v>
      </c>
      <c r="M182" s="9" t="s">
        <v>1169</v>
      </c>
      <c r="N182" s="13" t="str">
        <f>VLOOKUP(H182,基础数据!G:H,2,FALSE)</f>
        <v>TTX1500H-2.54-100</v>
      </c>
    </row>
    <row r="183" spans="1:14" s="12" customFormat="1">
      <c r="A183" s="11">
        <v>1680</v>
      </c>
      <c r="B183" s="13" t="str">
        <f>VLOOKUP(A183,基础数据!A:B,2,FALSE)</f>
        <v>大丰</v>
      </c>
      <c r="C183" s="10">
        <v>44085</v>
      </c>
      <c r="D183" s="9"/>
      <c r="E183" s="11">
        <v>4500070057</v>
      </c>
      <c r="F183" s="9"/>
      <c r="G183" s="11">
        <v>1120001948</v>
      </c>
      <c r="H183" s="9" t="s">
        <v>14</v>
      </c>
      <c r="I183" s="11">
        <v>4</v>
      </c>
      <c r="J183" s="11">
        <v>3612</v>
      </c>
      <c r="K183" s="11"/>
      <c r="L183" s="10">
        <v>44099</v>
      </c>
      <c r="M183" s="9" t="s">
        <v>1170</v>
      </c>
      <c r="N183" s="13" t="str">
        <f>VLOOKUP(H183,基础数据!G:H,2,FALSE)</f>
        <v>SR146Ⅰ后缘</v>
      </c>
    </row>
    <row r="184" spans="1:14" s="12" customFormat="1">
      <c r="A184" s="11">
        <v>1680</v>
      </c>
      <c r="B184" s="13" t="str">
        <f>VLOOKUP(A184,基础数据!A:B,2,FALSE)</f>
        <v>大丰</v>
      </c>
      <c r="C184" s="10">
        <v>44085</v>
      </c>
      <c r="D184" s="9"/>
      <c r="E184" s="11">
        <v>4500070057</v>
      </c>
      <c r="F184" s="9"/>
      <c r="G184" s="11">
        <v>1120001949</v>
      </c>
      <c r="H184" s="9" t="s">
        <v>13</v>
      </c>
      <c r="I184" s="11">
        <v>2</v>
      </c>
      <c r="J184" s="11">
        <v>10494</v>
      </c>
      <c r="K184" s="11"/>
      <c r="L184" s="10">
        <v>44099</v>
      </c>
      <c r="M184" s="9" t="s">
        <v>1172</v>
      </c>
      <c r="N184" s="13" t="str">
        <f>VLOOKUP(H184,基础数据!G:H,2,FALSE)</f>
        <v>SR146Ⅰ大梁</v>
      </c>
    </row>
    <row r="185" spans="1:14" s="12" customFormat="1">
      <c r="A185" s="11">
        <v>1680</v>
      </c>
      <c r="B185" s="13" t="str">
        <f>VLOOKUP(A185,基础数据!A:B,2,FALSE)</f>
        <v>大丰</v>
      </c>
      <c r="C185" s="10">
        <v>44069</v>
      </c>
      <c r="D185" s="9"/>
      <c r="E185" s="9">
        <v>4500067613</v>
      </c>
      <c r="F185" s="9"/>
      <c r="G185" s="11">
        <v>1120002747</v>
      </c>
      <c r="H185" s="9" t="s">
        <v>289</v>
      </c>
      <c r="I185" s="11">
        <v>4</v>
      </c>
      <c r="J185" s="11">
        <v>2344</v>
      </c>
      <c r="K185" s="11"/>
      <c r="L185" s="10">
        <v>44069</v>
      </c>
      <c r="M185" s="9" t="s">
        <v>1171</v>
      </c>
      <c r="N185" s="13" t="str">
        <f>VLOOKUP(H185,基础数据!G:H,2,FALSE)</f>
        <v>SR146Ⅱ后缘</v>
      </c>
    </row>
    <row r="186" spans="1:14" s="12" customFormat="1">
      <c r="A186" s="11">
        <v>1680</v>
      </c>
      <c r="B186" s="13" t="str">
        <f>VLOOKUP(A186,基础数据!A:B,2,FALSE)</f>
        <v>大丰</v>
      </c>
      <c r="C186" s="10">
        <v>44069</v>
      </c>
      <c r="D186" s="9"/>
      <c r="E186" s="9">
        <v>4500067613</v>
      </c>
      <c r="F186" s="9"/>
      <c r="G186" s="11">
        <v>1120002746</v>
      </c>
      <c r="H186" s="9" t="s">
        <v>288</v>
      </c>
      <c r="I186" s="11">
        <v>2</v>
      </c>
      <c r="J186" s="11">
        <v>7008</v>
      </c>
      <c r="K186" s="11"/>
      <c r="L186" s="10">
        <v>44069</v>
      </c>
      <c r="M186" s="9" t="s">
        <v>1173</v>
      </c>
      <c r="N186" s="13" t="str">
        <f>VLOOKUP(H186,基础数据!G:H,2,FALSE)</f>
        <v>SR146Ⅱ大梁</v>
      </c>
    </row>
    <row r="187" spans="1:14" s="12" customFormat="1">
      <c r="A187" s="11">
        <v>1680</v>
      </c>
      <c r="B187" s="13" t="str">
        <f>VLOOKUP(A187,基础数据!A:B,2,FALSE)</f>
        <v>大丰</v>
      </c>
      <c r="C187" s="10">
        <v>44085</v>
      </c>
      <c r="D187" s="9"/>
      <c r="E187" s="11">
        <v>4500070057</v>
      </c>
      <c r="F187" s="9"/>
      <c r="G187" s="11">
        <v>1120001949</v>
      </c>
      <c r="H187" s="9" t="s">
        <v>13</v>
      </c>
      <c r="I187" s="11">
        <v>2</v>
      </c>
      <c r="J187" s="11">
        <v>10494</v>
      </c>
      <c r="K187" s="11"/>
      <c r="L187" s="10">
        <v>44099</v>
      </c>
      <c r="M187" s="9" t="s">
        <v>1307</v>
      </c>
      <c r="N187" s="13" t="str">
        <f>VLOOKUP(H187,基础数据!G:H,2,FALSE)</f>
        <v>SR146Ⅰ大梁</v>
      </c>
    </row>
    <row r="188" spans="1:14" s="12" customFormat="1">
      <c r="A188" s="11">
        <v>1680</v>
      </c>
      <c r="B188" s="13" t="str">
        <f>VLOOKUP(A188,基础数据!A:B,2,FALSE)</f>
        <v>大丰</v>
      </c>
      <c r="C188" s="10">
        <v>44069</v>
      </c>
      <c r="D188" s="9"/>
      <c r="E188" s="9">
        <v>4500067613</v>
      </c>
      <c r="F188" s="9"/>
      <c r="G188" s="11">
        <v>1120002746</v>
      </c>
      <c r="H188" s="9" t="s">
        <v>288</v>
      </c>
      <c r="I188" s="11">
        <v>2</v>
      </c>
      <c r="J188" s="11">
        <v>7008</v>
      </c>
      <c r="K188" s="11"/>
      <c r="L188" s="10">
        <v>44069</v>
      </c>
      <c r="M188" s="9" t="s">
        <v>1308</v>
      </c>
      <c r="N188" s="13" t="str">
        <f>VLOOKUP(H188,基础数据!G:H,2,FALSE)</f>
        <v>SR146Ⅱ大梁</v>
      </c>
    </row>
    <row r="189" spans="1:14" s="12" customFormat="1">
      <c r="A189" s="11">
        <v>1680</v>
      </c>
      <c r="B189" s="13" t="str">
        <f>VLOOKUP(A189,基础数据!A:B,2,FALSE)</f>
        <v>大丰</v>
      </c>
      <c r="C189" s="10">
        <v>44074</v>
      </c>
      <c r="D189" s="9"/>
      <c r="E189" s="11">
        <v>4500069040</v>
      </c>
      <c r="F189" s="9"/>
      <c r="G189" s="11">
        <v>1120000149</v>
      </c>
      <c r="H189" s="9" t="s">
        <v>9</v>
      </c>
      <c r="I189" s="11"/>
      <c r="J189" s="11">
        <v>3040</v>
      </c>
      <c r="K189" s="11"/>
      <c r="L189" s="10">
        <v>44099</v>
      </c>
      <c r="M189" s="9" t="s">
        <v>1311</v>
      </c>
      <c r="N189" s="13" t="str">
        <f>VLOOKUP(H189,基础数据!G:H,2,FALSE)</f>
        <v>TTX1500H-2.54-100</v>
      </c>
    </row>
    <row r="190" spans="1:14" s="12" customFormat="1">
      <c r="A190" s="11">
        <v>1680</v>
      </c>
      <c r="B190" s="13" t="str">
        <f>VLOOKUP(A190,基础数据!A:B,2,FALSE)</f>
        <v>大丰</v>
      </c>
      <c r="C190" s="10">
        <v>44069</v>
      </c>
      <c r="D190" s="9"/>
      <c r="E190" s="9">
        <v>4500067614</v>
      </c>
      <c r="F190" s="9"/>
      <c r="G190" s="11">
        <v>1120000145</v>
      </c>
      <c r="H190" s="9" t="s">
        <v>95</v>
      </c>
      <c r="I190" s="11"/>
      <c r="J190" s="11">
        <v>4665</v>
      </c>
      <c r="K190" s="11"/>
      <c r="L190" s="10">
        <v>44069</v>
      </c>
      <c r="M190" s="9" t="s">
        <v>1309</v>
      </c>
      <c r="N190" s="13" t="str">
        <f>VLOOKUP(H190,基础数据!G:H,2,FALSE)</f>
        <v>TTX1215(45)-2.54-100</v>
      </c>
    </row>
    <row r="191" spans="1:14" s="12" customFormat="1">
      <c r="A191" s="11">
        <v>1680</v>
      </c>
      <c r="B191" s="13" t="str">
        <f>VLOOKUP(A191,基础数据!A:B,2,FALSE)</f>
        <v>大丰</v>
      </c>
      <c r="C191" s="10">
        <v>44069</v>
      </c>
      <c r="D191" s="9"/>
      <c r="E191" s="9">
        <v>4500067614</v>
      </c>
      <c r="F191" s="9"/>
      <c r="G191" s="11">
        <v>1120000142</v>
      </c>
      <c r="H191" s="9" t="s">
        <v>11</v>
      </c>
      <c r="I191" s="11"/>
      <c r="J191" s="11">
        <v>6440</v>
      </c>
      <c r="K191" s="11"/>
      <c r="L191" s="10">
        <v>44069</v>
      </c>
      <c r="M191" s="9" t="s">
        <v>1310</v>
      </c>
      <c r="N191" s="13" t="str">
        <f>VLOOKUP(H191,基础数据!G:H,2,FALSE)</f>
        <v>TTX1250(60)-2.54-100</v>
      </c>
    </row>
    <row r="192" spans="1:14" s="12" customFormat="1">
      <c r="A192" s="11">
        <v>1680</v>
      </c>
      <c r="B192" s="13" t="str">
        <f>VLOOKUP(A192,基础数据!A:B,2,FALSE)</f>
        <v>大丰</v>
      </c>
      <c r="C192" s="10">
        <v>44085</v>
      </c>
      <c r="D192" s="9"/>
      <c r="E192" s="11">
        <v>4500070057</v>
      </c>
      <c r="F192" s="9"/>
      <c r="G192" s="11">
        <v>1120001949</v>
      </c>
      <c r="H192" s="9" t="s">
        <v>13</v>
      </c>
      <c r="I192" s="11">
        <v>2</v>
      </c>
      <c r="J192" s="11">
        <v>10494</v>
      </c>
      <c r="K192" s="11"/>
      <c r="L192" s="10">
        <v>44099</v>
      </c>
      <c r="M192" s="9" t="s">
        <v>1321</v>
      </c>
      <c r="N192" s="13" t="str">
        <f>VLOOKUP(H192,基础数据!G:H,2,FALSE)</f>
        <v>SR146Ⅰ大梁</v>
      </c>
    </row>
    <row r="193" spans="1:14" s="12" customFormat="1">
      <c r="A193" s="11">
        <v>1680</v>
      </c>
      <c r="B193" s="13" t="str">
        <f>VLOOKUP(A193,基础数据!A:B,2,FALSE)</f>
        <v>大丰</v>
      </c>
      <c r="C193" s="10">
        <v>44069</v>
      </c>
      <c r="D193" s="9"/>
      <c r="E193" s="9">
        <v>4500067613</v>
      </c>
      <c r="F193" s="9"/>
      <c r="G193" s="11">
        <v>1120002746</v>
      </c>
      <c r="H193" s="9" t="s">
        <v>288</v>
      </c>
      <c r="I193" s="11">
        <v>2</v>
      </c>
      <c r="J193" s="11">
        <v>7008</v>
      </c>
      <c r="K193" s="11"/>
      <c r="L193" s="10">
        <v>44069</v>
      </c>
      <c r="M193" s="9" t="s">
        <v>1322</v>
      </c>
      <c r="N193" s="13" t="str">
        <f>VLOOKUP(H193,基础数据!G:H,2,FALSE)</f>
        <v>SR146Ⅱ大梁</v>
      </c>
    </row>
    <row r="194" spans="1:14" s="12" customFormat="1">
      <c r="A194" s="11">
        <v>1680</v>
      </c>
      <c r="B194" s="13" t="str">
        <f>VLOOKUP(A194,基础数据!A:B,2,FALSE)</f>
        <v>大丰</v>
      </c>
      <c r="C194" s="10">
        <v>44069</v>
      </c>
      <c r="D194" s="9"/>
      <c r="E194" s="9">
        <v>4500067614</v>
      </c>
      <c r="F194" s="9"/>
      <c r="G194" s="11">
        <v>1120002854</v>
      </c>
      <c r="H194" s="9" t="s">
        <v>94</v>
      </c>
      <c r="I194" s="11"/>
      <c r="J194" s="11">
        <v>6220</v>
      </c>
      <c r="K194" s="11"/>
      <c r="L194" s="10">
        <v>44069</v>
      </c>
      <c r="M194" s="9" t="s">
        <v>1323</v>
      </c>
      <c r="N194" s="13" t="str">
        <f>VLOOKUP(H194,基础数据!G:H,2,FALSE)</f>
        <v>TLX1215-2.54-100</v>
      </c>
    </row>
    <row r="195" spans="1:14" s="12" customFormat="1">
      <c r="A195" s="11">
        <v>1680</v>
      </c>
      <c r="B195" s="13" t="str">
        <f>VLOOKUP(A195,基础数据!A:B,2,FALSE)</f>
        <v>大丰</v>
      </c>
      <c r="C195" s="10">
        <v>44069</v>
      </c>
      <c r="D195" s="9"/>
      <c r="E195" s="9">
        <v>4500067614</v>
      </c>
      <c r="F195" s="9"/>
      <c r="G195" s="11">
        <v>1120000142</v>
      </c>
      <c r="H195" s="9" t="s">
        <v>11</v>
      </c>
      <c r="I195" s="11"/>
      <c r="J195" s="11">
        <v>6440</v>
      </c>
      <c r="K195" s="11"/>
      <c r="L195" s="10">
        <v>44069</v>
      </c>
      <c r="M195" s="9" t="s">
        <v>1324</v>
      </c>
      <c r="N195" s="13" t="str">
        <f>VLOOKUP(H195,基础数据!G:H,2,FALSE)</f>
        <v>TTX1250(60)-2.54-100</v>
      </c>
    </row>
    <row r="196" spans="1:14" s="12" customFormat="1">
      <c r="A196" s="11">
        <v>1680</v>
      </c>
      <c r="B196" s="13" t="str">
        <f>VLOOKUP(A196,基础数据!A:B,2,FALSE)</f>
        <v>大丰</v>
      </c>
      <c r="C196" s="10">
        <v>44069</v>
      </c>
      <c r="D196" s="9"/>
      <c r="E196" s="9">
        <v>4500067614</v>
      </c>
      <c r="F196" s="9"/>
      <c r="G196" s="11">
        <v>1120000142</v>
      </c>
      <c r="H196" s="9" t="s">
        <v>11</v>
      </c>
      <c r="I196" s="11"/>
      <c r="J196" s="11">
        <v>12880</v>
      </c>
      <c r="K196" s="11"/>
      <c r="L196" s="10">
        <v>44069</v>
      </c>
      <c r="M196" s="9" t="s">
        <v>1312</v>
      </c>
      <c r="N196" s="13" t="str">
        <f>VLOOKUP(H196,基础数据!G:H,2,FALSE)</f>
        <v>TTX1250(60)-2.54-100</v>
      </c>
    </row>
    <row r="197" spans="1:14" s="12" customFormat="1">
      <c r="A197" s="11">
        <v>1680</v>
      </c>
      <c r="B197" s="13" t="str">
        <f>VLOOKUP(A197,基础数据!A:B,2,FALSE)</f>
        <v>大丰</v>
      </c>
      <c r="C197" s="10">
        <v>44098</v>
      </c>
      <c r="D197" s="9"/>
      <c r="E197" s="11">
        <v>4500071166</v>
      </c>
      <c r="F197" s="9"/>
      <c r="G197" s="11">
        <v>1120000149</v>
      </c>
      <c r="H197" s="9" t="s">
        <v>9</v>
      </c>
      <c r="I197" s="11"/>
      <c r="J197" s="11">
        <v>6948</v>
      </c>
      <c r="K197" s="11"/>
      <c r="L197" s="10">
        <v>44114</v>
      </c>
      <c r="M197" s="9" t="s">
        <v>1313</v>
      </c>
      <c r="N197" s="13" t="str">
        <f>VLOOKUP(H197,基础数据!G:H,2,FALSE)</f>
        <v>TTX1500H-2.54-100</v>
      </c>
    </row>
    <row r="198" spans="1:14" s="12" customFormat="1">
      <c r="A198" s="11">
        <v>1680</v>
      </c>
      <c r="B198" s="13" t="str">
        <f>VLOOKUP(A198,基础数据!A:B,2,FALSE)</f>
        <v>大丰</v>
      </c>
      <c r="C198" s="10">
        <v>44069</v>
      </c>
      <c r="D198" s="9"/>
      <c r="E198" s="9">
        <v>4500067614</v>
      </c>
      <c r="F198" s="9"/>
      <c r="G198" s="11">
        <v>1120000142</v>
      </c>
      <c r="H198" s="9" t="s">
        <v>11</v>
      </c>
      <c r="I198" s="11"/>
      <c r="J198" s="11">
        <v>8050</v>
      </c>
      <c r="K198" s="11"/>
      <c r="L198" s="10">
        <v>44069</v>
      </c>
      <c r="M198" s="9" t="s">
        <v>1325</v>
      </c>
      <c r="N198" s="13" t="str">
        <f>VLOOKUP(H198,基础数据!G:H,2,FALSE)</f>
        <v>TTX1250(60)-2.54-100</v>
      </c>
    </row>
    <row r="199" spans="1:14" s="12" customFormat="1">
      <c r="A199" s="11">
        <v>1680</v>
      </c>
      <c r="B199" s="13" t="str">
        <f>VLOOKUP(A199,基础数据!A:B,2,FALSE)</f>
        <v>大丰</v>
      </c>
      <c r="C199" s="10">
        <v>44074</v>
      </c>
      <c r="D199" s="9"/>
      <c r="E199" s="11">
        <v>4500069040</v>
      </c>
      <c r="F199" s="9"/>
      <c r="G199" s="11">
        <v>1120000149</v>
      </c>
      <c r="H199" s="9" t="s">
        <v>9</v>
      </c>
      <c r="I199" s="11"/>
      <c r="J199" s="11">
        <v>4560</v>
      </c>
      <c r="K199" s="11"/>
      <c r="L199" s="10">
        <v>44099</v>
      </c>
      <c r="M199" s="9" t="s">
        <v>1326</v>
      </c>
      <c r="N199" s="13" t="str">
        <f>VLOOKUP(H199,基础数据!G:H,2,FALSE)</f>
        <v>TTX1500H-2.54-100</v>
      </c>
    </row>
    <row r="200" spans="1:14" s="12" customFormat="1">
      <c r="A200" s="11">
        <v>1680</v>
      </c>
      <c r="B200" s="13" t="str">
        <f>VLOOKUP(A200,基础数据!A:B,2,FALSE)</f>
        <v>大丰</v>
      </c>
      <c r="C200" s="10">
        <v>44069</v>
      </c>
      <c r="D200" s="9"/>
      <c r="E200" s="9">
        <v>4500067613</v>
      </c>
      <c r="F200" s="9"/>
      <c r="G200" s="11">
        <v>1120002747</v>
      </c>
      <c r="H200" s="9" t="s">
        <v>289</v>
      </c>
      <c r="I200" s="11">
        <v>2</v>
      </c>
      <c r="J200" s="11">
        <v>1172</v>
      </c>
      <c r="K200" s="11"/>
      <c r="L200" s="10">
        <v>44069</v>
      </c>
      <c r="M200" s="9" t="s">
        <v>1327</v>
      </c>
      <c r="N200" s="13" t="str">
        <f>VLOOKUP(H200,基础数据!G:H,2,FALSE)</f>
        <v>SR146Ⅱ后缘</v>
      </c>
    </row>
    <row r="201" spans="1:14" s="12" customFormat="1">
      <c r="A201" s="11">
        <v>1680</v>
      </c>
      <c r="B201" s="13" t="str">
        <f>VLOOKUP(A201,基础数据!A:B,2,FALSE)</f>
        <v>大丰</v>
      </c>
      <c r="C201" s="10">
        <v>44085</v>
      </c>
      <c r="D201" s="9"/>
      <c r="E201" s="11">
        <v>4500070057</v>
      </c>
      <c r="F201" s="9"/>
      <c r="G201" s="11">
        <v>1120001948</v>
      </c>
      <c r="H201" s="9" t="s">
        <v>14</v>
      </c>
      <c r="I201" s="11">
        <v>2</v>
      </c>
      <c r="J201" s="11">
        <v>1806</v>
      </c>
      <c r="K201" s="11"/>
      <c r="L201" s="10">
        <v>44099</v>
      </c>
      <c r="M201" s="9" t="s">
        <v>1328</v>
      </c>
      <c r="N201" s="13" t="str">
        <f>VLOOKUP(H201,基础数据!G:H,2,FALSE)</f>
        <v>SR146Ⅰ后缘</v>
      </c>
    </row>
    <row r="202" spans="1:14" s="12" customFormat="1">
      <c r="A202" s="11">
        <v>1680</v>
      </c>
      <c r="B202" s="13" t="str">
        <f>VLOOKUP(A202,基础数据!A:B,2,FALSE)</f>
        <v>大丰</v>
      </c>
      <c r="C202" s="10">
        <v>44085</v>
      </c>
      <c r="D202" s="9"/>
      <c r="E202" s="11">
        <v>4500070057</v>
      </c>
      <c r="F202" s="9"/>
      <c r="G202" s="11">
        <v>1120001949</v>
      </c>
      <c r="H202" s="9" t="s">
        <v>13</v>
      </c>
      <c r="I202" s="11">
        <v>2</v>
      </c>
      <c r="J202" s="11">
        <v>10494</v>
      </c>
      <c r="K202" s="11"/>
      <c r="L202" s="10">
        <v>44099</v>
      </c>
      <c r="M202" s="9" t="s">
        <v>1329</v>
      </c>
      <c r="N202" s="13" t="str">
        <f>VLOOKUP(H202,基础数据!G:H,2,FALSE)</f>
        <v>SR146Ⅰ大梁</v>
      </c>
    </row>
    <row r="203" spans="1:14" s="12" customFormat="1">
      <c r="A203" s="11">
        <v>1680</v>
      </c>
      <c r="B203" s="13" t="str">
        <f>VLOOKUP(A203,基础数据!A:B,2,FALSE)</f>
        <v>大丰</v>
      </c>
      <c r="C203" s="10">
        <v>44098</v>
      </c>
      <c r="D203" s="9"/>
      <c r="E203" s="11">
        <v>4500071168</v>
      </c>
      <c r="F203" s="9"/>
      <c r="G203" s="11">
        <v>1120002904</v>
      </c>
      <c r="H203" s="9" t="s">
        <v>1073</v>
      </c>
      <c r="I203" s="11">
        <v>4</v>
      </c>
      <c r="J203" s="11">
        <v>2008</v>
      </c>
      <c r="K203" s="11"/>
      <c r="L203" s="10">
        <v>44114</v>
      </c>
      <c r="M203" s="9" t="s">
        <v>1330</v>
      </c>
      <c r="N203" s="13" t="str">
        <f>VLOOKUP(H203,基础数据!G:H,2,FALSE)</f>
        <v>SR146Ⅱ腹板套裁</v>
      </c>
    </row>
    <row r="204" spans="1:14" s="12" customFormat="1">
      <c r="A204" s="11">
        <v>1680</v>
      </c>
      <c r="B204" s="13" t="str">
        <f>VLOOKUP(A204,基础数据!A:B,2,FALSE)</f>
        <v>大丰</v>
      </c>
      <c r="C204" s="10">
        <v>44098</v>
      </c>
      <c r="D204" s="9"/>
      <c r="E204" s="11">
        <v>4500071168</v>
      </c>
      <c r="F204" s="9"/>
      <c r="G204" s="11">
        <v>1120002905</v>
      </c>
      <c r="H204" s="9" t="s">
        <v>1074</v>
      </c>
      <c r="I204" s="11">
        <v>4</v>
      </c>
      <c r="J204" s="11">
        <v>9896</v>
      </c>
      <c r="K204" s="11"/>
      <c r="L204" s="10">
        <v>44114</v>
      </c>
      <c r="M204" s="9" t="s">
        <v>1331</v>
      </c>
      <c r="N204" s="13" t="str">
        <f>VLOOKUP(H204,基础数据!G:H,2,FALSE)</f>
        <v>SR146Ⅱ壳体套裁</v>
      </c>
    </row>
    <row r="205" spans="1:14" s="12" customFormat="1">
      <c r="A205" s="11">
        <v>1680</v>
      </c>
      <c r="B205" s="13" t="str">
        <f>VLOOKUP(A205,基础数据!A:B,2,FALSE)</f>
        <v>大丰</v>
      </c>
      <c r="C205" s="10">
        <v>44074</v>
      </c>
      <c r="D205" s="9"/>
      <c r="E205" s="11">
        <v>4500069040</v>
      </c>
      <c r="F205" s="9"/>
      <c r="G205" s="11">
        <v>1120000149</v>
      </c>
      <c r="H205" s="9" t="s">
        <v>9</v>
      </c>
      <c r="I205" s="11"/>
      <c r="J205" s="11">
        <v>7600</v>
      </c>
      <c r="K205" s="11"/>
      <c r="L205" s="10">
        <v>44099</v>
      </c>
      <c r="M205" s="9" t="s">
        <v>1335</v>
      </c>
      <c r="N205" s="13" t="str">
        <f>VLOOKUP(H205,基础数据!G:H,2,FALSE)</f>
        <v>TTX1500H-2.54-100</v>
      </c>
    </row>
    <row r="206" spans="1:14" s="12" customFormat="1">
      <c r="A206" s="11">
        <v>1680</v>
      </c>
      <c r="B206" s="13" t="str">
        <f>VLOOKUP(A206,基础数据!A:B,2,FALSE)</f>
        <v>大丰</v>
      </c>
      <c r="C206" s="10">
        <v>44069</v>
      </c>
      <c r="D206" s="9"/>
      <c r="E206" s="9">
        <v>4500067613</v>
      </c>
      <c r="F206" s="9"/>
      <c r="G206" s="11">
        <v>1120002772</v>
      </c>
      <c r="H206" s="9" t="s">
        <v>492</v>
      </c>
      <c r="I206" s="11">
        <f>10-5</f>
        <v>5</v>
      </c>
      <c r="J206" s="11">
        <f>18250-9125</f>
        <v>9125</v>
      </c>
      <c r="K206" s="11"/>
      <c r="L206" s="10">
        <v>44069</v>
      </c>
      <c r="M206" s="9" t="s">
        <v>1336</v>
      </c>
      <c r="N206" s="13" t="str">
        <f>VLOOKUP(H206,基础数据!G:H,2,FALSE)</f>
        <v>GW171后缘</v>
      </c>
    </row>
    <row r="207" spans="1:14" s="12" customFormat="1">
      <c r="A207" s="11">
        <v>1680</v>
      </c>
      <c r="B207" s="13" t="str">
        <f>VLOOKUP(A207,基础数据!A:B,2,FALSE)</f>
        <v>大丰</v>
      </c>
      <c r="C207" s="10">
        <v>44069</v>
      </c>
      <c r="D207" s="9"/>
      <c r="E207" s="9">
        <v>4500067613</v>
      </c>
      <c r="F207" s="9"/>
      <c r="G207" s="11">
        <v>1120002746</v>
      </c>
      <c r="H207" s="9" t="s">
        <v>288</v>
      </c>
      <c r="I207" s="11">
        <v>2</v>
      </c>
      <c r="J207" s="11">
        <v>7008</v>
      </c>
      <c r="K207" s="11"/>
      <c r="L207" s="10">
        <v>44069</v>
      </c>
      <c r="M207" s="9" t="s">
        <v>1340</v>
      </c>
      <c r="N207" s="13" t="str">
        <f>VLOOKUP(H207,基础数据!G:H,2,FALSE)</f>
        <v>SR146Ⅱ大梁</v>
      </c>
    </row>
    <row r="208" spans="1:14" s="12" customFormat="1">
      <c r="A208" s="11">
        <v>1680</v>
      </c>
      <c r="B208" s="13" t="str">
        <f>VLOOKUP(A208,基础数据!A:B,2,FALSE)</f>
        <v>大丰</v>
      </c>
      <c r="C208" s="10">
        <v>44069</v>
      </c>
      <c r="D208" s="9"/>
      <c r="E208" s="9">
        <v>4500067613</v>
      </c>
      <c r="F208" s="9"/>
      <c r="G208" s="11">
        <v>1120002747</v>
      </c>
      <c r="H208" s="9" t="s">
        <v>289</v>
      </c>
      <c r="I208" s="11">
        <v>2</v>
      </c>
      <c r="J208" s="11">
        <v>1172</v>
      </c>
      <c r="K208" s="11"/>
      <c r="L208" s="10">
        <v>44069</v>
      </c>
      <c r="M208" s="9" t="s">
        <v>1338</v>
      </c>
      <c r="N208" s="13" t="str">
        <f>VLOOKUP(H208,基础数据!G:H,2,FALSE)</f>
        <v>SR146Ⅱ后缘</v>
      </c>
    </row>
    <row r="209" spans="1:14" s="12" customFormat="1">
      <c r="A209" s="11">
        <v>1680</v>
      </c>
      <c r="B209" s="13" t="str">
        <f>VLOOKUP(A209,基础数据!A:B,2,FALSE)</f>
        <v>大丰</v>
      </c>
      <c r="C209" s="10">
        <v>44085</v>
      </c>
      <c r="D209" s="9"/>
      <c r="E209" s="11">
        <v>4500070057</v>
      </c>
      <c r="F209" s="9"/>
      <c r="G209" s="11">
        <v>1120001948</v>
      </c>
      <c r="H209" s="9" t="s">
        <v>14</v>
      </c>
      <c r="I209" s="11">
        <v>2</v>
      </c>
      <c r="J209" s="11">
        <v>1806</v>
      </c>
      <c r="K209" s="11"/>
      <c r="L209" s="10">
        <v>44099</v>
      </c>
      <c r="M209" s="9" t="s">
        <v>1337</v>
      </c>
      <c r="N209" s="13" t="str">
        <f>VLOOKUP(H209,基础数据!G:H,2,FALSE)</f>
        <v>SR146Ⅰ后缘</v>
      </c>
    </row>
    <row r="210" spans="1:14" s="12" customFormat="1">
      <c r="A210" s="11">
        <v>1680</v>
      </c>
      <c r="B210" s="13" t="str">
        <f>VLOOKUP(A210,基础数据!A:B,2,FALSE)</f>
        <v>大丰</v>
      </c>
      <c r="C210" s="10">
        <v>44085</v>
      </c>
      <c r="D210" s="9"/>
      <c r="E210" s="11">
        <v>4500070057</v>
      </c>
      <c r="F210" s="9"/>
      <c r="G210" s="11">
        <v>1120001949</v>
      </c>
      <c r="H210" s="9" t="s">
        <v>13</v>
      </c>
      <c r="I210" s="11">
        <v>2</v>
      </c>
      <c r="J210" s="11">
        <v>10494</v>
      </c>
      <c r="K210" s="11"/>
      <c r="L210" s="10">
        <v>44099</v>
      </c>
      <c r="M210" s="9" t="s">
        <v>1339</v>
      </c>
      <c r="N210" s="13" t="str">
        <f>VLOOKUP(H210,基础数据!G:H,2,FALSE)</f>
        <v>SR146Ⅰ大梁</v>
      </c>
    </row>
    <row r="211" spans="1:14" s="12" customFormat="1">
      <c r="A211" s="11">
        <v>1680</v>
      </c>
      <c r="B211" s="13" t="str">
        <f>VLOOKUP(A211,基础数据!A:B,2,FALSE)</f>
        <v>大丰</v>
      </c>
      <c r="C211" s="10">
        <v>44098</v>
      </c>
      <c r="D211" s="9"/>
      <c r="E211" s="11">
        <v>4500071168</v>
      </c>
      <c r="F211" s="9"/>
      <c r="G211" s="11">
        <v>1120002904</v>
      </c>
      <c r="H211" s="9" t="s">
        <v>1073</v>
      </c>
      <c r="I211" s="11">
        <v>4</v>
      </c>
      <c r="J211" s="11">
        <v>2008</v>
      </c>
      <c r="K211" s="11"/>
      <c r="L211" s="10">
        <v>44114</v>
      </c>
      <c r="M211" s="9" t="s">
        <v>1350</v>
      </c>
      <c r="N211" s="13" t="str">
        <f>VLOOKUP(H211,基础数据!G:H,2,FALSE)</f>
        <v>SR146Ⅱ腹板套裁</v>
      </c>
    </row>
    <row r="212" spans="1:14" s="12" customFormat="1">
      <c r="A212" s="11">
        <v>1680</v>
      </c>
      <c r="B212" s="13" t="str">
        <f>VLOOKUP(A212,基础数据!A:B,2,FALSE)</f>
        <v>大丰</v>
      </c>
      <c r="C212" s="10">
        <v>44098</v>
      </c>
      <c r="D212" s="9"/>
      <c r="E212" s="11">
        <v>4500071168</v>
      </c>
      <c r="F212" s="9"/>
      <c r="G212" s="11">
        <v>1120002905</v>
      </c>
      <c r="H212" s="9" t="s">
        <v>1074</v>
      </c>
      <c r="I212" s="11">
        <v>4</v>
      </c>
      <c r="J212" s="11">
        <v>9896</v>
      </c>
      <c r="K212" s="11"/>
      <c r="L212" s="10">
        <v>44114</v>
      </c>
      <c r="M212" s="9" t="s">
        <v>1349</v>
      </c>
      <c r="N212" s="13" t="str">
        <f>VLOOKUP(H212,基础数据!G:H,2,FALSE)</f>
        <v>SR146Ⅱ壳体套裁</v>
      </c>
    </row>
    <row r="213" spans="1:14" s="12" customFormat="1">
      <c r="A213" s="11">
        <v>1680</v>
      </c>
      <c r="B213" s="13" t="str">
        <f>VLOOKUP(A213,基础数据!A:B,2,FALSE)</f>
        <v>大丰</v>
      </c>
      <c r="C213" s="10">
        <v>44069</v>
      </c>
      <c r="D213" s="9"/>
      <c r="E213" s="9">
        <v>4500067613</v>
      </c>
      <c r="F213" s="9"/>
      <c r="G213" s="11">
        <v>1120002746</v>
      </c>
      <c r="H213" s="9" t="s">
        <v>288</v>
      </c>
      <c r="I213" s="11">
        <v>1</v>
      </c>
      <c r="J213" s="11">
        <v>3504</v>
      </c>
      <c r="K213" s="11"/>
      <c r="L213" s="10">
        <v>44069</v>
      </c>
      <c r="M213" s="9" t="s">
        <v>1351</v>
      </c>
      <c r="N213" s="13" t="str">
        <f>VLOOKUP(H213,基础数据!G:H,2,FALSE)</f>
        <v>SR146Ⅱ大梁</v>
      </c>
    </row>
    <row r="214" spans="1:14" s="12" customFormat="1">
      <c r="A214" s="11">
        <v>1680</v>
      </c>
      <c r="B214" s="13" t="str">
        <f>VLOOKUP(A214,基础数据!A:B,2,FALSE)</f>
        <v>大丰</v>
      </c>
      <c r="C214" s="10">
        <v>44085</v>
      </c>
      <c r="D214" s="9"/>
      <c r="E214" s="11">
        <v>4500070057</v>
      </c>
      <c r="F214" s="9"/>
      <c r="G214" s="11">
        <v>1120001949</v>
      </c>
      <c r="H214" s="9" t="s">
        <v>13</v>
      </c>
      <c r="I214" s="11">
        <v>2</v>
      </c>
      <c r="J214" s="11">
        <v>10494</v>
      </c>
      <c r="K214" s="11"/>
      <c r="L214" s="10">
        <v>44099</v>
      </c>
      <c r="M214" s="9" t="s">
        <v>1352</v>
      </c>
      <c r="N214" s="13" t="str">
        <f>VLOOKUP(H214,基础数据!G:H,2,FALSE)</f>
        <v>SR146Ⅰ大梁</v>
      </c>
    </row>
    <row r="215" spans="1:14" s="12" customFormat="1">
      <c r="A215" s="11">
        <v>1680</v>
      </c>
      <c r="B215" s="13" t="str">
        <f>VLOOKUP(A215,基础数据!A:B,2,FALSE)</f>
        <v>大丰</v>
      </c>
      <c r="C215" s="10">
        <v>44074</v>
      </c>
      <c r="D215" s="9"/>
      <c r="E215" s="11">
        <v>4500069040</v>
      </c>
      <c r="F215" s="9"/>
      <c r="G215" s="11">
        <v>1120000149</v>
      </c>
      <c r="H215" s="9" t="s">
        <v>9</v>
      </c>
      <c r="I215" s="11"/>
      <c r="J215" s="11">
        <v>4560</v>
      </c>
      <c r="K215" s="11"/>
      <c r="L215" s="10">
        <v>44099</v>
      </c>
      <c r="M215" s="9" t="s">
        <v>1353</v>
      </c>
      <c r="N215" s="13" t="str">
        <f>VLOOKUP(H215,基础数据!G:H,2,FALSE)</f>
        <v>TTX1500H-2.54-100</v>
      </c>
    </row>
    <row r="216" spans="1:14" s="12" customFormat="1">
      <c r="A216" s="11">
        <v>1680</v>
      </c>
      <c r="B216" s="13" t="str">
        <f>VLOOKUP(A216,基础数据!A:B,2,FALSE)</f>
        <v>大丰</v>
      </c>
      <c r="C216" s="10">
        <v>44098</v>
      </c>
      <c r="D216" s="9"/>
      <c r="E216" s="11">
        <v>4500071168</v>
      </c>
      <c r="F216" s="9"/>
      <c r="G216" s="11">
        <v>1120002993</v>
      </c>
      <c r="H216" s="9" t="s">
        <v>850</v>
      </c>
      <c r="I216" s="11">
        <v>4</v>
      </c>
      <c r="J216" s="11">
        <v>8856</v>
      </c>
      <c r="K216" s="11"/>
      <c r="L216" s="10">
        <v>44114</v>
      </c>
      <c r="M216" s="9" t="s">
        <v>1355</v>
      </c>
      <c r="N216" s="13" t="str">
        <f>VLOOKUP(H216,基础数据!G:H,2,FALSE)</f>
        <v>SR146Ⅰ螺栓加强层</v>
      </c>
    </row>
    <row r="217" spans="1:14" s="12" customFormat="1">
      <c r="A217" s="11">
        <v>1680</v>
      </c>
      <c r="B217" s="13" t="str">
        <f>VLOOKUP(A217,基础数据!A:B,2,FALSE)</f>
        <v>大丰</v>
      </c>
      <c r="C217" s="10">
        <v>44069</v>
      </c>
      <c r="D217" s="9"/>
      <c r="E217" s="9">
        <v>4500067614</v>
      </c>
      <c r="F217" s="9"/>
      <c r="G217" s="11">
        <v>1120002854</v>
      </c>
      <c r="H217" s="9" t="s">
        <v>94</v>
      </c>
      <c r="I217" s="11"/>
      <c r="J217" s="11">
        <v>7775</v>
      </c>
      <c r="K217" s="11"/>
      <c r="L217" s="10">
        <v>44069</v>
      </c>
      <c r="M217" s="9" t="s">
        <v>1356</v>
      </c>
      <c r="N217" s="13" t="str">
        <f>VLOOKUP(H217,基础数据!G:H,2,FALSE)</f>
        <v>TLX1215-2.54-100</v>
      </c>
    </row>
    <row r="218" spans="1:14" s="12" customFormat="1">
      <c r="A218" s="11">
        <v>1680</v>
      </c>
      <c r="B218" s="13" t="str">
        <f>VLOOKUP(A218,基础数据!A:B,2,FALSE)</f>
        <v>大丰</v>
      </c>
      <c r="C218" s="10">
        <v>44069</v>
      </c>
      <c r="D218" s="9"/>
      <c r="E218" s="9">
        <v>4500067614</v>
      </c>
      <c r="F218" s="9"/>
      <c r="G218" s="11">
        <v>1120000145</v>
      </c>
      <c r="H218" s="9" t="s">
        <v>95</v>
      </c>
      <c r="I218" s="11"/>
      <c r="J218" s="11">
        <v>3110</v>
      </c>
      <c r="K218" s="11"/>
      <c r="L218" s="10">
        <v>44069</v>
      </c>
      <c r="M218" s="9" t="s">
        <v>1361</v>
      </c>
      <c r="N218" s="13" t="str">
        <f>VLOOKUP(H218,基础数据!G:H,2,FALSE)</f>
        <v>TTX1215(45)-2.54-100</v>
      </c>
    </row>
    <row r="219" spans="1:14" s="12" customFormat="1">
      <c r="A219" s="11">
        <v>1680</v>
      </c>
      <c r="B219" s="13" t="str">
        <f>VLOOKUP(A219,基础数据!A:B,2,FALSE)</f>
        <v>大丰</v>
      </c>
      <c r="C219" s="10">
        <v>44069</v>
      </c>
      <c r="D219" s="9"/>
      <c r="E219" s="9">
        <v>4500067613</v>
      </c>
      <c r="F219" s="9"/>
      <c r="G219" s="11">
        <v>1120002747</v>
      </c>
      <c r="H219" s="9" t="s">
        <v>289</v>
      </c>
      <c r="I219" s="11">
        <v>2</v>
      </c>
      <c r="J219" s="11">
        <v>1172</v>
      </c>
      <c r="K219" s="11"/>
      <c r="L219" s="10">
        <v>44069</v>
      </c>
      <c r="M219" s="9" t="s">
        <v>1357</v>
      </c>
      <c r="N219" s="13" t="str">
        <f>VLOOKUP(H219,基础数据!G:H,2,FALSE)</f>
        <v>SR146Ⅱ后缘</v>
      </c>
    </row>
    <row r="220" spans="1:14" s="12" customFormat="1">
      <c r="A220" s="11">
        <v>1680</v>
      </c>
      <c r="B220" s="13" t="str">
        <f>VLOOKUP(A220,基础数据!A:B,2,FALSE)</f>
        <v>大丰</v>
      </c>
      <c r="C220" s="10">
        <v>44069</v>
      </c>
      <c r="D220" s="9"/>
      <c r="E220" s="9">
        <v>4500067613</v>
      </c>
      <c r="F220" s="9"/>
      <c r="G220" s="11">
        <v>1120002746</v>
      </c>
      <c r="H220" s="9" t="s">
        <v>288</v>
      </c>
      <c r="I220" s="11">
        <v>3</v>
      </c>
      <c r="J220" s="11">
        <v>10512</v>
      </c>
      <c r="K220" s="11"/>
      <c r="L220" s="10">
        <v>44069</v>
      </c>
      <c r="M220" s="9" t="s">
        <v>1360</v>
      </c>
      <c r="N220" s="13" t="str">
        <f>VLOOKUP(H220,基础数据!G:H,2,FALSE)</f>
        <v>SR146Ⅱ大梁</v>
      </c>
    </row>
    <row r="221" spans="1:14" s="12" customFormat="1">
      <c r="A221" s="11">
        <v>1680</v>
      </c>
      <c r="B221" s="13" t="str">
        <f>VLOOKUP(A221,基础数据!A:B,2,FALSE)</f>
        <v>大丰</v>
      </c>
      <c r="C221" s="10">
        <v>44085</v>
      </c>
      <c r="D221" s="9"/>
      <c r="E221" s="11">
        <v>4500070057</v>
      </c>
      <c r="F221" s="9"/>
      <c r="G221" s="11">
        <v>1120001948</v>
      </c>
      <c r="H221" s="9" t="s">
        <v>14</v>
      </c>
      <c r="I221" s="11">
        <v>2</v>
      </c>
      <c r="J221" s="11">
        <v>1806</v>
      </c>
      <c r="K221" s="11"/>
      <c r="L221" s="10">
        <v>44099</v>
      </c>
      <c r="M221" s="9" t="s">
        <v>1358</v>
      </c>
      <c r="N221" s="13" t="str">
        <f>VLOOKUP(H221,基础数据!G:H,2,FALSE)</f>
        <v>SR146Ⅰ后缘</v>
      </c>
    </row>
    <row r="222" spans="1:14" s="12" customFormat="1">
      <c r="A222" s="11">
        <v>1680</v>
      </c>
      <c r="B222" s="13" t="str">
        <f>VLOOKUP(A222,基础数据!A:B,2,FALSE)</f>
        <v>大丰</v>
      </c>
      <c r="C222" s="10">
        <v>44085</v>
      </c>
      <c r="D222" s="9"/>
      <c r="E222" s="11">
        <v>4500070057</v>
      </c>
      <c r="F222" s="9"/>
      <c r="G222" s="11">
        <v>1120001949</v>
      </c>
      <c r="H222" s="9" t="s">
        <v>13</v>
      </c>
      <c r="I222" s="11">
        <v>3</v>
      </c>
      <c r="J222" s="11">
        <v>15741</v>
      </c>
      <c r="K222" s="11"/>
      <c r="L222" s="10">
        <v>44099</v>
      </c>
      <c r="M222" s="9" t="s">
        <v>1359</v>
      </c>
      <c r="N222" s="13" t="str">
        <f>VLOOKUP(H222,基础数据!G:H,2,FALSE)</f>
        <v>SR146Ⅰ大梁</v>
      </c>
    </row>
    <row r="223" spans="1:14" s="12" customFormat="1">
      <c r="A223" s="11">
        <v>1680</v>
      </c>
      <c r="B223" s="13" t="str">
        <f>VLOOKUP(A223,基础数据!A:B,2,FALSE)</f>
        <v>大丰</v>
      </c>
      <c r="C223" s="10">
        <v>44085</v>
      </c>
      <c r="D223" s="9"/>
      <c r="E223" s="11">
        <v>4500070057</v>
      </c>
      <c r="F223" s="9"/>
      <c r="G223" s="11">
        <v>1120001949</v>
      </c>
      <c r="H223" s="9" t="s">
        <v>13</v>
      </c>
      <c r="I223" s="11">
        <v>2</v>
      </c>
      <c r="J223" s="11">
        <v>10494</v>
      </c>
      <c r="K223" s="11"/>
      <c r="L223" s="10">
        <v>44099</v>
      </c>
      <c r="M223" s="9" t="s">
        <v>1368</v>
      </c>
      <c r="N223" s="13" t="str">
        <f>VLOOKUP(H223,基础数据!G:H,2,FALSE)</f>
        <v>SR146Ⅰ大梁</v>
      </c>
    </row>
    <row r="224" spans="1:14" s="12" customFormat="1">
      <c r="A224" s="11">
        <v>1680</v>
      </c>
      <c r="B224" s="13" t="str">
        <f>VLOOKUP(A224,基础数据!A:B,2,FALSE)</f>
        <v>大丰</v>
      </c>
      <c r="C224" s="10">
        <v>44085</v>
      </c>
      <c r="D224" s="9"/>
      <c r="E224" s="11">
        <v>4500070057</v>
      </c>
      <c r="F224" s="9"/>
      <c r="G224" s="11">
        <v>1120001948</v>
      </c>
      <c r="H224" s="9" t="s">
        <v>14</v>
      </c>
      <c r="I224" s="11">
        <v>2</v>
      </c>
      <c r="J224" s="11">
        <v>1806</v>
      </c>
      <c r="K224" s="11"/>
      <c r="L224" s="10">
        <v>44099</v>
      </c>
      <c r="M224" s="9" t="s">
        <v>1370</v>
      </c>
      <c r="N224" s="13" t="str">
        <f>VLOOKUP(H224,基础数据!G:H,2,FALSE)</f>
        <v>SR146Ⅰ后缘</v>
      </c>
    </row>
    <row r="225" spans="1:14" s="12" customFormat="1">
      <c r="A225" s="11">
        <v>1680</v>
      </c>
      <c r="B225" s="13" t="str">
        <f>VLOOKUP(A225,基础数据!A:B,2,FALSE)</f>
        <v>大丰</v>
      </c>
      <c r="C225" s="10">
        <v>44069</v>
      </c>
      <c r="D225" s="9"/>
      <c r="E225" s="9">
        <v>4500067613</v>
      </c>
      <c r="F225" s="9"/>
      <c r="G225" s="11">
        <v>1120002746</v>
      </c>
      <c r="H225" s="9" t="s">
        <v>288</v>
      </c>
      <c r="I225" s="11">
        <f>65-3-3-1-5-2-2-2-2-2-2-2-2-2-2-2-2-2-2-2-2-2-2-2-2-2-2-2-2-2-1</f>
        <v>2</v>
      </c>
      <c r="J225" s="11">
        <f>227760-10512-10512-3504-17520-7008-7008-7008-7008-7008-7008-7008-7008-7008-7008-7008-7008-7008-7008-7008-7008-7008-7008-7008-7008-7008-7008-7008-7008-7008-3504</f>
        <v>7008</v>
      </c>
      <c r="K225" s="11"/>
      <c r="L225" s="10">
        <v>44069</v>
      </c>
      <c r="M225" s="9" t="s">
        <v>1369</v>
      </c>
      <c r="N225" s="13" t="str">
        <f>VLOOKUP(H225,基础数据!G:H,2,FALSE)</f>
        <v>SR146Ⅱ大梁</v>
      </c>
    </row>
    <row r="226" spans="1:14" s="12" customFormat="1">
      <c r="A226" s="11">
        <v>1680</v>
      </c>
      <c r="B226" s="13" t="str">
        <f>VLOOKUP(A226,基础数据!A:B,2,FALSE)</f>
        <v>大丰</v>
      </c>
      <c r="C226" s="10">
        <v>44069</v>
      </c>
      <c r="D226" s="9"/>
      <c r="E226" s="9">
        <v>4500067613</v>
      </c>
      <c r="F226" s="9"/>
      <c r="G226" s="11">
        <v>1120002747</v>
      </c>
      <c r="H226" s="9" t="s">
        <v>289</v>
      </c>
      <c r="I226" s="11">
        <v>2</v>
      </c>
      <c r="J226" s="11">
        <v>1172</v>
      </c>
      <c r="K226" s="11"/>
      <c r="L226" s="10">
        <v>44069</v>
      </c>
      <c r="M226" s="9" t="s">
        <v>1371</v>
      </c>
      <c r="N226" s="13" t="str">
        <f>VLOOKUP(H226,基础数据!G:H,2,FALSE)</f>
        <v>SR146Ⅱ后缘</v>
      </c>
    </row>
    <row r="227" spans="1:14" s="12" customFormat="1">
      <c r="A227" s="11">
        <v>1680</v>
      </c>
      <c r="B227" s="13" t="str">
        <f>VLOOKUP(A227,基础数据!A:B,2,FALSE)</f>
        <v>大丰</v>
      </c>
      <c r="C227" s="10">
        <v>44074</v>
      </c>
      <c r="D227" s="9"/>
      <c r="E227" s="11">
        <v>4500069040</v>
      </c>
      <c r="F227" s="9"/>
      <c r="G227" s="11">
        <v>1120001035</v>
      </c>
      <c r="H227" s="9" t="s">
        <v>12</v>
      </c>
      <c r="I227" s="11"/>
      <c r="J227" s="11">
        <v>6340</v>
      </c>
      <c r="K227" s="11"/>
      <c r="L227" s="10">
        <v>44099</v>
      </c>
      <c r="M227" s="9" t="s">
        <v>1372</v>
      </c>
      <c r="N227" s="13" t="str">
        <f>VLOOKUP(H227,基础数据!G:H,2,FALSE)</f>
        <v>TLX1250-2.54-100</v>
      </c>
    </row>
    <row r="228" spans="1:14" s="12" customFormat="1">
      <c r="A228" s="11">
        <v>1680</v>
      </c>
      <c r="B228" s="13" t="str">
        <f>VLOOKUP(A228,基础数据!A:B,2,FALSE)</f>
        <v>大丰</v>
      </c>
      <c r="C228" s="10">
        <v>44074</v>
      </c>
      <c r="D228" s="9"/>
      <c r="E228" s="11">
        <v>4500069040</v>
      </c>
      <c r="F228" s="9"/>
      <c r="G228" s="11">
        <v>1120000149</v>
      </c>
      <c r="H228" s="9" t="s">
        <v>9</v>
      </c>
      <c r="I228" s="11"/>
      <c r="J228" s="11">
        <v>7600</v>
      </c>
      <c r="K228" s="11"/>
      <c r="L228" s="10">
        <v>44099</v>
      </c>
      <c r="M228" s="9" t="s">
        <v>1373</v>
      </c>
      <c r="N228" s="13" t="str">
        <f>VLOOKUP(H228,基础数据!G:H,2,FALSE)</f>
        <v>TTX1500H-2.54-100</v>
      </c>
    </row>
    <row r="229" spans="1:14" s="12" customFormat="1">
      <c r="A229" s="11">
        <v>1680</v>
      </c>
      <c r="B229" s="13" t="str">
        <f>VLOOKUP(A229,基础数据!A:B,2,FALSE)</f>
        <v>大丰</v>
      </c>
      <c r="C229" s="10">
        <v>44098</v>
      </c>
      <c r="D229" s="9"/>
      <c r="E229" s="11">
        <v>4500071168</v>
      </c>
      <c r="F229" s="9"/>
      <c r="G229" s="11">
        <v>1120002904</v>
      </c>
      <c r="H229" s="9" t="s">
        <v>1073</v>
      </c>
      <c r="I229" s="11">
        <f>24-3-4-4-1-4-4</f>
        <v>4</v>
      </c>
      <c r="J229" s="11">
        <f>1506/3*24-1506-2008-2008-502-2008-2008</f>
        <v>2008</v>
      </c>
      <c r="K229" s="11"/>
      <c r="L229" s="10">
        <v>44114</v>
      </c>
      <c r="M229" s="9" t="s">
        <v>1374</v>
      </c>
      <c r="N229" s="13" t="str">
        <f>VLOOKUP(H229,基础数据!G:H,2,FALSE)</f>
        <v>SR146Ⅱ腹板套裁</v>
      </c>
    </row>
    <row r="230" spans="1:14" s="12" customFormat="1">
      <c r="A230" s="11">
        <v>1680</v>
      </c>
      <c r="B230" s="13" t="str">
        <f>VLOOKUP(A230,基础数据!A:B,2,FALSE)</f>
        <v>大丰</v>
      </c>
      <c r="C230" s="10">
        <v>44098</v>
      </c>
      <c r="D230" s="9"/>
      <c r="E230" s="11">
        <v>4500071168</v>
      </c>
      <c r="F230" s="9"/>
      <c r="G230" s="11">
        <v>1120002905</v>
      </c>
      <c r="H230" s="9" t="s">
        <v>1074</v>
      </c>
      <c r="I230" s="11">
        <f>24-3-4-4-1-4-4</f>
        <v>4</v>
      </c>
      <c r="J230" s="11">
        <f>7422/3*24-7422-9896-9896-2474-9896-9896</f>
        <v>9896</v>
      </c>
      <c r="K230" s="11"/>
      <c r="L230" s="10">
        <v>44114</v>
      </c>
      <c r="M230" s="9" t="s">
        <v>1375</v>
      </c>
      <c r="N230" s="13" t="str">
        <f>VLOOKUP(H230,基础数据!G:H,2,FALSE)</f>
        <v>SR146Ⅱ壳体套裁</v>
      </c>
    </row>
    <row r="231" spans="1:14" s="12" customFormat="1">
      <c r="A231" s="11">
        <v>1680</v>
      </c>
      <c r="B231" s="13" t="str">
        <f>VLOOKUP(A231,基础数据!A:B,2,FALSE)</f>
        <v>大丰</v>
      </c>
      <c r="C231" s="10">
        <v>44085</v>
      </c>
      <c r="D231" s="9"/>
      <c r="E231" s="11">
        <v>4500070057</v>
      </c>
      <c r="F231" s="9"/>
      <c r="G231" s="11">
        <v>1120001948</v>
      </c>
      <c r="H231" s="9" t="s">
        <v>14</v>
      </c>
      <c r="I231" s="11">
        <v>2</v>
      </c>
      <c r="J231" s="11">
        <v>1806</v>
      </c>
      <c r="K231" s="11"/>
      <c r="L231" s="10">
        <v>44099</v>
      </c>
      <c r="M231" s="9" t="s">
        <v>1376</v>
      </c>
      <c r="N231" s="13" t="str">
        <f>VLOOKUP(H231,基础数据!G:H,2,FALSE)</f>
        <v>SR146Ⅰ后缘</v>
      </c>
    </row>
    <row r="232" spans="1:14" s="12" customFormat="1">
      <c r="A232" s="11">
        <v>1680</v>
      </c>
      <c r="B232" s="13" t="str">
        <f>VLOOKUP(A232,基础数据!A:B,2,FALSE)</f>
        <v>大丰</v>
      </c>
      <c r="C232" s="10">
        <v>44069</v>
      </c>
      <c r="D232" s="9"/>
      <c r="E232" s="9">
        <v>4500067613</v>
      </c>
      <c r="F232" s="9"/>
      <c r="G232" s="11">
        <v>1120002747</v>
      </c>
      <c r="H232" s="9" t="s">
        <v>289</v>
      </c>
      <c r="I232" s="11">
        <v>2</v>
      </c>
      <c r="J232" s="11">
        <v>1172</v>
      </c>
      <c r="K232" s="11"/>
      <c r="L232" s="10">
        <v>44069</v>
      </c>
      <c r="M232" s="9" t="s">
        <v>1377</v>
      </c>
      <c r="N232" s="13" t="str">
        <f>VLOOKUP(H232,基础数据!G:H,2,FALSE)</f>
        <v>SR146Ⅱ后缘</v>
      </c>
    </row>
    <row r="233" spans="1:14" s="12" customFormat="1">
      <c r="A233" s="11">
        <v>1680</v>
      </c>
      <c r="B233" s="13" t="str">
        <f>VLOOKUP(A233,基础数据!A:B,2,FALSE)</f>
        <v>大丰</v>
      </c>
      <c r="C233" s="10">
        <v>44069</v>
      </c>
      <c r="D233" s="9"/>
      <c r="E233" s="9">
        <v>4500067613</v>
      </c>
      <c r="F233" s="9"/>
      <c r="G233" s="11">
        <v>1120002746</v>
      </c>
      <c r="H233" s="9" t="s">
        <v>288</v>
      </c>
      <c r="I233" s="11">
        <v>2</v>
      </c>
      <c r="J233" s="11">
        <v>7008</v>
      </c>
      <c r="K233" s="11"/>
      <c r="L233" s="10">
        <v>44069</v>
      </c>
      <c r="M233" s="9" t="s">
        <v>1378</v>
      </c>
      <c r="N233" s="13" t="str">
        <f>VLOOKUP(H233,基础数据!G:H,2,FALSE)</f>
        <v>SR146Ⅱ大梁</v>
      </c>
    </row>
    <row r="234" spans="1:14" s="12" customFormat="1">
      <c r="A234" s="11">
        <v>1680</v>
      </c>
      <c r="B234" s="13" t="str">
        <f>VLOOKUP(A234,基础数据!A:B,2,FALSE)</f>
        <v>大丰</v>
      </c>
      <c r="C234" s="10">
        <v>44069</v>
      </c>
      <c r="D234" s="9"/>
      <c r="E234" s="9">
        <v>4500067614</v>
      </c>
      <c r="F234" s="9"/>
      <c r="G234" s="11">
        <v>1120000142</v>
      </c>
      <c r="H234" s="9" t="s">
        <v>11</v>
      </c>
      <c r="I234" s="11"/>
      <c r="J234" s="11">
        <v>8050</v>
      </c>
      <c r="K234" s="11"/>
      <c r="L234" s="10">
        <v>44069</v>
      </c>
      <c r="M234" s="9" t="s">
        <v>1379</v>
      </c>
      <c r="N234" s="13" t="str">
        <f>VLOOKUP(H234,基础数据!G:H,2,FALSE)</f>
        <v>TTX1250(60)-2.54-100</v>
      </c>
    </row>
    <row r="235" spans="1:14" s="12" customFormat="1">
      <c r="A235" s="11">
        <v>1680</v>
      </c>
      <c r="B235" s="13" t="str">
        <f>VLOOKUP(A235,基础数据!A:B,2,FALSE)</f>
        <v>大丰</v>
      </c>
      <c r="C235" s="10">
        <v>44069</v>
      </c>
      <c r="D235" s="9"/>
      <c r="E235" s="9">
        <v>4500067614</v>
      </c>
      <c r="F235" s="9"/>
      <c r="G235" s="11">
        <v>1120000145</v>
      </c>
      <c r="H235" s="9" t="s">
        <v>95</v>
      </c>
      <c r="I235" s="11"/>
      <c r="J235" s="11">
        <v>1555</v>
      </c>
      <c r="K235" s="11"/>
      <c r="L235" s="10">
        <v>44069</v>
      </c>
      <c r="M235" s="9" t="s">
        <v>1380</v>
      </c>
      <c r="N235" s="13" t="str">
        <f>VLOOKUP(H235,基础数据!G:H,2,FALSE)</f>
        <v>TTX1215(45)-2.54-100</v>
      </c>
    </row>
    <row r="236" spans="1:14" s="12" customFormat="1">
      <c r="A236" s="11">
        <v>1680</v>
      </c>
      <c r="B236" s="13" t="str">
        <f>VLOOKUP(A236,基础数据!A:B,2,FALSE)</f>
        <v>大丰</v>
      </c>
      <c r="C236" s="10">
        <v>44074</v>
      </c>
      <c r="D236" s="9"/>
      <c r="E236" s="11">
        <v>4500069040</v>
      </c>
      <c r="F236" s="9"/>
      <c r="G236" s="11">
        <v>1120001035</v>
      </c>
      <c r="H236" s="9" t="s">
        <v>12</v>
      </c>
      <c r="I236" s="11"/>
      <c r="J236" s="11">
        <v>3170</v>
      </c>
      <c r="K236" s="11"/>
      <c r="L236" s="10">
        <v>44099</v>
      </c>
      <c r="M236" s="9" t="s">
        <v>1381</v>
      </c>
      <c r="N236" s="13" t="str">
        <f>VLOOKUP(H236,基础数据!G:H,2,FALSE)</f>
        <v>TLX1250-2.54-100</v>
      </c>
    </row>
    <row r="237" spans="1:14" s="12" customFormat="1">
      <c r="A237" s="11">
        <v>1680</v>
      </c>
      <c r="B237" s="13" t="str">
        <f>VLOOKUP(A237,基础数据!A:B,2,FALSE)</f>
        <v>大丰</v>
      </c>
      <c r="C237" s="10">
        <v>44085</v>
      </c>
      <c r="D237" s="9"/>
      <c r="E237" s="11">
        <v>4500070057</v>
      </c>
      <c r="F237" s="9"/>
      <c r="G237" s="11">
        <v>1120001948</v>
      </c>
      <c r="H237" s="9" t="s">
        <v>14</v>
      </c>
      <c r="I237" s="11">
        <v>2</v>
      </c>
      <c r="J237" s="11">
        <v>1806</v>
      </c>
      <c r="K237" s="11"/>
      <c r="L237" s="10">
        <v>44099</v>
      </c>
      <c r="M237" s="9" t="s">
        <v>1384</v>
      </c>
      <c r="N237" s="13" t="str">
        <f>VLOOKUP(H237,基础数据!G:H,2,FALSE)</f>
        <v>SR146Ⅰ后缘</v>
      </c>
    </row>
    <row r="238" spans="1:14" s="12" customFormat="1">
      <c r="A238" s="11">
        <v>1680</v>
      </c>
      <c r="B238" s="13" t="str">
        <f>VLOOKUP(A238,基础数据!A:B,2,FALSE)</f>
        <v>大丰</v>
      </c>
      <c r="C238" s="10">
        <v>44085</v>
      </c>
      <c r="D238" s="9"/>
      <c r="E238" s="11">
        <v>4500070057</v>
      </c>
      <c r="F238" s="9"/>
      <c r="G238" s="11">
        <v>1120001949</v>
      </c>
      <c r="H238" s="9" t="s">
        <v>13</v>
      </c>
      <c r="I238" s="11">
        <f>30-2-2-3-2-2-2-2-2-2-2-2-3-2</f>
        <v>2</v>
      </c>
      <c r="J238" s="11">
        <f>157860-10494-10494-15738-10494-10494-10494-10494-10494-10494-10494-10494-15741-10494</f>
        <v>10947</v>
      </c>
      <c r="K238" s="11"/>
      <c r="L238" s="10">
        <v>44099</v>
      </c>
      <c r="M238" s="9" t="s">
        <v>1386</v>
      </c>
      <c r="N238" s="13" t="str">
        <f>VLOOKUP(H238,基础数据!G:H,2,FALSE)</f>
        <v>SR146Ⅰ大梁</v>
      </c>
    </row>
    <row r="239" spans="1:14" s="12" customFormat="1">
      <c r="A239" s="11">
        <v>1680</v>
      </c>
      <c r="B239" s="13" t="str">
        <f>VLOOKUP(A239,基础数据!A:B,2,FALSE)</f>
        <v>大丰</v>
      </c>
      <c r="C239" s="10">
        <v>44069</v>
      </c>
      <c r="D239" s="9"/>
      <c r="E239" s="9">
        <v>4500067613</v>
      </c>
      <c r="F239" s="9"/>
      <c r="G239" s="11">
        <v>1120002747</v>
      </c>
      <c r="H239" s="9" t="s">
        <v>289</v>
      </c>
      <c r="I239" s="11">
        <v>2</v>
      </c>
      <c r="J239" s="11">
        <v>1172</v>
      </c>
      <c r="K239" s="11"/>
      <c r="L239" s="10">
        <v>44069</v>
      </c>
      <c r="M239" s="9" t="s">
        <v>1385</v>
      </c>
      <c r="N239" s="13" t="str">
        <f>VLOOKUP(H239,基础数据!G:H,2,FALSE)</f>
        <v>SR146Ⅱ后缘</v>
      </c>
    </row>
    <row r="240" spans="1:14" s="12" customFormat="1">
      <c r="A240" s="11">
        <v>1680</v>
      </c>
      <c r="B240" s="13" t="str">
        <f>VLOOKUP(A240,基础数据!A:B,2,FALSE)</f>
        <v>大丰</v>
      </c>
      <c r="C240" s="10">
        <v>44069</v>
      </c>
      <c r="D240" s="9"/>
      <c r="E240" s="9">
        <v>4500067614</v>
      </c>
      <c r="F240" s="9"/>
      <c r="G240" s="11">
        <v>1120000142</v>
      </c>
      <c r="H240" s="9" t="s">
        <v>11</v>
      </c>
      <c r="I240" s="11"/>
      <c r="J240" s="11">
        <v>12880</v>
      </c>
      <c r="K240" s="11"/>
      <c r="L240" s="10">
        <v>44069</v>
      </c>
      <c r="M240" s="9" t="s">
        <v>1387</v>
      </c>
      <c r="N240" s="13" t="str">
        <f>VLOOKUP(H240,基础数据!G:H,2,FALSE)</f>
        <v>TTX1250(60)-2.54-100</v>
      </c>
    </row>
    <row r="241" spans="1:14" s="12" customFormat="1">
      <c r="A241" s="11">
        <v>1680</v>
      </c>
      <c r="B241" s="13" t="str">
        <f>VLOOKUP(A241,基础数据!A:B,2,FALSE)</f>
        <v>大丰</v>
      </c>
      <c r="C241" s="10">
        <v>44069</v>
      </c>
      <c r="D241" s="9"/>
      <c r="E241" s="9">
        <v>4500067614</v>
      </c>
      <c r="F241" s="9"/>
      <c r="G241" s="11">
        <v>1120000145</v>
      </c>
      <c r="H241" s="9" t="s">
        <v>95</v>
      </c>
      <c r="I241" s="11"/>
      <c r="J241" s="11">
        <f>25088-3090-1545-4635-4665-4665-3110-1555</f>
        <v>1823</v>
      </c>
      <c r="K241" s="11"/>
      <c r="L241" s="10">
        <v>44069</v>
      </c>
      <c r="M241" s="9" t="s">
        <v>1380</v>
      </c>
      <c r="N241" s="13" t="str">
        <f>VLOOKUP(H241,基础数据!G:H,2,FALSE)</f>
        <v>TTX1215(45)-2.54-100</v>
      </c>
    </row>
    <row r="242" spans="1:14" s="12" customFormat="1">
      <c r="A242" s="11">
        <v>1680</v>
      </c>
      <c r="B242" s="13" t="str">
        <f>VLOOKUP(A242,基础数据!A:B,2,FALSE)</f>
        <v>大丰</v>
      </c>
      <c r="C242" s="10">
        <v>44069</v>
      </c>
      <c r="D242" s="9"/>
      <c r="E242" s="9">
        <v>4500067614</v>
      </c>
      <c r="F242" s="9"/>
      <c r="G242" s="11">
        <v>1120002854</v>
      </c>
      <c r="H242" s="9" t="s">
        <v>94</v>
      </c>
      <c r="I242" s="11"/>
      <c r="J242" s="11">
        <v>7775</v>
      </c>
      <c r="K242" s="11"/>
      <c r="L242" s="10">
        <v>44069</v>
      </c>
      <c r="M242" s="9" t="s">
        <v>1389</v>
      </c>
      <c r="N242" s="13" t="str">
        <f>VLOOKUP(H242,基础数据!G:H,2,FALSE)</f>
        <v>TLX1215-2.54-100</v>
      </c>
    </row>
    <row r="243" spans="1:14" s="12" customFormat="1">
      <c r="A243" s="11">
        <v>1680</v>
      </c>
      <c r="B243" s="13" t="str">
        <f>VLOOKUP(A243,基础数据!A:B,2,FALSE)</f>
        <v>大丰</v>
      </c>
      <c r="C243" s="10">
        <v>44098</v>
      </c>
      <c r="D243" s="9"/>
      <c r="E243" s="11">
        <v>4500071166</v>
      </c>
      <c r="F243" s="9"/>
      <c r="G243" s="11">
        <v>1120000145</v>
      </c>
      <c r="H243" s="9" t="s">
        <v>95</v>
      </c>
      <c r="I243" s="11"/>
      <c r="J243" s="11">
        <v>2842</v>
      </c>
      <c r="K243" s="11"/>
      <c r="L243" s="10">
        <v>44114</v>
      </c>
      <c r="M243" s="9" t="s">
        <v>1388</v>
      </c>
      <c r="N243" s="13" t="str">
        <f>VLOOKUP(H243,基础数据!G:H,2,FALSE)</f>
        <v>TTX1215(45)-2.54-100</v>
      </c>
    </row>
    <row r="244" spans="1:14" s="12" customFormat="1">
      <c r="A244" s="11">
        <v>1680</v>
      </c>
      <c r="B244" s="13" t="str">
        <f>VLOOKUP(A244,基础数据!A:B,2,FALSE)</f>
        <v>大丰</v>
      </c>
      <c r="C244" s="10">
        <v>44069</v>
      </c>
      <c r="D244" s="9"/>
      <c r="E244" s="9">
        <v>4500067614</v>
      </c>
      <c r="F244" s="9"/>
      <c r="G244" s="11">
        <v>1120000142</v>
      </c>
      <c r="H244" s="9" t="s">
        <v>11</v>
      </c>
      <c r="I244" s="11"/>
      <c r="J244" s="11">
        <f>121065-3210-6420-6420-8025-1605-4815-4815-9630-6420-8025-2889-3220-6440-12880-6440-8050-8050-12880</f>
        <v>831</v>
      </c>
      <c r="K244" s="11"/>
      <c r="L244" s="10">
        <v>44069</v>
      </c>
      <c r="M244" s="9" t="s">
        <v>1396</v>
      </c>
      <c r="N244" s="13" t="str">
        <f>VLOOKUP(H244,基础数据!G:H,2,FALSE)</f>
        <v>TTX1250(60)-2.54-100</v>
      </c>
    </row>
    <row r="245" spans="1:14" s="12" customFormat="1">
      <c r="A245" s="11">
        <v>1680</v>
      </c>
      <c r="B245" s="13" t="str">
        <f>VLOOKUP(A245,基础数据!A:B,2,FALSE)</f>
        <v>大丰</v>
      </c>
      <c r="C245" s="10">
        <v>44069</v>
      </c>
      <c r="D245" s="9"/>
      <c r="E245" s="9">
        <v>4500067614</v>
      </c>
      <c r="F245" s="9"/>
      <c r="G245" s="11">
        <v>1120000142</v>
      </c>
      <c r="H245" s="9" t="s">
        <v>11</v>
      </c>
      <c r="I245" s="11"/>
      <c r="J245" s="11">
        <v>10439</v>
      </c>
      <c r="K245" s="11"/>
      <c r="L245" s="10">
        <v>44069</v>
      </c>
      <c r="M245" s="9" t="s">
        <v>1395</v>
      </c>
      <c r="N245" s="13" t="str">
        <f>VLOOKUP(H245,基础数据!G:H,2,FALSE)</f>
        <v>TTX1250(60)-2.54-100</v>
      </c>
    </row>
    <row r="246" spans="1:14" s="12" customFormat="1">
      <c r="A246" s="11">
        <v>1680</v>
      </c>
      <c r="B246" s="13" t="str">
        <f>VLOOKUP(A246,基础数据!A:B,2,FALSE)</f>
        <v>大丰</v>
      </c>
      <c r="C246" s="10">
        <v>44069</v>
      </c>
      <c r="D246" s="9"/>
      <c r="E246" s="9">
        <v>4500067614</v>
      </c>
      <c r="F246" s="9"/>
      <c r="G246" s="11">
        <v>1120002854</v>
      </c>
      <c r="H246" s="9" t="s">
        <v>94</v>
      </c>
      <c r="I246" s="11"/>
      <c r="J246" s="11">
        <v>9330</v>
      </c>
      <c r="K246" s="11"/>
      <c r="L246" s="10">
        <v>44069</v>
      </c>
      <c r="M246" s="9" t="s">
        <v>1397</v>
      </c>
      <c r="N246" s="13" t="str">
        <f>VLOOKUP(H246,基础数据!G:H,2,FALSE)</f>
        <v>TLX1215-2.54-100</v>
      </c>
    </row>
    <row r="247" spans="1:14" s="12" customFormat="1">
      <c r="A247" s="11">
        <v>1680</v>
      </c>
      <c r="B247" s="13" t="str">
        <f>VLOOKUP(A247,基础数据!A:B,2,FALSE)</f>
        <v>大丰</v>
      </c>
      <c r="C247" s="10">
        <v>44069</v>
      </c>
      <c r="D247" s="9"/>
      <c r="E247" s="9">
        <v>4500067613</v>
      </c>
      <c r="F247" s="9"/>
      <c r="G247" s="11">
        <v>1120002747</v>
      </c>
      <c r="H247" s="9" t="s">
        <v>289</v>
      </c>
      <c r="I247" s="11">
        <v>2</v>
      </c>
      <c r="J247" s="11">
        <v>1172</v>
      </c>
      <c r="K247" s="11"/>
      <c r="L247" s="10">
        <v>44069</v>
      </c>
      <c r="M247" s="9" t="s">
        <v>1398</v>
      </c>
      <c r="N247" s="13" t="str">
        <f>VLOOKUP(H247,基础数据!G:H,2,FALSE)</f>
        <v>SR146Ⅱ后缘</v>
      </c>
    </row>
    <row r="248" spans="1:14" s="12" customFormat="1">
      <c r="A248" s="11">
        <v>1680</v>
      </c>
      <c r="B248" s="13" t="str">
        <f>VLOOKUP(A248,基础数据!A:B,2,FALSE)</f>
        <v>大丰</v>
      </c>
      <c r="C248" s="10">
        <v>44069</v>
      </c>
      <c r="D248" s="9"/>
      <c r="E248" s="9">
        <v>4500067613</v>
      </c>
      <c r="F248" s="9"/>
      <c r="G248" s="11">
        <v>1120002772</v>
      </c>
      <c r="H248" s="9" t="s">
        <v>492</v>
      </c>
      <c r="I248" s="11">
        <v>1</v>
      </c>
      <c r="J248" s="11">
        <v>1825</v>
      </c>
      <c r="K248" s="11"/>
      <c r="L248" s="10">
        <v>44069</v>
      </c>
      <c r="M248" s="9" t="s">
        <v>1401</v>
      </c>
      <c r="N248" s="13" t="str">
        <f>VLOOKUP(H248,基础数据!G:H,2,FALSE)</f>
        <v>GW171后缘</v>
      </c>
    </row>
    <row r="249" spans="1:14" s="12" customFormat="1">
      <c r="A249" s="11">
        <v>1680</v>
      </c>
      <c r="B249" s="13" t="str">
        <f>VLOOKUP(A249,基础数据!A:B,2,FALSE)</f>
        <v>大丰</v>
      </c>
      <c r="C249" s="10">
        <v>44098</v>
      </c>
      <c r="D249" s="9"/>
      <c r="E249" s="11">
        <v>4500071166</v>
      </c>
      <c r="F249" s="9"/>
      <c r="G249" s="11">
        <v>1120001948</v>
      </c>
      <c r="H249" s="9" t="s">
        <v>14</v>
      </c>
      <c r="I249" s="11">
        <v>6</v>
      </c>
      <c r="J249" s="11">
        <v>5418</v>
      </c>
      <c r="K249" s="11"/>
      <c r="L249" s="10">
        <v>44114</v>
      </c>
      <c r="M249" s="9" t="s">
        <v>1399</v>
      </c>
      <c r="N249" s="13" t="str">
        <f>VLOOKUP(H249,基础数据!G:H,2,FALSE)</f>
        <v>SR146Ⅰ后缘</v>
      </c>
    </row>
    <row r="250" spans="1:14" s="12" customFormat="1">
      <c r="A250" s="11">
        <v>1680</v>
      </c>
      <c r="B250" s="13" t="str">
        <f>VLOOKUP(A250,基础数据!A:B,2,FALSE)</f>
        <v>大丰</v>
      </c>
      <c r="C250" s="10">
        <v>44098</v>
      </c>
      <c r="D250" s="9"/>
      <c r="E250" s="11">
        <v>4500071166</v>
      </c>
      <c r="F250" s="9"/>
      <c r="G250" s="11">
        <v>1120001949</v>
      </c>
      <c r="H250" s="9" t="s">
        <v>13</v>
      </c>
      <c r="I250" s="11">
        <v>2</v>
      </c>
      <c r="J250" s="11">
        <v>10494</v>
      </c>
      <c r="K250" s="11"/>
      <c r="L250" s="10">
        <v>44114</v>
      </c>
      <c r="M250" s="9" t="s">
        <v>1400</v>
      </c>
      <c r="N250" s="13" t="str">
        <f>VLOOKUP(H250,基础数据!G:H,2,FALSE)</f>
        <v>SR146Ⅰ大梁</v>
      </c>
    </row>
    <row r="251" spans="1:14" s="12" customFormat="1">
      <c r="A251" s="11">
        <v>1680</v>
      </c>
      <c r="B251" s="13" t="str">
        <f>VLOOKUP(A251,基础数据!A:B,2,FALSE)</f>
        <v>大丰</v>
      </c>
      <c r="C251" s="10">
        <v>44098</v>
      </c>
      <c r="D251" s="9"/>
      <c r="E251" s="11">
        <v>4500071166</v>
      </c>
      <c r="F251" s="9"/>
      <c r="G251" s="11">
        <v>1120002772</v>
      </c>
      <c r="H251" s="9" t="s">
        <v>1075</v>
      </c>
      <c r="I251" s="11">
        <v>4</v>
      </c>
      <c r="J251" s="11">
        <v>7565</v>
      </c>
      <c r="K251" s="11"/>
      <c r="L251" s="10">
        <v>44114</v>
      </c>
      <c r="M251" s="9" t="s">
        <v>1076</v>
      </c>
      <c r="N251" s="13" t="str">
        <f>VLOOKUP(H251,基础数据!G:H,2,FALSE)</f>
        <v>GW171后缘</v>
      </c>
    </row>
    <row r="252" spans="1:14" s="12" customFormat="1">
      <c r="A252" s="11">
        <v>1680</v>
      </c>
      <c r="B252" s="13" t="str">
        <f>VLOOKUP(A252,基础数据!A:B,2,FALSE)</f>
        <v>大丰</v>
      </c>
      <c r="C252" s="10">
        <v>44098</v>
      </c>
      <c r="D252" s="9"/>
      <c r="E252" s="11">
        <v>4500071166</v>
      </c>
      <c r="F252" s="9"/>
      <c r="G252" s="11">
        <v>1120001949</v>
      </c>
      <c r="H252" s="9" t="s">
        <v>13</v>
      </c>
      <c r="I252" s="11">
        <v>2</v>
      </c>
      <c r="J252" s="11">
        <v>10494</v>
      </c>
      <c r="K252" s="11"/>
      <c r="L252" s="10">
        <v>44114</v>
      </c>
      <c r="M252" s="9" t="s">
        <v>1406</v>
      </c>
      <c r="N252" s="13" t="str">
        <f>VLOOKUP(H252,基础数据!G:H,2,FALSE)</f>
        <v>SR146Ⅰ大梁</v>
      </c>
    </row>
    <row r="253" spans="1:14" s="12" customFormat="1">
      <c r="A253" s="11">
        <v>1680</v>
      </c>
      <c r="B253" s="13" t="str">
        <f>VLOOKUP(A253,基础数据!A:B,2,FALSE)</f>
        <v>大丰</v>
      </c>
      <c r="C253" s="10">
        <v>44069</v>
      </c>
      <c r="D253" s="9"/>
      <c r="E253" s="9">
        <v>4500067613</v>
      </c>
      <c r="F253" s="9"/>
      <c r="G253" s="11">
        <v>1120002746</v>
      </c>
      <c r="H253" s="9" t="s">
        <v>288</v>
      </c>
      <c r="I253" s="11">
        <v>2</v>
      </c>
      <c r="J253" s="11">
        <v>7008</v>
      </c>
      <c r="K253" s="11"/>
      <c r="L253" s="10">
        <v>44069</v>
      </c>
      <c r="M253" s="9" t="s">
        <v>1407</v>
      </c>
      <c r="N253" s="13" t="str">
        <f>VLOOKUP(H253,基础数据!G:H,2,FALSE)</f>
        <v>SR146Ⅱ大梁</v>
      </c>
    </row>
    <row r="254" spans="1:14" s="12" customFormat="1">
      <c r="A254" s="11">
        <v>1680</v>
      </c>
      <c r="B254" s="13" t="str">
        <f>VLOOKUP(A254,基础数据!A:B,2,FALSE)</f>
        <v>大丰</v>
      </c>
      <c r="C254" s="10">
        <v>44074</v>
      </c>
      <c r="D254" s="9"/>
      <c r="E254" s="11">
        <v>4500069040</v>
      </c>
      <c r="F254" s="9"/>
      <c r="G254" s="11">
        <v>1120001035</v>
      </c>
      <c r="H254" s="9" t="s">
        <v>12</v>
      </c>
      <c r="I254" s="11"/>
      <c r="J254" s="11">
        <v>9510</v>
      </c>
      <c r="K254" s="11"/>
      <c r="L254" s="10">
        <v>44099</v>
      </c>
      <c r="M254" s="9" t="s">
        <v>1408</v>
      </c>
      <c r="N254" s="13" t="str">
        <f>VLOOKUP(H254,基础数据!G:H,2,FALSE)</f>
        <v>TLX1250-2.54-100</v>
      </c>
    </row>
    <row r="255" spans="1:14" s="12" customFormat="1">
      <c r="A255" s="11">
        <v>1680</v>
      </c>
      <c r="B255" s="13" t="str">
        <f>VLOOKUP(A255,基础数据!A:B,2,FALSE)</f>
        <v>大丰</v>
      </c>
      <c r="C255" s="10">
        <v>44069</v>
      </c>
      <c r="D255" s="9"/>
      <c r="E255" s="9">
        <v>4500067613</v>
      </c>
      <c r="F255" s="9"/>
      <c r="G255" s="11">
        <v>1120002746</v>
      </c>
      <c r="H255" s="9" t="s">
        <v>288</v>
      </c>
      <c r="I255" s="11">
        <v>2</v>
      </c>
      <c r="J255" s="11">
        <v>7008</v>
      </c>
      <c r="K255" s="11"/>
      <c r="L255" s="10">
        <v>44069</v>
      </c>
      <c r="M255" s="9" t="s">
        <v>1413</v>
      </c>
      <c r="N255" s="13" t="str">
        <f>VLOOKUP(H255,基础数据!G:H,2,FALSE)</f>
        <v>SR146Ⅱ大梁</v>
      </c>
    </row>
    <row r="256" spans="1:14" s="12" customFormat="1">
      <c r="A256" s="11">
        <v>1680</v>
      </c>
      <c r="B256" s="13" t="str">
        <f>VLOOKUP(A256,基础数据!A:B,2,FALSE)</f>
        <v>大丰</v>
      </c>
      <c r="C256" s="10">
        <v>44098</v>
      </c>
      <c r="D256" s="9"/>
      <c r="E256" s="11">
        <v>4500071166</v>
      </c>
      <c r="F256" s="9"/>
      <c r="G256" s="11">
        <v>1120001949</v>
      </c>
      <c r="H256" s="9" t="s">
        <v>13</v>
      </c>
      <c r="I256" s="11">
        <v>2</v>
      </c>
      <c r="J256" s="11">
        <v>10494</v>
      </c>
      <c r="K256" s="11"/>
      <c r="L256" s="10">
        <v>44114</v>
      </c>
      <c r="M256" s="9" t="s">
        <v>1414</v>
      </c>
      <c r="N256" s="13" t="str">
        <f>VLOOKUP(H256,基础数据!G:H,2,FALSE)</f>
        <v>SR146Ⅰ大梁</v>
      </c>
    </row>
    <row r="257" spans="1:14" s="12" customFormat="1">
      <c r="A257" s="11">
        <v>1680</v>
      </c>
      <c r="B257" s="13" t="str">
        <f>VLOOKUP(A257,基础数据!A:B,2,FALSE)</f>
        <v>大丰</v>
      </c>
      <c r="C257" s="10">
        <v>44074</v>
      </c>
      <c r="D257" s="9"/>
      <c r="E257" s="11">
        <v>4500069040</v>
      </c>
      <c r="F257" s="9"/>
      <c r="G257" s="11">
        <v>1120000149</v>
      </c>
      <c r="H257" s="9" t="s">
        <v>9</v>
      </c>
      <c r="I257" s="11"/>
      <c r="J257" s="11">
        <v>3040</v>
      </c>
      <c r="K257" s="11"/>
      <c r="L257" s="10">
        <v>44099</v>
      </c>
      <c r="M257" s="9" t="s">
        <v>1415</v>
      </c>
      <c r="N257" s="13" t="str">
        <f>VLOOKUP(H257,基础数据!G:H,2,FALSE)</f>
        <v>TTX1500H-2.54-100</v>
      </c>
    </row>
    <row r="258" spans="1:14" s="12" customFormat="1">
      <c r="A258" s="11">
        <v>1680</v>
      </c>
      <c r="B258" s="13" t="str">
        <f>VLOOKUP(A258,基础数据!A:B,2,FALSE)</f>
        <v>大丰</v>
      </c>
      <c r="C258" s="10">
        <v>44069</v>
      </c>
      <c r="D258" s="9"/>
      <c r="E258" s="9">
        <v>4500067613</v>
      </c>
      <c r="F258" s="9"/>
      <c r="G258" s="11">
        <v>1120002747</v>
      </c>
      <c r="H258" s="9" t="s">
        <v>289</v>
      </c>
      <c r="I258" s="11">
        <v>4</v>
      </c>
      <c r="J258" s="11">
        <v>2344</v>
      </c>
      <c r="K258" s="11"/>
      <c r="L258" s="10">
        <v>44069</v>
      </c>
      <c r="M258" s="9" t="s">
        <v>1418</v>
      </c>
      <c r="N258" s="13" t="str">
        <f>VLOOKUP(H258,基础数据!G:H,2,FALSE)</f>
        <v>SR146Ⅱ后缘</v>
      </c>
    </row>
    <row r="259" spans="1:14" s="12" customFormat="1">
      <c r="A259" s="11">
        <v>1680</v>
      </c>
      <c r="B259" s="13" t="str">
        <f>VLOOKUP(A259,基础数据!A:B,2,FALSE)</f>
        <v>大丰</v>
      </c>
      <c r="C259" s="10">
        <v>44069</v>
      </c>
      <c r="D259" s="9"/>
      <c r="E259" s="9">
        <v>4500067613</v>
      </c>
      <c r="F259" s="9"/>
      <c r="G259" s="11">
        <v>1120002746</v>
      </c>
      <c r="H259" s="9" t="s">
        <v>288</v>
      </c>
      <c r="I259" s="11">
        <v>2</v>
      </c>
      <c r="J259" s="11">
        <v>7008</v>
      </c>
      <c r="K259" s="11"/>
      <c r="L259" s="10">
        <v>44069</v>
      </c>
      <c r="M259" s="9" t="s">
        <v>1420</v>
      </c>
      <c r="N259" s="13" t="str">
        <f>VLOOKUP(H259,基础数据!G:H,2,FALSE)</f>
        <v>SR146Ⅱ大梁</v>
      </c>
    </row>
    <row r="260" spans="1:14" s="12" customFormat="1">
      <c r="A260" s="11">
        <v>1680</v>
      </c>
      <c r="B260" s="13" t="str">
        <f>VLOOKUP(A260,基础数据!A:B,2,FALSE)</f>
        <v>大丰</v>
      </c>
      <c r="C260" s="10">
        <v>44069</v>
      </c>
      <c r="D260" s="9"/>
      <c r="E260" s="9">
        <v>4500067614</v>
      </c>
      <c r="F260" s="9"/>
      <c r="G260" s="11">
        <v>1120002854</v>
      </c>
      <c r="H260" s="9" t="s">
        <v>94</v>
      </c>
      <c r="I260" s="11"/>
      <c r="J260" s="11">
        <v>12200</v>
      </c>
      <c r="K260" s="11"/>
      <c r="L260" s="10">
        <v>44069</v>
      </c>
      <c r="M260" s="9" t="s">
        <v>1422</v>
      </c>
      <c r="N260" s="13" t="str">
        <f>VLOOKUP(H260,基础数据!G:H,2,FALSE)</f>
        <v>TLX1215-2.54-100</v>
      </c>
    </row>
    <row r="261" spans="1:14" s="12" customFormat="1">
      <c r="A261" s="11">
        <v>1680</v>
      </c>
      <c r="B261" s="13" t="str">
        <f>VLOOKUP(A261,基础数据!A:B,2,FALSE)</f>
        <v>大丰</v>
      </c>
      <c r="C261" s="10">
        <v>44098</v>
      </c>
      <c r="D261" s="9"/>
      <c r="E261" s="11">
        <v>4500071166</v>
      </c>
      <c r="F261" s="9"/>
      <c r="G261" s="11">
        <v>1120001949</v>
      </c>
      <c r="H261" s="9" t="s">
        <v>13</v>
      </c>
      <c r="I261" s="11">
        <v>2</v>
      </c>
      <c r="J261" s="11">
        <v>10494</v>
      </c>
      <c r="K261" s="11"/>
      <c r="L261" s="10">
        <v>44114</v>
      </c>
      <c r="M261" s="9" t="s">
        <v>1419</v>
      </c>
      <c r="N261" s="13" t="str">
        <f>VLOOKUP(H261,基础数据!G:H,2,FALSE)</f>
        <v>SR146Ⅰ大梁</v>
      </c>
    </row>
    <row r="262" spans="1:14" s="12" customFormat="1">
      <c r="A262" s="11">
        <v>1680</v>
      </c>
      <c r="B262" s="13" t="str">
        <f>VLOOKUP(A262,基础数据!A:B,2,FALSE)</f>
        <v>大丰</v>
      </c>
      <c r="C262" s="10">
        <v>44074</v>
      </c>
      <c r="D262" s="9"/>
      <c r="E262" s="11">
        <v>4500069040</v>
      </c>
      <c r="F262" s="9"/>
      <c r="G262" s="11">
        <v>1120000149</v>
      </c>
      <c r="H262" s="9" t="s">
        <v>9</v>
      </c>
      <c r="I262" s="11"/>
      <c r="J262" s="11">
        <v>10640</v>
      </c>
      <c r="K262" s="11"/>
      <c r="L262" s="10">
        <v>44099</v>
      </c>
      <c r="M262" s="9" t="s">
        <v>1421</v>
      </c>
      <c r="N262" s="13" t="str">
        <f>VLOOKUP(H262,基础数据!G:H,2,FALSE)</f>
        <v>TTX1500H-2.54-100</v>
      </c>
    </row>
    <row r="263" spans="1:14" s="12" customFormat="1">
      <c r="A263" s="11">
        <v>1680</v>
      </c>
      <c r="B263" s="13" t="str">
        <f>VLOOKUP(A263,基础数据!A:B,2,FALSE)</f>
        <v>大丰</v>
      </c>
      <c r="C263" s="10">
        <v>44085</v>
      </c>
      <c r="D263" s="9"/>
      <c r="E263" s="11">
        <v>4500070057</v>
      </c>
      <c r="F263" s="9"/>
      <c r="G263" s="11">
        <v>1120001948</v>
      </c>
      <c r="H263" s="9" t="s">
        <v>14</v>
      </c>
      <c r="I263" s="11">
        <v>1</v>
      </c>
      <c r="J263" s="11">
        <v>903</v>
      </c>
      <c r="K263" s="11"/>
      <c r="L263" s="10">
        <v>44099</v>
      </c>
      <c r="M263" s="9" t="s">
        <v>1427</v>
      </c>
      <c r="N263" s="13" t="str">
        <f>VLOOKUP(H263,基础数据!G:H,2,FALSE)</f>
        <v>SR146Ⅰ后缘</v>
      </c>
    </row>
    <row r="264" spans="1:14" s="12" customFormat="1">
      <c r="A264" s="11">
        <v>1680</v>
      </c>
      <c r="B264" s="13" t="str">
        <f>VLOOKUP(A264,基础数据!A:B,2,FALSE)</f>
        <v>大丰</v>
      </c>
      <c r="C264" s="10">
        <v>44069</v>
      </c>
      <c r="D264" s="9"/>
      <c r="E264" s="9">
        <v>4500067613</v>
      </c>
      <c r="F264" s="9"/>
      <c r="G264" s="11">
        <v>1120002747</v>
      </c>
      <c r="H264" s="9" t="s">
        <v>289</v>
      </c>
      <c r="I264" s="11">
        <v>3</v>
      </c>
      <c r="J264" s="11">
        <v>1758</v>
      </c>
      <c r="K264" s="11"/>
      <c r="L264" s="10">
        <v>44069</v>
      </c>
      <c r="M264" s="9" t="s">
        <v>1428</v>
      </c>
      <c r="N264" s="13" t="str">
        <f>VLOOKUP(H264,基础数据!G:H,2,FALSE)</f>
        <v>SR146Ⅱ后缘</v>
      </c>
    </row>
    <row r="265" spans="1:14" s="12" customFormat="1">
      <c r="A265" s="11">
        <v>1680</v>
      </c>
      <c r="B265" s="13" t="str">
        <f>VLOOKUP(A265,基础数据!A:B,2,FALSE)</f>
        <v>大丰</v>
      </c>
      <c r="C265" s="10">
        <v>44069</v>
      </c>
      <c r="D265" s="9"/>
      <c r="E265" s="9">
        <v>4500067613</v>
      </c>
      <c r="F265" s="9"/>
      <c r="G265" s="11">
        <v>1120002746</v>
      </c>
      <c r="H265" s="9" t="s">
        <v>288</v>
      </c>
      <c r="I265" s="11">
        <v>2</v>
      </c>
      <c r="J265" s="11">
        <v>7008</v>
      </c>
      <c r="K265" s="11"/>
      <c r="L265" s="10">
        <v>44069</v>
      </c>
      <c r="M265" s="9" t="s">
        <v>1429</v>
      </c>
      <c r="N265" s="13" t="str">
        <f>VLOOKUP(H265,基础数据!G:H,2,FALSE)</f>
        <v>SR146Ⅱ大梁</v>
      </c>
    </row>
    <row r="266" spans="1:14" s="12" customFormat="1">
      <c r="A266" s="11">
        <v>1680</v>
      </c>
      <c r="B266" s="13" t="str">
        <f>VLOOKUP(A266,基础数据!A:B,2,FALSE)</f>
        <v>大丰</v>
      </c>
      <c r="C266" s="10">
        <v>44074</v>
      </c>
      <c r="D266" s="9"/>
      <c r="E266" s="11">
        <v>4500069040</v>
      </c>
      <c r="F266" s="9"/>
      <c r="G266" s="11">
        <v>1120000149</v>
      </c>
      <c r="H266" s="9" t="s">
        <v>9</v>
      </c>
      <c r="I266" s="11"/>
      <c r="J266" s="11">
        <v>3040</v>
      </c>
      <c r="K266" s="11"/>
      <c r="L266" s="10">
        <v>44099</v>
      </c>
      <c r="M266" s="9" t="s">
        <v>1430</v>
      </c>
      <c r="N266" s="13" t="str">
        <f>VLOOKUP(H266,基础数据!G:H,2,FALSE)</f>
        <v>TTX1500H-2.54-100</v>
      </c>
    </row>
    <row r="267" spans="1:14" s="12" customFormat="1">
      <c r="A267" s="11">
        <v>1680</v>
      </c>
      <c r="B267" s="13" t="str">
        <f>VLOOKUP(A267,基础数据!A:B,2,FALSE)</f>
        <v>大丰</v>
      </c>
      <c r="C267" s="10">
        <v>44098</v>
      </c>
      <c r="D267" s="9"/>
      <c r="E267" s="11">
        <v>4500071166</v>
      </c>
      <c r="F267" s="9"/>
      <c r="G267" s="11">
        <v>1120000145</v>
      </c>
      <c r="H267" s="9" t="s">
        <v>95</v>
      </c>
      <c r="I267" s="11"/>
      <c r="J267" s="11">
        <v>1555</v>
      </c>
      <c r="K267" s="11"/>
      <c r="L267" s="10">
        <v>44114</v>
      </c>
      <c r="M267" s="9" t="s">
        <v>1431</v>
      </c>
      <c r="N267" s="13" t="str">
        <f>VLOOKUP(H267,基础数据!G:H,2,FALSE)</f>
        <v>TTX1215(45)-2.54-100</v>
      </c>
    </row>
    <row r="268" spans="1:14" s="12" customFormat="1">
      <c r="A268" s="11">
        <v>1680</v>
      </c>
      <c r="B268" s="13" t="str">
        <f>VLOOKUP(A268,基础数据!A:B,2,FALSE)</f>
        <v>大丰</v>
      </c>
      <c r="C268" s="10">
        <v>44098</v>
      </c>
      <c r="D268" s="9"/>
      <c r="E268" s="11">
        <v>4500071166</v>
      </c>
      <c r="F268" s="9"/>
      <c r="G268" s="11">
        <v>1120001949</v>
      </c>
      <c r="H268" s="9" t="s">
        <v>13</v>
      </c>
      <c r="I268" s="11">
        <v>2</v>
      </c>
      <c r="J268" s="11">
        <v>10494</v>
      </c>
      <c r="K268" s="11">
        <f>I268</f>
        <v>2</v>
      </c>
      <c r="L268" s="10">
        <v>44114</v>
      </c>
      <c r="M268" s="9" t="s">
        <v>1441</v>
      </c>
      <c r="N268" s="13" t="str">
        <f>VLOOKUP(H268,基础数据!G:H,2,FALSE)</f>
        <v>SR146Ⅰ大梁</v>
      </c>
    </row>
    <row r="269" spans="1:14" s="12" customFormat="1">
      <c r="A269" s="11">
        <v>1680</v>
      </c>
      <c r="B269" s="13" t="str">
        <f>VLOOKUP(A269,基础数据!A:B,2,FALSE)</f>
        <v>大丰</v>
      </c>
      <c r="C269" s="10">
        <v>44069</v>
      </c>
      <c r="D269" s="9"/>
      <c r="E269" s="9">
        <v>4500067613</v>
      </c>
      <c r="F269" s="9"/>
      <c r="G269" s="11">
        <v>1120002746</v>
      </c>
      <c r="H269" s="9" t="s">
        <v>288</v>
      </c>
      <c r="I269" s="11">
        <v>2</v>
      </c>
      <c r="J269" s="11">
        <v>7008</v>
      </c>
      <c r="K269" s="11">
        <f>I269</f>
        <v>2</v>
      </c>
      <c r="L269" s="10">
        <v>44069</v>
      </c>
      <c r="M269" s="9" t="s">
        <v>1442</v>
      </c>
      <c r="N269" s="13" t="str">
        <f>VLOOKUP(H269,基础数据!G:H,2,FALSE)</f>
        <v>SR146Ⅱ大梁</v>
      </c>
    </row>
    <row r="270" spans="1:14" s="12" customFormat="1">
      <c r="A270" s="11">
        <v>1680</v>
      </c>
      <c r="B270" s="13" t="str">
        <f>VLOOKUP(A270,基础数据!A:B,2,FALSE)</f>
        <v>大丰</v>
      </c>
      <c r="C270" s="10">
        <v>44069</v>
      </c>
      <c r="D270" s="9"/>
      <c r="E270" s="9">
        <v>4500067613</v>
      </c>
      <c r="F270" s="9"/>
      <c r="G270" s="11">
        <v>1120002747</v>
      </c>
      <c r="H270" s="9" t="s">
        <v>289</v>
      </c>
      <c r="I270" s="11">
        <v>1</v>
      </c>
      <c r="J270" s="11">
        <v>586</v>
      </c>
      <c r="K270" s="11">
        <f>I270</f>
        <v>1</v>
      </c>
      <c r="L270" s="10">
        <v>44069</v>
      </c>
      <c r="M270" s="9" t="s">
        <v>1443</v>
      </c>
      <c r="N270" s="13" t="str">
        <f>VLOOKUP(H270,基础数据!G:H,2,FALSE)</f>
        <v>SR146Ⅱ后缘</v>
      </c>
    </row>
    <row r="271" spans="1:14" s="12" customFormat="1">
      <c r="A271" s="11">
        <v>1680</v>
      </c>
      <c r="B271" s="13" t="str">
        <f>VLOOKUP(A271,基础数据!A:B,2,FALSE)</f>
        <v>大丰</v>
      </c>
      <c r="C271" s="10">
        <v>44074</v>
      </c>
      <c r="D271" s="9"/>
      <c r="E271" s="11">
        <v>4500069040</v>
      </c>
      <c r="F271" s="9"/>
      <c r="G271" s="11">
        <v>1120000149</v>
      </c>
      <c r="H271" s="9" t="s">
        <v>9</v>
      </c>
      <c r="I271" s="11"/>
      <c r="J271" s="11">
        <v>7600</v>
      </c>
      <c r="K271" s="11">
        <f>J271</f>
        <v>7600</v>
      </c>
      <c r="L271" s="10">
        <v>44099</v>
      </c>
      <c r="M271" s="9" t="s">
        <v>1444</v>
      </c>
      <c r="N271" s="13" t="str">
        <f>VLOOKUP(H271,基础数据!G:H,2,FALSE)</f>
        <v>TTX1500H-2.54-100</v>
      </c>
    </row>
    <row r="272" spans="1:14" s="12" customFormat="1">
      <c r="A272" s="11">
        <v>1680</v>
      </c>
      <c r="B272" s="13" t="str">
        <f>VLOOKUP(A272,基础数据!A:B,2,FALSE)</f>
        <v>大丰</v>
      </c>
      <c r="C272" s="10">
        <v>44074</v>
      </c>
      <c r="D272" s="9"/>
      <c r="E272" s="11">
        <v>4500069040</v>
      </c>
      <c r="F272" s="9"/>
      <c r="G272" s="11">
        <v>1120001035</v>
      </c>
      <c r="H272" s="9" t="s">
        <v>12</v>
      </c>
      <c r="I272" s="11"/>
      <c r="J272" s="11">
        <v>6340</v>
      </c>
      <c r="K272" s="11">
        <f>J272</f>
        <v>6340</v>
      </c>
      <c r="L272" s="10">
        <v>44099</v>
      </c>
      <c r="M272" s="9" t="s">
        <v>1445</v>
      </c>
      <c r="N272" s="13" t="str">
        <f>VLOOKUP(H272,基础数据!G:H,2,FALSE)</f>
        <v>TLX1250-2.54-100</v>
      </c>
    </row>
    <row r="273" spans="1:14" s="12" customFormat="1">
      <c r="A273" s="11">
        <v>1680</v>
      </c>
      <c r="B273" s="13" t="str">
        <f>VLOOKUP(A273,基础数据!A:B,2,FALSE)</f>
        <v>大丰</v>
      </c>
      <c r="C273" s="10">
        <v>44069</v>
      </c>
      <c r="D273" s="9"/>
      <c r="E273" s="9">
        <v>4500067614</v>
      </c>
      <c r="F273" s="9"/>
      <c r="G273" s="11">
        <v>1120000142</v>
      </c>
      <c r="H273" s="9" t="s">
        <v>11</v>
      </c>
      <c r="I273" s="11"/>
      <c r="J273" s="11">
        <v>3210</v>
      </c>
      <c r="K273" s="11">
        <f>J273</f>
        <v>3210</v>
      </c>
      <c r="L273" s="10">
        <v>44069</v>
      </c>
      <c r="M273" s="9" t="s">
        <v>1446</v>
      </c>
      <c r="N273" s="13" t="str">
        <f>VLOOKUP(H273,基础数据!G:H,2,FALSE)</f>
        <v>TTX1250(60)-2.54-100</v>
      </c>
    </row>
    <row r="274" spans="1:14" s="12" customFormat="1">
      <c r="A274" s="11">
        <v>1680</v>
      </c>
      <c r="B274" s="13" t="str">
        <f>VLOOKUP(A274,基础数据!A:B,2,FALSE)</f>
        <v>大丰</v>
      </c>
      <c r="C274" s="10">
        <v>44069</v>
      </c>
      <c r="D274" s="9"/>
      <c r="E274" s="9">
        <v>4500067613</v>
      </c>
      <c r="F274" s="9"/>
      <c r="G274" s="11">
        <v>1120002747</v>
      </c>
      <c r="H274" s="9" t="s">
        <v>289</v>
      </c>
      <c r="I274" s="11">
        <f>88-4-6-5-2-2-2-2-2-2-2-2-2-6-2-2-2-2-2-2-2-2-2-4-4-2-2-2-2-2-2-2-4-3-1</f>
        <v>1</v>
      </c>
      <c r="J274" s="11">
        <f>51568-2344-3516-2930-1172-1172-1172-1172-1172-1172-1172-1172-1172-3516-1172-1172-1172-1172-1172-1172-1172-1172-1172-2344-2344-1172-1172-1172-1172-1172-1172-1172-2344-1758-586</f>
        <v>586</v>
      </c>
      <c r="K274" s="11">
        <f t="shared" ref="K274:K279" si="0">I274</f>
        <v>1</v>
      </c>
      <c r="L274" s="10">
        <v>44069</v>
      </c>
      <c r="M274" s="9" t="s">
        <v>1454</v>
      </c>
      <c r="N274" s="13" t="str">
        <f>VLOOKUP(H274,基础数据!G:H,2,FALSE)</f>
        <v>SR146Ⅱ后缘</v>
      </c>
    </row>
    <row r="275" spans="1:14" s="12" customFormat="1">
      <c r="A275" s="11">
        <v>1680</v>
      </c>
      <c r="B275" s="13" t="str">
        <f>VLOOKUP(A275,基础数据!A:B,2,FALSE)</f>
        <v>大丰</v>
      </c>
      <c r="C275" s="10">
        <v>44069</v>
      </c>
      <c r="D275" s="9"/>
      <c r="E275" s="9">
        <v>4500067613</v>
      </c>
      <c r="F275" s="9"/>
      <c r="G275" s="11">
        <v>1120002747</v>
      </c>
      <c r="H275" s="9" t="s">
        <v>289</v>
      </c>
      <c r="I275" s="11">
        <v>4</v>
      </c>
      <c r="J275" s="11">
        <v>2344</v>
      </c>
      <c r="K275" s="11">
        <f t="shared" si="0"/>
        <v>4</v>
      </c>
      <c r="L275" s="10">
        <v>44069</v>
      </c>
      <c r="M275" s="9" t="s">
        <v>1455</v>
      </c>
      <c r="N275" s="13" t="str">
        <f>VLOOKUP(H275,基础数据!G:H,2,FALSE)</f>
        <v>SR146Ⅱ后缘</v>
      </c>
    </row>
    <row r="276" spans="1:14" s="12" customFormat="1">
      <c r="A276" s="11">
        <v>1680</v>
      </c>
      <c r="B276" s="13" t="str">
        <f>VLOOKUP(A276,基础数据!A:B,2,FALSE)</f>
        <v>大丰</v>
      </c>
      <c r="C276" s="10">
        <v>44069</v>
      </c>
      <c r="D276" s="9"/>
      <c r="E276" s="9">
        <v>4500067613</v>
      </c>
      <c r="F276" s="9"/>
      <c r="G276" s="11">
        <v>1120002746</v>
      </c>
      <c r="H276" s="9" t="s">
        <v>288</v>
      </c>
      <c r="I276" s="11">
        <v>2</v>
      </c>
      <c r="J276" s="11">
        <v>7008</v>
      </c>
      <c r="K276" s="11">
        <f t="shared" si="0"/>
        <v>2</v>
      </c>
      <c r="L276" s="10">
        <v>44069</v>
      </c>
      <c r="M276" s="9" t="s">
        <v>1457</v>
      </c>
      <c r="N276" s="13" t="str">
        <f>VLOOKUP(H276,基础数据!G:H,2,FALSE)</f>
        <v>SR146Ⅱ大梁</v>
      </c>
    </row>
    <row r="277" spans="1:14" s="12" customFormat="1">
      <c r="A277" s="11">
        <v>1680</v>
      </c>
      <c r="B277" s="13" t="str">
        <f>VLOOKUP(A277,基础数据!A:B,2,FALSE)</f>
        <v>大丰</v>
      </c>
      <c r="C277" s="10">
        <v>44085</v>
      </c>
      <c r="D277" s="9"/>
      <c r="E277" s="11">
        <v>4500070057</v>
      </c>
      <c r="F277" s="9"/>
      <c r="G277" s="11">
        <v>1120001948</v>
      </c>
      <c r="H277" s="9" t="s">
        <v>14</v>
      </c>
      <c r="I277" s="11">
        <f>30-2-2-2-4-4-2-2-2-2-2-2-1</f>
        <v>3</v>
      </c>
      <c r="J277" s="11">
        <f>27780-1806-1806-1806-3612-3612-1806-1806-1806-1806-1806-1806-903</f>
        <v>3399</v>
      </c>
      <c r="K277" s="11">
        <f t="shared" si="0"/>
        <v>3</v>
      </c>
      <c r="L277" s="10">
        <v>44099</v>
      </c>
      <c r="M277" s="9" t="s">
        <v>1452</v>
      </c>
      <c r="N277" s="13" t="str">
        <f>VLOOKUP(H277,基础数据!G:H,2,FALSE)</f>
        <v>SR146Ⅰ后缘</v>
      </c>
    </row>
    <row r="278" spans="1:14" s="12" customFormat="1">
      <c r="A278" s="11">
        <v>1680</v>
      </c>
      <c r="B278" s="13" t="str">
        <f>VLOOKUP(A278,基础数据!A:B,2,FALSE)</f>
        <v>大丰</v>
      </c>
      <c r="C278" s="10">
        <v>44098</v>
      </c>
      <c r="D278" s="9"/>
      <c r="E278" s="11">
        <v>4500071166</v>
      </c>
      <c r="F278" s="9"/>
      <c r="G278" s="11">
        <v>1120001948</v>
      </c>
      <c r="H278" s="9" t="s">
        <v>14</v>
      </c>
      <c r="I278" s="11">
        <v>2</v>
      </c>
      <c r="J278" s="11">
        <v>1806</v>
      </c>
      <c r="K278" s="11">
        <f t="shared" si="0"/>
        <v>2</v>
      </c>
      <c r="L278" s="10">
        <v>44114</v>
      </c>
      <c r="M278" s="9" t="s">
        <v>1453</v>
      </c>
      <c r="N278" s="13" t="str">
        <f>VLOOKUP(H278,基础数据!G:H,2,FALSE)</f>
        <v>SR146Ⅰ后缘</v>
      </c>
    </row>
    <row r="279" spans="1:14" s="12" customFormat="1">
      <c r="A279" s="11">
        <v>1680</v>
      </c>
      <c r="B279" s="13" t="str">
        <f>VLOOKUP(A279,基础数据!A:B,2,FALSE)</f>
        <v>大丰</v>
      </c>
      <c r="C279" s="10">
        <v>44098</v>
      </c>
      <c r="D279" s="9"/>
      <c r="E279" s="11">
        <v>4500071166</v>
      </c>
      <c r="F279" s="9"/>
      <c r="G279" s="11">
        <v>1120001949</v>
      </c>
      <c r="H279" s="9" t="s">
        <v>13</v>
      </c>
      <c r="I279" s="11">
        <v>4</v>
      </c>
      <c r="J279" s="11">
        <v>20988</v>
      </c>
      <c r="K279" s="11">
        <f t="shared" si="0"/>
        <v>4</v>
      </c>
      <c r="L279" s="10">
        <v>44114</v>
      </c>
      <c r="M279" s="9" t="s">
        <v>1456</v>
      </c>
      <c r="N279" s="13" t="str">
        <f>VLOOKUP(H279,基础数据!G:H,2,FALSE)</f>
        <v>SR146Ⅰ大梁</v>
      </c>
    </row>
    <row r="280" spans="1:14" s="12" customFormat="1">
      <c r="A280" s="11">
        <v>1680</v>
      </c>
      <c r="B280" s="13" t="str">
        <f>VLOOKUP(A280,基础数据!A:B,2,FALSE)</f>
        <v>大丰</v>
      </c>
      <c r="C280" s="10">
        <v>44069</v>
      </c>
      <c r="D280" s="9"/>
      <c r="E280" s="9">
        <v>4500067614</v>
      </c>
      <c r="F280" s="9"/>
      <c r="G280" s="11">
        <v>1120000142</v>
      </c>
      <c r="H280" s="9" t="s">
        <v>11</v>
      </c>
      <c r="I280" s="11"/>
      <c r="J280" s="11">
        <v>1605</v>
      </c>
      <c r="K280" s="11">
        <f>J280</f>
        <v>1605</v>
      </c>
      <c r="L280" s="10">
        <v>44069</v>
      </c>
      <c r="M280" s="9" t="s">
        <v>1458</v>
      </c>
      <c r="N280" s="13" t="str">
        <f>VLOOKUP(H280,基础数据!G:H,2,FALSE)</f>
        <v>TTX1250(60)-2.54-100</v>
      </c>
    </row>
    <row r="281" spans="1:14" s="12" customFormat="1">
      <c r="A281" s="11">
        <v>1680</v>
      </c>
      <c r="B281" s="13" t="str">
        <f>VLOOKUP(A281,基础数据!A:B,2,FALSE)</f>
        <v>大丰</v>
      </c>
      <c r="C281" s="10">
        <v>44098</v>
      </c>
      <c r="D281" s="9"/>
      <c r="E281" s="11">
        <v>4500071166</v>
      </c>
      <c r="F281" s="9"/>
      <c r="G281" s="11">
        <v>1120001035</v>
      </c>
      <c r="H281" s="9" t="s">
        <v>12</v>
      </c>
      <c r="I281" s="11"/>
      <c r="J281" s="11">
        <v>4755</v>
      </c>
      <c r="K281" s="11">
        <f>J281</f>
        <v>4755</v>
      </c>
      <c r="L281" s="10">
        <v>44114</v>
      </c>
      <c r="M281" s="9" t="s">
        <v>1467</v>
      </c>
      <c r="N281" s="13" t="str">
        <f>VLOOKUP(H281,基础数据!G:H,2,FALSE)</f>
        <v>TLX1250-2.54-100</v>
      </c>
    </row>
    <row r="282" spans="1:14" s="12" customFormat="1">
      <c r="A282" s="11">
        <v>1680</v>
      </c>
      <c r="B282" s="13" t="str">
        <f>VLOOKUP(A282,基础数据!A:B,2,FALSE)</f>
        <v>大丰</v>
      </c>
      <c r="C282" s="10">
        <v>44098</v>
      </c>
      <c r="D282" s="9"/>
      <c r="E282" s="11">
        <v>4500071166</v>
      </c>
      <c r="F282" s="9"/>
      <c r="G282" s="11">
        <v>1120001949</v>
      </c>
      <c r="H282" s="9" t="s">
        <v>13</v>
      </c>
      <c r="I282" s="11">
        <v>2</v>
      </c>
      <c r="J282" s="11">
        <v>10494</v>
      </c>
      <c r="K282" s="11">
        <f>I282</f>
        <v>2</v>
      </c>
      <c r="L282" s="10">
        <v>44114</v>
      </c>
      <c r="M282" s="9" t="s">
        <v>1463</v>
      </c>
      <c r="N282" s="13" t="str">
        <f>VLOOKUP(H282,基础数据!G:H,2,FALSE)</f>
        <v>SR146Ⅰ大梁</v>
      </c>
    </row>
    <row r="283" spans="1:14" s="12" customFormat="1">
      <c r="A283" s="11">
        <v>1680</v>
      </c>
      <c r="B283" s="13" t="str">
        <f>VLOOKUP(A283,基础数据!A:B,2,FALSE)</f>
        <v>大丰</v>
      </c>
      <c r="C283" s="10">
        <v>44069</v>
      </c>
      <c r="D283" s="9"/>
      <c r="E283" s="9">
        <v>4500067613</v>
      </c>
      <c r="F283" s="9"/>
      <c r="G283" s="11">
        <v>1120002746</v>
      </c>
      <c r="H283" s="9" t="s">
        <v>288</v>
      </c>
      <c r="I283" s="11">
        <v>2</v>
      </c>
      <c r="J283" s="11">
        <v>7008</v>
      </c>
      <c r="K283" s="11">
        <f>I283</f>
        <v>2</v>
      </c>
      <c r="L283" s="10">
        <v>44069</v>
      </c>
      <c r="M283" s="9" t="s">
        <v>1464</v>
      </c>
      <c r="N283" s="13" t="str">
        <f>VLOOKUP(H283,基础数据!G:H,2,FALSE)</f>
        <v>SR146Ⅱ大梁</v>
      </c>
    </row>
    <row r="284" spans="1:14" s="12" customFormat="1">
      <c r="A284" s="11">
        <v>1680</v>
      </c>
      <c r="B284" s="13" t="str">
        <f>VLOOKUP(A284,基础数据!A:B,2,FALSE)</f>
        <v>大丰</v>
      </c>
      <c r="C284" s="10">
        <v>44069</v>
      </c>
      <c r="D284" s="9"/>
      <c r="E284" s="9">
        <v>4500067613</v>
      </c>
      <c r="F284" s="9"/>
      <c r="G284" s="11">
        <v>1120002747</v>
      </c>
      <c r="H284" s="9" t="s">
        <v>289</v>
      </c>
      <c r="I284" s="11">
        <v>5</v>
      </c>
      <c r="J284" s="11">
        <v>2930</v>
      </c>
      <c r="K284" s="11">
        <f>I284</f>
        <v>5</v>
      </c>
      <c r="L284" s="10">
        <v>44069</v>
      </c>
      <c r="M284" s="9" t="s">
        <v>1465</v>
      </c>
      <c r="N284" s="13" t="str">
        <f>VLOOKUP(H284,基础数据!G:H,2,FALSE)</f>
        <v>SR146Ⅱ后缘</v>
      </c>
    </row>
    <row r="285" spans="1:14" s="12" customFormat="1">
      <c r="A285" s="11">
        <v>1680</v>
      </c>
      <c r="B285" s="13" t="str">
        <f>VLOOKUP(A285,基础数据!A:B,2,FALSE)</f>
        <v>大丰</v>
      </c>
      <c r="C285" s="10">
        <v>44116</v>
      </c>
      <c r="D285" s="9"/>
      <c r="E285" s="11">
        <v>4500071981</v>
      </c>
      <c r="F285" s="9"/>
      <c r="G285" s="11">
        <v>1120002772</v>
      </c>
      <c r="H285" s="9" t="s">
        <v>492</v>
      </c>
      <c r="I285" s="11">
        <v>5</v>
      </c>
      <c r="J285" s="11">
        <v>9125</v>
      </c>
      <c r="K285" s="11">
        <f>I285</f>
        <v>5</v>
      </c>
      <c r="L285" s="10">
        <v>44132</v>
      </c>
      <c r="M285" s="9" t="s">
        <v>1466</v>
      </c>
      <c r="N285" s="13" t="str">
        <f>VLOOKUP(H285,基础数据!G:H,2,FALSE)</f>
        <v>GW171后缘</v>
      </c>
    </row>
    <row r="286" spans="1:14" s="12" customFormat="1">
      <c r="A286" s="11">
        <v>1680</v>
      </c>
      <c r="B286" s="13" t="str">
        <f>VLOOKUP(A286,基础数据!A:B,2,FALSE)</f>
        <v>大丰</v>
      </c>
      <c r="C286" s="10">
        <v>44074</v>
      </c>
      <c r="D286" s="9"/>
      <c r="E286" s="11">
        <v>4500069040</v>
      </c>
      <c r="F286" s="9"/>
      <c r="G286" s="11">
        <v>1120002038</v>
      </c>
      <c r="H286" s="9" t="s">
        <v>54</v>
      </c>
      <c r="I286" s="11"/>
      <c r="J286" s="11">
        <v>642</v>
      </c>
      <c r="K286" s="11">
        <f t="shared" ref="K286:K292" si="1">J286</f>
        <v>642</v>
      </c>
      <c r="L286" s="10">
        <v>44099</v>
      </c>
      <c r="M286" s="9" t="s">
        <v>1482</v>
      </c>
      <c r="N286" s="13" t="str">
        <f>VLOOKUP(H286,基础数据!G:H,2,FALSE)</f>
        <v>TTX1250(45)-2.54-100</v>
      </c>
    </row>
    <row r="287" spans="1:14" s="12" customFormat="1">
      <c r="A287" s="11">
        <v>1680</v>
      </c>
      <c r="B287" s="13" t="str">
        <f>VLOOKUP(A287,基础数据!A:B,2,FALSE)</f>
        <v>大丰</v>
      </c>
      <c r="C287" s="10">
        <v>44074</v>
      </c>
      <c r="D287" s="9"/>
      <c r="E287" s="11">
        <v>4500069040</v>
      </c>
      <c r="F287" s="9"/>
      <c r="G287" s="11">
        <v>1120000149</v>
      </c>
      <c r="H287" s="9" t="s">
        <v>9</v>
      </c>
      <c r="I287" s="11"/>
      <c r="J287" s="11">
        <v>9120</v>
      </c>
      <c r="K287" s="11">
        <f t="shared" si="1"/>
        <v>9120</v>
      </c>
      <c r="L287" s="10">
        <v>44099</v>
      </c>
      <c r="M287" s="9" t="s">
        <v>1483</v>
      </c>
      <c r="N287" s="13" t="str">
        <f>VLOOKUP(H287,基础数据!G:H,2,FALSE)</f>
        <v>TTX1500H-2.54-100</v>
      </c>
    </row>
    <row r="288" spans="1:14" s="12" customFormat="1">
      <c r="A288" s="11">
        <v>1680</v>
      </c>
      <c r="B288" s="13" t="str">
        <f>VLOOKUP(A288,基础数据!A:B,2,FALSE)</f>
        <v>大丰</v>
      </c>
      <c r="C288" s="10">
        <v>44074</v>
      </c>
      <c r="D288" s="9"/>
      <c r="E288" s="11">
        <v>4500069040</v>
      </c>
      <c r="F288" s="9"/>
      <c r="G288" s="11">
        <v>1120001035</v>
      </c>
      <c r="H288" s="9" t="s">
        <v>12</v>
      </c>
      <c r="I288" s="11"/>
      <c r="J288" s="11">
        <f>104815-6420-6420-3210-7925-6340-3170-12680-3170-7925-11095-7925-6340-3170-9510-6340</f>
        <v>3175</v>
      </c>
      <c r="K288" s="11">
        <f t="shared" si="1"/>
        <v>3175</v>
      </c>
      <c r="L288" s="10">
        <v>44099</v>
      </c>
      <c r="M288" s="9" t="s">
        <v>1484</v>
      </c>
      <c r="N288" s="13" t="str">
        <f>VLOOKUP(H288,基础数据!G:H,2,FALSE)</f>
        <v>TLX1250-2.54-100</v>
      </c>
    </row>
    <row r="289" spans="1:14" s="12" customFormat="1">
      <c r="A289" s="11">
        <v>1680</v>
      </c>
      <c r="B289" s="13" t="str">
        <f>VLOOKUP(A289,基础数据!A:B,2,FALSE)</f>
        <v>大丰</v>
      </c>
      <c r="C289" s="10">
        <v>44098</v>
      </c>
      <c r="D289" s="9"/>
      <c r="E289" s="11">
        <v>4500071166</v>
      </c>
      <c r="F289" s="9"/>
      <c r="G289" s="11">
        <v>1120001035</v>
      </c>
      <c r="H289" s="9" t="s">
        <v>12</v>
      </c>
      <c r="I289" s="11"/>
      <c r="J289" s="11">
        <v>6335</v>
      </c>
      <c r="K289" s="11">
        <f t="shared" si="1"/>
        <v>6335</v>
      </c>
      <c r="L289" s="10">
        <v>44114</v>
      </c>
      <c r="M289" s="9" t="s">
        <v>1485</v>
      </c>
      <c r="N289" s="13" t="str">
        <f>VLOOKUP(H289,基础数据!G:H,2,FALSE)</f>
        <v>TLX1250-2.54-100</v>
      </c>
    </row>
    <row r="290" spans="1:14" s="12" customFormat="1">
      <c r="A290" s="11">
        <v>1680</v>
      </c>
      <c r="B290" s="13" t="str">
        <f>VLOOKUP(A290,基础数据!A:B,2,FALSE)</f>
        <v>大丰</v>
      </c>
      <c r="C290" s="10">
        <v>44069</v>
      </c>
      <c r="D290" s="9"/>
      <c r="E290" s="9">
        <v>4500067614</v>
      </c>
      <c r="F290" s="9"/>
      <c r="G290" s="11">
        <v>1120002854</v>
      </c>
      <c r="H290" s="9" t="s">
        <v>94</v>
      </c>
      <c r="I290" s="11"/>
      <c r="J290" s="11">
        <f>68994-3135-6120-6120-7650-6220-7775-7775-9330-12200</f>
        <v>2669</v>
      </c>
      <c r="K290" s="11">
        <f t="shared" si="1"/>
        <v>2669</v>
      </c>
      <c r="L290" s="10">
        <v>44069</v>
      </c>
      <c r="M290" s="9" t="s">
        <v>1487</v>
      </c>
      <c r="N290" s="13" t="str">
        <f>VLOOKUP(H290,基础数据!G:H,2,FALSE)</f>
        <v>TLX1215-2.54-100</v>
      </c>
    </row>
    <row r="291" spans="1:14" s="12" customFormat="1">
      <c r="A291" s="11">
        <v>1680</v>
      </c>
      <c r="B291" s="13" t="str">
        <f>VLOOKUP(A291,基础数据!A:B,2,FALSE)</f>
        <v>大丰</v>
      </c>
      <c r="C291" s="10">
        <v>44098</v>
      </c>
      <c r="D291" s="9"/>
      <c r="E291" s="11">
        <v>4500071166</v>
      </c>
      <c r="F291" s="9"/>
      <c r="G291" s="11">
        <v>1120002854</v>
      </c>
      <c r="H291" s="9" t="s">
        <v>94</v>
      </c>
      <c r="I291" s="11"/>
      <c r="J291" s="11">
        <v>381</v>
      </c>
      <c r="K291" s="11">
        <f t="shared" si="1"/>
        <v>381</v>
      </c>
      <c r="L291" s="10">
        <v>44114</v>
      </c>
      <c r="M291" s="9" t="s">
        <v>1486</v>
      </c>
      <c r="N291" s="13" t="str">
        <f>VLOOKUP(H291,基础数据!G:H,2,FALSE)</f>
        <v>TLX1215-2.54-100</v>
      </c>
    </row>
    <row r="292" spans="1:14" s="12" customFormat="1">
      <c r="A292" s="11">
        <v>1680</v>
      </c>
      <c r="B292" s="13" t="str">
        <f>VLOOKUP(A292,基础数据!A:B,2,FALSE)</f>
        <v>大丰</v>
      </c>
      <c r="C292" s="10">
        <v>44069</v>
      </c>
      <c r="D292" s="9"/>
      <c r="E292" s="9">
        <v>4500067614</v>
      </c>
      <c r="F292" s="9"/>
      <c r="G292" s="11">
        <v>1120000142</v>
      </c>
      <c r="H292" s="9" t="s">
        <v>11</v>
      </c>
      <c r="I292" s="11"/>
      <c r="J292" s="11">
        <v>6420</v>
      </c>
      <c r="K292" s="11">
        <f t="shared" si="1"/>
        <v>6420</v>
      </c>
      <c r="L292" s="10">
        <v>44069</v>
      </c>
      <c r="M292" s="9" t="s">
        <v>1488</v>
      </c>
      <c r="N292" s="13" t="str">
        <f>VLOOKUP(H292,基础数据!G:H,2,FALSE)</f>
        <v>TTX1250(60)-2.54-100</v>
      </c>
    </row>
    <row r="293" spans="1:14" s="12" customFormat="1">
      <c r="A293" s="11">
        <v>1680</v>
      </c>
      <c r="B293" s="13" t="str">
        <f>VLOOKUP(A293,基础数据!A:B,2,FALSE)</f>
        <v>大丰</v>
      </c>
      <c r="C293" s="10">
        <v>44098</v>
      </c>
      <c r="D293" s="9"/>
      <c r="E293" s="11">
        <v>4500071166</v>
      </c>
      <c r="F293" s="9"/>
      <c r="G293" s="11">
        <v>1120001949</v>
      </c>
      <c r="H293" s="9" t="s">
        <v>13</v>
      </c>
      <c r="I293" s="11">
        <v>2</v>
      </c>
      <c r="J293" s="11">
        <v>10494</v>
      </c>
      <c r="K293" s="11">
        <f t="shared" ref="K293:K298" si="2">I293</f>
        <v>2</v>
      </c>
      <c r="L293" s="10">
        <v>44114</v>
      </c>
      <c r="M293" s="9" t="s">
        <v>1489</v>
      </c>
      <c r="N293" s="13" t="str">
        <f>VLOOKUP(H293,基础数据!G:H,2,FALSE)</f>
        <v>SR146Ⅰ大梁</v>
      </c>
    </row>
    <row r="294" spans="1:14" s="12" customFormat="1">
      <c r="A294" s="11">
        <v>1680</v>
      </c>
      <c r="B294" s="13" t="str">
        <f>VLOOKUP(A294,基础数据!A:B,2,FALSE)</f>
        <v>大丰</v>
      </c>
      <c r="C294" s="10">
        <v>44098</v>
      </c>
      <c r="D294" s="9"/>
      <c r="E294" s="11">
        <v>4500071166</v>
      </c>
      <c r="F294" s="9"/>
      <c r="G294" s="11">
        <v>1120001948</v>
      </c>
      <c r="H294" s="9" t="s">
        <v>14</v>
      </c>
      <c r="I294" s="11">
        <v>5</v>
      </c>
      <c r="J294" s="11">
        <f>46300-5418-1806-4515</f>
        <v>34561</v>
      </c>
      <c r="K294" s="11">
        <f t="shared" si="2"/>
        <v>5</v>
      </c>
      <c r="L294" s="10">
        <v>44114</v>
      </c>
      <c r="M294" s="9" t="s">
        <v>1490</v>
      </c>
      <c r="N294" s="13" t="str">
        <f>VLOOKUP(H294,基础数据!G:H,2,FALSE)</f>
        <v>SR146Ⅰ后缘</v>
      </c>
    </row>
    <row r="295" spans="1:14" s="12" customFormat="1">
      <c r="A295" s="11">
        <v>1680</v>
      </c>
      <c r="B295" s="13" t="str">
        <f>VLOOKUP(A295,基础数据!A:B,2,FALSE)</f>
        <v>大丰</v>
      </c>
      <c r="C295" s="10">
        <v>44069</v>
      </c>
      <c r="D295" s="9"/>
      <c r="E295" s="9">
        <v>4500067613</v>
      </c>
      <c r="F295" s="9"/>
      <c r="G295" s="11">
        <v>1120002746</v>
      </c>
      <c r="H295" s="9" t="s">
        <v>288</v>
      </c>
      <c r="I295" s="11">
        <v>3</v>
      </c>
      <c r="J295" s="11">
        <v>10512</v>
      </c>
      <c r="K295" s="11">
        <f t="shared" si="2"/>
        <v>3</v>
      </c>
      <c r="L295" s="10">
        <v>44069</v>
      </c>
      <c r="M295" s="9" t="s">
        <v>1491</v>
      </c>
      <c r="N295" s="13" t="str">
        <f>VLOOKUP(H295,基础数据!G:H,2,FALSE)</f>
        <v>SR146Ⅱ大梁</v>
      </c>
    </row>
    <row r="296" spans="1:14" s="12" customFormat="1">
      <c r="A296" s="11">
        <v>1680</v>
      </c>
      <c r="B296" s="13" t="str">
        <f>VLOOKUP(A296,基础数据!A:B,2,FALSE)</f>
        <v>大丰</v>
      </c>
      <c r="C296" s="10">
        <v>44119</v>
      </c>
      <c r="D296" s="9"/>
      <c r="E296" s="11">
        <v>4500072108</v>
      </c>
      <c r="F296" s="9"/>
      <c r="G296" s="11">
        <v>1120002772</v>
      </c>
      <c r="H296" s="9" t="s">
        <v>1392</v>
      </c>
      <c r="I296" s="11">
        <v>0.1</v>
      </c>
      <c r="J296" s="11">
        <v>93</v>
      </c>
      <c r="K296" s="11">
        <f t="shared" si="2"/>
        <v>0.1</v>
      </c>
      <c r="L296" s="10">
        <v>44120</v>
      </c>
      <c r="M296" s="9" t="s">
        <v>1390</v>
      </c>
      <c r="N296" s="13" t="str">
        <f>VLOOKUP(H296,基础数据!G:H,2,FALSE)</f>
        <v>GW171后缘</v>
      </c>
    </row>
    <row r="297" spans="1:14" s="12" customFormat="1">
      <c r="A297" s="11">
        <v>1680</v>
      </c>
      <c r="B297" s="13" t="str">
        <f>VLOOKUP(A297,基础数据!A:B,2,FALSE)</f>
        <v>大丰</v>
      </c>
      <c r="C297" s="10">
        <v>44119</v>
      </c>
      <c r="D297" s="9"/>
      <c r="E297" s="9" t="s">
        <v>1492</v>
      </c>
      <c r="F297" s="9"/>
      <c r="G297" s="11">
        <v>1120002772</v>
      </c>
      <c r="H297" s="9" t="s">
        <v>1392</v>
      </c>
      <c r="I297" s="11">
        <v>0.1</v>
      </c>
      <c r="J297" s="11">
        <v>190</v>
      </c>
      <c r="K297" s="11">
        <f t="shared" si="2"/>
        <v>0.1</v>
      </c>
      <c r="L297" s="10">
        <v>44124</v>
      </c>
      <c r="M297" s="9" t="s">
        <v>1391</v>
      </c>
      <c r="N297" s="13" t="str">
        <f>VLOOKUP(H297,基础数据!G:H,2,FALSE)</f>
        <v>GW171后缘</v>
      </c>
    </row>
    <row r="298" spans="1:14" s="12" customFormat="1">
      <c r="A298" s="11">
        <v>1680</v>
      </c>
      <c r="B298" s="13" t="str">
        <f>VLOOKUP(A298,基础数据!A:B,2,FALSE)</f>
        <v>大丰</v>
      </c>
      <c r="C298" s="10">
        <v>44069</v>
      </c>
      <c r="D298" s="9"/>
      <c r="E298" s="9">
        <v>4500067613</v>
      </c>
      <c r="F298" s="9"/>
      <c r="G298" s="11">
        <v>1120002746</v>
      </c>
      <c r="H298" s="9" t="s">
        <v>288</v>
      </c>
      <c r="I298" s="11">
        <v>1</v>
      </c>
      <c r="J298" s="11">
        <v>3504</v>
      </c>
      <c r="K298" s="11">
        <f t="shared" si="2"/>
        <v>1</v>
      </c>
      <c r="L298" s="10">
        <v>44069</v>
      </c>
      <c r="M298" s="9" t="s">
        <v>1497</v>
      </c>
      <c r="N298" s="13" t="str">
        <f>VLOOKUP(H298,基础数据!G:H,2,FALSE)</f>
        <v>SR146Ⅱ大梁</v>
      </c>
    </row>
    <row r="299" spans="1:14" s="12" customFormat="1">
      <c r="A299" s="11">
        <v>1680</v>
      </c>
      <c r="B299" s="13" t="str">
        <f>VLOOKUP(A299,基础数据!A:B,2,FALSE)</f>
        <v>大丰</v>
      </c>
      <c r="C299" s="10">
        <v>44074</v>
      </c>
      <c r="D299" s="9"/>
      <c r="E299" s="11">
        <v>4500069040</v>
      </c>
      <c r="F299" s="9"/>
      <c r="G299" s="11">
        <v>1120000149</v>
      </c>
      <c r="H299" s="9" t="s">
        <v>9</v>
      </c>
      <c r="I299" s="11"/>
      <c r="J299" s="11">
        <v>7600</v>
      </c>
      <c r="K299" s="11">
        <f>J299</f>
        <v>7600</v>
      </c>
      <c r="L299" s="10">
        <v>44099</v>
      </c>
      <c r="M299" s="9" t="s">
        <v>1500</v>
      </c>
      <c r="N299" s="13" t="str">
        <f>VLOOKUP(H299,基础数据!G:H,2,FALSE)</f>
        <v>TTX1500H-2.54-100</v>
      </c>
    </row>
    <row r="300" spans="1:14" s="12" customFormat="1">
      <c r="A300" s="11">
        <v>1680</v>
      </c>
      <c r="B300" s="13" t="str">
        <f>VLOOKUP(A300,基础数据!A:B,2,FALSE)</f>
        <v>大丰</v>
      </c>
      <c r="C300" s="10">
        <v>44098</v>
      </c>
      <c r="D300" s="9"/>
      <c r="E300" s="11">
        <v>4500071166</v>
      </c>
      <c r="F300" s="9"/>
      <c r="G300" s="11">
        <v>1120001035</v>
      </c>
      <c r="H300" s="9" t="s">
        <v>12</v>
      </c>
      <c r="I300" s="11"/>
      <c r="J300" s="11">
        <v>9510</v>
      </c>
      <c r="K300" s="11">
        <f>J300</f>
        <v>9510</v>
      </c>
      <c r="L300" s="10">
        <v>44114</v>
      </c>
      <c r="M300" s="9" t="s">
        <v>1501</v>
      </c>
      <c r="N300" s="13" t="str">
        <f>VLOOKUP(H300,基础数据!G:H,2,FALSE)</f>
        <v>TLX1250-2.54-100</v>
      </c>
    </row>
    <row r="301" spans="1:14" s="12" customFormat="1">
      <c r="A301" s="11">
        <v>1680</v>
      </c>
      <c r="B301" s="13" t="str">
        <f>VLOOKUP(A301,基础数据!A:B,2,FALSE)</f>
        <v>大丰</v>
      </c>
      <c r="C301" s="10">
        <v>44098</v>
      </c>
      <c r="D301" s="9"/>
      <c r="E301" s="11">
        <v>4500071166</v>
      </c>
      <c r="F301" s="9"/>
      <c r="G301" s="11">
        <v>1120001949</v>
      </c>
      <c r="H301" s="9" t="s">
        <v>13</v>
      </c>
      <c r="I301" s="11">
        <v>2</v>
      </c>
      <c r="J301" s="11">
        <v>10494</v>
      </c>
      <c r="K301" s="11">
        <f>I301</f>
        <v>2</v>
      </c>
      <c r="L301" s="10">
        <v>44114</v>
      </c>
      <c r="M301" s="9" t="s">
        <v>1498</v>
      </c>
      <c r="N301" s="13" t="str">
        <f>VLOOKUP(H301,基础数据!G:H,2,FALSE)</f>
        <v>SR146Ⅰ大梁</v>
      </c>
    </row>
    <row r="302" spans="1:14" s="12" customFormat="1">
      <c r="A302" s="11">
        <v>1680</v>
      </c>
      <c r="B302" s="13" t="str">
        <f>VLOOKUP(A302,基础数据!A:B,2,FALSE)</f>
        <v>大丰</v>
      </c>
      <c r="C302" s="10">
        <v>44098</v>
      </c>
      <c r="D302" s="9"/>
      <c r="E302" s="11">
        <v>4500071166</v>
      </c>
      <c r="F302" s="9"/>
      <c r="G302" s="11">
        <v>1120000145</v>
      </c>
      <c r="H302" s="9" t="s">
        <v>95</v>
      </c>
      <c r="I302" s="11"/>
      <c r="J302" s="11">
        <v>5592</v>
      </c>
      <c r="K302" s="11">
        <f>J302</f>
        <v>5592</v>
      </c>
      <c r="L302" s="10">
        <v>44114</v>
      </c>
      <c r="M302" s="9" t="s">
        <v>1499</v>
      </c>
      <c r="N302" s="13" t="str">
        <f>VLOOKUP(H302,基础数据!G:H,2,FALSE)</f>
        <v>TTX1215(45)-2.54-100</v>
      </c>
    </row>
    <row r="303" spans="1:14" s="12" customFormat="1">
      <c r="A303" s="11">
        <v>1680</v>
      </c>
      <c r="B303" s="13" t="str">
        <f>VLOOKUP(A303,基础数据!A:B,2,FALSE)</f>
        <v>大丰</v>
      </c>
      <c r="C303" s="10">
        <v>44098</v>
      </c>
      <c r="D303" s="9"/>
      <c r="E303" s="11">
        <v>4500071166</v>
      </c>
      <c r="F303" s="9"/>
      <c r="G303" s="11">
        <v>1120002854</v>
      </c>
      <c r="H303" s="9" t="s">
        <v>94</v>
      </c>
      <c r="I303" s="11"/>
      <c r="J303" s="11">
        <v>3050</v>
      </c>
      <c r="K303" s="11">
        <f>J303</f>
        <v>3050</v>
      </c>
      <c r="L303" s="10">
        <v>44114</v>
      </c>
      <c r="M303" s="9" t="s">
        <v>1502</v>
      </c>
      <c r="N303" s="13" t="str">
        <f>VLOOKUP(H303,基础数据!G:H,2,FALSE)</f>
        <v>TLX1215-2.54-100</v>
      </c>
    </row>
    <row r="304" spans="1:14" s="12" customFormat="1">
      <c r="A304" s="11">
        <v>1680</v>
      </c>
      <c r="B304" s="13" t="str">
        <f>VLOOKUP(A304,基础数据!A:B,2,FALSE)</f>
        <v>大丰</v>
      </c>
      <c r="C304" s="10">
        <v>44098</v>
      </c>
      <c r="D304" s="9"/>
      <c r="E304" s="11">
        <v>4500071168</v>
      </c>
      <c r="F304" s="9"/>
      <c r="G304" s="11">
        <v>1120002993</v>
      </c>
      <c r="H304" s="9" t="s">
        <v>850</v>
      </c>
      <c r="I304" s="11">
        <f>12-4</f>
        <v>8</v>
      </c>
      <c r="J304" s="11">
        <f>2416*12-8856</f>
        <v>20136</v>
      </c>
      <c r="K304" s="11">
        <f>I304</f>
        <v>8</v>
      </c>
      <c r="L304" s="10">
        <v>44114</v>
      </c>
      <c r="M304" s="9" t="s">
        <v>1506</v>
      </c>
      <c r="N304" s="13" t="str">
        <f>VLOOKUP(H304,基础数据!G:H,2,FALSE)</f>
        <v>SR146Ⅰ螺栓加强层</v>
      </c>
    </row>
    <row r="305" spans="1:14" s="12" customFormat="1">
      <c r="A305" s="11">
        <v>1680</v>
      </c>
      <c r="B305" s="13" t="str">
        <f>VLOOKUP(A305,基础数据!A:B,2,FALSE)</f>
        <v>大丰</v>
      </c>
      <c r="C305" s="10">
        <v>44069</v>
      </c>
      <c r="D305" s="9"/>
      <c r="E305" s="9">
        <v>4500067597</v>
      </c>
      <c r="F305" s="9"/>
      <c r="G305" s="11">
        <v>1120001194</v>
      </c>
      <c r="H305" s="9" t="s">
        <v>16</v>
      </c>
      <c r="I305" s="11">
        <v>5</v>
      </c>
      <c r="J305" s="11">
        <v>6405</v>
      </c>
      <c r="K305" s="11">
        <f>I305</f>
        <v>5</v>
      </c>
      <c r="L305" s="10">
        <v>44069</v>
      </c>
      <c r="M305" s="9" t="s">
        <v>1507</v>
      </c>
      <c r="N305" s="13" t="str">
        <f>VLOOKUP(H305,基础数据!G:H,2,FALSE)</f>
        <v>WB171I后缘</v>
      </c>
    </row>
    <row r="306" spans="1:14" s="12" customFormat="1">
      <c r="A306" s="11">
        <v>1680</v>
      </c>
      <c r="B306" s="13" t="str">
        <f>VLOOKUP(A306,基础数据!A:B,2,FALSE)</f>
        <v>大丰</v>
      </c>
      <c r="C306" s="10">
        <v>44074</v>
      </c>
      <c r="D306" s="9"/>
      <c r="E306" s="11">
        <v>4500069040</v>
      </c>
      <c r="F306" s="9"/>
      <c r="G306" s="11">
        <v>1120002038</v>
      </c>
      <c r="H306" s="9" t="s">
        <v>54</v>
      </c>
      <c r="I306" s="11"/>
      <c r="J306" s="11">
        <v>3210</v>
      </c>
      <c r="K306" s="11">
        <f>J306</f>
        <v>3210</v>
      </c>
      <c r="L306" s="10">
        <v>44099</v>
      </c>
      <c r="M306" s="9" t="s">
        <v>1510</v>
      </c>
      <c r="N306" s="13" t="str">
        <f>VLOOKUP(H306,基础数据!G:H,2,FALSE)</f>
        <v>TTX1250(45)-2.54-100</v>
      </c>
    </row>
    <row r="307" spans="1:14" s="12" customFormat="1">
      <c r="A307" s="11">
        <v>1680</v>
      </c>
      <c r="B307" s="13" t="str">
        <f>VLOOKUP(A307,基础数据!A:B,2,FALSE)</f>
        <v>大丰</v>
      </c>
      <c r="C307" s="10">
        <v>44069</v>
      </c>
      <c r="D307" s="9"/>
      <c r="E307" s="9">
        <v>4500067614</v>
      </c>
      <c r="F307" s="9"/>
      <c r="G307" s="11">
        <v>1120000142</v>
      </c>
      <c r="H307" s="9" t="s">
        <v>11</v>
      </c>
      <c r="I307" s="11"/>
      <c r="J307" s="11">
        <v>3210</v>
      </c>
      <c r="K307" s="11">
        <f>J307</f>
        <v>3210</v>
      </c>
      <c r="L307" s="10">
        <v>44069</v>
      </c>
      <c r="M307" s="9" t="s">
        <v>1513</v>
      </c>
      <c r="N307" s="13" t="str">
        <f>VLOOKUP(H307,基础数据!G:H,2,FALSE)</f>
        <v>TTX1250(60)-2.54-100</v>
      </c>
    </row>
    <row r="308" spans="1:14" s="12" customFormat="1">
      <c r="A308" s="11">
        <v>1680</v>
      </c>
      <c r="B308" s="13" t="str">
        <f>VLOOKUP(A308,基础数据!A:B,2,FALSE)</f>
        <v>大丰</v>
      </c>
      <c r="C308" s="10">
        <v>44098</v>
      </c>
      <c r="D308" s="9"/>
      <c r="E308" s="11">
        <v>4500071166</v>
      </c>
      <c r="F308" s="9"/>
      <c r="G308" s="11">
        <v>1120001035</v>
      </c>
      <c r="H308" s="9" t="s">
        <v>12</v>
      </c>
      <c r="I308" s="11"/>
      <c r="J308" s="11">
        <v>9510</v>
      </c>
      <c r="K308" s="11">
        <f>J308</f>
        <v>9510</v>
      </c>
      <c r="L308" s="10">
        <v>44114</v>
      </c>
      <c r="M308" s="9" t="s">
        <v>1511</v>
      </c>
      <c r="N308" s="13" t="str">
        <f>VLOOKUP(H308,基础数据!G:H,2,FALSE)</f>
        <v>TLX1250-2.54-100</v>
      </c>
    </row>
    <row r="309" spans="1:14" s="12" customFormat="1">
      <c r="A309" s="11">
        <v>1680</v>
      </c>
      <c r="B309" s="13" t="str">
        <f>VLOOKUP(A309,基础数据!A:B,2,FALSE)</f>
        <v>大丰</v>
      </c>
      <c r="C309" s="10">
        <v>44098</v>
      </c>
      <c r="D309" s="9"/>
      <c r="E309" s="11">
        <v>4500071166</v>
      </c>
      <c r="F309" s="9"/>
      <c r="G309" s="11">
        <v>1120002854</v>
      </c>
      <c r="H309" s="9" t="s">
        <v>94</v>
      </c>
      <c r="I309" s="11"/>
      <c r="J309" s="11">
        <v>6100</v>
      </c>
      <c r="K309" s="11">
        <f>J309</f>
        <v>6100</v>
      </c>
      <c r="L309" s="10">
        <v>44114</v>
      </c>
      <c r="M309" s="9" t="s">
        <v>1512</v>
      </c>
      <c r="N309" s="13" t="str">
        <f>VLOOKUP(H309,基础数据!G:H,2,FALSE)</f>
        <v>TLX1215-2.54-100</v>
      </c>
    </row>
    <row r="310" spans="1:14" s="12" customFormat="1">
      <c r="A310" s="11">
        <v>1680</v>
      </c>
      <c r="B310" s="13" t="str">
        <f>VLOOKUP(A310,基础数据!A:B,2,FALSE)</f>
        <v>大丰</v>
      </c>
      <c r="C310" s="10">
        <v>44098</v>
      </c>
      <c r="D310" s="9"/>
      <c r="E310" s="11">
        <v>4500071166</v>
      </c>
      <c r="F310" s="9"/>
      <c r="G310" s="11">
        <v>1120001948</v>
      </c>
      <c r="H310" s="9" t="s">
        <v>14</v>
      </c>
      <c r="I310" s="11">
        <v>2</v>
      </c>
      <c r="J310" s="11">
        <v>1806</v>
      </c>
      <c r="K310" s="11">
        <f>I310</f>
        <v>2</v>
      </c>
      <c r="L310" s="10">
        <v>44114</v>
      </c>
      <c r="M310" s="9" t="s">
        <v>1508</v>
      </c>
      <c r="N310" s="13" t="str">
        <f>VLOOKUP(H310,基础数据!G:H,2,FALSE)</f>
        <v>SR146Ⅰ后缘</v>
      </c>
    </row>
    <row r="311" spans="1:14" s="12" customFormat="1">
      <c r="A311" s="11">
        <v>1680</v>
      </c>
      <c r="B311" s="13" t="str">
        <f>VLOOKUP(A311,基础数据!A:B,2,FALSE)</f>
        <v>大丰</v>
      </c>
      <c r="C311" s="10">
        <v>44098</v>
      </c>
      <c r="D311" s="9"/>
      <c r="E311" s="11">
        <v>4500071166</v>
      </c>
      <c r="F311" s="9"/>
      <c r="G311" s="11">
        <v>1120001949</v>
      </c>
      <c r="H311" s="9" t="s">
        <v>13</v>
      </c>
      <c r="I311" s="11">
        <v>2</v>
      </c>
      <c r="J311" s="11">
        <v>10494</v>
      </c>
      <c r="K311" s="11">
        <f>I311</f>
        <v>2</v>
      </c>
      <c r="L311" s="10">
        <v>44114</v>
      </c>
      <c r="M311" s="9" t="s">
        <v>1509</v>
      </c>
      <c r="N311" s="13" t="str">
        <f>VLOOKUP(H311,基础数据!G:H,2,FALSE)</f>
        <v>SR146Ⅰ大梁</v>
      </c>
    </row>
    <row r="312" spans="1:14" s="12" customFormat="1">
      <c r="A312" s="11">
        <v>1680</v>
      </c>
      <c r="B312" s="13" t="str">
        <f>VLOOKUP(A312,基础数据!A:B,2,FALSE)</f>
        <v>大丰</v>
      </c>
      <c r="C312" s="10">
        <v>44069</v>
      </c>
      <c r="D312" s="9"/>
      <c r="E312" s="9">
        <v>4500067613</v>
      </c>
      <c r="F312" s="9"/>
      <c r="G312" s="11">
        <v>1120002747</v>
      </c>
      <c r="H312" s="9" t="s">
        <v>289</v>
      </c>
      <c r="I312" s="11">
        <v>4</v>
      </c>
      <c r="J312" s="11">
        <v>2344</v>
      </c>
      <c r="K312" s="11">
        <f>I312</f>
        <v>4</v>
      </c>
      <c r="L312" s="10">
        <v>44069</v>
      </c>
      <c r="M312" s="9" t="s">
        <v>1516</v>
      </c>
      <c r="N312" s="13" t="str">
        <f>VLOOKUP(H312,基础数据!G:H,2,FALSE)</f>
        <v>SR146Ⅱ后缘</v>
      </c>
    </row>
    <row r="313" spans="1:14" s="12" customFormat="1">
      <c r="A313" s="11">
        <v>1680</v>
      </c>
      <c r="B313" s="13" t="str">
        <f>VLOOKUP(A313,基础数据!A:B,2,FALSE)</f>
        <v>大丰</v>
      </c>
      <c r="C313" s="10">
        <v>44098</v>
      </c>
      <c r="D313" s="9"/>
      <c r="E313" s="11">
        <v>4500071166</v>
      </c>
      <c r="F313" s="9"/>
      <c r="G313" s="11">
        <v>1120001948</v>
      </c>
      <c r="H313" s="9" t="s">
        <v>14</v>
      </c>
      <c r="I313" s="11">
        <v>2</v>
      </c>
      <c r="J313" s="11">
        <v>1806</v>
      </c>
      <c r="K313" s="11">
        <f>I313</f>
        <v>2</v>
      </c>
      <c r="L313" s="10">
        <v>44114</v>
      </c>
      <c r="M313" s="9" t="s">
        <v>1517</v>
      </c>
      <c r="N313" s="13" t="str">
        <f>VLOOKUP(H313,基础数据!G:H,2,FALSE)</f>
        <v>SR146Ⅰ后缘</v>
      </c>
    </row>
    <row r="314" spans="1:14" s="12" customFormat="1">
      <c r="A314" s="11">
        <v>1680</v>
      </c>
      <c r="B314" s="13" t="str">
        <f>VLOOKUP(A314,基础数据!A:B,2,FALSE)</f>
        <v>大丰</v>
      </c>
      <c r="C314" s="10">
        <v>44098</v>
      </c>
      <c r="D314" s="9"/>
      <c r="E314" s="11">
        <v>4500071166</v>
      </c>
      <c r="F314" s="9"/>
      <c r="G314" s="11">
        <v>1120001949</v>
      </c>
      <c r="H314" s="9" t="s">
        <v>13</v>
      </c>
      <c r="I314" s="11">
        <v>2</v>
      </c>
      <c r="J314" s="11">
        <v>10494</v>
      </c>
      <c r="K314" s="11">
        <f>I314</f>
        <v>2</v>
      </c>
      <c r="L314" s="10">
        <v>44114</v>
      </c>
      <c r="M314" s="9" t="s">
        <v>1518</v>
      </c>
      <c r="N314" s="13" t="str">
        <f>VLOOKUP(H314,基础数据!G:H,2,FALSE)</f>
        <v>SR146Ⅰ大梁</v>
      </c>
    </row>
    <row r="315" spans="1:14" s="12" customFormat="1">
      <c r="A315" s="11">
        <v>1680</v>
      </c>
      <c r="B315" s="13" t="str">
        <f>VLOOKUP(A315,基础数据!A:B,2,FALSE)</f>
        <v>大丰</v>
      </c>
      <c r="C315" s="10">
        <v>44098</v>
      </c>
      <c r="D315" s="9"/>
      <c r="E315" s="11">
        <v>4500071166</v>
      </c>
      <c r="F315" s="9"/>
      <c r="G315" s="11">
        <v>1120001035</v>
      </c>
      <c r="H315" s="9" t="s">
        <v>12</v>
      </c>
      <c r="I315" s="11"/>
      <c r="J315" s="11">
        <v>9510</v>
      </c>
      <c r="K315" s="11">
        <f>J315</f>
        <v>9510</v>
      </c>
      <c r="L315" s="10">
        <v>44114</v>
      </c>
      <c r="M315" s="9" t="s">
        <v>1519</v>
      </c>
      <c r="N315" s="13" t="str">
        <f>VLOOKUP(H315,基础数据!G:H,2,FALSE)</f>
        <v>TLX1250-2.54-100</v>
      </c>
    </row>
    <row r="316" spans="1:14" s="12" customFormat="1">
      <c r="A316" s="11">
        <v>1680</v>
      </c>
      <c r="B316" s="13" t="str">
        <f>VLOOKUP(A316,基础数据!A:B,2,FALSE)</f>
        <v>大丰</v>
      </c>
      <c r="C316" s="10">
        <v>44074</v>
      </c>
      <c r="D316" s="9"/>
      <c r="E316" s="11">
        <v>4500069040</v>
      </c>
      <c r="F316" s="9"/>
      <c r="G316" s="11">
        <v>1120000149</v>
      </c>
      <c r="H316" s="9" t="s">
        <v>9</v>
      </c>
      <c r="I316" s="11"/>
      <c r="J316" s="11">
        <v>13680</v>
      </c>
      <c r="K316" s="11">
        <f>J316</f>
        <v>13680</v>
      </c>
      <c r="L316" s="10">
        <v>44099</v>
      </c>
      <c r="M316" s="9" t="s">
        <v>1520</v>
      </c>
      <c r="N316" s="13" t="str">
        <f>VLOOKUP(H316,基础数据!G:H,2,FALSE)</f>
        <v>TTX1500H-2.54-100</v>
      </c>
    </row>
    <row r="317" spans="1:14" s="12" customFormat="1">
      <c r="A317" s="11">
        <v>1680</v>
      </c>
      <c r="B317" s="13" t="str">
        <f>VLOOKUP(A317,基础数据!A:B,2,FALSE)</f>
        <v>大丰</v>
      </c>
      <c r="C317" s="10">
        <v>44074</v>
      </c>
      <c r="D317" s="9"/>
      <c r="E317" s="11">
        <v>4500069040</v>
      </c>
      <c r="F317" s="9"/>
      <c r="G317" s="11">
        <v>1120002038</v>
      </c>
      <c r="H317" s="9" t="s">
        <v>54</v>
      </c>
      <c r="I317" s="11"/>
      <c r="J317" s="11">
        <v>3210</v>
      </c>
      <c r="K317" s="11">
        <f>J317</f>
        <v>3210</v>
      </c>
      <c r="L317" s="10">
        <v>44099</v>
      </c>
      <c r="M317" s="9" t="s">
        <v>1521</v>
      </c>
      <c r="N317" s="13" t="str">
        <f>VLOOKUP(H317,基础数据!G:H,2,FALSE)</f>
        <v>TTX1250(45)-2.54-100</v>
      </c>
    </row>
    <row r="318" spans="1:14" s="12" customFormat="1">
      <c r="A318" s="11">
        <v>1680</v>
      </c>
      <c r="B318" s="13" t="str">
        <f>VLOOKUP(A318,基础数据!A:B,2,FALSE)</f>
        <v>大丰</v>
      </c>
      <c r="C318" s="10">
        <v>44098</v>
      </c>
      <c r="D318" s="9"/>
      <c r="E318" s="11">
        <v>4500071166</v>
      </c>
      <c r="F318" s="9"/>
      <c r="G318" s="11">
        <v>1120001948</v>
      </c>
      <c r="H318" s="9" t="s">
        <v>14</v>
      </c>
      <c r="I318" s="11">
        <v>6</v>
      </c>
      <c r="J318" s="11">
        <v>5418</v>
      </c>
      <c r="K318" s="11">
        <f>I318</f>
        <v>6</v>
      </c>
      <c r="L318" s="10">
        <v>44114</v>
      </c>
      <c r="M318" s="9" t="s">
        <v>1523</v>
      </c>
      <c r="N318" s="13" t="str">
        <f>VLOOKUP(H318,基础数据!G:H,2,FALSE)</f>
        <v>SR146Ⅰ后缘</v>
      </c>
    </row>
    <row r="319" spans="1:14" s="12" customFormat="1">
      <c r="A319" s="11">
        <v>1680</v>
      </c>
      <c r="B319" s="13" t="str">
        <f>VLOOKUP(A319,基础数据!A:B,2,FALSE)</f>
        <v>大丰</v>
      </c>
      <c r="C319" s="10">
        <v>44098</v>
      </c>
      <c r="D319" s="9"/>
      <c r="E319" s="11">
        <v>4500071166</v>
      </c>
      <c r="F319" s="9"/>
      <c r="G319" s="11">
        <v>1120001949</v>
      </c>
      <c r="H319" s="9" t="s">
        <v>13</v>
      </c>
      <c r="I319" s="11">
        <v>5</v>
      </c>
      <c r="J319" s="11">
        <v>26235</v>
      </c>
      <c r="K319" s="11">
        <f>I319</f>
        <v>5</v>
      </c>
      <c r="L319" s="10">
        <v>44114</v>
      </c>
      <c r="M319" s="9" t="s">
        <v>1518</v>
      </c>
      <c r="N319" s="13" t="str">
        <f>VLOOKUP(H319,基础数据!G:H,2,FALSE)</f>
        <v>SR146Ⅰ大梁</v>
      </c>
    </row>
    <row r="320" spans="1:14" s="12" customFormat="1">
      <c r="A320" s="11">
        <v>1680</v>
      </c>
      <c r="B320" s="13" t="str">
        <f>VLOOKUP(A320,基础数据!A:B,2,FALSE)</f>
        <v>大丰</v>
      </c>
      <c r="C320" s="10">
        <v>44098</v>
      </c>
      <c r="D320" s="9"/>
      <c r="E320" s="11">
        <v>4500071166</v>
      </c>
      <c r="F320" s="9"/>
      <c r="G320" s="11">
        <v>1120001035</v>
      </c>
      <c r="H320" s="9" t="s">
        <v>12</v>
      </c>
      <c r="I320" s="11"/>
      <c r="J320" s="11">
        <v>9510</v>
      </c>
      <c r="K320" s="11">
        <f>J320</f>
        <v>9510</v>
      </c>
      <c r="L320" s="10">
        <v>44114</v>
      </c>
      <c r="M320" s="9" t="s">
        <v>1525</v>
      </c>
      <c r="N320" s="13" t="str">
        <f>VLOOKUP(H320,基础数据!G:H,2,FALSE)</f>
        <v>TLX1250-2.54-100</v>
      </c>
    </row>
    <row r="321" spans="1:14" s="12" customFormat="1">
      <c r="A321" s="11">
        <v>1680</v>
      </c>
      <c r="B321" s="13" t="str">
        <f>VLOOKUP(A321,基础数据!A:B,2,FALSE)</f>
        <v>大丰</v>
      </c>
      <c r="C321" s="10">
        <v>44074</v>
      </c>
      <c r="D321" s="9"/>
      <c r="E321" s="11">
        <v>4500069040</v>
      </c>
      <c r="F321" s="9"/>
      <c r="G321" s="11">
        <v>1120002038</v>
      </c>
      <c r="H321" s="9" t="s">
        <v>54</v>
      </c>
      <c r="I321" s="11"/>
      <c r="J321" s="11">
        <f>10885-642-3210-3210</f>
        <v>3823</v>
      </c>
      <c r="K321" s="11">
        <f>J321</f>
        <v>3823</v>
      </c>
      <c r="L321" s="10">
        <v>44099</v>
      </c>
      <c r="M321" s="9" t="s">
        <v>1524</v>
      </c>
      <c r="N321" s="13" t="str">
        <f>VLOOKUP(H321,基础数据!G:H,2,FALSE)</f>
        <v>TTX1250(45)-2.54-100</v>
      </c>
    </row>
    <row r="322" spans="1:14" s="12" customFormat="1">
      <c r="A322" s="11">
        <v>1680</v>
      </c>
      <c r="B322" s="13" t="str">
        <f>VLOOKUP(A322,基础数据!A:B,2,FALSE)</f>
        <v>大丰</v>
      </c>
      <c r="C322" s="10">
        <v>44074</v>
      </c>
      <c r="D322" s="9"/>
      <c r="E322" s="11">
        <v>4500069040</v>
      </c>
      <c r="F322" s="9"/>
      <c r="G322" s="11">
        <v>1120000149</v>
      </c>
      <c r="H322" s="9" t="s">
        <v>9</v>
      </c>
      <c r="I322" s="11"/>
      <c r="J322" s="11">
        <f>115800-10640-6080-9120-4560-3040-4560-7600-4560-7600-3040-10640-3040-7600-9120-7600-13680</f>
        <v>3320</v>
      </c>
      <c r="K322" s="11">
        <f>J322</f>
        <v>3320</v>
      </c>
      <c r="L322" s="10">
        <v>44099</v>
      </c>
      <c r="M322" s="9" t="s">
        <v>1526</v>
      </c>
      <c r="N322" s="13" t="str">
        <f>VLOOKUP(H322,基础数据!G:H,2,FALSE)</f>
        <v>TTX1500H-2.54-100</v>
      </c>
    </row>
    <row r="323" spans="1:14" s="12" customFormat="1">
      <c r="A323" s="11">
        <v>1680</v>
      </c>
      <c r="B323" s="13" t="str">
        <f>VLOOKUP(A323,基础数据!A:B,2,FALSE)</f>
        <v>大丰</v>
      </c>
      <c r="C323" s="10">
        <v>44098</v>
      </c>
      <c r="D323" s="9"/>
      <c r="E323" s="11">
        <v>4500071166</v>
      </c>
      <c r="F323" s="9"/>
      <c r="G323" s="11">
        <v>1120001948</v>
      </c>
      <c r="H323" s="9" t="s">
        <v>14</v>
      </c>
      <c r="I323" s="11">
        <v>4</v>
      </c>
      <c r="J323" s="11">
        <v>3612</v>
      </c>
      <c r="K323" s="11">
        <f>I323</f>
        <v>4</v>
      </c>
      <c r="L323" s="10">
        <v>44114</v>
      </c>
      <c r="M323" s="9" t="s">
        <v>1532</v>
      </c>
      <c r="N323" s="13" t="str">
        <f>VLOOKUP(H323,基础数据!G:H,2,FALSE)</f>
        <v>SR146Ⅰ后缘</v>
      </c>
    </row>
    <row r="324" spans="1:14" s="12" customFormat="1">
      <c r="A324" s="11">
        <v>1680</v>
      </c>
      <c r="B324" s="13" t="str">
        <f>VLOOKUP(A324,基础数据!A:B,2,FALSE)</f>
        <v>大丰</v>
      </c>
      <c r="C324" s="10">
        <v>44098</v>
      </c>
      <c r="D324" s="9"/>
      <c r="E324" s="11">
        <v>4500071166</v>
      </c>
      <c r="F324" s="9"/>
      <c r="G324" s="11">
        <v>1120001949</v>
      </c>
      <c r="H324" s="9" t="s">
        <v>13</v>
      </c>
      <c r="I324" s="11">
        <v>4</v>
      </c>
      <c r="J324" s="11">
        <v>20988</v>
      </c>
      <c r="K324" s="11">
        <f>I324</f>
        <v>4</v>
      </c>
      <c r="L324" s="10">
        <v>44114</v>
      </c>
      <c r="M324" s="9" t="s">
        <v>1533</v>
      </c>
      <c r="N324" s="13" t="str">
        <f>VLOOKUP(H324,基础数据!G:H,2,FALSE)</f>
        <v>SR146Ⅰ大梁</v>
      </c>
    </row>
    <row r="325" spans="1:14" s="12" customFormat="1">
      <c r="A325" s="11">
        <v>1680</v>
      </c>
      <c r="B325" s="13" t="str">
        <f>VLOOKUP(A325,基础数据!A:B,2,FALSE)</f>
        <v>大丰</v>
      </c>
      <c r="C325" s="10">
        <v>44132</v>
      </c>
      <c r="D325" s="9"/>
      <c r="E325" s="11">
        <v>4500073000</v>
      </c>
      <c r="F325" s="9"/>
      <c r="G325" s="11">
        <v>1120000149</v>
      </c>
      <c r="H325" s="9" t="s">
        <v>9</v>
      </c>
      <c r="I325" s="11"/>
      <c r="J325" s="11">
        <v>3040</v>
      </c>
      <c r="K325" s="11">
        <f>J325</f>
        <v>3040</v>
      </c>
      <c r="L325" s="10">
        <v>44099</v>
      </c>
      <c r="M325" s="9" t="s">
        <v>1534</v>
      </c>
      <c r="N325" s="13" t="str">
        <f>VLOOKUP(H325,基础数据!G:H,2,FALSE)</f>
        <v>TTX1500H-2.54-100</v>
      </c>
    </row>
    <row r="326" spans="1:14" s="12" customFormat="1">
      <c r="A326" s="11">
        <v>1680</v>
      </c>
      <c r="B326" s="13" t="str">
        <f>VLOOKUP(A326,基础数据!A:B,2,FALSE)</f>
        <v>大丰</v>
      </c>
      <c r="C326" s="10">
        <v>44098</v>
      </c>
      <c r="D326" s="9"/>
      <c r="E326" s="11">
        <v>4500071166</v>
      </c>
      <c r="F326" s="9"/>
      <c r="G326" s="11">
        <v>1120001949</v>
      </c>
      <c r="H326" s="9" t="s">
        <v>13</v>
      </c>
      <c r="I326" s="11">
        <v>2</v>
      </c>
      <c r="J326" s="11">
        <v>10494</v>
      </c>
      <c r="K326" s="11">
        <f t="shared" ref="K326:K332" si="3">I326</f>
        <v>2</v>
      </c>
      <c r="L326" s="10">
        <v>44114</v>
      </c>
      <c r="M326" s="9" t="s">
        <v>1546</v>
      </c>
      <c r="N326" s="13" t="str">
        <f>VLOOKUP(H326,基础数据!G:H,2,FALSE)</f>
        <v>SR146Ⅰ大梁</v>
      </c>
    </row>
    <row r="327" spans="1:14" s="12" customFormat="1">
      <c r="A327" s="11">
        <v>1680</v>
      </c>
      <c r="B327" s="13" t="str">
        <f>VLOOKUP(A327,基础数据!A:B,2,FALSE)</f>
        <v>大丰</v>
      </c>
      <c r="C327" s="10">
        <v>44098</v>
      </c>
      <c r="D327" s="9"/>
      <c r="E327" s="11">
        <v>4500071166</v>
      </c>
      <c r="F327" s="9"/>
      <c r="G327" s="11">
        <v>1120001948</v>
      </c>
      <c r="H327" s="9" t="s">
        <v>14</v>
      </c>
      <c r="I327" s="11">
        <v>11</v>
      </c>
      <c r="J327" s="11">
        <v>9933</v>
      </c>
      <c r="K327" s="11">
        <f t="shared" si="3"/>
        <v>11</v>
      </c>
      <c r="L327" s="10">
        <v>44114</v>
      </c>
      <c r="M327" s="9" t="s">
        <v>1547</v>
      </c>
      <c r="N327" s="13" t="str">
        <f>VLOOKUP(H327,基础数据!G:H,2,FALSE)</f>
        <v>SR146Ⅰ后缘</v>
      </c>
    </row>
    <row r="328" spans="1:14" s="12" customFormat="1">
      <c r="A328" s="11">
        <v>1680</v>
      </c>
      <c r="B328" s="13" t="str">
        <f>VLOOKUP(A328,基础数据!A:B,2,FALSE)</f>
        <v>大丰</v>
      </c>
      <c r="C328" s="10">
        <v>44069</v>
      </c>
      <c r="D328" s="9"/>
      <c r="E328" s="9">
        <v>4500067597</v>
      </c>
      <c r="F328" s="9"/>
      <c r="G328" s="11">
        <v>1120001194</v>
      </c>
      <c r="H328" s="9" t="s">
        <v>16</v>
      </c>
      <c r="I328" s="11">
        <v>5</v>
      </c>
      <c r="J328" s="11">
        <v>6405</v>
      </c>
      <c r="K328" s="11">
        <f t="shared" si="3"/>
        <v>5</v>
      </c>
      <c r="L328" s="10">
        <v>44069</v>
      </c>
      <c r="M328" s="9" t="s">
        <v>1548</v>
      </c>
      <c r="N328" s="13" t="str">
        <f>VLOOKUP(H328,基础数据!G:H,2,FALSE)</f>
        <v>WB171I后缘</v>
      </c>
    </row>
    <row r="329" spans="1:14" s="12" customFormat="1">
      <c r="A329" s="11">
        <v>1680</v>
      </c>
      <c r="B329" s="13" t="str">
        <f>VLOOKUP(A329,基础数据!A:B,2,FALSE)</f>
        <v>大丰</v>
      </c>
      <c r="C329" s="10">
        <v>44098</v>
      </c>
      <c r="D329" s="9"/>
      <c r="E329" s="11">
        <v>4500071166</v>
      </c>
      <c r="F329" s="9"/>
      <c r="G329" s="11">
        <v>1120001949</v>
      </c>
      <c r="H329" s="9" t="s">
        <v>13</v>
      </c>
      <c r="I329" s="11">
        <v>2</v>
      </c>
      <c r="J329" s="11">
        <v>10494</v>
      </c>
      <c r="K329" s="11">
        <f t="shared" si="3"/>
        <v>2</v>
      </c>
      <c r="L329" s="10">
        <v>44114</v>
      </c>
      <c r="M329" s="9" t="s">
        <v>1550</v>
      </c>
      <c r="N329" s="13" t="str">
        <f>VLOOKUP(H329,基础数据!G:H,2,FALSE)</f>
        <v>SR146Ⅰ大梁</v>
      </c>
    </row>
    <row r="330" spans="1:14" s="12" customFormat="1">
      <c r="A330" s="11">
        <v>1680</v>
      </c>
      <c r="B330" s="13" t="str">
        <f>VLOOKUP(A330,基础数据!A:B,2,FALSE)</f>
        <v>大丰</v>
      </c>
      <c r="C330" s="10">
        <v>44098</v>
      </c>
      <c r="D330" s="9"/>
      <c r="E330" s="11">
        <v>4500071166</v>
      </c>
      <c r="F330" s="9"/>
      <c r="G330" s="11">
        <v>1120001949</v>
      </c>
      <c r="H330" s="9" t="s">
        <v>13</v>
      </c>
      <c r="I330" s="11">
        <f>1+6</f>
        <v>7</v>
      </c>
      <c r="J330" s="11">
        <v>20780</v>
      </c>
      <c r="K330" s="11">
        <f t="shared" si="3"/>
        <v>7</v>
      </c>
      <c r="L330" s="10">
        <v>44114</v>
      </c>
      <c r="M330" s="9" t="s">
        <v>1570</v>
      </c>
      <c r="N330" s="13" t="str">
        <f>VLOOKUP(H330,基础数据!G:H,2,FALSE)</f>
        <v>SR146Ⅰ大梁</v>
      </c>
    </row>
    <row r="331" spans="1:14" s="12" customFormat="1">
      <c r="A331" s="11">
        <v>1680</v>
      </c>
      <c r="B331" s="13" t="str">
        <f>VLOOKUP(A331,基础数据!A:B,2,FALSE)</f>
        <v>大丰</v>
      </c>
      <c r="C331" s="10">
        <v>44098</v>
      </c>
      <c r="D331" s="9"/>
      <c r="E331" s="11">
        <v>4500071166</v>
      </c>
      <c r="F331" s="9"/>
      <c r="G331" s="11">
        <v>1120001949</v>
      </c>
      <c r="H331" s="9" t="s">
        <v>13</v>
      </c>
      <c r="I331" s="11">
        <v>2</v>
      </c>
      <c r="J331" s="11">
        <v>15806</v>
      </c>
      <c r="K331" s="11">
        <f t="shared" si="3"/>
        <v>2</v>
      </c>
      <c r="L331" s="10">
        <v>44114</v>
      </c>
      <c r="M331" s="9" t="s">
        <v>1576</v>
      </c>
      <c r="N331" s="13" t="str">
        <f>VLOOKUP(H331,基础数据!G:H,2,FALSE)</f>
        <v>SR146Ⅰ大梁</v>
      </c>
    </row>
    <row r="332" spans="1:14" s="12" customFormat="1">
      <c r="A332" s="11">
        <v>1680</v>
      </c>
      <c r="B332" s="13" t="str">
        <f>VLOOKUP(A332,基础数据!A:B,2,FALSE)</f>
        <v>大丰</v>
      </c>
      <c r="C332" s="10">
        <v>44098</v>
      </c>
      <c r="D332" s="9"/>
      <c r="E332" s="11">
        <v>4500071166</v>
      </c>
      <c r="F332" s="9"/>
      <c r="G332" s="11">
        <v>1120001948</v>
      </c>
      <c r="H332" s="9" t="s">
        <v>14</v>
      </c>
      <c r="I332" s="11">
        <v>5</v>
      </c>
      <c r="J332" s="11">
        <v>4515</v>
      </c>
      <c r="K332" s="11">
        <f t="shared" si="3"/>
        <v>5</v>
      </c>
      <c r="L332" s="10">
        <v>44114</v>
      </c>
      <c r="M332" s="9" t="s">
        <v>1577</v>
      </c>
      <c r="N332" s="13" t="str">
        <f>VLOOKUP(H332,基础数据!G:H,2,FALSE)</f>
        <v>SR146Ⅰ后缘</v>
      </c>
    </row>
    <row r="333" spans="1:14" s="12" customFormat="1">
      <c r="A333" s="9">
        <v>1680</v>
      </c>
      <c r="B333" s="13" t="str">
        <f>VLOOKUP(A333,基础数据!A:B,2,FALSE)</f>
        <v>大丰</v>
      </c>
      <c r="C333" s="10">
        <v>44137</v>
      </c>
      <c r="D333" s="9"/>
      <c r="E333" s="9">
        <v>4500072356</v>
      </c>
      <c r="F333" s="9"/>
      <c r="G333" s="11">
        <v>1120001035</v>
      </c>
      <c r="H333" s="9" t="s">
        <v>12</v>
      </c>
      <c r="I333" s="11"/>
      <c r="J333" s="11">
        <v>9510</v>
      </c>
      <c r="K333" s="11">
        <f>J333</f>
        <v>9510</v>
      </c>
      <c r="L333" s="10">
        <v>44141</v>
      </c>
      <c r="M333" s="9" t="s">
        <v>1582</v>
      </c>
      <c r="N333" s="13" t="str">
        <f>VLOOKUP(H333,基础数据!G:H,2,FALSE)</f>
        <v>TLX1250-2.54-100</v>
      </c>
    </row>
    <row r="334" spans="1:14" s="12" customFormat="1">
      <c r="A334" s="9">
        <v>1680</v>
      </c>
      <c r="B334" s="13" t="str">
        <f>VLOOKUP(A334,基础数据!A:B,2,FALSE)</f>
        <v>大丰</v>
      </c>
      <c r="C334" s="10">
        <v>44137</v>
      </c>
      <c r="D334" s="9"/>
      <c r="E334" s="9">
        <v>4500072356</v>
      </c>
      <c r="F334" s="9"/>
      <c r="G334" s="11">
        <v>1120000149</v>
      </c>
      <c r="H334" s="9" t="s">
        <v>9</v>
      </c>
      <c r="I334" s="11"/>
      <c r="J334" s="11">
        <v>13680</v>
      </c>
      <c r="K334" s="11">
        <f>J334</f>
        <v>13680</v>
      </c>
      <c r="L334" s="10">
        <v>44141</v>
      </c>
      <c r="M334" s="9" t="s">
        <v>1583</v>
      </c>
      <c r="N334" s="13" t="str">
        <f>VLOOKUP(H334,基础数据!G:H,2,FALSE)</f>
        <v>TTX1500H-2.54-100</v>
      </c>
    </row>
    <row r="335" spans="1:14" s="12" customFormat="1">
      <c r="A335" s="11">
        <v>1680</v>
      </c>
      <c r="B335" s="13" t="str">
        <f>VLOOKUP(A335,基础数据!A:B,2,FALSE)</f>
        <v>大丰</v>
      </c>
      <c r="C335" s="10">
        <v>44098</v>
      </c>
      <c r="D335" s="9"/>
      <c r="E335" s="11">
        <v>4500071166</v>
      </c>
      <c r="F335" s="9"/>
      <c r="G335" s="11">
        <v>1120001949</v>
      </c>
      <c r="H335" s="9" t="s">
        <v>13</v>
      </c>
      <c r="I335" s="11">
        <v>0</v>
      </c>
      <c r="J335" s="11">
        <v>10628</v>
      </c>
      <c r="K335" s="11">
        <f>I335</f>
        <v>0</v>
      </c>
      <c r="L335" s="10">
        <v>44114</v>
      </c>
      <c r="M335" s="9" t="s">
        <v>1584</v>
      </c>
      <c r="N335" s="13" t="str">
        <f>VLOOKUP(H335,基础数据!G:H,2,FALSE)</f>
        <v>SR146Ⅰ大梁</v>
      </c>
    </row>
    <row r="336" spans="1:14" s="12" customFormat="1">
      <c r="A336" s="11">
        <v>1680</v>
      </c>
      <c r="B336" s="13" t="str">
        <f>VLOOKUP(A336,基础数据!A:B,2,FALSE)</f>
        <v>大丰</v>
      </c>
      <c r="C336" s="10">
        <v>44098</v>
      </c>
      <c r="D336" s="9"/>
      <c r="E336" s="11">
        <v>4500071166</v>
      </c>
      <c r="F336" s="9"/>
      <c r="G336" s="11">
        <v>1120001948</v>
      </c>
      <c r="H336" s="9" t="s">
        <v>14</v>
      </c>
      <c r="I336" s="11">
        <v>5</v>
      </c>
      <c r="J336" s="11">
        <v>4515</v>
      </c>
      <c r="K336" s="11">
        <f>I336</f>
        <v>5</v>
      </c>
      <c r="L336" s="10">
        <v>44114</v>
      </c>
      <c r="M336" s="9" t="s">
        <v>1585</v>
      </c>
      <c r="N336" s="13" t="str">
        <f>VLOOKUP(H336,基础数据!G:H,2,FALSE)</f>
        <v>SR146Ⅰ后缘</v>
      </c>
    </row>
    <row r="337" spans="1:14" s="12" customFormat="1">
      <c r="A337" s="9">
        <v>1680</v>
      </c>
      <c r="B337" s="13" t="str">
        <f>VLOOKUP(A337,基础数据!A:B,2,FALSE)</f>
        <v>大丰</v>
      </c>
      <c r="C337" s="10">
        <v>44137</v>
      </c>
      <c r="D337" s="9"/>
      <c r="E337" s="9">
        <v>4500072356</v>
      </c>
      <c r="F337" s="9"/>
      <c r="G337" s="11">
        <v>1120000149</v>
      </c>
      <c r="H337" s="9" t="s">
        <v>9</v>
      </c>
      <c r="I337" s="11"/>
      <c r="J337" s="11">
        <v>10640</v>
      </c>
      <c r="K337" s="11">
        <f>J337</f>
        <v>10640</v>
      </c>
      <c r="L337" s="10">
        <v>44141</v>
      </c>
      <c r="M337" s="9" t="s">
        <v>1589</v>
      </c>
      <c r="N337" s="13" t="str">
        <f>VLOOKUP(H337,基础数据!G:H,2,FALSE)</f>
        <v>TTX1500H-2.54-100</v>
      </c>
    </row>
    <row r="338" spans="1:14" s="12" customFormat="1">
      <c r="A338" s="9">
        <v>1680</v>
      </c>
      <c r="B338" s="13" t="str">
        <f>VLOOKUP(A338,基础数据!A:B,2,FALSE)</f>
        <v>大丰</v>
      </c>
      <c r="C338" s="10">
        <v>44137</v>
      </c>
      <c r="D338" s="9"/>
      <c r="E338" s="9">
        <v>4500072356</v>
      </c>
      <c r="F338" s="9"/>
      <c r="G338" s="11">
        <v>1120001035</v>
      </c>
      <c r="H338" s="9" t="s">
        <v>12</v>
      </c>
      <c r="I338" s="11"/>
      <c r="J338" s="11">
        <f>14288-9510</f>
        <v>4778</v>
      </c>
      <c r="K338" s="11">
        <f>J338</f>
        <v>4778</v>
      </c>
      <c r="L338" s="10">
        <v>44141</v>
      </c>
      <c r="M338" s="9" t="s">
        <v>1590</v>
      </c>
      <c r="N338" s="13" t="str">
        <f>VLOOKUP(H338,基础数据!G:H,2,FALSE)</f>
        <v>TLX1250-2.54-100</v>
      </c>
    </row>
    <row r="339" spans="1:14" s="12" customFormat="1">
      <c r="A339" s="9">
        <v>1680</v>
      </c>
      <c r="B339" s="13" t="str">
        <f>VLOOKUP(A339,基础数据!A:B,2,FALSE)</f>
        <v>大丰</v>
      </c>
      <c r="C339" s="10">
        <v>44137</v>
      </c>
      <c r="D339" s="9"/>
      <c r="E339" s="9">
        <v>4500072356</v>
      </c>
      <c r="F339" s="9"/>
      <c r="G339" s="11">
        <v>1120000149</v>
      </c>
      <c r="H339" s="9" t="s">
        <v>9</v>
      </c>
      <c r="I339" s="11"/>
      <c r="J339" s="11">
        <f>27813-13680-10640</f>
        <v>3493</v>
      </c>
      <c r="K339" s="11">
        <f>J339</f>
        <v>3493</v>
      </c>
      <c r="L339" s="10">
        <v>44141</v>
      </c>
      <c r="M339" s="9" t="s">
        <v>1598</v>
      </c>
      <c r="N339" s="13" t="str">
        <f>VLOOKUP(H339,基础数据!G:H,2,FALSE)</f>
        <v>TTX1500H-2.54-100</v>
      </c>
    </row>
    <row r="340" spans="1:14" s="12" customFormat="1">
      <c r="A340" s="11">
        <v>1680</v>
      </c>
      <c r="B340" s="13" t="str">
        <f>VLOOKUP(A340,基础数据!A:B,2,FALSE)</f>
        <v>大丰</v>
      </c>
      <c r="C340" s="10">
        <v>44137</v>
      </c>
      <c r="D340" s="9"/>
      <c r="E340" s="9">
        <v>4500073344</v>
      </c>
      <c r="F340" s="9"/>
      <c r="G340" s="11">
        <v>1120000149</v>
      </c>
      <c r="H340" s="9" t="s">
        <v>9</v>
      </c>
      <c r="I340" s="11"/>
      <c r="J340" s="11">
        <v>2667</v>
      </c>
      <c r="K340" s="11">
        <f>J340</f>
        <v>2667</v>
      </c>
      <c r="L340" s="10">
        <v>44160</v>
      </c>
      <c r="M340" s="9" t="s">
        <v>1599</v>
      </c>
      <c r="N340" s="13" t="str">
        <f>VLOOKUP(H340,基础数据!G:H,2,FALSE)</f>
        <v>TTX1500H-2.54-100</v>
      </c>
    </row>
    <row r="341" spans="1:14" s="12" customFormat="1">
      <c r="A341" s="11">
        <v>1680</v>
      </c>
      <c r="B341" s="13" t="str">
        <f>VLOOKUP(A341,基础数据!A:B,2,FALSE)</f>
        <v>大丰</v>
      </c>
      <c r="C341" s="10">
        <v>44137</v>
      </c>
      <c r="D341" s="9"/>
      <c r="E341" s="9">
        <v>4500073344</v>
      </c>
      <c r="F341" s="9"/>
      <c r="G341" s="11">
        <v>1120001035</v>
      </c>
      <c r="H341" s="9" t="s">
        <v>12</v>
      </c>
      <c r="I341" s="11"/>
      <c r="J341" s="11">
        <v>1270</v>
      </c>
      <c r="K341" s="11">
        <f>J341</f>
        <v>1270</v>
      </c>
      <c r="L341" s="10">
        <v>44160</v>
      </c>
      <c r="M341" s="9" t="s">
        <v>1597</v>
      </c>
      <c r="N341" s="13" t="str">
        <f>VLOOKUP(H341,基础数据!G:H,2,FALSE)</f>
        <v>TLX1250-2.54-100</v>
      </c>
    </row>
    <row r="342" spans="1:14" s="12" customFormat="1">
      <c r="A342" s="11">
        <v>1680</v>
      </c>
      <c r="B342" s="13" t="str">
        <f>VLOOKUP(A342,基础数据!A:B,2,FALSE)</f>
        <v>大丰</v>
      </c>
      <c r="C342" s="10">
        <v>44098</v>
      </c>
      <c r="D342" s="9"/>
      <c r="E342" s="11">
        <v>4500071166</v>
      </c>
      <c r="F342" s="9"/>
      <c r="G342" s="11">
        <v>1120001949</v>
      </c>
      <c r="H342" s="9" t="s">
        <v>13</v>
      </c>
      <c r="I342" s="11">
        <v>4</v>
      </c>
      <c r="J342" s="11">
        <v>20984</v>
      </c>
      <c r="K342" s="11">
        <f>I342</f>
        <v>4</v>
      </c>
      <c r="L342" s="10">
        <v>44114</v>
      </c>
      <c r="M342" s="9" t="s">
        <v>1596</v>
      </c>
      <c r="N342" s="13" t="str">
        <f>VLOOKUP(H342,基础数据!G:H,2,FALSE)</f>
        <v>SR146Ⅰ大梁</v>
      </c>
    </row>
    <row r="343" spans="1:14" s="12" customFormat="1">
      <c r="A343" s="11">
        <v>1680</v>
      </c>
      <c r="B343" s="13" t="str">
        <f>VLOOKUP(A343,基础数据!A:B,2,FALSE)</f>
        <v>大丰</v>
      </c>
      <c r="C343" s="10">
        <v>44098</v>
      </c>
      <c r="D343" s="9"/>
      <c r="E343" s="11">
        <v>4500071166</v>
      </c>
      <c r="F343" s="9"/>
      <c r="G343" s="11">
        <v>1120001948</v>
      </c>
      <c r="H343" s="9" t="s">
        <v>14</v>
      </c>
      <c r="I343" s="11">
        <f>50-6-2-5-2-2-6-1-4-11-5-5</f>
        <v>1</v>
      </c>
      <c r="J343" s="11">
        <f>46300-5418-1806-4515-1806-1806-5418-903-3612-9933-4515-4515</f>
        <v>2053</v>
      </c>
      <c r="K343" s="11">
        <f>I343</f>
        <v>1</v>
      </c>
      <c r="L343" s="10">
        <v>44114</v>
      </c>
      <c r="M343" s="9" t="s">
        <v>1605</v>
      </c>
      <c r="N343" s="13" t="str">
        <f>VLOOKUP(H343,基础数据!G:H,2,FALSE)</f>
        <v>SR146Ⅰ后缘</v>
      </c>
    </row>
    <row r="344" spans="1:14" s="12" customFormat="1">
      <c r="A344" s="11">
        <v>1680</v>
      </c>
      <c r="B344" s="13" t="str">
        <f>VLOOKUP(A344,基础数据!A:B,2,FALSE)</f>
        <v>大丰</v>
      </c>
      <c r="C344" s="10">
        <v>44098</v>
      </c>
      <c r="D344" s="9"/>
      <c r="E344" s="11">
        <v>4500071166</v>
      </c>
      <c r="F344" s="9"/>
      <c r="G344" s="11">
        <v>1120001949</v>
      </c>
      <c r="H344" s="9" t="s">
        <v>13</v>
      </c>
      <c r="I344" s="11">
        <f>50-2-2-2-2-2-4-2-2-2-2-2-5+1-4-2-2-1-6-2-4</f>
        <v>1</v>
      </c>
      <c r="J344" s="11">
        <f>263100-10494-10494-10494-10494-10494-20988-10494-10494-10494-10494-10494-26235+5247-20988-10494-10494-20780-15806-10628-20984</f>
        <v>6010</v>
      </c>
      <c r="K344" s="11">
        <f>I344</f>
        <v>1</v>
      </c>
      <c r="L344" s="10">
        <v>44114</v>
      </c>
      <c r="M344" s="9" t="s">
        <v>1606</v>
      </c>
      <c r="N344" s="13" t="str">
        <f>VLOOKUP(H344,基础数据!G:H,2,FALSE)</f>
        <v>SR146Ⅰ大梁</v>
      </c>
    </row>
    <row r="345" spans="1:14" s="12" customFormat="1">
      <c r="A345" s="11">
        <v>1680</v>
      </c>
      <c r="B345" s="13" t="str">
        <f>VLOOKUP(A345,基础数据!A:B,2,FALSE)</f>
        <v>大丰</v>
      </c>
      <c r="C345" s="10">
        <v>44098</v>
      </c>
      <c r="D345" s="9"/>
      <c r="E345" s="11">
        <v>4500071166</v>
      </c>
      <c r="F345" s="9"/>
      <c r="G345" s="11">
        <v>1120001035</v>
      </c>
      <c r="H345" s="9" t="s">
        <v>12</v>
      </c>
      <c r="I345" s="11"/>
      <c r="J345" s="11">
        <v>4755</v>
      </c>
      <c r="K345" s="11">
        <f>J345</f>
        <v>4755</v>
      </c>
      <c r="L345" s="10">
        <v>44114</v>
      </c>
      <c r="M345" s="9" t="s">
        <v>1613</v>
      </c>
      <c r="N345" s="13" t="str">
        <f>VLOOKUP(H345,基础数据!G:H,2,FALSE)</f>
        <v>TLX1250-2.54-100</v>
      </c>
    </row>
    <row r="346" spans="1:14" s="12" customFormat="1">
      <c r="A346" s="11">
        <v>1680</v>
      </c>
      <c r="B346" s="13" t="str">
        <f>VLOOKUP(A346,基础数据!A:B,2,FALSE)</f>
        <v>大丰</v>
      </c>
      <c r="C346" s="10">
        <v>44069</v>
      </c>
      <c r="D346" s="9"/>
      <c r="E346" s="9">
        <v>4500067597</v>
      </c>
      <c r="F346" s="9"/>
      <c r="G346" s="11">
        <v>1120001194</v>
      </c>
      <c r="H346" s="9" t="s">
        <v>16</v>
      </c>
      <c r="I346" s="11">
        <v>5</v>
      </c>
      <c r="J346" s="11">
        <v>6405</v>
      </c>
      <c r="K346" s="11">
        <f t="shared" ref="K346:K353" si="4">I346</f>
        <v>5</v>
      </c>
      <c r="L346" s="10">
        <v>44069</v>
      </c>
      <c r="M346" s="9" t="s">
        <v>1619</v>
      </c>
      <c r="N346" s="13" t="str">
        <f>VLOOKUP(H346,基础数据!G:H,2,FALSE)</f>
        <v>WB171I后缘</v>
      </c>
    </row>
    <row r="347" spans="1:14" s="12" customFormat="1">
      <c r="A347" s="11">
        <v>1680</v>
      </c>
      <c r="B347" s="13" t="str">
        <f>VLOOKUP(A347,基础数据!A:B,2,FALSE)</f>
        <v>大丰</v>
      </c>
      <c r="C347" s="10">
        <v>44069</v>
      </c>
      <c r="D347" s="9"/>
      <c r="E347" s="9">
        <v>4500067613</v>
      </c>
      <c r="F347" s="9"/>
      <c r="G347" s="11">
        <v>1120002747</v>
      </c>
      <c r="H347" s="9" t="s">
        <v>289</v>
      </c>
      <c r="I347" s="11">
        <v>2</v>
      </c>
      <c r="J347" s="11">
        <v>1172</v>
      </c>
      <c r="K347" s="11">
        <f t="shared" si="4"/>
        <v>2</v>
      </c>
      <c r="L347" s="10">
        <v>44069</v>
      </c>
      <c r="M347" s="9" t="s">
        <v>1620</v>
      </c>
      <c r="N347" s="13" t="str">
        <f>VLOOKUP(H347,基础数据!G:H,2,FALSE)</f>
        <v>SR146Ⅱ后缘</v>
      </c>
    </row>
    <row r="348" spans="1:14" s="12" customFormat="1">
      <c r="A348" s="11">
        <v>1680</v>
      </c>
      <c r="B348" s="13" t="str">
        <f>VLOOKUP(A348,基础数据!A:B,2,FALSE)</f>
        <v>大丰</v>
      </c>
      <c r="C348" s="10">
        <v>44069</v>
      </c>
      <c r="D348" s="9"/>
      <c r="E348" s="9">
        <v>4500067613</v>
      </c>
      <c r="F348" s="9"/>
      <c r="G348" s="11">
        <v>1120002746</v>
      </c>
      <c r="H348" s="9" t="s">
        <v>288</v>
      </c>
      <c r="I348" s="11">
        <v>1</v>
      </c>
      <c r="J348" s="11">
        <v>3504</v>
      </c>
      <c r="K348" s="11">
        <f t="shared" si="4"/>
        <v>1</v>
      </c>
      <c r="L348" s="10">
        <v>44069</v>
      </c>
      <c r="M348" s="9" t="s">
        <v>1621</v>
      </c>
      <c r="N348" s="13" t="str">
        <f>VLOOKUP(H348,基础数据!G:H,2,FALSE)</f>
        <v>SR146Ⅱ大梁</v>
      </c>
    </row>
    <row r="349" spans="1:14" s="12" customFormat="1">
      <c r="A349" s="11">
        <v>1680</v>
      </c>
      <c r="B349" s="13" t="str">
        <f>VLOOKUP(A349,基础数据!A:B,2,FALSE)</f>
        <v>大丰</v>
      </c>
      <c r="C349" s="10">
        <v>44139</v>
      </c>
      <c r="D349" s="9"/>
      <c r="E349" s="11">
        <v>4500073425</v>
      </c>
      <c r="F349" s="9"/>
      <c r="G349" s="11">
        <v>1120001949</v>
      </c>
      <c r="H349" s="9" t="s">
        <v>13</v>
      </c>
      <c r="I349" s="11">
        <v>0.5</v>
      </c>
      <c r="J349" s="11">
        <v>2657</v>
      </c>
      <c r="K349" s="11">
        <f t="shared" si="4"/>
        <v>0.5</v>
      </c>
      <c r="L349" s="10">
        <v>44139</v>
      </c>
      <c r="M349" s="9" t="s">
        <v>1641</v>
      </c>
      <c r="N349" s="13" t="str">
        <f>VLOOKUP(H349,基础数据!G:H,2,FALSE)</f>
        <v>SR146Ⅰ大梁</v>
      </c>
    </row>
    <row r="350" spans="1:14" s="12" customFormat="1">
      <c r="A350" s="11">
        <v>1680</v>
      </c>
      <c r="B350" s="13" t="str">
        <f>VLOOKUP(A350,基础数据!A:B,2,FALSE)</f>
        <v>大丰</v>
      </c>
      <c r="C350" s="10">
        <v>44069</v>
      </c>
      <c r="D350" s="9"/>
      <c r="E350" s="9">
        <v>4500067613</v>
      </c>
      <c r="F350" s="9"/>
      <c r="G350" s="11">
        <v>1120002746</v>
      </c>
      <c r="H350" s="9" t="s">
        <v>288</v>
      </c>
      <c r="I350" s="11">
        <v>3</v>
      </c>
      <c r="J350" s="11">
        <v>10512</v>
      </c>
      <c r="K350" s="11">
        <f t="shared" si="4"/>
        <v>3</v>
      </c>
      <c r="L350" s="10">
        <v>44069</v>
      </c>
      <c r="M350" s="9" t="s">
        <v>1642</v>
      </c>
      <c r="N350" s="13" t="str">
        <f>VLOOKUP(H350,基础数据!G:H,2,FALSE)</f>
        <v>SR146Ⅱ大梁</v>
      </c>
    </row>
    <row r="351" spans="1:14" s="12" customFormat="1">
      <c r="A351" s="11">
        <v>1680</v>
      </c>
      <c r="B351" s="13" t="str">
        <f>VLOOKUP(A351,基础数据!A:B,2,FALSE)</f>
        <v>大丰</v>
      </c>
      <c r="C351" s="10">
        <v>44069</v>
      </c>
      <c r="D351" s="9"/>
      <c r="E351" s="9">
        <v>4500067613</v>
      </c>
      <c r="F351" s="9"/>
      <c r="G351" s="11">
        <v>1120002747</v>
      </c>
      <c r="H351" s="9" t="s">
        <v>289</v>
      </c>
      <c r="I351" s="11">
        <v>4</v>
      </c>
      <c r="J351" s="11">
        <v>2344</v>
      </c>
      <c r="K351" s="11">
        <f t="shared" si="4"/>
        <v>4</v>
      </c>
      <c r="L351" s="10">
        <v>44069</v>
      </c>
      <c r="M351" s="9" t="s">
        <v>1643</v>
      </c>
      <c r="N351" s="13" t="str">
        <f>VLOOKUP(H351,基础数据!G:H,2,FALSE)</f>
        <v>SR146Ⅱ后缘</v>
      </c>
    </row>
    <row r="352" spans="1:14" s="12" customFormat="1">
      <c r="A352" s="11">
        <v>1680</v>
      </c>
      <c r="B352" s="13" t="str">
        <f>VLOOKUP(A352,基础数据!A:B,2,FALSE)</f>
        <v>大丰</v>
      </c>
      <c r="C352" s="10">
        <v>44069</v>
      </c>
      <c r="D352" s="9"/>
      <c r="E352" s="9">
        <v>4500067613</v>
      </c>
      <c r="F352" s="9"/>
      <c r="G352" s="11">
        <v>1120002746</v>
      </c>
      <c r="H352" s="9" t="s">
        <v>288</v>
      </c>
      <c r="I352" s="11">
        <v>3</v>
      </c>
      <c r="J352" s="11">
        <v>10512</v>
      </c>
      <c r="K352" s="11">
        <f t="shared" si="4"/>
        <v>3</v>
      </c>
      <c r="L352" s="10">
        <v>44069</v>
      </c>
      <c r="M352" s="9" t="s">
        <v>1654</v>
      </c>
      <c r="N352" s="13" t="str">
        <f>VLOOKUP(H352,基础数据!G:H,2,FALSE)</f>
        <v>SR146Ⅱ大梁</v>
      </c>
    </row>
    <row r="353" spans="1:14" s="12" customFormat="1">
      <c r="A353" s="11">
        <v>1680</v>
      </c>
      <c r="B353" s="13" t="str">
        <f>VLOOKUP(A353,基础数据!A:B,2,FALSE)</f>
        <v>大丰</v>
      </c>
      <c r="C353" s="10">
        <v>44069</v>
      </c>
      <c r="D353" s="9"/>
      <c r="E353" s="9">
        <v>4500067613</v>
      </c>
      <c r="F353" s="9"/>
      <c r="G353" s="11">
        <v>1120002747</v>
      </c>
      <c r="H353" s="9" t="s">
        <v>289</v>
      </c>
      <c r="I353" s="11">
        <v>9</v>
      </c>
      <c r="J353" s="11">
        <v>5274</v>
      </c>
      <c r="K353" s="11">
        <f t="shared" si="4"/>
        <v>9</v>
      </c>
      <c r="L353" s="10">
        <v>44069</v>
      </c>
      <c r="M353" s="9" t="s">
        <v>1655</v>
      </c>
      <c r="N353" s="13" t="str">
        <f>VLOOKUP(H353,基础数据!G:H,2,FALSE)</f>
        <v>SR146Ⅱ后缘</v>
      </c>
    </row>
    <row r="354" spans="1:14" s="12" customFormat="1">
      <c r="A354" s="11">
        <v>1680</v>
      </c>
      <c r="B354" s="13" t="str">
        <f>VLOOKUP(A354,基础数据!A:B,2,FALSE)</f>
        <v>大丰</v>
      </c>
      <c r="C354" s="10">
        <v>44141</v>
      </c>
      <c r="D354" s="9"/>
      <c r="E354" s="11">
        <v>4500073568</v>
      </c>
      <c r="F354" s="9"/>
      <c r="G354" s="11">
        <v>1120002038</v>
      </c>
      <c r="H354" s="9" t="s">
        <v>54</v>
      </c>
      <c r="I354" s="11"/>
      <c r="J354" s="11">
        <v>2568</v>
      </c>
      <c r="K354" s="11">
        <f t="shared" ref="K354:K359" si="5">J354</f>
        <v>2568</v>
      </c>
      <c r="L354" s="10">
        <v>44147</v>
      </c>
      <c r="M354" s="9" t="s">
        <v>1656</v>
      </c>
      <c r="N354" s="13" t="str">
        <f>VLOOKUP(H354,基础数据!G:H,2,FALSE)</f>
        <v>TTX1250(45)-2.54-100</v>
      </c>
    </row>
    <row r="355" spans="1:14" s="12" customFormat="1">
      <c r="A355" s="11">
        <v>1680</v>
      </c>
      <c r="B355" s="13" t="str">
        <f>VLOOKUP(A355,基础数据!A:B,2,FALSE)</f>
        <v>大丰</v>
      </c>
      <c r="C355" s="10">
        <v>44098</v>
      </c>
      <c r="D355" s="9"/>
      <c r="E355" s="11">
        <v>4500071166</v>
      </c>
      <c r="F355" s="9"/>
      <c r="G355" s="11">
        <v>1120001035</v>
      </c>
      <c r="H355" s="9" t="s">
        <v>12</v>
      </c>
      <c r="I355" s="11"/>
      <c r="J355" s="11">
        <f>57720-4755-6335-9510-9510-9510-9510-4755</f>
        <v>3835</v>
      </c>
      <c r="K355" s="11">
        <f t="shared" si="5"/>
        <v>3835</v>
      </c>
      <c r="L355" s="10">
        <v>44114</v>
      </c>
      <c r="M355" s="9" t="s">
        <v>1657</v>
      </c>
      <c r="N355" s="13" t="str">
        <f>VLOOKUP(H355,基础数据!G:H,2,FALSE)</f>
        <v>TLX1250-2.54-100</v>
      </c>
    </row>
    <row r="356" spans="1:14" s="12" customFormat="1">
      <c r="A356" s="11">
        <v>1680</v>
      </c>
      <c r="B356" s="13" t="str">
        <f>VLOOKUP(A356,基础数据!A:B,2,FALSE)</f>
        <v>大丰</v>
      </c>
      <c r="C356" s="10">
        <v>44141</v>
      </c>
      <c r="D356" s="9"/>
      <c r="E356" s="11">
        <v>4500073568</v>
      </c>
      <c r="F356" s="9"/>
      <c r="G356" s="11">
        <v>1120001035</v>
      </c>
      <c r="H356" s="9" t="s">
        <v>12</v>
      </c>
      <c r="I356" s="11"/>
      <c r="J356" s="11">
        <v>5675</v>
      </c>
      <c r="K356" s="11">
        <f t="shared" si="5"/>
        <v>5675</v>
      </c>
      <c r="L356" s="10">
        <v>44147</v>
      </c>
      <c r="M356" s="9" t="s">
        <v>1658</v>
      </c>
      <c r="N356" s="13" t="str">
        <f>VLOOKUP(H356,基础数据!G:H,2,FALSE)</f>
        <v>TLX1250-2.54-100</v>
      </c>
    </row>
    <row r="357" spans="1:14" s="12" customFormat="1">
      <c r="A357" s="11">
        <v>1680</v>
      </c>
      <c r="B357" s="13" t="str">
        <f>VLOOKUP(A357,基础数据!A:B,2,FALSE)</f>
        <v>大丰</v>
      </c>
      <c r="C357" s="10">
        <v>44141</v>
      </c>
      <c r="D357" s="9"/>
      <c r="E357" s="11">
        <v>4500073568</v>
      </c>
      <c r="F357" s="9"/>
      <c r="G357" s="11">
        <v>1120001035</v>
      </c>
      <c r="H357" s="9" t="s">
        <v>12</v>
      </c>
      <c r="I357" s="11"/>
      <c r="J357" s="11">
        <v>4755</v>
      </c>
      <c r="K357" s="11">
        <f t="shared" si="5"/>
        <v>4755</v>
      </c>
      <c r="L357" s="10">
        <v>44147</v>
      </c>
      <c r="M357" s="9" t="s">
        <v>1671</v>
      </c>
      <c r="N357" s="13" t="str">
        <f>VLOOKUP(H357,基础数据!G:H,2,FALSE)</f>
        <v>TLX1250-2.54-100</v>
      </c>
    </row>
    <row r="358" spans="1:14" s="12" customFormat="1">
      <c r="A358" s="11">
        <v>1680</v>
      </c>
      <c r="B358" s="13" t="str">
        <f>VLOOKUP(A358,基础数据!A:B,2,FALSE)</f>
        <v>大丰</v>
      </c>
      <c r="C358" s="10">
        <v>44069</v>
      </c>
      <c r="D358" s="9"/>
      <c r="E358" s="9">
        <v>4500067614</v>
      </c>
      <c r="F358" s="9"/>
      <c r="G358" s="11">
        <v>1120000142</v>
      </c>
      <c r="H358" s="9" t="s">
        <v>11</v>
      </c>
      <c r="I358" s="11"/>
      <c r="J358" s="11">
        <v>9630</v>
      </c>
      <c r="K358" s="11">
        <f t="shared" si="5"/>
        <v>9630</v>
      </c>
      <c r="L358" s="10">
        <v>44069</v>
      </c>
      <c r="M358" s="9" t="s">
        <v>1672</v>
      </c>
      <c r="N358" s="13" t="str">
        <f>VLOOKUP(H358,基础数据!G:H,2,FALSE)</f>
        <v>TTX1250(60)-2.54-100</v>
      </c>
    </row>
    <row r="359" spans="1:14" s="12" customFormat="1">
      <c r="A359" s="11">
        <v>1680</v>
      </c>
      <c r="B359" s="13" t="str">
        <f>VLOOKUP(A359,基础数据!A:B,2,FALSE)</f>
        <v>大丰</v>
      </c>
      <c r="C359" s="10">
        <v>44141</v>
      </c>
      <c r="D359" s="9"/>
      <c r="E359" s="11">
        <v>4500073568</v>
      </c>
      <c r="F359" s="9"/>
      <c r="G359" s="11">
        <v>1120002038</v>
      </c>
      <c r="H359" s="9" t="s">
        <v>54</v>
      </c>
      <c r="I359" s="11"/>
      <c r="J359" s="11">
        <v>3210</v>
      </c>
      <c r="K359" s="11">
        <f t="shared" si="5"/>
        <v>3210</v>
      </c>
      <c r="L359" s="10">
        <v>44147</v>
      </c>
      <c r="M359" s="9" t="s">
        <v>1679</v>
      </c>
      <c r="N359" s="13" t="str">
        <f>VLOOKUP(H359,基础数据!G:H,2,FALSE)</f>
        <v>TTX1250(45)-2.54-100</v>
      </c>
    </row>
    <row r="360" spans="1:14" s="12" customFormat="1">
      <c r="A360" s="11">
        <v>1680</v>
      </c>
      <c r="B360" s="13" t="str">
        <f>VLOOKUP(A360,基础数据!A:B,2,FALSE)</f>
        <v>大丰</v>
      </c>
      <c r="C360" s="10">
        <v>44069</v>
      </c>
      <c r="D360" s="9"/>
      <c r="E360" s="9">
        <v>4500067613</v>
      </c>
      <c r="F360" s="9"/>
      <c r="G360" s="11">
        <v>1120002746</v>
      </c>
      <c r="H360" s="9" t="s">
        <v>288</v>
      </c>
      <c r="I360" s="11">
        <v>1</v>
      </c>
      <c r="J360" s="11">
        <v>3504</v>
      </c>
      <c r="K360" s="11">
        <f>I360</f>
        <v>1</v>
      </c>
      <c r="L360" s="10">
        <v>44069</v>
      </c>
      <c r="M360" s="9" t="s">
        <v>1681</v>
      </c>
      <c r="N360" s="13" t="str">
        <f>VLOOKUP(H360,基础数据!G:H,2,FALSE)</f>
        <v>SR146Ⅱ大梁</v>
      </c>
    </row>
    <row r="361" spans="1:14" s="12" customFormat="1">
      <c r="A361" s="11">
        <v>1680</v>
      </c>
      <c r="B361" s="13" t="str">
        <f>VLOOKUP(A361,基础数据!A:B,2,FALSE)</f>
        <v>大丰</v>
      </c>
      <c r="C361" s="10">
        <v>44069</v>
      </c>
      <c r="D361" s="9"/>
      <c r="E361" s="9">
        <v>4500067614</v>
      </c>
      <c r="F361" s="9"/>
      <c r="G361" s="11">
        <v>1120000142</v>
      </c>
      <c r="H361" s="9" t="s">
        <v>11</v>
      </c>
      <c r="I361" s="11"/>
      <c r="J361" s="11">
        <v>6420</v>
      </c>
      <c r="K361" s="11">
        <f>J361</f>
        <v>6420</v>
      </c>
      <c r="L361" s="10">
        <v>44069</v>
      </c>
      <c r="M361" s="9" t="s">
        <v>1680</v>
      </c>
      <c r="N361" s="13" t="str">
        <f>VLOOKUP(H361,基础数据!G:H,2,FALSE)</f>
        <v>TTX1250(60)-2.54-100</v>
      </c>
    </row>
    <row r="362" spans="1:14" s="12" customFormat="1">
      <c r="A362" s="11">
        <v>1680</v>
      </c>
      <c r="B362" s="13" t="str">
        <f>VLOOKUP(A362,基础数据!A:B,2,FALSE)</f>
        <v>大丰</v>
      </c>
      <c r="C362" s="10">
        <v>44146</v>
      </c>
      <c r="D362" s="9"/>
      <c r="E362" s="11">
        <v>4500073818</v>
      </c>
      <c r="F362" s="9"/>
      <c r="G362" s="11">
        <v>1120001949</v>
      </c>
      <c r="H362" s="9" t="s">
        <v>13</v>
      </c>
      <c r="I362" s="11">
        <v>0.5</v>
      </c>
      <c r="J362" s="66">
        <v>2589</v>
      </c>
      <c r="K362" s="11">
        <f>I362</f>
        <v>0.5</v>
      </c>
      <c r="L362" s="10">
        <v>44149</v>
      </c>
      <c r="M362" s="9" t="s">
        <v>1687</v>
      </c>
      <c r="N362" s="13" t="str">
        <f>VLOOKUP(H362,基础数据!G:H,2,FALSE)</f>
        <v>SR146Ⅰ大梁</v>
      </c>
    </row>
    <row r="363" spans="1:14" s="12" customFormat="1">
      <c r="A363" s="11">
        <v>1680</v>
      </c>
      <c r="B363" s="13" t="str">
        <f>VLOOKUP(A363,基础数据!A:B,2,FALSE)</f>
        <v>大丰</v>
      </c>
      <c r="C363" s="10">
        <v>44141</v>
      </c>
      <c r="D363" s="9"/>
      <c r="E363" s="11">
        <v>4500073568</v>
      </c>
      <c r="F363" s="9"/>
      <c r="G363" s="11">
        <v>1120001035</v>
      </c>
      <c r="H363" s="9" t="s">
        <v>12</v>
      </c>
      <c r="I363" s="11"/>
      <c r="J363" s="11">
        <v>3170</v>
      </c>
      <c r="K363" s="11">
        <f>J363</f>
        <v>3170</v>
      </c>
      <c r="L363" s="10">
        <v>44147</v>
      </c>
      <c r="M363" s="9" t="s">
        <v>1689</v>
      </c>
      <c r="N363" s="13" t="str">
        <f>VLOOKUP(H363,基础数据!G:H,2,FALSE)</f>
        <v>TLX1250-2.54-100</v>
      </c>
    </row>
    <row r="364" spans="1:14" s="12" customFormat="1">
      <c r="A364" s="11">
        <v>1680</v>
      </c>
      <c r="B364" s="13" t="str">
        <f>VLOOKUP(A364,基础数据!A:B,2,FALSE)</f>
        <v>大丰</v>
      </c>
      <c r="C364" s="10">
        <v>44069</v>
      </c>
      <c r="D364" s="9"/>
      <c r="E364" s="9">
        <v>4500067614</v>
      </c>
      <c r="F364" s="9"/>
      <c r="G364" s="11">
        <v>1120000142</v>
      </c>
      <c r="H364" s="9" t="s">
        <v>11</v>
      </c>
      <c r="I364" s="11"/>
      <c r="J364" s="11">
        <v>4815</v>
      </c>
      <c r="K364" s="11">
        <f>J364</f>
        <v>4815</v>
      </c>
      <c r="L364" s="10">
        <v>44069</v>
      </c>
      <c r="M364" s="9" t="s">
        <v>1688</v>
      </c>
      <c r="N364" s="13" t="str">
        <f>VLOOKUP(H364,基础数据!G:H,2,FALSE)</f>
        <v>TTX1250(60)-2.54-100</v>
      </c>
    </row>
    <row r="365" spans="1:14" s="12" customFormat="1">
      <c r="A365" s="11">
        <v>1680</v>
      </c>
      <c r="B365" s="13" t="str">
        <f>VLOOKUP(A365,基础数据!A:B,2,FALSE)</f>
        <v>大丰</v>
      </c>
      <c r="C365" s="10">
        <v>44141</v>
      </c>
      <c r="D365" s="9"/>
      <c r="E365" s="11">
        <v>4500073565</v>
      </c>
      <c r="F365" s="9"/>
      <c r="G365" s="11">
        <v>1120001194</v>
      </c>
      <c r="H365" s="9" t="s">
        <v>75</v>
      </c>
      <c r="I365" s="11">
        <v>7</v>
      </c>
      <c r="J365" s="11">
        <v>8967</v>
      </c>
      <c r="K365" s="11">
        <f>I365</f>
        <v>7</v>
      </c>
      <c r="L365" s="10">
        <v>44154</v>
      </c>
      <c r="M365" s="9" t="s">
        <v>1696</v>
      </c>
      <c r="N365" s="13" t="str">
        <f>VLOOKUP(H365,基础数据!G:H,2,FALSE)</f>
        <v>WB171I后缘</v>
      </c>
    </row>
    <row r="366" spans="1:14" s="12" customFormat="1">
      <c r="A366" s="11">
        <v>1680</v>
      </c>
      <c r="B366" s="13" t="str">
        <f>VLOOKUP(A366,基础数据!A:B,2,FALSE)</f>
        <v>大丰</v>
      </c>
      <c r="C366" s="10">
        <v>44127</v>
      </c>
      <c r="D366" s="9"/>
      <c r="E366" s="11">
        <v>4500072694</v>
      </c>
      <c r="F366" s="9"/>
      <c r="G366" s="11">
        <v>1120002325</v>
      </c>
      <c r="H366" s="9" t="s">
        <v>1470</v>
      </c>
      <c r="I366" s="11">
        <v>2</v>
      </c>
      <c r="J366" s="11">
        <v>3118</v>
      </c>
      <c r="K366" s="11">
        <f>I366</f>
        <v>2</v>
      </c>
      <c r="L366" s="10">
        <v>44141</v>
      </c>
      <c r="M366" s="9" t="s">
        <v>1697</v>
      </c>
      <c r="N366" s="13" t="str">
        <f>VLOOKUP(H366,基础数据!G:H,2,FALSE)</f>
        <v>SR152Ⅲ后缘</v>
      </c>
    </row>
    <row r="367" spans="1:14" s="12" customFormat="1">
      <c r="A367" s="11">
        <v>1680</v>
      </c>
      <c r="B367" s="13" t="str">
        <f>VLOOKUP(A367,基础数据!A:B,2,FALSE)</f>
        <v>大丰</v>
      </c>
      <c r="C367" s="10">
        <v>44127</v>
      </c>
      <c r="D367" s="9"/>
      <c r="E367" s="11">
        <v>4500072694</v>
      </c>
      <c r="F367" s="9"/>
      <c r="G367" s="11">
        <v>1120002326</v>
      </c>
      <c r="H367" s="9" t="s">
        <v>1471</v>
      </c>
      <c r="I367" s="11">
        <v>2</v>
      </c>
      <c r="J367" s="11">
        <v>15120</v>
      </c>
      <c r="K367" s="11">
        <f>I367</f>
        <v>2</v>
      </c>
      <c r="L367" s="10">
        <v>44141</v>
      </c>
      <c r="M367" s="9" t="s">
        <v>1697</v>
      </c>
      <c r="N367" s="13" t="str">
        <f>VLOOKUP(H367,基础数据!G:H,2,FALSE)</f>
        <v>SR152Ⅲ大梁</v>
      </c>
    </row>
    <row r="368" spans="1:14" s="12" customFormat="1">
      <c r="A368" s="11">
        <v>1680</v>
      </c>
      <c r="B368" s="13" t="str">
        <f>VLOOKUP(A368,基础数据!A:B,2,FALSE)</f>
        <v>大丰</v>
      </c>
      <c r="C368" s="10">
        <v>44069</v>
      </c>
      <c r="D368" s="9"/>
      <c r="E368" s="9">
        <v>4500067614</v>
      </c>
      <c r="F368" s="9"/>
      <c r="G368" s="11">
        <v>1120000142</v>
      </c>
      <c r="H368" s="9" t="s">
        <v>11</v>
      </c>
      <c r="I368" s="11"/>
      <c r="J368" s="11">
        <v>1605</v>
      </c>
      <c r="K368" s="11">
        <f t="shared" ref="K368:K374" si="6">J368</f>
        <v>1605</v>
      </c>
      <c r="L368" s="10">
        <v>44069</v>
      </c>
      <c r="M368" s="9" t="s">
        <v>1698</v>
      </c>
      <c r="N368" s="13" t="str">
        <f>VLOOKUP(H368,基础数据!G:H,2,FALSE)</f>
        <v>TTX1250(60)-2.54-100</v>
      </c>
    </row>
    <row r="369" spans="1:14" s="12" customFormat="1">
      <c r="A369" s="11">
        <v>1680</v>
      </c>
      <c r="B369" s="13" t="str">
        <f>VLOOKUP(A369,基础数据!A:B,2,FALSE)</f>
        <v>大丰</v>
      </c>
      <c r="C369" s="10">
        <v>44141</v>
      </c>
      <c r="D369" s="9"/>
      <c r="E369" s="11">
        <v>4500073568</v>
      </c>
      <c r="F369" s="9"/>
      <c r="G369" s="11">
        <v>1120001035</v>
      </c>
      <c r="H369" s="9" t="s">
        <v>12</v>
      </c>
      <c r="I369" s="11"/>
      <c r="J369" s="11">
        <v>1585</v>
      </c>
      <c r="K369" s="11">
        <f t="shared" si="6"/>
        <v>1585</v>
      </c>
      <c r="L369" s="10">
        <v>44147</v>
      </c>
      <c r="M369" s="9" t="s">
        <v>1699</v>
      </c>
      <c r="N369" s="13" t="str">
        <f>VLOOKUP(H369,基础数据!G:H,2,FALSE)</f>
        <v>TLX1250-2.54-100</v>
      </c>
    </row>
    <row r="370" spans="1:14" s="12" customFormat="1">
      <c r="A370" s="11">
        <v>1680</v>
      </c>
      <c r="B370" s="13" t="str">
        <f>VLOOKUP(A370,基础数据!A:B,2,FALSE)</f>
        <v>大丰</v>
      </c>
      <c r="C370" s="10">
        <v>44141</v>
      </c>
      <c r="D370" s="9"/>
      <c r="E370" s="11">
        <v>4500073568</v>
      </c>
      <c r="F370" s="9"/>
      <c r="G370" s="11">
        <v>1120001035</v>
      </c>
      <c r="H370" s="9" t="s">
        <v>12</v>
      </c>
      <c r="I370" s="11"/>
      <c r="J370" s="11">
        <v>1590</v>
      </c>
      <c r="K370" s="11">
        <f t="shared" si="6"/>
        <v>1590</v>
      </c>
      <c r="L370" s="10">
        <v>44147</v>
      </c>
      <c r="M370" s="9" t="s">
        <v>1706</v>
      </c>
      <c r="N370" s="13" t="str">
        <f>VLOOKUP(H370,基础数据!G:H,2,FALSE)</f>
        <v>TLX1250-2.54-100</v>
      </c>
    </row>
    <row r="371" spans="1:14" s="12" customFormat="1">
      <c r="A371" s="11">
        <v>1680</v>
      </c>
      <c r="B371" s="13" t="str">
        <f>VLOOKUP(A371,基础数据!A:B,2,FALSE)</f>
        <v>大丰</v>
      </c>
      <c r="C371" s="10">
        <v>44069</v>
      </c>
      <c r="D371" s="9"/>
      <c r="E371" s="9">
        <v>4500067614</v>
      </c>
      <c r="F371" s="9"/>
      <c r="G371" s="11">
        <v>1120000142</v>
      </c>
      <c r="H371" s="9" t="s">
        <v>11</v>
      </c>
      <c r="I371" s="11"/>
      <c r="J371" s="11">
        <f>48426-10439-3210-1605-6420-3210-9630-6420-4815-1605</f>
        <v>1072</v>
      </c>
      <c r="K371" s="11">
        <f t="shared" si="6"/>
        <v>1072</v>
      </c>
      <c r="L371" s="10">
        <v>44069</v>
      </c>
      <c r="M371" s="9" t="s">
        <v>1698</v>
      </c>
      <c r="N371" s="13" t="str">
        <f>VLOOKUP(H371,基础数据!G:H,2,FALSE)</f>
        <v>TTX1250(60)-2.54-100</v>
      </c>
    </row>
    <row r="372" spans="1:14" s="12" customFormat="1">
      <c r="A372" s="11">
        <v>1680</v>
      </c>
      <c r="B372" s="13" t="str">
        <f>VLOOKUP(A372,基础数据!A:B,2,FALSE)</f>
        <v>大丰</v>
      </c>
      <c r="C372" s="10">
        <v>44116</v>
      </c>
      <c r="D372" s="9"/>
      <c r="E372" s="11">
        <v>4500071981</v>
      </c>
      <c r="F372" s="9"/>
      <c r="G372" s="11">
        <v>1120000142</v>
      </c>
      <c r="H372" s="9" t="s">
        <v>11</v>
      </c>
      <c r="I372" s="11"/>
      <c r="J372" s="11">
        <v>5348</v>
      </c>
      <c r="K372" s="11">
        <f t="shared" si="6"/>
        <v>5348</v>
      </c>
      <c r="L372" s="10">
        <v>44132</v>
      </c>
      <c r="M372" s="9" t="s">
        <v>1707</v>
      </c>
      <c r="N372" s="13" t="str">
        <f>VLOOKUP(H372,基础数据!G:H,2,FALSE)</f>
        <v>TTX1250(60)-2.54-100</v>
      </c>
    </row>
    <row r="373" spans="1:14" s="23" customFormat="1">
      <c r="A373" s="22">
        <v>1680</v>
      </c>
      <c r="B373" s="7" t="str">
        <f>VLOOKUP(A373,基础数据!A:B,2,FALSE)</f>
        <v>大丰</v>
      </c>
      <c r="C373" s="21">
        <v>44116</v>
      </c>
      <c r="D373" s="20"/>
      <c r="E373" s="22">
        <v>4500071981</v>
      </c>
      <c r="F373" s="20"/>
      <c r="G373" s="22">
        <v>1120000142</v>
      </c>
      <c r="H373" s="20" t="s">
        <v>11</v>
      </c>
      <c r="I373" s="22"/>
      <c r="J373" s="22">
        <v>7052</v>
      </c>
      <c r="K373" s="22">
        <f t="shared" si="6"/>
        <v>7052</v>
      </c>
      <c r="L373" s="21">
        <v>44132</v>
      </c>
      <c r="M373" s="20" t="s">
        <v>1715</v>
      </c>
      <c r="N373" s="7" t="str">
        <f>VLOOKUP(H373,基础数据!G:H,2,FALSE)</f>
        <v>TTX1250(60)-2.54-100</v>
      </c>
    </row>
    <row r="374" spans="1:14" s="12" customFormat="1">
      <c r="A374" s="11">
        <v>1680</v>
      </c>
      <c r="B374" s="13" t="str">
        <f>VLOOKUP(A374,基础数据!A:B,2,FALSE)</f>
        <v>大丰</v>
      </c>
      <c r="C374" s="10">
        <v>44141</v>
      </c>
      <c r="D374" s="9"/>
      <c r="E374" s="11">
        <v>4500073568</v>
      </c>
      <c r="F374" s="9"/>
      <c r="G374" s="11">
        <v>1120001035</v>
      </c>
      <c r="H374" s="9" t="s">
        <v>12</v>
      </c>
      <c r="I374" s="11"/>
      <c r="J374" s="11">
        <v>4770</v>
      </c>
      <c r="K374" s="11">
        <f t="shared" si="6"/>
        <v>4770</v>
      </c>
      <c r="L374" s="10">
        <v>44147</v>
      </c>
      <c r="M374" s="9" t="s">
        <v>1716</v>
      </c>
      <c r="N374" s="13" t="str">
        <f>VLOOKUP(H374,基础数据!G:H,2,FALSE)</f>
        <v>TLX1250-2.54-100</v>
      </c>
    </row>
    <row r="375" spans="1:14" s="12" customFormat="1">
      <c r="A375" s="11">
        <v>1680</v>
      </c>
      <c r="B375" s="13" t="str">
        <f>VLOOKUP(A375,基础数据!A:B,2,FALSE)</f>
        <v>大丰</v>
      </c>
      <c r="C375" s="10">
        <v>44127</v>
      </c>
      <c r="D375" s="9"/>
      <c r="E375" s="11">
        <v>4500072694</v>
      </c>
      <c r="F375" s="9"/>
      <c r="G375" s="11">
        <v>1120002325</v>
      </c>
      <c r="H375" s="9" t="s">
        <v>1470</v>
      </c>
      <c r="I375" s="11">
        <v>2</v>
      </c>
      <c r="J375" s="11">
        <v>3118</v>
      </c>
      <c r="K375" s="11">
        <f>I375</f>
        <v>2</v>
      </c>
      <c r="L375" s="10">
        <v>44141</v>
      </c>
      <c r="M375" s="9" t="s">
        <v>1717</v>
      </c>
      <c r="N375" s="13" t="str">
        <f>VLOOKUP(H375,基础数据!G:H,2,FALSE)</f>
        <v>SR152Ⅲ后缘</v>
      </c>
    </row>
    <row r="376" spans="1:14" s="12" customFormat="1">
      <c r="A376" s="11">
        <v>1680</v>
      </c>
      <c r="B376" s="13" t="str">
        <f>VLOOKUP(A376,基础数据!A:B,2,FALSE)</f>
        <v>大丰</v>
      </c>
      <c r="C376" s="10">
        <v>44127</v>
      </c>
      <c r="D376" s="9"/>
      <c r="E376" s="11">
        <v>4500072694</v>
      </c>
      <c r="F376" s="9"/>
      <c r="G376" s="11">
        <v>1120002326</v>
      </c>
      <c r="H376" s="9" t="s">
        <v>1471</v>
      </c>
      <c r="I376" s="11">
        <v>2</v>
      </c>
      <c r="J376" s="11">
        <v>15120</v>
      </c>
      <c r="K376" s="11">
        <f>I376</f>
        <v>2</v>
      </c>
      <c r="L376" s="10">
        <v>44141</v>
      </c>
      <c r="M376" s="9" t="s">
        <v>1717</v>
      </c>
      <c r="N376" s="13" t="str">
        <f>VLOOKUP(H376,基础数据!G:H,2,FALSE)</f>
        <v>SR152Ⅲ大梁</v>
      </c>
    </row>
    <row r="377" spans="1:14" s="12" customFormat="1">
      <c r="A377" s="11">
        <v>1680</v>
      </c>
      <c r="B377" s="13" t="str">
        <f>VLOOKUP(A377,基础数据!A:B,2,FALSE)</f>
        <v>大丰</v>
      </c>
      <c r="C377" s="10">
        <v>44141</v>
      </c>
      <c r="D377" s="9"/>
      <c r="E377" s="11">
        <v>4500073568</v>
      </c>
      <c r="F377" s="9"/>
      <c r="G377" s="11">
        <v>1120001035</v>
      </c>
      <c r="H377" s="9" t="s">
        <v>12</v>
      </c>
      <c r="I377" s="11"/>
      <c r="J377" s="11">
        <v>6360</v>
      </c>
      <c r="K377" s="11">
        <f>J377</f>
        <v>6360</v>
      </c>
      <c r="L377" s="10">
        <v>44147</v>
      </c>
      <c r="M377" s="9" t="s">
        <v>1722</v>
      </c>
      <c r="N377" s="13" t="str">
        <f>VLOOKUP(H377,基础数据!G:H,2,FALSE)</f>
        <v>TLX1250-2.54-100</v>
      </c>
    </row>
    <row r="378" spans="1:14" s="12" customFormat="1">
      <c r="A378" s="11">
        <v>1680</v>
      </c>
      <c r="B378" s="13" t="str">
        <f>VLOOKUP(A378,基础数据!A:B,2,FALSE)</f>
        <v>大丰</v>
      </c>
      <c r="C378" s="10">
        <v>44141</v>
      </c>
      <c r="D378" s="9"/>
      <c r="E378" s="11">
        <v>4500073568</v>
      </c>
      <c r="F378" s="9"/>
      <c r="G378" s="11">
        <v>1120001035</v>
      </c>
      <c r="H378" s="9" t="s">
        <v>12</v>
      </c>
      <c r="I378" s="11"/>
      <c r="J378" s="11">
        <v>6360</v>
      </c>
      <c r="K378" s="11">
        <f>J378</f>
        <v>6360</v>
      </c>
      <c r="L378" s="10">
        <v>44147</v>
      </c>
      <c r="M378" s="9" t="s">
        <v>1726</v>
      </c>
      <c r="N378" s="13" t="str">
        <f>VLOOKUP(H378,基础数据!G:H,2,FALSE)</f>
        <v>TLX1250-2.54-100</v>
      </c>
    </row>
    <row r="379" spans="1:14" s="12" customFormat="1">
      <c r="A379" s="11">
        <v>1680</v>
      </c>
      <c r="B379" s="13" t="str">
        <f>VLOOKUP(A379,基础数据!A:B,2,FALSE)</f>
        <v>大丰</v>
      </c>
      <c r="C379" s="10">
        <v>44069</v>
      </c>
      <c r="D379" s="9"/>
      <c r="E379" s="9">
        <v>4500067613</v>
      </c>
      <c r="F379" s="9"/>
      <c r="G379" s="11">
        <v>1120002747</v>
      </c>
      <c r="H379" s="9" t="s">
        <v>289</v>
      </c>
      <c r="I379" s="11">
        <v>4</v>
      </c>
      <c r="J379" s="11">
        <v>2344</v>
      </c>
      <c r="K379" s="11">
        <f t="shared" ref="K379:K384" si="7">I379</f>
        <v>4</v>
      </c>
      <c r="L379" s="10">
        <v>44069</v>
      </c>
      <c r="M379" s="9" t="s">
        <v>1727</v>
      </c>
      <c r="N379" s="13" t="str">
        <f>VLOOKUP(H379,基础数据!G:H,2,FALSE)</f>
        <v>SR146Ⅱ后缘</v>
      </c>
    </row>
    <row r="380" spans="1:14" s="12" customFormat="1">
      <c r="A380" s="11">
        <v>1680</v>
      </c>
      <c r="B380" s="13" t="str">
        <f>VLOOKUP(A380,基础数据!A:B,2,FALSE)</f>
        <v>大丰</v>
      </c>
      <c r="C380" s="10">
        <v>44069</v>
      </c>
      <c r="D380" s="9"/>
      <c r="E380" s="9">
        <v>4500067613</v>
      </c>
      <c r="F380" s="9"/>
      <c r="G380" s="11">
        <v>1120002746</v>
      </c>
      <c r="H380" s="9" t="s">
        <v>288</v>
      </c>
      <c r="I380" s="11">
        <v>3</v>
      </c>
      <c r="J380" s="11">
        <v>10512</v>
      </c>
      <c r="K380" s="11">
        <f t="shared" si="7"/>
        <v>3</v>
      </c>
      <c r="L380" s="10">
        <v>44069</v>
      </c>
      <c r="M380" s="9" t="s">
        <v>1728</v>
      </c>
      <c r="N380" s="13" t="str">
        <f>VLOOKUP(H380,基础数据!G:H,2,FALSE)</f>
        <v>SR146Ⅱ大梁</v>
      </c>
    </row>
    <row r="381" spans="1:14" s="12" customFormat="1">
      <c r="A381" s="11">
        <v>1680</v>
      </c>
      <c r="B381" s="13" t="str">
        <f>VLOOKUP(A381,基础数据!A:B,2,FALSE)</f>
        <v>大丰</v>
      </c>
      <c r="C381" s="10">
        <v>44069</v>
      </c>
      <c r="D381" s="9"/>
      <c r="E381" s="9">
        <v>4500067613</v>
      </c>
      <c r="F381" s="9"/>
      <c r="G381" s="11">
        <v>1120002746</v>
      </c>
      <c r="H381" s="9" t="s">
        <v>288</v>
      </c>
      <c r="I381" s="11">
        <v>3</v>
      </c>
      <c r="J381" s="11">
        <v>10512</v>
      </c>
      <c r="K381" s="11">
        <f t="shared" si="7"/>
        <v>3</v>
      </c>
      <c r="L381" s="10">
        <v>44069</v>
      </c>
      <c r="M381" s="9" t="s">
        <v>1734</v>
      </c>
      <c r="N381" s="13" t="str">
        <f>VLOOKUP(H381,基础数据!G:H,2,FALSE)</f>
        <v>SR146Ⅱ大梁</v>
      </c>
    </row>
    <row r="382" spans="1:14" s="12" customFormat="1">
      <c r="A382" s="11">
        <v>1680</v>
      </c>
      <c r="B382" s="13" t="str">
        <f>VLOOKUP(A382,基础数据!A:B,2,FALSE)</f>
        <v>大丰</v>
      </c>
      <c r="C382" s="10">
        <v>44069</v>
      </c>
      <c r="D382" s="9"/>
      <c r="E382" s="9">
        <v>4500067613</v>
      </c>
      <c r="F382" s="9"/>
      <c r="G382" s="11">
        <v>1120002747</v>
      </c>
      <c r="H382" s="9" t="s">
        <v>289</v>
      </c>
      <c r="I382" s="11">
        <v>2</v>
      </c>
      <c r="J382" s="11">
        <v>1172</v>
      </c>
      <c r="K382" s="11">
        <f t="shared" si="7"/>
        <v>2</v>
      </c>
      <c r="L382" s="10">
        <v>44069</v>
      </c>
      <c r="M382" s="9" t="s">
        <v>1735</v>
      </c>
      <c r="N382" s="13" t="str">
        <f>VLOOKUP(H382,基础数据!G:H,2,FALSE)</f>
        <v>SR146Ⅱ后缘</v>
      </c>
    </row>
    <row r="383" spans="1:14" s="12" customFormat="1">
      <c r="A383" s="11">
        <v>1680</v>
      </c>
      <c r="B383" s="13" t="str">
        <f>VLOOKUP(A383,基础数据!A:B,2,FALSE)</f>
        <v>大丰</v>
      </c>
      <c r="C383" s="10">
        <v>44127</v>
      </c>
      <c r="D383" s="9"/>
      <c r="E383" s="11">
        <v>4500072694</v>
      </c>
      <c r="F383" s="9"/>
      <c r="G383" s="11">
        <v>1120002325</v>
      </c>
      <c r="H383" s="9" t="s">
        <v>1470</v>
      </c>
      <c r="I383" s="11">
        <v>1</v>
      </c>
      <c r="J383" s="11">
        <v>1519</v>
      </c>
      <c r="K383" s="11">
        <f t="shared" si="7"/>
        <v>1</v>
      </c>
      <c r="L383" s="10">
        <v>44141</v>
      </c>
      <c r="M383" s="9" t="s">
        <v>1736</v>
      </c>
      <c r="N383" s="13" t="str">
        <f>VLOOKUP(H383,基础数据!G:H,2,FALSE)</f>
        <v>SR152Ⅲ后缘</v>
      </c>
    </row>
    <row r="384" spans="1:14" s="12" customFormat="1">
      <c r="A384" s="11">
        <v>1680</v>
      </c>
      <c r="B384" s="13" t="str">
        <f>VLOOKUP(A384,基础数据!A:B,2,FALSE)</f>
        <v>大丰</v>
      </c>
      <c r="C384" s="10">
        <v>44127</v>
      </c>
      <c r="D384" s="9"/>
      <c r="E384" s="11">
        <v>4500072694</v>
      </c>
      <c r="F384" s="9"/>
      <c r="G384" s="11">
        <v>1120002326</v>
      </c>
      <c r="H384" s="9" t="s">
        <v>1471</v>
      </c>
      <c r="I384" s="11">
        <v>2</v>
      </c>
      <c r="J384" s="11">
        <v>15120</v>
      </c>
      <c r="K384" s="11">
        <f t="shared" si="7"/>
        <v>2</v>
      </c>
      <c r="L384" s="10">
        <v>44141</v>
      </c>
      <c r="M384" s="9" t="s">
        <v>1737</v>
      </c>
      <c r="N384" s="13" t="str">
        <f>VLOOKUP(H384,基础数据!G:H,2,FALSE)</f>
        <v>SR152Ⅲ大梁</v>
      </c>
    </row>
    <row r="385" spans="1:14" s="12" customFormat="1">
      <c r="A385" s="11">
        <v>1680</v>
      </c>
      <c r="B385" s="13" t="str">
        <f>VLOOKUP(A385,基础数据!A:B,2,FALSE)</f>
        <v>大丰</v>
      </c>
      <c r="C385" s="10">
        <v>44141</v>
      </c>
      <c r="D385" s="9"/>
      <c r="E385" s="11">
        <v>4500073568</v>
      </c>
      <c r="F385" s="9"/>
      <c r="G385" s="11">
        <v>1120001035</v>
      </c>
      <c r="H385" s="9" t="s">
        <v>12</v>
      </c>
      <c r="I385" s="11"/>
      <c r="J385" s="11">
        <v>4770</v>
      </c>
      <c r="K385" s="11">
        <f>J385</f>
        <v>4770</v>
      </c>
      <c r="L385" s="10">
        <v>44147</v>
      </c>
      <c r="M385" s="9" t="s">
        <v>1738</v>
      </c>
      <c r="N385" s="13" t="str">
        <f>VLOOKUP(H385,基础数据!G:H,2,FALSE)</f>
        <v>TLX1250-2.54-100</v>
      </c>
    </row>
    <row r="386" spans="1:14" s="12" customFormat="1">
      <c r="A386" s="11">
        <v>1680</v>
      </c>
      <c r="B386" s="13" t="str">
        <f>VLOOKUP(A386,基础数据!A:B,2,FALSE)</f>
        <v>大丰</v>
      </c>
      <c r="C386" s="10">
        <v>44069</v>
      </c>
      <c r="D386" s="9"/>
      <c r="E386" s="9">
        <v>4500067613</v>
      </c>
      <c r="F386" s="9"/>
      <c r="G386" s="11">
        <v>1120002746</v>
      </c>
      <c r="H386" s="9" t="s">
        <v>288</v>
      </c>
      <c r="I386" s="11">
        <v>4</v>
      </c>
      <c r="J386" s="11">
        <v>14016</v>
      </c>
      <c r="K386" s="11">
        <f t="shared" ref="K386:K396" si="8">I386</f>
        <v>4</v>
      </c>
      <c r="L386" s="10">
        <v>44069</v>
      </c>
      <c r="M386" s="9" t="s">
        <v>1742</v>
      </c>
      <c r="N386" s="13" t="str">
        <f>VLOOKUP(H386,基础数据!G:H,2,FALSE)</f>
        <v>SR146Ⅱ大梁</v>
      </c>
    </row>
    <row r="387" spans="1:14" s="12" customFormat="1">
      <c r="A387" s="11">
        <v>1680</v>
      </c>
      <c r="B387" s="13" t="str">
        <f>VLOOKUP(A387,基础数据!A:B,2,FALSE)</f>
        <v>大丰</v>
      </c>
      <c r="C387" s="10">
        <v>44069</v>
      </c>
      <c r="D387" s="9"/>
      <c r="E387" s="9">
        <v>4500067613</v>
      </c>
      <c r="F387" s="9"/>
      <c r="G387" s="11">
        <v>1120002747</v>
      </c>
      <c r="H387" s="9" t="s">
        <v>289</v>
      </c>
      <c r="I387" s="11">
        <v>5</v>
      </c>
      <c r="J387" s="11">
        <v>2930</v>
      </c>
      <c r="K387" s="11">
        <f t="shared" si="8"/>
        <v>5</v>
      </c>
      <c r="L387" s="10">
        <v>44069</v>
      </c>
      <c r="M387" s="9" t="s">
        <v>1743</v>
      </c>
      <c r="N387" s="13" t="str">
        <f>VLOOKUP(H387,基础数据!G:H,2,FALSE)</f>
        <v>SR146Ⅱ后缘</v>
      </c>
    </row>
    <row r="388" spans="1:14" s="12" customFormat="1">
      <c r="A388" s="11">
        <v>1680</v>
      </c>
      <c r="B388" s="13" t="str">
        <f>VLOOKUP(A388,基础数据!A:B,2,FALSE)</f>
        <v>大丰</v>
      </c>
      <c r="C388" s="10">
        <v>44127</v>
      </c>
      <c r="D388" s="9"/>
      <c r="E388" s="11">
        <v>4500072694</v>
      </c>
      <c r="F388" s="9"/>
      <c r="G388" s="11">
        <v>1120002325</v>
      </c>
      <c r="H388" s="9" t="s">
        <v>1470</v>
      </c>
      <c r="I388" s="11">
        <v>2</v>
      </c>
      <c r="J388" s="11">
        <v>3358</v>
      </c>
      <c r="K388" s="11">
        <f t="shared" si="8"/>
        <v>2</v>
      </c>
      <c r="L388" s="10">
        <v>44141</v>
      </c>
      <c r="M388" s="9" t="s">
        <v>1744</v>
      </c>
      <c r="N388" s="13" t="str">
        <f>VLOOKUP(H388,基础数据!G:H,2,FALSE)</f>
        <v>SR152Ⅲ后缘</v>
      </c>
    </row>
    <row r="389" spans="1:14" s="12" customFormat="1">
      <c r="A389" s="11">
        <v>1680</v>
      </c>
      <c r="B389" s="13" t="str">
        <f>VLOOKUP(A389,基础数据!A:B,2,FALSE)</f>
        <v>大丰</v>
      </c>
      <c r="C389" s="10">
        <v>44127</v>
      </c>
      <c r="D389" s="9"/>
      <c r="E389" s="11">
        <v>4500072694</v>
      </c>
      <c r="F389" s="9"/>
      <c r="G389" s="11">
        <v>1120002326</v>
      </c>
      <c r="H389" s="9" t="s">
        <v>1471</v>
      </c>
      <c r="I389" s="11">
        <v>1</v>
      </c>
      <c r="J389" s="11">
        <v>7560</v>
      </c>
      <c r="K389" s="11">
        <f t="shared" si="8"/>
        <v>1</v>
      </c>
      <c r="L389" s="10">
        <v>44141</v>
      </c>
      <c r="M389" s="9" t="s">
        <v>1745</v>
      </c>
      <c r="N389" s="13" t="str">
        <f>VLOOKUP(H389,基础数据!G:H,2,FALSE)</f>
        <v>SR152Ⅲ大梁</v>
      </c>
    </row>
    <row r="390" spans="1:14" s="12" customFormat="1">
      <c r="A390" s="11">
        <v>1680</v>
      </c>
      <c r="B390" s="13" t="str">
        <f>VLOOKUP(A390,基础数据!A:B,2,FALSE)</f>
        <v>大丰</v>
      </c>
      <c r="C390" s="10">
        <v>44127</v>
      </c>
      <c r="D390" s="9"/>
      <c r="E390" s="11">
        <v>4500072694</v>
      </c>
      <c r="F390" s="9"/>
      <c r="G390" s="11">
        <v>1120002325</v>
      </c>
      <c r="H390" s="9" t="s">
        <v>1470</v>
      </c>
      <c r="I390" s="11">
        <v>1</v>
      </c>
      <c r="J390" s="11">
        <v>1679</v>
      </c>
      <c r="K390" s="11">
        <f t="shared" si="8"/>
        <v>1</v>
      </c>
      <c r="L390" s="10">
        <v>44141</v>
      </c>
      <c r="M390" s="9" t="s">
        <v>1746</v>
      </c>
      <c r="N390" s="13" t="str">
        <f>VLOOKUP(H390,基础数据!G:H,2,FALSE)</f>
        <v>SR152Ⅲ后缘</v>
      </c>
    </row>
    <row r="391" spans="1:14" s="12" customFormat="1">
      <c r="A391" s="11">
        <v>1680</v>
      </c>
      <c r="B391" s="13" t="str">
        <f>VLOOKUP(A391,基础数据!A:B,2,FALSE)</f>
        <v>大丰</v>
      </c>
      <c r="C391" s="10">
        <v>44069</v>
      </c>
      <c r="D391" s="9"/>
      <c r="E391" s="9">
        <v>4500067613</v>
      </c>
      <c r="F391" s="9"/>
      <c r="G391" s="11">
        <v>1120002746</v>
      </c>
      <c r="H391" s="9" t="s">
        <v>288</v>
      </c>
      <c r="I391" s="11">
        <v>4</v>
      </c>
      <c r="J391" s="11">
        <v>14016</v>
      </c>
      <c r="K391" s="11">
        <f t="shared" si="8"/>
        <v>4</v>
      </c>
      <c r="L391" s="10">
        <v>44069</v>
      </c>
      <c r="M391" s="9" t="s">
        <v>1747</v>
      </c>
      <c r="N391" s="13" t="str">
        <f>VLOOKUP(H391,基础数据!G:H,2,FALSE)</f>
        <v>SR146Ⅱ大梁</v>
      </c>
    </row>
    <row r="392" spans="1:14" s="12" customFormat="1">
      <c r="A392" s="11">
        <v>1680</v>
      </c>
      <c r="B392" s="13" t="str">
        <f>VLOOKUP(A392,基础数据!A:B,2,FALSE)</f>
        <v>大丰</v>
      </c>
      <c r="C392" s="10">
        <v>44069</v>
      </c>
      <c r="D392" s="9"/>
      <c r="E392" s="9">
        <v>4500067613</v>
      </c>
      <c r="F392" s="9"/>
      <c r="G392" s="11">
        <v>1120002746</v>
      </c>
      <c r="H392" s="9" t="s">
        <v>288</v>
      </c>
      <c r="I392" s="11">
        <v>4</v>
      </c>
      <c r="J392" s="11">
        <v>14016</v>
      </c>
      <c r="K392" s="11">
        <f t="shared" si="8"/>
        <v>4</v>
      </c>
      <c r="L392" s="10">
        <v>44069</v>
      </c>
      <c r="M392" s="9" t="s">
        <v>1764</v>
      </c>
      <c r="N392" s="13" t="str">
        <f>VLOOKUP(H392,基础数据!G:H,2,FALSE)</f>
        <v>SR146Ⅱ大梁</v>
      </c>
    </row>
    <row r="393" spans="1:14" s="12" customFormat="1">
      <c r="A393" s="11">
        <v>1680</v>
      </c>
      <c r="B393" s="13" t="str">
        <f>VLOOKUP(A393,基础数据!A:B,2,FALSE)</f>
        <v>大丰</v>
      </c>
      <c r="C393" s="10">
        <v>44127</v>
      </c>
      <c r="D393" s="9"/>
      <c r="E393" s="11">
        <v>4500072694</v>
      </c>
      <c r="F393" s="9"/>
      <c r="G393" s="11">
        <v>1120002325</v>
      </c>
      <c r="H393" s="9" t="s">
        <v>1470</v>
      </c>
      <c r="I393" s="11">
        <v>1</v>
      </c>
      <c r="J393" s="11">
        <v>1679</v>
      </c>
      <c r="K393" s="11">
        <f t="shared" si="8"/>
        <v>1</v>
      </c>
      <c r="L393" s="10">
        <v>44141</v>
      </c>
      <c r="M393" s="9" t="s">
        <v>1765</v>
      </c>
      <c r="N393" s="13" t="str">
        <f>VLOOKUP(H393,基础数据!G:H,2,FALSE)</f>
        <v>SR152Ⅲ后缘</v>
      </c>
    </row>
    <row r="394" spans="1:14" s="12" customFormat="1">
      <c r="A394" s="11">
        <v>1680</v>
      </c>
      <c r="B394" s="13" t="str">
        <f>VLOOKUP(A394,基础数据!A:B,2,FALSE)</f>
        <v>大丰</v>
      </c>
      <c r="C394" s="10">
        <v>44127</v>
      </c>
      <c r="D394" s="9"/>
      <c r="E394" s="11">
        <v>4500072694</v>
      </c>
      <c r="F394" s="9"/>
      <c r="G394" s="11">
        <v>1120002326</v>
      </c>
      <c r="H394" s="9" t="s">
        <v>1471</v>
      </c>
      <c r="I394" s="11">
        <v>1</v>
      </c>
      <c r="J394" s="11">
        <v>7560</v>
      </c>
      <c r="K394" s="11">
        <f t="shared" si="8"/>
        <v>1</v>
      </c>
      <c r="L394" s="10">
        <v>44141</v>
      </c>
      <c r="M394" s="9" t="s">
        <v>1766</v>
      </c>
      <c r="N394" s="13" t="str">
        <f>VLOOKUP(H394,基础数据!G:H,2,FALSE)</f>
        <v>SR152Ⅲ大梁</v>
      </c>
    </row>
    <row r="395" spans="1:14" s="12" customFormat="1">
      <c r="A395" s="11">
        <v>1680</v>
      </c>
      <c r="B395" s="13" t="str">
        <f>VLOOKUP(A395,基础数据!A:B,2,FALSE)</f>
        <v>大丰</v>
      </c>
      <c r="C395" s="10">
        <v>44141</v>
      </c>
      <c r="D395" s="9"/>
      <c r="E395" s="11">
        <v>4500073565</v>
      </c>
      <c r="F395" s="9"/>
      <c r="G395" s="11">
        <v>1120001194</v>
      </c>
      <c r="H395" s="9" t="s">
        <v>1607</v>
      </c>
      <c r="I395" s="11">
        <f>12-7</f>
        <v>5</v>
      </c>
      <c r="J395" s="11">
        <f>15156-8967</f>
        <v>6189</v>
      </c>
      <c r="K395" s="11">
        <f t="shared" si="8"/>
        <v>5</v>
      </c>
      <c r="L395" s="10">
        <v>44154</v>
      </c>
      <c r="M395" s="9" t="s">
        <v>1767</v>
      </c>
      <c r="N395" s="13" t="str">
        <f>VLOOKUP(H395,基础数据!G:H,2,FALSE)</f>
        <v>WB171I后缘</v>
      </c>
    </row>
    <row r="396" spans="1:14" s="12" customFormat="1">
      <c r="A396" s="11">
        <v>1680</v>
      </c>
      <c r="B396" s="13" t="str">
        <f>VLOOKUP(A396,基础数据!A:B,2,FALSE)</f>
        <v>大丰</v>
      </c>
      <c r="C396" s="10">
        <v>44069</v>
      </c>
      <c r="D396" s="9"/>
      <c r="E396" s="9">
        <v>4500067613</v>
      </c>
      <c r="F396" s="9"/>
      <c r="G396" s="11">
        <v>1120002746</v>
      </c>
      <c r="H396" s="9" t="s">
        <v>288</v>
      </c>
      <c r="I396" s="11">
        <v>2</v>
      </c>
      <c r="J396" s="11">
        <v>7008</v>
      </c>
      <c r="K396" s="11">
        <f t="shared" si="8"/>
        <v>2</v>
      </c>
      <c r="L396" s="10">
        <v>44069</v>
      </c>
      <c r="M396" s="9" t="s">
        <v>1768</v>
      </c>
      <c r="N396" s="13" t="str">
        <f>VLOOKUP(H396,基础数据!G:H,2,FALSE)</f>
        <v>SR146Ⅱ大梁</v>
      </c>
    </row>
    <row r="397" spans="1:14" s="12" customFormat="1">
      <c r="A397" s="11">
        <v>1680</v>
      </c>
      <c r="B397" s="13" t="str">
        <f>VLOOKUP(A397,基础数据!A:B,2,FALSE)</f>
        <v>大丰</v>
      </c>
      <c r="C397" s="10">
        <v>44116</v>
      </c>
      <c r="D397" s="9"/>
      <c r="E397" s="11">
        <v>4500071981</v>
      </c>
      <c r="F397" s="9"/>
      <c r="G397" s="11">
        <v>1120000142</v>
      </c>
      <c r="H397" s="9" t="s">
        <v>11</v>
      </c>
      <c r="I397" s="11"/>
      <c r="J397" s="11">
        <v>4800</v>
      </c>
      <c r="K397" s="11">
        <f>J397</f>
        <v>4800</v>
      </c>
      <c r="L397" s="10">
        <v>44132</v>
      </c>
      <c r="M397" s="9" t="s">
        <v>1781</v>
      </c>
      <c r="N397" s="13" t="str">
        <f>VLOOKUP(H397,基础数据!G:H,2,FALSE)</f>
        <v>TTX1250(60)-2.54-100</v>
      </c>
    </row>
    <row r="398" spans="1:14" s="12" customFormat="1">
      <c r="A398" s="11">
        <v>1680</v>
      </c>
      <c r="B398" s="13" t="str">
        <f>VLOOKUP(A398,基础数据!A:B,2,FALSE)</f>
        <v>大丰</v>
      </c>
      <c r="C398" s="10">
        <v>44141</v>
      </c>
      <c r="D398" s="9"/>
      <c r="E398" s="11">
        <v>4500073568</v>
      </c>
      <c r="F398" s="9"/>
      <c r="G398" s="11">
        <v>1120001035</v>
      </c>
      <c r="H398" s="9" t="s">
        <v>12</v>
      </c>
      <c r="I398" s="11"/>
      <c r="J398" s="11">
        <f>43417-5675-4755-3170-1585-1590-4770-6360-6360-4770</f>
        <v>4382</v>
      </c>
      <c r="K398" s="11">
        <f>J398</f>
        <v>4382</v>
      </c>
      <c r="L398" s="10">
        <v>44147</v>
      </c>
      <c r="M398" s="9" t="s">
        <v>1782</v>
      </c>
      <c r="N398" s="13" t="str">
        <f>VLOOKUP(H398,基础数据!G:H,2,FALSE)</f>
        <v>TLX1250-2.54-100</v>
      </c>
    </row>
    <row r="399" spans="1:14" s="12" customFormat="1">
      <c r="A399" s="11">
        <v>1680</v>
      </c>
      <c r="B399" s="13" t="str">
        <f>VLOOKUP(A399,基础数据!A:B,2,FALSE)</f>
        <v>大丰</v>
      </c>
      <c r="C399" s="10">
        <v>44155</v>
      </c>
      <c r="D399" s="9"/>
      <c r="E399" s="9">
        <v>4500074526</v>
      </c>
      <c r="F399" s="9"/>
      <c r="G399" s="11">
        <v>1120001035</v>
      </c>
      <c r="H399" s="9" t="s">
        <v>12</v>
      </c>
      <c r="I399" s="11"/>
      <c r="J399" s="11">
        <v>388</v>
      </c>
      <c r="K399" s="11">
        <f>J399</f>
        <v>388</v>
      </c>
      <c r="L399" s="10">
        <v>44158</v>
      </c>
      <c r="M399" s="9" t="s">
        <v>1783</v>
      </c>
      <c r="N399" s="13" t="str">
        <f>VLOOKUP(H399,基础数据!G:H,2,FALSE)</f>
        <v>TLX1250-2.54-100</v>
      </c>
    </row>
    <row r="400" spans="1:14" s="12" customFormat="1">
      <c r="A400" s="11">
        <v>1680</v>
      </c>
      <c r="B400" s="13" t="str">
        <f>VLOOKUP(A400,基础数据!A:B,2,FALSE)</f>
        <v>大丰</v>
      </c>
      <c r="C400" s="10">
        <v>44069</v>
      </c>
      <c r="D400" s="9"/>
      <c r="E400" s="9">
        <v>4500067613</v>
      </c>
      <c r="F400" s="9"/>
      <c r="G400" s="11">
        <v>1120002746</v>
      </c>
      <c r="H400" s="9" t="s">
        <v>288</v>
      </c>
      <c r="I400" s="11">
        <v>4</v>
      </c>
      <c r="J400" s="11">
        <v>14016</v>
      </c>
      <c r="K400" s="11">
        <f>I400</f>
        <v>4</v>
      </c>
      <c r="L400" s="10">
        <v>44069</v>
      </c>
      <c r="M400" s="9" t="s">
        <v>1787</v>
      </c>
      <c r="N400" s="13" t="str">
        <f>VLOOKUP(H400,基础数据!G:H,2,FALSE)</f>
        <v>SR146Ⅱ大梁</v>
      </c>
    </row>
    <row r="401" spans="1:14" s="12" customFormat="1">
      <c r="A401" s="11">
        <v>1680</v>
      </c>
      <c r="B401" s="13" t="str">
        <f>VLOOKUP(A401,基础数据!A:B,2,FALSE)</f>
        <v>大丰</v>
      </c>
      <c r="C401" s="10">
        <v>44069</v>
      </c>
      <c r="D401" s="9"/>
      <c r="E401" s="9">
        <v>4500067613</v>
      </c>
      <c r="F401" s="9"/>
      <c r="G401" s="11">
        <v>1120002747</v>
      </c>
      <c r="H401" s="9" t="s">
        <v>289</v>
      </c>
      <c r="I401" s="11">
        <v>2</v>
      </c>
      <c r="J401" s="11">
        <v>1172</v>
      </c>
      <c r="K401" s="11">
        <f>I401</f>
        <v>2</v>
      </c>
      <c r="L401" s="10">
        <v>44069</v>
      </c>
      <c r="M401" s="9" t="s">
        <v>1788</v>
      </c>
      <c r="N401" s="13" t="str">
        <f>VLOOKUP(H401,基础数据!G:H,2,FALSE)</f>
        <v>SR146Ⅱ后缘</v>
      </c>
    </row>
    <row r="402" spans="1:14" s="12" customFormat="1">
      <c r="A402" s="11">
        <v>1680</v>
      </c>
      <c r="B402" s="13" t="str">
        <f>VLOOKUP(A402,基础数据!A:B,2,FALSE)</f>
        <v>大丰</v>
      </c>
      <c r="C402" s="10">
        <v>44069</v>
      </c>
      <c r="D402" s="9"/>
      <c r="E402" s="9">
        <v>4500067613</v>
      </c>
      <c r="F402" s="9"/>
      <c r="G402" s="11">
        <v>1120002746</v>
      </c>
      <c r="H402" s="9" t="s">
        <v>288</v>
      </c>
      <c r="I402" s="11">
        <v>2</v>
      </c>
      <c r="J402" s="11">
        <v>7008</v>
      </c>
      <c r="K402" s="11">
        <f>I402</f>
        <v>2</v>
      </c>
      <c r="L402" s="10">
        <v>44069</v>
      </c>
      <c r="M402" s="9" t="s">
        <v>1789</v>
      </c>
      <c r="N402" s="13" t="str">
        <f>VLOOKUP(H402,基础数据!G:H,2,FALSE)</f>
        <v>SR146Ⅱ大梁</v>
      </c>
    </row>
    <row r="403" spans="1:14" s="12" customFormat="1">
      <c r="A403" s="11">
        <v>1680</v>
      </c>
      <c r="B403" s="13" t="str">
        <f>VLOOKUP(A403,基础数据!A:B,2,FALSE)</f>
        <v>大丰</v>
      </c>
      <c r="C403" s="10">
        <v>44155</v>
      </c>
      <c r="D403" s="9"/>
      <c r="E403" s="9">
        <v>4500074526</v>
      </c>
      <c r="F403" s="9"/>
      <c r="G403" s="11">
        <v>1120001035</v>
      </c>
      <c r="H403" s="9" t="s">
        <v>12</v>
      </c>
      <c r="I403" s="11"/>
      <c r="J403" s="11">
        <v>3180</v>
      </c>
      <c r="K403" s="11">
        <f>J403</f>
        <v>3180</v>
      </c>
      <c r="L403" s="10">
        <v>44158</v>
      </c>
      <c r="M403" s="9" t="s">
        <v>1793</v>
      </c>
      <c r="N403" s="13" t="str">
        <f>VLOOKUP(H403,基础数据!G:H,2,FALSE)</f>
        <v>TLX1250-2.54-100</v>
      </c>
    </row>
    <row r="404" spans="1:14" s="12" customFormat="1">
      <c r="A404" s="11">
        <v>1680</v>
      </c>
      <c r="B404" s="13" t="str">
        <f>VLOOKUP(A404,基础数据!A:B,2,FALSE)</f>
        <v>大丰</v>
      </c>
      <c r="C404" s="10">
        <v>44116</v>
      </c>
      <c r="D404" s="9"/>
      <c r="E404" s="11">
        <v>4500071981</v>
      </c>
      <c r="F404" s="9"/>
      <c r="G404" s="11">
        <v>1120000142</v>
      </c>
      <c r="H404" s="9" t="s">
        <v>11</v>
      </c>
      <c r="I404" s="11"/>
      <c r="J404" s="11">
        <v>4800</v>
      </c>
      <c r="K404" s="11">
        <f>J404</f>
        <v>4800</v>
      </c>
      <c r="L404" s="10">
        <v>44132</v>
      </c>
      <c r="M404" s="9" t="s">
        <v>1792</v>
      </c>
      <c r="N404" s="13" t="str">
        <f>VLOOKUP(H404,基础数据!G:H,2,FALSE)</f>
        <v>TTX1250(60)-2.54-100</v>
      </c>
    </row>
    <row r="405" spans="1:14" s="12" customFormat="1">
      <c r="A405" s="11">
        <v>1680</v>
      </c>
      <c r="B405" s="13" t="str">
        <f>VLOOKUP(A405,基础数据!A:B,2,FALSE)</f>
        <v>大丰</v>
      </c>
      <c r="C405" s="10">
        <v>44069</v>
      </c>
      <c r="D405" s="9"/>
      <c r="E405" s="9">
        <v>4500067613</v>
      </c>
      <c r="F405" s="9"/>
      <c r="G405" s="11">
        <v>1120002746</v>
      </c>
      <c r="H405" s="9" t="s">
        <v>288</v>
      </c>
      <c r="I405" s="11">
        <v>2</v>
      </c>
      <c r="J405" s="11">
        <v>7008</v>
      </c>
      <c r="K405" s="11">
        <f t="shared" ref="K405:K422" si="9">I405</f>
        <v>2</v>
      </c>
      <c r="L405" s="10">
        <v>44069</v>
      </c>
      <c r="M405" s="9" t="s">
        <v>1804</v>
      </c>
      <c r="N405" s="13" t="str">
        <f>VLOOKUP(H405,基础数据!G:H,2,FALSE)</f>
        <v>SR146Ⅱ大梁</v>
      </c>
    </row>
    <row r="406" spans="1:14" s="12" customFormat="1">
      <c r="A406" s="11">
        <v>1680</v>
      </c>
      <c r="B406" s="13" t="str">
        <f>VLOOKUP(A406,基础数据!A:B,2,FALSE)</f>
        <v>大丰</v>
      </c>
      <c r="C406" s="10">
        <v>44069</v>
      </c>
      <c r="D406" s="9"/>
      <c r="E406" s="9">
        <v>4500067613</v>
      </c>
      <c r="F406" s="9"/>
      <c r="G406" s="11">
        <v>1120002747</v>
      </c>
      <c r="H406" s="9" t="s">
        <v>289</v>
      </c>
      <c r="I406" s="11">
        <v>2</v>
      </c>
      <c r="J406" s="11">
        <v>1172</v>
      </c>
      <c r="K406" s="11">
        <f t="shared" si="9"/>
        <v>2</v>
      </c>
      <c r="L406" s="10">
        <v>44069</v>
      </c>
      <c r="M406" s="9" t="s">
        <v>1805</v>
      </c>
      <c r="N406" s="13" t="str">
        <f>VLOOKUP(H406,基础数据!G:H,2,FALSE)</f>
        <v>SR146Ⅱ后缘</v>
      </c>
    </row>
    <row r="407" spans="1:14" s="12" customFormat="1">
      <c r="A407" s="11">
        <v>1680</v>
      </c>
      <c r="B407" s="13" t="str">
        <f>VLOOKUP(A407,基础数据!A:B,2,FALSE)</f>
        <v>大丰</v>
      </c>
      <c r="C407" s="10">
        <v>44148</v>
      </c>
      <c r="D407" s="9"/>
      <c r="E407" s="11">
        <v>4500074052</v>
      </c>
      <c r="F407" s="9"/>
      <c r="G407" s="11">
        <v>1120001194</v>
      </c>
      <c r="H407" s="9" t="s">
        <v>75</v>
      </c>
      <c r="I407" s="11">
        <v>5</v>
      </c>
      <c r="J407" s="11">
        <v>6405</v>
      </c>
      <c r="K407" s="11">
        <f t="shared" si="9"/>
        <v>5</v>
      </c>
      <c r="L407" s="10">
        <v>44158</v>
      </c>
      <c r="M407" s="9" t="s">
        <v>1806</v>
      </c>
      <c r="N407" s="13" t="str">
        <f>VLOOKUP(H407,基础数据!G:H,2,FALSE)</f>
        <v>WB171I后缘</v>
      </c>
    </row>
    <row r="408" spans="1:14" s="12" customFormat="1">
      <c r="A408" s="11">
        <v>1680</v>
      </c>
      <c r="B408" s="13" t="str">
        <f>VLOOKUP(A408,基础数据!A:B,2,FALSE)</f>
        <v>大丰</v>
      </c>
      <c r="C408" s="10">
        <v>44069</v>
      </c>
      <c r="D408" s="9"/>
      <c r="E408" s="9">
        <v>4500067613</v>
      </c>
      <c r="F408" s="9"/>
      <c r="G408" s="11">
        <v>1120002746</v>
      </c>
      <c r="H408" s="9" t="s">
        <v>288</v>
      </c>
      <c r="I408" s="11">
        <v>4</v>
      </c>
      <c r="J408" s="11">
        <v>14016</v>
      </c>
      <c r="K408" s="11">
        <f t="shared" si="9"/>
        <v>4</v>
      </c>
      <c r="L408" s="10">
        <v>44069</v>
      </c>
      <c r="M408" s="9" t="s">
        <v>1808</v>
      </c>
      <c r="N408" s="13" t="str">
        <f>VLOOKUP(H408,基础数据!G:H,2,FALSE)</f>
        <v>SR146Ⅱ大梁</v>
      </c>
    </row>
    <row r="409" spans="1:14" s="12" customFormat="1">
      <c r="A409" s="11">
        <v>1680</v>
      </c>
      <c r="B409" s="13" t="str">
        <f>VLOOKUP(A409,基础数据!A:B,2,FALSE)</f>
        <v>大丰</v>
      </c>
      <c r="C409" s="10">
        <v>44069</v>
      </c>
      <c r="D409" s="9"/>
      <c r="E409" s="9">
        <v>4500067613</v>
      </c>
      <c r="F409" s="9"/>
      <c r="G409" s="11">
        <v>1120002747</v>
      </c>
      <c r="H409" s="9" t="s">
        <v>289</v>
      </c>
      <c r="I409" s="11">
        <v>2</v>
      </c>
      <c r="J409" s="11">
        <v>1172</v>
      </c>
      <c r="K409" s="11">
        <f t="shared" si="9"/>
        <v>2</v>
      </c>
      <c r="L409" s="10">
        <v>44069</v>
      </c>
      <c r="M409" s="9" t="s">
        <v>1809</v>
      </c>
      <c r="N409" s="13" t="str">
        <f>VLOOKUP(H409,基础数据!G:H,2,FALSE)</f>
        <v>SR146Ⅱ后缘</v>
      </c>
    </row>
    <row r="410" spans="1:14" s="12" customFormat="1">
      <c r="A410" s="11">
        <v>1680</v>
      </c>
      <c r="B410" s="13" t="str">
        <f>VLOOKUP(A410,基础数据!A:B,2,FALSE)</f>
        <v>大丰</v>
      </c>
      <c r="C410" s="10">
        <v>44069</v>
      </c>
      <c r="D410" s="9"/>
      <c r="E410" s="9">
        <v>4500067613</v>
      </c>
      <c r="F410" s="9"/>
      <c r="G410" s="11">
        <v>1120002746</v>
      </c>
      <c r="H410" s="9" t="s">
        <v>288</v>
      </c>
      <c r="I410" s="11">
        <v>3</v>
      </c>
      <c r="J410" s="11">
        <v>10512</v>
      </c>
      <c r="K410" s="11">
        <f t="shared" si="9"/>
        <v>3</v>
      </c>
      <c r="L410" s="10">
        <v>44069</v>
      </c>
      <c r="M410" s="9" t="s">
        <v>1810</v>
      </c>
      <c r="N410" s="13" t="str">
        <f>VLOOKUP(H410,基础数据!G:H,2,FALSE)</f>
        <v>SR146Ⅱ大梁</v>
      </c>
    </row>
    <row r="411" spans="1:14" s="12" customFormat="1">
      <c r="A411" s="11">
        <v>1680</v>
      </c>
      <c r="B411" s="13" t="str">
        <f>VLOOKUP(A411,基础数据!A:B,2,FALSE)</f>
        <v>大丰</v>
      </c>
      <c r="C411" s="10">
        <v>44069</v>
      </c>
      <c r="D411" s="9"/>
      <c r="E411" s="9">
        <v>4500067613</v>
      </c>
      <c r="F411" s="9"/>
      <c r="G411" s="11">
        <v>1120002747</v>
      </c>
      <c r="H411" s="9" t="s">
        <v>289</v>
      </c>
      <c r="I411" s="11">
        <v>6</v>
      </c>
      <c r="J411" s="11">
        <v>3516</v>
      </c>
      <c r="K411" s="11">
        <f t="shared" si="9"/>
        <v>6</v>
      </c>
      <c r="L411" s="10">
        <v>44069</v>
      </c>
      <c r="M411" s="9" t="s">
        <v>1811</v>
      </c>
      <c r="N411" s="13" t="str">
        <f>VLOOKUP(H411,基础数据!G:H,2,FALSE)</f>
        <v>SR146Ⅱ后缘</v>
      </c>
    </row>
    <row r="412" spans="1:14" s="23" customFormat="1">
      <c r="A412" s="22">
        <v>1680</v>
      </c>
      <c r="B412" s="7" t="str">
        <f>VLOOKUP(A412,基础数据!A:B,2,FALSE)</f>
        <v>大丰</v>
      </c>
      <c r="C412" s="21">
        <v>44148</v>
      </c>
      <c r="D412" s="20"/>
      <c r="E412" s="22">
        <v>4500074052</v>
      </c>
      <c r="F412" s="20"/>
      <c r="G412" s="22">
        <v>1120001194</v>
      </c>
      <c r="H412" s="20" t="s">
        <v>75</v>
      </c>
      <c r="I412" s="22">
        <v>5</v>
      </c>
      <c r="J412" s="22">
        <v>6405</v>
      </c>
      <c r="K412" s="22">
        <f t="shared" si="9"/>
        <v>5</v>
      </c>
      <c r="L412" s="21">
        <v>44158</v>
      </c>
      <c r="M412" s="20" t="s">
        <v>1812</v>
      </c>
      <c r="N412" s="7" t="str">
        <f>VLOOKUP(H412,基础数据!G:H,2,FALSE)</f>
        <v>WB171I后缘</v>
      </c>
    </row>
    <row r="413" spans="1:14" s="23" customFormat="1">
      <c r="A413" s="22">
        <v>1680</v>
      </c>
      <c r="B413" s="7" t="str">
        <f>VLOOKUP(A413,基础数据!A:B,2,FALSE)</f>
        <v>大丰</v>
      </c>
      <c r="C413" s="21">
        <v>44069</v>
      </c>
      <c r="D413" s="20"/>
      <c r="E413" s="20">
        <v>4500067613</v>
      </c>
      <c r="F413" s="20"/>
      <c r="G413" s="22">
        <v>1120002747</v>
      </c>
      <c r="H413" s="20" t="s">
        <v>289</v>
      </c>
      <c r="I413" s="22">
        <v>6</v>
      </c>
      <c r="J413" s="22">
        <v>3516</v>
      </c>
      <c r="K413" s="22">
        <f t="shared" si="9"/>
        <v>6</v>
      </c>
      <c r="L413" s="21">
        <v>44069</v>
      </c>
      <c r="M413" s="20" t="s">
        <v>1813</v>
      </c>
      <c r="N413" s="7" t="str">
        <f>VLOOKUP(H413,基础数据!G:H,2,FALSE)</f>
        <v>SR146Ⅱ后缘</v>
      </c>
    </row>
    <row r="414" spans="1:14" s="23" customFormat="1">
      <c r="A414" s="22">
        <v>1680</v>
      </c>
      <c r="B414" s="7" t="str">
        <f>VLOOKUP(A414,基础数据!A:B,2,FALSE)</f>
        <v>大丰</v>
      </c>
      <c r="C414" s="21">
        <v>44069</v>
      </c>
      <c r="D414" s="20"/>
      <c r="E414" s="20">
        <v>4500067613</v>
      </c>
      <c r="F414" s="20"/>
      <c r="G414" s="22">
        <v>1120002746</v>
      </c>
      <c r="H414" s="20" t="s">
        <v>288</v>
      </c>
      <c r="I414" s="22">
        <v>1</v>
      </c>
      <c r="J414" s="22">
        <v>3504</v>
      </c>
      <c r="K414" s="22">
        <f t="shared" si="9"/>
        <v>1</v>
      </c>
      <c r="L414" s="21">
        <v>44069</v>
      </c>
      <c r="M414" s="20" t="s">
        <v>1814</v>
      </c>
      <c r="N414" s="7" t="str">
        <f>VLOOKUP(H414,基础数据!G:H,2,FALSE)</f>
        <v>SR146Ⅱ大梁</v>
      </c>
    </row>
    <row r="415" spans="1:14" s="12" customFormat="1">
      <c r="A415" s="11">
        <v>1680</v>
      </c>
      <c r="B415" s="13" t="str">
        <f>VLOOKUP(A415,基础数据!A:B,2,FALSE)</f>
        <v>大丰</v>
      </c>
      <c r="C415" s="10">
        <v>44069</v>
      </c>
      <c r="D415" s="9"/>
      <c r="E415" s="9">
        <v>4500067613</v>
      </c>
      <c r="F415" s="9"/>
      <c r="G415" s="11">
        <v>1120002746</v>
      </c>
      <c r="H415" s="9" t="s">
        <v>288</v>
      </c>
      <c r="I415" s="11">
        <v>3</v>
      </c>
      <c r="J415" s="11">
        <v>10512</v>
      </c>
      <c r="K415" s="11">
        <f t="shared" si="9"/>
        <v>3</v>
      </c>
      <c r="L415" s="10">
        <v>44069</v>
      </c>
      <c r="M415" s="9" t="s">
        <v>1817</v>
      </c>
      <c r="N415" s="13" t="str">
        <f>VLOOKUP(H415,基础数据!G:H,2,FALSE)</f>
        <v>SR146Ⅱ大梁</v>
      </c>
    </row>
    <row r="416" spans="1:14" s="12" customFormat="1">
      <c r="A416" s="11">
        <v>1680</v>
      </c>
      <c r="B416" s="13" t="str">
        <f>VLOOKUP(A416,基础数据!A:B,2,FALSE)</f>
        <v>大丰</v>
      </c>
      <c r="C416" s="10">
        <v>44127</v>
      </c>
      <c r="D416" s="9"/>
      <c r="E416" s="11">
        <v>4500072694</v>
      </c>
      <c r="F416" s="9"/>
      <c r="G416" s="11">
        <v>1120002326</v>
      </c>
      <c r="H416" s="9" t="s">
        <v>1471</v>
      </c>
      <c r="I416" s="11">
        <v>2</v>
      </c>
      <c r="J416" s="11">
        <v>15120</v>
      </c>
      <c r="K416" s="11">
        <f t="shared" si="9"/>
        <v>2</v>
      </c>
      <c r="L416" s="10">
        <v>44141</v>
      </c>
      <c r="M416" s="9" t="s">
        <v>1818</v>
      </c>
      <c r="N416" s="13" t="str">
        <f>VLOOKUP(H416,基础数据!G:H,2,FALSE)</f>
        <v>SR152Ⅲ大梁</v>
      </c>
    </row>
    <row r="417" spans="1:14" s="12" customFormat="1">
      <c r="A417" s="11">
        <v>1680</v>
      </c>
      <c r="B417" s="13" t="str">
        <f>VLOOKUP(A417,基础数据!A:B,2,FALSE)</f>
        <v>大丰</v>
      </c>
      <c r="C417" s="10">
        <v>44152</v>
      </c>
      <c r="D417" s="9"/>
      <c r="E417" s="11">
        <v>4500074231</v>
      </c>
      <c r="F417" s="9"/>
      <c r="G417" s="11">
        <v>1120002904</v>
      </c>
      <c r="H417" s="9" t="s">
        <v>1073</v>
      </c>
      <c r="I417" s="11">
        <v>4</v>
      </c>
      <c r="J417" s="11">
        <v>2008</v>
      </c>
      <c r="K417" s="11">
        <f t="shared" si="9"/>
        <v>4</v>
      </c>
      <c r="L417" s="10">
        <v>44166</v>
      </c>
      <c r="M417" s="9" t="s">
        <v>1819</v>
      </c>
      <c r="N417" s="13" t="str">
        <f>VLOOKUP(H417,基础数据!G:H,2,FALSE)</f>
        <v>SR146Ⅱ腹板套裁</v>
      </c>
    </row>
    <row r="418" spans="1:14" s="12" customFormat="1">
      <c r="A418" s="11">
        <v>1680</v>
      </c>
      <c r="B418" s="13" t="str">
        <f>VLOOKUP(A418,基础数据!A:B,2,FALSE)</f>
        <v>大丰</v>
      </c>
      <c r="C418" s="10">
        <v>44152</v>
      </c>
      <c r="D418" s="9"/>
      <c r="E418" s="11">
        <v>4500074231</v>
      </c>
      <c r="F418" s="9"/>
      <c r="G418" s="11">
        <v>1120002905</v>
      </c>
      <c r="H418" s="9" t="s">
        <v>1074</v>
      </c>
      <c r="I418" s="11">
        <v>4</v>
      </c>
      <c r="J418" s="11">
        <v>9896</v>
      </c>
      <c r="K418" s="11">
        <f t="shared" si="9"/>
        <v>4</v>
      </c>
      <c r="L418" s="10">
        <v>44166</v>
      </c>
      <c r="M418" s="9" t="s">
        <v>1819</v>
      </c>
      <c r="N418" s="13" t="str">
        <f>VLOOKUP(H418,基础数据!G:H,2,FALSE)</f>
        <v>SR146Ⅱ壳体套裁</v>
      </c>
    </row>
    <row r="419" spans="1:14" s="12" customFormat="1">
      <c r="A419" s="11">
        <v>1680</v>
      </c>
      <c r="B419" s="13" t="str">
        <f>VLOOKUP(A419,基础数据!A:B,2,FALSE)</f>
        <v>大丰</v>
      </c>
      <c r="C419" s="10">
        <v>44069</v>
      </c>
      <c r="D419" s="9"/>
      <c r="E419" s="9">
        <v>4500067613</v>
      </c>
      <c r="F419" s="9"/>
      <c r="G419" s="11">
        <v>1120002746</v>
      </c>
      <c r="H419" s="9" t="s">
        <v>288</v>
      </c>
      <c r="I419" s="11">
        <v>3</v>
      </c>
      <c r="J419" s="11">
        <v>10512</v>
      </c>
      <c r="K419" s="11">
        <f t="shared" si="9"/>
        <v>3</v>
      </c>
      <c r="L419" s="10">
        <v>44069</v>
      </c>
      <c r="M419" s="9" t="s">
        <v>1820</v>
      </c>
      <c r="N419" s="13" t="str">
        <f>VLOOKUP(H419,基础数据!G:H,2,FALSE)</f>
        <v>SR146Ⅱ大梁</v>
      </c>
    </row>
    <row r="420" spans="1:14" s="12" customFormat="1">
      <c r="A420" s="11">
        <v>1680</v>
      </c>
      <c r="B420" s="13" t="str">
        <f>VLOOKUP(A420,基础数据!A:B,2,FALSE)</f>
        <v>大丰</v>
      </c>
      <c r="C420" s="10">
        <v>44069</v>
      </c>
      <c r="D420" s="9"/>
      <c r="E420" s="9">
        <v>4500067613</v>
      </c>
      <c r="F420" s="9"/>
      <c r="G420" s="11">
        <v>1120002747</v>
      </c>
      <c r="H420" s="9" t="s">
        <v>289</v>
      </c>
      <c r="I420" s="11">
        <v>6</v>
      </c>
      <c r="J420" s="11">
        <v>3516</v>
      </c>
      <c r="K420" s="11">
        <f t="shared" si="9"/>
        <v>6</v>
      </c>
      <c r="L420" s="10">
        <v>44069</v>
      </c>
      <c r="M420" s="9" t="s">
        <v>1821</v>
      </c>
      <c r="N420" s="13" t="str">
        <f>VLOOKUP(H420,基础数据!G:H,2,FALSE)</f>
        <v>SR146Ⅱ后缘</v>
      </c>
    </row>
    <row r="421" spans="1:14" s="12" customFormat="1">
      <c r="A421" s="11">
        <v>1680</v>
      </c>
      <c r="B421" s="13" t="str">
        <f>VLOOKUP(A421,基础数据!A:B,2,FALSE)</f>
        <v>大丰</v>
      </c>
      <c r="C421" s="10">
        <v>44069</v>
      </c>
      <c r="D421" s="9"/>
      <c r="E421" s="9">
        <v>4500067613</v>
      </c>
      <c r="F421" s="9"/>
      <c r="G421" s="11">
        <v>1120002746</v>
      </c>
      <c r="H421" s="9" t="s">
        <v>288</v>
      </c>
      <c r="I421" s="11">
        <v>1</v>
      </c>
      <c r="J421" s="11">
        <v>3504</v>
      </c>
      <c r="K421" s="11">
        <f t="shared" si="9"/>
        <v>1</v>
      </c>
      <c r="L421" s="10">
        <v>44069</v>
      </c>
      <c r="M421" s="9" t="s">
        <v>1823</v>
      </c>
      <c r="N421" s="13" t="str">
        <f>VLOOKUP(H421,基础数据!G:H,2,FALSE)</f>
        <v>SR146Ⅱ大梁</v>
      </c>
    </row>
    <row r="422" spans="1:14" s="12" customFormat="1">
      <c r="A422" s="11">
        <v>1680</v>
      </c>
      <c r="B422" s="13" t="str">
        <f>VLOOKUP(A422,基础数据!A:B,2,FALSE)</f>
        <v>大丰</v>
      </c>
      <c r="C422" s="10">
        <v>44127</v>
      </c>
      <c r="D422" s="9"/>
      <c r="E422" s="11">
        <v>4500072694</v>
      </c>
      <c r="F422" s="9"/>
      <c r="G422" s="11">
        <v>1120002325</v>
      </c>
      <c r="H422" s="9" t="s">
        <v>1470</v>
      </c>
      <c r="I422" s="11">
        <v>3</v>
      </c>
      <c r="J422" s="11">
        <v>4857</v>
      </c>
      <c r="K422" s="11">
        <f t="shared" si="9"/>
        <v>3</v>
      </c>
      <c r="L422" s="10">
        <v>44141</v>
      </c>
      <c r="M422" s="9" t="s">
        <v>1822</v>
      </c>
      <c r="N422" s="13" t="str">
        <f>VLOOKUP(H422,基础数据!G:H,2,FALSE)</f>
        <v>SR152Ⅲ后缘</v>
      </c>
    </row>
    <row r="423" spans="1:14" s="12" customFormat="1">
      <c r="A423" s="11">
        <v>1680</v>
      </c>
      <c r="B423" s="13" t="str">
        <f>VLOOKUP(A423,基础数据!A:B,2,FALSE)</f>
        <v>大丰</v>
      </c>
      <c r="C423" s="10">
        <v>44116</v>
      </c>
      <c r="D423" s="9"/>
      <c r="E423" s="11">
        <v>4500071981</v>
      </c>
      <c r="F423" s="9"/>
      <c r="G423" s="11">
        <v>1120000142</v>
      </c>
      <c r="H423" s="9" t="s">
        <v>11</v>
      </c>
      <c r="I423" s="11"/>
      <c r="J423" s="11">
        <v>1600</v>
      </c>
      <c r="K423" s="11">
        <f>J423</f>
        <v>1600</v>
      </c>
      <c r="L423" s="10">
        <v>44132</v>
      </c>
      <c r="M423" s="9" t="s">
        <v>1824</v>
      </c>
      <c r="N423" s="13" t="str">
        <f>VLOOKUP(H423,基础数据!G:H,2,FALSE)</f>
        <v>TTX1250(60)-2.54-100</v>
      </c>
    </row>
    <row r="424" spans="1:14" s="12" customFormat="1">
      <c r="A424" s="11">
        <v>1680</v>
      </c>
      <c r="B424" s="13" t="str">
        <f>VLOOKUP(A424,基础数据!A:B,2,FALSE)</f>
        <v>大丰</v>
      </c>
      <c r="C424" s="10">
        <v>44152</v>
      </c>
      <c r="D424" s="9"/>
      <c r="E424" s="11">
        <v>4500074231</v>
      </c>
      <c r="F424" s="9"/>
      <c r="G424" s="11">
        <v>1120002904</v>
      </c>
      <c r="H424" s="9" t="s">
        <v>1073</v>
      </c>
      <c r="I424" s="11">
        <v>4</v>
      </c>
      <c r="J424" s="11">
        <v>2008</v>
      </c>
      <c r="K424" s="11">
        <f>I424</f>
        <v>4</v>
      </c>
      <c r="L424" s="10">
        <v>44166</v>
      </c>
      <c r="M424" s="9" t="s">
        <v>1828</v>
      </c>
      <c r="N424" s="13" t="str">
        <f>VLOOKUP(H424,基础数据!G:H,2,FALSE)</f>
        <v>SR146Ⅱ腹板套裁</v>
      </c>
    </row>
    <row r="425" spans="1:14" s="12" customFormat="1">
      <c r="A425" s="11">
        <v>1680</v>
      </c>
      <c r="B425" s="13" t="str">
        <f>VLOOKUP(A425,基础数据!A:B,2,FALSE)</f>
        <v>大丰</v>
      </c>
      <c r="C425" s="10">
        <v>44152</v>
      </c>
      <c r="D425" s="9"/>
      <c r="E425" s="11">
        <v>4500074231</v>
      </c>
      <c r="F425" s="9"/>
      <c r="G425" s="11">
        <v>1120002905</v>
      </c>
      <c r="H425" s="9" t="s">
        <v>1074</v>
      </c>
      <c r="I425" s="11">
        <v>4</v>
      </c>
      <c r="J425" s="11">
        <v>9896</v>
      </c>
      <c r="K425" s="11">
        <f>I425</f>
        <v>4</v>
      </c>
      <c r="L425" s="10">
        <v>44166</v>
      </c>
      <c r="M425" s="9" t="s">
        <v>1828</v>
      </c>
      <c r="N425" s="13" t="str">
        <f>VLOOKUP(H425,基础数据!G:H,2,FALSE)</f>
        <v>SR146Ⅱ壳体套裁</v>
      </c>
    </row>
    <row r="426" spans="1:14" s="12" customFormat="1">
      <c r="A426" s="11">
        <v>1680</v>
      </c>
      <c r="B426" s="13" t="str">
        <f>VLOOKUP(A426,基础数据!A:B,2,FALSE)</f>
        <v>大丰</v>
      </c>
      <c r="C426" s="10">
        <v>44069</v>
      </c>
      <c r="D426" s="9"/>
      <c r="E426" s="9">
        <v>4500067613</v>
      </c>
      <c r="F426" s="9"/>
      <c r="G426" s="11">
        <v>1120002746</v>
      </c>
      <c r="H426" s="9" t="s">
        <v>288</v>
      </c>
      <c r="I426" s="11">
        <v>2</v>
      </c>
      <c r="J426" s="11">
        <v>7008</v>
      </c>
      <c r="K426" s="11">
        <f>I426</f>
        <v>2</v>
      </c>
      <c r="L426" s="10">
        <v>44069</v>
      </c>
      <c r="M426" s="9" t="s">
        <v>1829</v>
      </c>
      <c r="N426" s="13" t="str">
        <f>VLOOKUP(H426,基础数据!G:H,2,FALSE)</f>
        <v>SR146Ⅱ大梁</v>
      </c>
    </row>
    <row r="427" spans="1:14" s="12" customFormat="1">
      <c r="A427" s="11">
        <v>1680</v>
      </c>
      <c r="B427" s="13" t="str">
        <f>VLOOKUP(A427,基础数据!A:B,2,FALSE)</f>
        <v>大丰</v>
      </c>
      <c r="C427" s="10">
        <v>44152</v>
      </c>
      <c r="D427" s="9"/>
      <c r="E427" s="11">
        <v>4500074231</v>
      </c>
      <c r="F427" s="9"/>
      <c r="G427" s="11">
        <v>1120002747</v>
      </c>
      <c r="H427" s="9" t="s">
        <v>289</v>
      </c>
      <c r="I427" s="11">
        <v>10</v>
      </c>
      <c r="J427" s="11">
        <v>5860</v>
      </c>
      <c r="K427" s="11">
        <f>I427</f>
        <v>10</v>
      </c>
      <c r="L427" s="10">
        <v>44166</v>
      </c>
      <c r="M427" s="9" t="s">
        <v>1830</v>
      </c>
      <c r="N427" s="13" t="str">
        <f>VLOOKUP(H427,基础数据!G:H,2,FALSE)</f>
        <v>SR146Ⅱ后缘</v>
      </c>
    </row>
    <row r="428" spans="1:14" s="12" customFormat="1">
      <c r="A428" s="11">
        <v>1680</v>
      </c>
      <c r="B428" s="13" t="str">
        <f>VLOOKUP(A428,基础数据!A:B,2,FALSE)</f>
        <v>大丰</v>
      </c>
      <c r="C428" s="10">
        <v>44116</v>
      </c>
      <c r="D428" s="9"/>
      <c r="E428" s="11">
        <v>4500071981</v>
      </c>
      <c r="F428" s="9"/>
      <c r="G428" s="11">
        <v>1120000142</v>
      </c>
      <c r="H428" s="9" t="s">
        <v>11</v>
      </c>
      <c r="I428" s="11"/>
      <c r="J428" s="11">
        <v>1600</v>
      </c>
      <c r="K428" s="11">
        <f>J428</f>
        <v>1600</v>
      </c>
      <c r="L428" s="10">
        <v>44132</v>
      </c>
      <c r="M428" s="9" t="s">
        <v>1831</v>
      </c>
      <c r="N428" s="13" t="str">
        <f>VLOOKUP(H428,基础数据!G:H,2,FALSE)</f>
        <v>TTX1250(60)-2.54-100</v>
      </c>
    </row>
    <row r="429" spans="1:14" s="12" customFormat="1">
      <c r="A429" s="11">
        <v>1680</v>
      </c>
      <c r="B429" s="13" t="str">
        <f>VLOOKUP(A429,基础数据!A:B,2,FALSE)</f>
        <v>大丰</v>
      </c>
      <c r="C429" s="10">
        <v>44127</v>
      </c>
      <c r="D429" s="9"/>
      <c r="E429" s="11">
        <v>4500072694</v>
      </c>
      <c r="F429" s="9"/>
      <c r="G429" s="11">
        <v>1120002326</v>
      </c>
      <c r="H429" s="9" t="s">
        <v>1471</v>
      </c>
      <c r="I429" s="11">
        <v>1</v>
      </c>
      <c r="J429" s="11">
        <v>7560</v>
      </c>
      <c r="K429" s="11">
        <f t="shared" ref="K429:K439" si="10">I429</f>
        <v>1</v>
      </c>
      <c r="L429" s="10">
        <v>44141</v>
      </c>
      <c r="M429" s="9" t="s">
        <v>1832</v>
      </c>
      <c r="N429" s="13" t="str">
        <f>VLOOKUP(H429,基础数据!G:H,2,FALSE)</f>
        <v>SR152Ⅲ大梁</v>
      </c>
    </row>
    <row r="430" spans="1:14" s="12" customFormat="1">
      <c r="A430" s="11">
        <v>1680</v>
      </c>
      <c r="B430" s="13" t="str">
        <f>VLOOKUP(A430,基础数据!A:B,2,FALSE)</f>
        <v>大丰</v>
      </c>
      <c r="C430" s="10">
        <v>44069</v>
      </c>
      <c r="D430" s="9"/>
      <c r="E430" s="9">
        <v>4500067613</v>
      </c>
      <c r="F430" s="9"/>
      <c r="G430" s="11">
        <v>1120002746</v>
      </c>
      <c r="H430" s="9" t="s">
        <v>288</v>
      </c>
      <c r="I430" s="11">
        <v>3</v>
      </c>
      <c r="J430" s="11">
        <v>10512</v>
      </c>
      <c r="K430" s="11">
        <f t="shared" si="10"/>
        <v>3</v>
      </c>
      <c r="L430" s="10">
        <v>44069</v>
      </c>
      <c r="M430" s="9" t="s">
        <v>1833</v>
      </c>
      <c r="N430" s="13" t="str">
        <f>VLOOKUP(H430,基础数据!G:H,2,FALSE)</f>
        <v>SR146Ⅱ大梁</v>
      </c>
    </row>
    <row r="431" spans="1:14" s="12" customFormat="1">
      <c r="A431" s="11">
        <v>1680</v>
      </c>
      <c r="B431" s="13" t="str">
        <f>VLOOKUP(A431,基础数据!A:B,2,FALSE)</f>
        <v>大丰</v>
      </c>
      <c r="C431" s="10">
        <v>44069</v>
      </c>
      <c r="D431" s="9"/>
      <c r="E431" s="9">
        <v>4500067613</v>
      </c>
      <c r="F431" s="9"/>
      <c r="G431" s="11">
        <v>1120002746</v>
      </c>
      <c r="H431" s="9" t="s">
        <v>288</v>
      </c>
      <c r="I431" s="11">
        <v>4</v>
      </c>
      <c r="J431" s="11">
        <v>14016</v>
      </c>
      <c r="K431" s="11">
        <f t="shared" si="10"/>
        <v>4</v>
      </c>
      <c r="L431" s="10">
        <v>44069</v>
      </c>
      <c r="M431" s="9" t="s">
        <v>1834</v>
      </c>
      <c r="N431" s="13" t="str">
        <f>VLOOKUP(H431,基础数据!G:H,2,FALSE)</f>
        <v>SR146Ⅱ大梁</v>
      </c>
    </row>
    <row r="432" spans="1:14" s="12" customFormat="1">
      <c r="A432" s="11">
        <v>1680</v>
      </c>
      <c r="B432" s="13" t="str">
        <f>VLOOKUP(A432,基础数据!A:B,2,FALSE)</f>
        <v>大丰</v>
      </c>
      <c r="C432" s="10">
        <v>44148</v>
      </c>
      <c r="D432" s="9"/>
      <c r="E432" s="11">
        <v>4500074052</v>
      </c>
      <c r="F432" s="9"/>
      <c r="G432" s="11">
        <v>1120001194</v>
      </c>
      <c r="H432" s="9" t="s">
        <v>75</v>
      </c>
      <c r="I432" s="11">
        <v>5</v>
      </c>
      <c r="J432" s="11">
        <v>6405</v>
      </c>
      <c r="K432" s="11">
        <f t="shared" si="10"/>
        <v>5</v>
      </c>
      <c r="L432" s="10">
        <v>44158</v>
      </c>
      <c r="M432" s="9" t="s">
        <v>1835</v>
      </c>
      <c r="N432" s="13" t="str">
        <f>VLOOKUP(H432,基础数据!G:H,2,FALSE)</f>
        <v>WB171I后缘</v>
      </c>
    </row>
    <row r="433" spans="1:14" s="12" customFormat="1">
      <c r="A433" s="11">
        <v>1680</v>
      </c>
      <c r="B433" s="13" t="str">
        <f>VLOOKUP(A433,基础数据!A:B,2,FALSE)</f>
        <v>大丰</v>
      </c>
      <c r="C433" s="10">
        <v>44069</v>
      </c>
      <c r="D433" s="9"/>
      <c r="E433" s="9">
        <v>4500067613</v>
      </c>
      <c r="F433" s="9"/>
      <c r="G433" s="11">
        <v>1120002747</v>
      </c>
      <c r="H433" s="9" t="s">
        <v>289</v>
      </c>
      <c r="I433" s="11">
        <v>4</v>
      </c>
      <c r="J433" s="11">
        <v>2344</v>
      </c>
      <c r="K433" s="11">
        <f t="shared" si="10"/>
        <v>4</v>
      </c>
      <c r="L433" s="10">
        <v>44069</v>
      </c>
      <c r="M433" s="9" t="s">
        <v>1836</v>
      </c>
      <c r="N433" s="13" t="str">
        <f>VLOOKUP(H433,基础数据!G:H,2,FALSE)</f>
        <v>SR146Ⅱ后缘</v>
      </c>
    </row>
    <row r="434" spans="1:14" s="12" customFormat="1">
      <c r="A434" s="11">
        <v>1680</v>
      </c>
      <c r="B434" s="13" t="str">
        <f>VLOOKUP(A434,基础数据!A:B,2,FALSE)</f>
        <v>大丰</v>
      </c>
      <c r="C434" s="10">
        <v>44152</v>
      </c>
      <c r="D434" s="9"/>
      <c r="E434" s="11">
        <v>4500074231</v>
      </c>
      <c r="F434" s="9"/>
      <c r="G434" s="11">
        <v>1120002746</v>
      </c>
      <c r="H434" s="9" t="s">
        <v>288</v>
      </c>
      <c r="I434" s="11">
        <v>4</v>
      </c>
      <c r="J434" s="11">
        <v>14016</v>
      </c>
      <c r="K434" s="11">
        <f t="shared" si="10"/>
        <v>4</v>
      </c>
      <c r="L434" s="10">
        <v>44166</v>
      </c>
      <c r="M434" s="9" t="s">
        <v>1837</v>
      </c>
      <c r="N434" s="13" t="str">
        <f>VLOOKUP(H434,基础数据!G:H,2,FALSE)</f>
        <v>SR146Ⅱ大梁</v>
      </c>
    </row>
    <row r="435" spans="1:14" s="12" customFormat="1">
      <c r="A435" s="11">
        <v>1680</v>
      </c>
      <c r="B435" s="13" t="str">
        <f>VLOOKUP(A435,基础数据!A:B,2,FALSE)</f>
        <v>大丰</v>
      </c>
      <c r="C435" s="10">
        <v>44152</v>
      </c>
      <c r="D435" s="9"/>
      <c r="E435" s="11">
        <v>4500074231</v>
      </c>
      <c r="F435" s="9"/>
      <c r="G435" s="11">
        <v>1120002904</v>
      </c>
      <c r="H435" s="9" t="s">
        <v>1073</v>
      </c>
      <c r="I435" s="11">
        <v>4</v>
      </c>
      <c r="J435" s="11">
        <v>2008</v>
      </c>
      <c r="K435" s="11">
        <f t="shared" si="10"/>
        <v>4</v>
      </c>
      <c r="L435" s="10">
        <v>44166</v>
      </c>
      <c r="M435" s="9" t="s">
        <v>1838</v>
      </c>
      <c r="N435" s="13" t="str">
        <f>VLOOKUP(H435,基础数据!G:H,2,FALSE)</f>
        <v>SR146Ⅱ腹板套裁</v>
      </c>
    </row>
    <row r="436" spans="1:14" s="12" customFormat="1">
      <c r="A436" s="11">
        <v>1680</v>
      </c>
      <c r="B436" s="13" t="str">
        <f>VLOOKUP(A436,基础数据!A:B,2,FALSE)</f>
        <v>大丰</v>
      </c>
      <c r="C436" s="10">
        <v>44152</v>
      </c>
      <c r="D436" s="9"/>
      <c r="E436" s="11">
        <v>4500074231</v>
      </c>
      <c r="F436" s="9"/>
      <c r="G436" s="11">
        <v>1120002905</v>
      </c>
      <c r="H436" s="9" t="s">
        <v>1074</v>
      </c>
      <c r="I436" s="11">
        <v>4</v>
      </c>
      <c r="J436" s="11">
        <v>9896</v>
      </c>
      <c r="K436" s="11">
        <f t="shared" si="10"/>
        <v>4</v>
      </c>
      <c r="L436" s="10">
        <v>44166</v>
      </c>
      <c r="M436" s="9" t="s">
        <v>1838</v>
      </c>
      <c r="N436" s="13" t="str">
        <f>VLOOKUP(H436,基础数据!G:H,2,FALSE)</f>
        <v>SR146Ⅱ壳体套裁</v>
      </c>
    </row>
    <row r="437" spans="1:14" s="12" customFormat="1">
      <c r="A437" s="11">
        <v>1680</v>
      </c>
      <c r="B437" s="13" t="str">
        <f>VLOOKUP(A437,基础数据!A:B,2,FALSE)</f>
        <v>大丰</v>
      </c>
      <c r="C437" s="10">
        <v>44069</v>
      </c>
      <c r="D437" s="9"/>
      <c r="E437" s="9">
        <v>4500067613</v>
      </c>
      <c r="F437" s="9"/>
      <c r="G437" s="11">
        <v>1120002746</v>
      </c>
      <c r="H437" s="9" t="s">
        <v>288</v>
      </c>
      <c r="I437" s="11">
        <f>85-3-2-2-2-2-2-2-2-2-3-1-1-3-3-1-3-3-4-4-4-2-4-2-2-4-3-1-3-3-1-2-3-4</f>
        <v>2</v>
      </c>
      <c r="J437" s="11">
        <f>297840-10512-7008-7008-7008-7008-7008-7008-7008-7008-10512-3504-3504-10512-10512-3504-10512-10512-14016-14016-14016-7008-14016-7008-7008-14016-10512-3504-10512-10512-3504-7008-10512-14016</f>
        <v>7008</v>
      </c>
      <c r="K437" s="11">
        <f t="shared" si="10"/>
        <v>2</v>
      </c>
      <c r="L437" s="10">
        <v>44069</v>
      </c>
      <c r="M437" s="9" t="s">
        <v>1839</v>
      </c>
      <c r="N437" s="13" t="str">
        <f>VLOOKUP(H437,基础数据!G:H,2,FALSE)</f>
        <v>SR146Ⅱ大梁</v>
      </c>
    </row>
    <row r="438" spans="1:14" s="12" customFormat="1">
      <c r="A438" s="11">
        <v>1680</v>
      </c>
      <c r="B438" s="13" t="str">
        <f>VLOOKUP(A438,基础数据!A:B,2,FALSE)</f>
        <v>大丰</v>
      </c>
      <c r="C438" s="10">
        <v>44139</v>
      </c>
      <c r="D438" s="9"/>
      <c r="E438" s="11">
        <v>4500073425</v>
      </c>
      <c r="F438" s="9"/>
      <c r="G438" s="11">
        <v>1120002746</v>
      </c>
      <c r="H438" s="9" t="s">
        <v>288</v>
      </c>
      <c r="I438" s="11">
        <v>0.5</v>
      </c>
      <c r="J438" s="11">
        <v>1638</v>
      </c>
      <c r="K438" s="11">
        <f t="shared" si="10"/>
        <v>0.5</v>
      </c>
      <c r="L438" s="10">
        <v>44139</v>
      </c>
      <c r="M438" s="9" t="s">
        <v>1840</v>
      </c>
      <c r="N438" s="13" t="str">
        <f>VLOOKUP(H438,基础数据!G:H,2,FALSE)</f>
        <v>SR146Ⅱ大梁</v>
      </c>
    </row>
    <row r="439" spans="1:14" s="12" customFormat="1">
      <c r="A439" s="11">
        <v>1680</v>
      </c>
      <c r="B439" s="13" t="str">
        <f>VLOOKUP(A439,基础数据!A:B,2,FALSE)</f>
        <v>大丰</v>
      </c>
      <c r="C439" s="10">
        <v>44152</v>
      </c>
      <c r="D439" s="9"/>
      <c r="E439" s="11">
        <v>4500074231</v>
      </c>
      <c r="F439" s="9"/>
      <c r="G439" s="11">
        <v>1120002746</v>
      </c>
      <c r="H439" s="9" t="s">
        <v>288</v>
      </c>
      <c r="I439" s="11">
        <v>2</v>
      </c>
      <c r="J439" s="11">
        <v>7008</v>
      </c>
      <c r="K439" s="11">
        <f t="shared" si="10"/>
        <v>2</v>
      </c>
      <c r="L439" s="10">
        <v>44166</v>
      </c>
      <c r="M439" s="9" t="s">
        <v>1841</v>
      </c>
      <c r="N439" s="13" t="str">
        <f>VLOOKUP(H439,基础数据!G:H,2,FALSE)</f>
        <v>SR146Ⅱ大梁</v>
      </c>
    </row>
    <row r="440" spans="1:14" s="12" customFormat="1">
      <c r="A440" s="11">
        <v>1680</v>
      </c>
      <c r="B440" s="13" t="str">
        <f>VLOOKUP(A440,基础数据!A:B,2,FALSE)</f>
        <v>大丰</v>
      </c>
      <c r="C440" s="10">
        <v>44116</v>
      </c>
      <c r="D440" s="9"/>
      <c r="E440" s="11">
        <v>4500071981</v>
      </c>
      <c r="F440" s="9"/>
      <c r="G440" s="11">
        <v>1120000142</v>
      </c>
      <c r="H440" s="9" t="s">
        <v>11</v>
      </c>
      <c r="I440" s="11"/>
      <c r="J440" s="11">
        <v>16000</v>
      </c>
      <c r="K440" s="11">
        <f>J440</f>
        <v>16000</v>
      </c>
      <c r="L440" s="10">
        <v>44132</v>
      </c>
      <c r="M440" s="9" t="s">
        <v>1842</v>
      </c>
      <c r="N440" s="13" t="str">
        <f>VLOOKUP(H440,基础数据!G:H,2,FALSE)</f>
        <v>TTX1250(60)-2.54-100</v>
      </c>
    </row>
    <row r="441" spans="1:14" s="12" customFormat="1">
      <c r="A441" s="11">
        <v>1680</v>
      </c>
      <c r="B441" s="13" t="str">
        <f>VLOOKUP(A441,基础数据!A:B,2,FALSE)</f>
        <v>大丰</v>
      </c>
      <c r="C441" s="10">
        <v>44098</v>
      </c>
      <c r="D441" s="9"/>
      <c r="E441" s="11">
        <v>4500071166</v>
      </c>
      <c r="F441" s="9"/>
      <c r="G441" s="11">
        <v>1120000145</v>
      </c>
      <c r="H441" s="9" t="s">
        <v>95</v>
      </c>
      <c r="I441" s="11"/>
      <c r="J441" s="11">
        <f>16006-2842-1555-5592</f>
        <v>6017</v>
      </c>
      <c r="K441" s="11">
        <f>J441</f>
        <v>6017</v>
      </c>
      <c r="L441" s="10">
        <v>44114</v>
      </c>
      <c r="M441" s="9" t="s">
        <v>1845</v>
      </c>
      <c r="N441" s="13" t="str">
        <f>VLOOKUP(H441,基础数据!G:H,2,FALSE)</f>
        <v>TTX1215(45)-2.54-100</v>
      </c>
    </row>
    <row r="442" spans="1:14" s="12" customFormat="1">
      <c r="A442" s="11">
        <v>1680</v>
      </c>
      <c r="B442" s="13" t="str">
        <f>VLOOKUP(A442,基础数据!A:B,2,FALSE)</f>
        <v>大丰</v>
      </c>
      <c r="C442" s="10">
        <v>44158</v>
      </c>
      <c r="D442" s="9"/>
      <c r="E442" s="11">
        <v>4500074599</v>
      </c>
      <c r="F442" s="9"/>
      <c r="G442" s="11">
        <v>1120000145</v>
      </c>
      <c r="H442" s="9" t="s">
        <v>95</v>
      </c>
      <c r="I442" s="11"/>
      <c r="J442" s="11">
        <v>1524</v>
      </c>
      <c r="K442" s="11">
        <f>J442</f>
        <v>1524</v>
      </c>
      <c r="L442" s="10">
        <v>44162</v>
      </c>
      <c r="M442" s="9" t="s">
        <v>1844</v>
      </c>
      <c r="N442" s="13" t="str">
        <f>VLOOKUP(H442,基础数据!G:H,2,FALSE)</f>
        <v>TTX1215(45)-2.54-100</v>
      </c>
    </row>
    <row r="443" spans="1:14" s="12" customFormat="1">
      <c r="A443" s="11">
        <v>1680</v>
      </c>
      <c r="B443" s="13" t="str">
        <f>VLOOKUP(A443,基础数据!A:B,2,FALSE)</f>
        <v>大丰</v>
      </c>
      <c r="C443" s="10">
        <v>44158</v>
      </c>
      <c r="D443" s="9"/>
      <c r="E443" s="11">
        <v>4500074599</v>
      </c>
      <c r="F443" s="9"/>
      <c r="G443" s="11">
        <v>1120002854</v>
      </c>
      <c r="H443" s="9" t="s">
        <v>94</v>
      </c>
      <c r="I443" s="11"/>
      <c r="J443" s="11">
        <v>762</v>
      </c>
      <c r="K443" s="11">
        <f>J443</f>
        <v>762</v>
      </c>
      <c r="L443" s="10">
        <v>44162</v>
      </c>
      <c r="M443" s="9" t="s">
        <v>1843</v>
      </c>
      <c r="N443" s="13" t="str">
        <f>VLOOKUP(H443,基础数据!G:H,2,FALSE)</f>
        <v>TLX1215-2.54-100</v>
      </c>
    </row>
    <row r="444" spans="1:14" s="12" customFormat="1">
      <c r="A444" s="11">
        <v>1680</v>
      </c>
      <c r="B444" s="13" t="str">
        <f>VLOOKUP(A444,基础数据!A:B,2,FALSE)</f>
        <v>大丰</v>
      </c>
      <c r="C444" s="10">
        <v>44152</v>
      </c>
      <c r="D444" s="9"/>
      <c r="E444" s="11">
        <v>4500074231</v>
      </c>
      <c r="F444" s="9"/>
      <c r="G444" s="11">
        <v>1120002904</v>
      </c>
      <c r="H444" s="9" t="s">
        <v>1073</v>
      </c>
      <c r="I444" s="11">
        <v>4</v>
      </c>
      <c r="J444" s="11">
        <v>2008</v>
      </c>
      <c r="K444" s="11">
        <f t="shared" ref="K444:K460" si="11">I444</f>
        <v>4</v>
      </c>
      <c r="L444" s="10">
        <v>44166</v>
      </c>
      <c r="M444" s="9" t="s">
        <v>1846</v>
      </c>
      <c r="N444" s="13" t="str">
        <f>VLOOKUP(H444,基础数据!G:H,2,FALSE)</f>
        <v>SR146Ⅱ腹板套裁</v>
      </c>
    </row>
    <row r="445" spans="1:14" s="12" customFormat="1">
      <c r="A445" s="11">
        <v>1680</v>
      </c>
      <c r="B445" s="13" t="str">
        <f>VLOOKUP(A445,基础数据!A:B,2,FALSE)</f>
        <v>大丰</v>
      </c>
      <c r="C445" s="10">
        <v>44152</v>
      </c>
      <c r="D445" s="9"/>
      <c r="E445" s="11">
        <v>4500074231</v>
      </c>
      <c r="F445" s="9"/>
      <c r="G445" s="11">
        <v>1120002905</v>
      </c>
      <c r="H445" s="9" t="s">
        <v>1074</v>
      </c>
      <c r="I445" s="11">
        <v>4</v>
      </c>
      <c r="J445" s="11">
        <v>9896</v>
      </c>
      <c r="K445" s="11">
        <f t="shared" si="11"/>
        <v>4</v>
      </c>
      <c r="L445" s="10">
        <v>44166</v>
      </c>
      <c r="M445" s="9" t="s">
        <v>1846</v>
      </c>
      <c r="N445" s="13" t="str">
        <f>VLOOKUP(H445,基础数据!G:H,2,FALSE)</f>
        <v>SR146Ⅱ壳体套裁</v>
      </c>
    </row>
    <row r="446" spans="1:14" s="12" customFormat="1">
      <c r="A446" s="11">
        <v>1680</v>
      </c>
      <c r="B446" s="13" t="str">
        <f>VLOOKUP(A446,基础数据!A:B,2,FALSE)</f>
        <v>大丰</v>
      </c>
      <c r="C446" s="10">
        <v>44152</v>
      </c>
      <c r="D446" s="9"/>
      <c r="E446" s="11">
        <v>4500074231</v>
      </c>
      <c r="F446" s="9"/>
      <c r="G446" s="11">
        <v>1120002746</v>
      </c>
      <c r="H446" s="9" t="s">
        <v>288</v>
      </c>
      <c r="I446" s="11">
        <v>4</v>
      </c>
      <c r="J446" s="11">
        <v>14016</v>
      </c>
      <c r="K446" s="11">
        <f t="shared" si="11"/>
        <v>4</v>
      </c>
      <c r="L446" s="10">
        <v>44166</v>
      </c>
      <c r="M446" s="9" t="s">
        <v>1847</v>
      </c>
      <c r="N446" s="13" t="str">
        <f>VLOOKUP(H446,基础数据!G:H,2,FALSE)</f>
        <v>SR146Ⅱ大梁</v>
      </c>
    </row>
    <row r="447" spans="1:14" s="12" customFormat="1">
      <c r="A447" s="11">
        <v>1680</v>
      </c>
      <c r="B447" s="13" t="str">
        <f>VLOOKUP(A447,基础数据!A:B,2,FALSE)</f>
        <v>大丰</v>
      </c>
      <c r="C447" s="10">
        <v>44152</v>
      </c>
      <c r="D447" s="9"/>
      <c r="E447" s="11">
        <v>4500074235</v>
      </c>
      <c r="F447" s="9"/>
      <c r="G447" s="11">
        <v>1120001194</v>
      </c>
      <c r="H447" s="9" t="s">
        <v>75</v>
      </c>
      <c r="I447" s="11">
        <v>5</v>
      </c>
      <c r="J447" s="11">
        <v>6405</v>
      </c>
      <c r="K447" s="11">
        <f t="shared" si="11"/>
        <v>5</v>
      </c>
      <c r="L447" s="10">
        <v>44166</v>
      </c>
      <c r="M447" s="9" t="s">
        <v>1848</v>
      </c>
      <c r="N447" s="13" t="str">
        <f>VLOOKUP(H447,基础数据!G:H,2,FALSE)</f>
        <v>WB171I后缘</v>
      </c>
    </row>
    <row r="448" spans="1:14" s="12" customFormat="1">
      <c r="A448" s="11">
        <v>1680</v>
      </c>
      <c r="B448" s="13" t="str">
        <f>VLOOKUP(A448,基础数据!A:B,2,FALSE)</f>
        <v>大丰</v>
      </c>
      <c r="C448" s="10">
        <v>44069</v>
      </c>
      <c r="D448" s="9"/>
      <c r="E448" s="9">
        <v>4500067613</v>
      </c>
      <c r="F448" s="9"/>
      <c r="G448" s="11">
        <v>1120002747</v>
      </c>
      <c r="H448" s="9" t="s">
        <v>289</v>
      </c>
      <c r="I448" s="11">
        <f>72-4-5-4-2-4-9-4-2-5-2-2-2-6-6-6-4</f>
        <v>5</v>
      </c>
      <c r="J448" s="11">
        <f>42192-2344-2930-2344-1172-2344-5274-2344-1172-2930-1172-1172-1172-3516-3516-3516-2344</f>
        <v>2930</v>
      </c>
      <c r="K448" s="11">
        <f t="shared" si="11"/>
        <v>5</v>
      </c>
      <c r="L448" s="10">
        <v>44069</v>
      </c>
      <c r="M448" s="9" t="s">
        <v>1851</v>
      </c>
      <c r="N448" s="13" t="str">
        <f>VLOOKUP(H448,基础数据!G:H,2,FALSE)</f>
        <v>SR146Ⅱ后缘</v>
      </c>
    </row>
    <row r="449" spans="1:14" s="12" customFormat="1">
      <c r="A449" s="11">
        <v>1680</v>
      </c>
      <c r="B449" s="13" t="str">
        <f>VLOOKUP(A449,基础数据!A:B,2,FALSE)</f>
        <v>大丰</v>
      </c>
      <c r="C449" s="10">
        <v>44152</v>
      </c>
      <c r="D449" s="9"/>
      <c r="E449" s="11">
        <v>4500074231</v>
      </c>
      <c r="F449" s="9"/>
      <c r="G449" s="11">
        <v>1120002747</v>
      </c>
      <c r="H449" s="9" t="s">
        <v>289</v>
      </c>
      <c r="I449" s="11">
        <v>1</v>
      </c>
      <c r="J449" s="11">
        <v>586</v>
      </c>
      <c r="K449" s="11">
        <f t="shared" si="11"/>
        <v>1</v>
      </c>
      <c r="L449" s="10">
        <v>44166</v>
      </c>
      <c r="M449" s="9" t="s">
        <v>1850</v>
      </c>
      <c r="N449" s="13" t="str">
        <f>VLOOKUP(H449,基础数据!G:H,2,FALSE)</f>
        <v>SR146Ⅱ后缘</v>
      </c>
    </row>
    <row r="450" spans="1:14" s="12" customFormat="1">
      <c r="A450" s="11">
        <v>1680</v>
      </c>
      <c r="B450" s="13" t="str">
        <f>VLOOKUP(A450,基础数据!A:B,2,FALSE)</f>
        <v>大丰</v>
      </c>
      <c r="C450" s="10">
        <v>44152</v>
      </c>
      <c r="D450" s="9"/>
      <c r="E450" s="11">
        <v>4500074231</v>
      </c>
      <c r="F450" s="9"/>
      <c r="G450" s="11">
        <v>1120002746</v>
      </c>
      <c r="H450" s="9" t="s">
        <v>288</v>
      </c>
      <c r="I450" s="11">
        <v>1</v>
      </c>
      <c r="J450" s="11">
        <v>3504</v>
      </c>
      <c r="K450" s="11">
        <f t="shared" si="11"/>
        <v>1</v>
      </c>
      <c r="L450" s="10">
        <v>44166</v>
      </c>
      <c r="M450" s="9" t="s">
        <v>1849</v>
      </c>
      <c r="N450" s="13" t="str">
        <f>VLOOKUP(H450,基础数据!G:H,2,FALSE)</f>
        <v>SR146Ⅱ大梁</v>
      </c>
    </row>
    <row r="451" spans="1:14" s="12" customFormat="1">
      <c r="A451" s="11">
        <v>1680</v>
      </c>
      <c r="B451" s="13" t="str">
        <f>VLOOKUP(A451,基础数据!A:B,2,FALSE)</f>
        <v>大丰</v>
      </c>
      <c r="C451" s="10">
        <v>44152</v>
      </c>
      <c r="D451" s="9"/>
      <c r="E451" s="11">
        <v>4500074231</v>
      </c>
      <c r="F451" s="9"/>
      <c r="G451" s="11">
        <v>1120002746</v>
      </c>
      <c r="H451" s="9" t="s">
        <v>288</v>
      </c>
      <c r="I451" s="11">
        <v>4</v>
      </c>
      <c r="J451" s="11">
        <v>14016</v>
      </c>
      <c r="K451" s="11">
        <f t="shared" si="11"/>
        <v>4</v>
      </c>
      <c r="L451" s="10">
        <v>44166</v>
      </c>
      <c r="M451" s="9" t="s">
        <v>1854</v>
      </c>
      <c r="N451" s="13" t="str">
        <f>VLOOKUP(H451,基础数据!G:H,2,FALSE)</f>
        <v>SR146Ⅱ大梁</v>
      </c>
    </row>
    <row r="452" spans="1:14" s="12" customFormat="1">
      <c r="A452" s="11">
        <v>1680</v>
      </c>
      <c r="B452" s="13" t="str">
        <f>VLOOKUP(A452,基础数据!A:B,2,FALSE)</f>
        <v>大丰</v>
      </c>
      <c r="C452" s="10">
        <v>44152</v>
      </c>
      <c r="D452" s="9"/>
      <c r="E452" s="11">
        <v>4500074231</v>
      </c>
      <c r="F452" s="9"/>
      <c r="G452" s="11">
        <v>1120002746</v>
      </c>
      <c r="H452" s="9" t="s">
        <v>288</v>
      </c>
      <c r="I452" s="11">
        <v>4</v>
      </c>
      <c r="J452" s="11">
        <v>14016</v>
      </c>
      <c r="K452" s="11">
        <f t="shared" si="11"/>
        <v>4</v>
      </c>
      <c r="L452" s="10">
        <v>44166</v>
      </c>
      <c r="M452" s="9" t="s">
        <v>1855</v>
      </c>
      <c r="N452" s="13" t="str">
        <f>VLOOKUP(H452,基础数据!G:H,2,FALSE)</f>
        <v>SR146Ⅱ大梁</v>
      </c>
    </row>
    <row r="453" spans="1:14" s="12" customFormat="1">
      <c r="A453" s="11">
        <v>1680</v>
      </c>
      <c r="B453" s="13" t="str">
        <f>VLOOKUP(A453,基础数据!A:B,2,FALSE)</f>
        <v>大丰</v>
      </c>
      <c r="C453" s="10">
        <v>44152</v>
      </c>
      <c r="D453" s="9"/>
      <c r="E453" s="11">
        <v>4500074231</v>
      </c>
      <c r="F453" s="9"/>
      <c r="G453" s="11">
        <v>1120002747</v>
      </c>
      <c r="H453" s="9" t="s">
        <v>289</v>
      </c>
      <c r="I453" s="11">
        <v>3</v>
      </c>
      <c r="J453" s="11">
        <v>1758</v>
      </c>
      <c r="K453" s="11">
        <f t="shared" si="11"/>
        <v>3</v>
      </c>
      <c r="L453" s="10">
        <v>44166</v>
      </c>
      <c r="M453" s="9" t="s">
        <v>1856</v>
      </c>
      <c r="N453" s="13" t="str">
        <f>VLOOKUP(H453,基础数据!G:H,2,FALSE)</f>
        <v>SR146Ⅱ后缘</v>
      </c>
    </row>
    <row r="454" spans="1:14" s="12" customFormat="1">
      <c r="A454" s="11">
        <v>1680</v>
      </c>
      <c r="B454" s="13" t="str">
        <f>VLOOKUP(A454,基础数据!A:B,2,FALSE)</f>
        <v>大丰</v>
      </c>
      <c r="C454" s="10">
        <v>44127</v>
      </c>
      <c r="D454" s="9"/>
      <c r="E454" s="11">
        <v>4500072694</v>
      </c>
      <c r="F454" s="9"/>
      <c r="G454" s="11">
        <v>1120002325</v>
      </c>
      <c r="H454" s="9" t="s">
        <v>1470</v>
      </c>
      <c r="I454" s="11">
        <v>2</v>
      </c>
      <c r="J454" s="11">
        <v>3238</v>
      </c>
      <c r="K454" s="11">
        <f t="shared" si="11"/>
        <v>2</v>
      </c>
      <c r="L454" s="10">
        <v>44141</v>
      </c>
      <c r="M454" s="9" t="s">
        <v>1857</v>
      </c>
      <c r="N454" s="13" t="str">
        <f>VLOOKUP(H454,基础数据!G:H,2,FALSE)</f>
        <v>SR152Ⅲ后缘</v>
      </c>
    </row>
    <row r="455" spans="1:14" s="12" customFormat="1">
      <c r="A455" s="11">
        <v>1680</v>
      </c>
      <c r="B455" s="13" t="str">
        <f>VLOOKUP(A455,基础数据!A:B,2,FALSE)</f>
        <v>大丰</v>
      </c>
      <c r="C455" s="10">
        <v>44145</v>
      </c>
      <c r="D455" s="9"/>
      <c r="E455" s="11">
        <v>2011060119</v>
      </c>
      <c r="F455" s="9"/>
      <c r="G455" s="11">
        <v>1120003060</v>
      </c>
      <c r="H455" s="9" t="s">
        <v>1626</v>
      </c>
      <c r="I455" s="11">
        <v>2</v>
      </c>
      <c r="J455" s="11">
        <v>832.21</v>
      </c>
      <c r="K455" s="11">
        <f t="shared" si="11"/>
        <v>2</v>
      </c>
      <c r="L455" s="10">
        <v>44180</v>
      </c>
      <c r="M455" s="9" t="s">
        <v>1858</v>
      </c>
      <c r="N455" s="13" t="str">
        <f>VLOOKUP(H455,基础数据!G:H,2,FALSE)</f>
        <v>SR210大梁尖部</v>
      </c>
    </row>
    <row r="456" spans="1:14" s="12" customFormat="1">
      <c r="A456" s="11">
        <v>1680</v>
      </c>
      <c r="B456" s="13" t="str">
        <f>VLOOKUP(A456,基础数据!A:B,2,FALSE)</f>
        <v>大丰</v>
      </c>
      <c r="C456" s="10">
        <v>44145</v>
      </c>
      <c r="D456" s="9"/>
      <c r="E456" s="11">
        <v>2011060119</v>
      </c>
      <c r="F456" s="9"/>
      <c r="G456" s="11">
        <v>1120003105</v>
      </c>
      <c r="H456" s="9" t="s">
        <v>1627</v>
      </c>
      <c r="I456" s="11">
        <v>2</v>
      </c>
      <c r="J456" s="11">
        <v>2433.04</v>
      </c>
      <c r="K456" s="11">
        <f t="shared" si="11"/>
        <v>2</v>
      </c>
      <c r="L456" s="10">
        <v>44180</v>
      </c>
      <c r="M456" s="9" t="s">
        <v>1859</v>
      </c>
      <c r="N456" s="13" t="str">
        <f>VLOOKUP(H456,基础数据!G:H,2,FALSE)</f>
        <v>SR210辅梁</v>
      </c>
    </row>
    <row r="457" spans="1:14" s="12" customFormat="1">
      <c r="A457" s="11">
        <v>1680</v>
      </c>
      <c r="B457" s="13" t="str">
        <f>VLOOKUP(A457,基础数据!A:B,2,FALSE)</f>
        <v>大丰</v>
      </c>
      <c r="C457" s="10">
        <v>44145</v>
      </c>
      <c r="D457" s="9"/>
      <c r="E457" s="11">
        <v>2011060119</v>
      </c>
      <c r="F457" s="9"/>
      <c r="G457" s="11">
        <v>1120003106</v>
      </c>
      <c r="H457" s="9" t="s">
        <v>1628</v>
      </c>
      <c r="I457" s="11">
        <v>2</v>
      </c>
      <c r="J457" s="11">
        <v>5583.17</v>
      </c>
      <c r="K457" s="11">
        <f t="shared" si="11"/>
        <v>2</v>
      </c>
      <c r="L457" s="10">
        <v>44180</v>
      </c>
      <c r="M457" s="9" t="s">
        <v>1859</v>
      </c>
      <c r="N457" s="13" t="str">
        <f>VLOOKUP(H457,基础数据!G:H,2,FALSE)</f>
        <v>SR210后缘</v>
      </c>
    </row>
    <row r="458" spans="1:14" s="12" customFormat="1">
      <c r="A458" s="11">
        <v>1680</v>
      </c>
      <c r="B458" s="13" t="str">
        <f>VLOOKUP(A458,基础数据!A:B,2,FALSE)</f>
        <v>大丰</v>
      </c>
      <c r="C458" s="10">
        <v>44145</v>
      </c>
      <c r="D458" s="9"/>
      <c r="E458" s="11">
        <v>2011060119</v>
      </c>
      <c r="F458" s="9"/>
      <c r="G458" s="11">
        <v>1120003061</v>
      </c>
      <c r="H458" s="9" t="s">
        <v>1629</v>
      </c>
      <c r="I458" s="11">
        <v>2</v>
      </c>
      <c r="J458" s="11">
        <v>12450.74</v>
      </c>
      <c r="K458" s="11">
        <f t="shared" si="11"/>
        <v>2</v>
      </c>
      <c r="L458" s="10">
        <v>44180</v>
      </c>
      <c r="M458" s="9" t="s">
        <v>1860</v>
      </c>
      <c r="N458" s="13" t="str">
        <f>VLOOKUP(H458,基础数据!G:H,2,FALSE)</f>
        <v>SR210大梁SS</v>
      </c>
    </row>
    <row r="459" spans="1:14" s="12" customFormat="1">
      <c r="A459" s="11">
        <v>1680</v>
      </c>
      <c r="B459" s="13" t="str">
        <f>VLOOKUP(A459,基础数据!A:B,2,FALSE)</f>
        <v>大丰</v>
      </c>
      <c r="C459" s="10">
        <v>44152</v>
      </c>
      <c r="D459" s="9"/>
      <c r="E459" s="11">
        <v>4500074235</v>
      </c>
      <c r="F459" s="9"/>
      <c r="G459" s="11">
        <v>1120001194</v>
      </c>
      <c r="H459" s="9" t="s">
        <v>75</v>
      </c>
      <c r="I459" s="11">
        <v>5</v>
      </c>
      <c r="J459" s="11">
        <v>6405</v>
      </c>
      <c r="K459" s="11">
        <f t="shared" si="11"/>
        <v>5</v>
      </c>
      <c r="L459" s="10">
        <v>44166</v>
      </c>
      <c r="M459" s="9" t="s">
        <v>1865</v>
      </c>
      <c r="N459" s="13" t="str">
        <f>VLOOKUP(H459,基础数据!G:H,2,FALSE)</f>
        <v>WB171I后缘</v>
      </c>
    </row>
    <row r="460" spans="1:14" s="12" customFormat="1">
      <c r="A460" s="11">
        <v>1680</v>
      </c>
      <c r="B460" s="13" t="str">
        <f>VLOOKUP(A460,基础数据!A:B,2,FALSE)</f>
        <v>大丰</v>
      </c>
      <c r="C460" s="10">
        <v>44152</v>
      </c>
      <c r="D460" s="9"/>
      <c r="E460" s="11">
        <v>4500074231</v>
      </c>
      <c r="F460" s="9"/>
      <c r="G460" s="11">
        <v>1120002747</v>
      </c>
      <c r="H460" s="9" t="s">
        <v>289</v>
      </c>
      <c r="I460" s="11">
        <v>4</v>
      </c>
      <c r="J460" s="11">
        <v>2344</v>
      </c>
      <c r="K460" s="11">
        <f t="shared" si="11"/>
        <v>4</v>
      </c>
      <c r="L460" s="10">
        <v>44166</v>
      </c>
      <c r="M460" s="9" t="s">
        <v>1868</v>
      </c>
      <c r="N460" s="13" t="str">
        <f>VLOOKUP(H460,基础数据!G:H,2,FALSE)</f>
        <v>SR146Ⅱ后缘</v>
      </c>
    </row>
    <row r="461" spans="1:14" s="12" customFormat="1">
      <c r="A461" s="11">
        <v>1680</v>
      </c>
      <c r="B461" s="13" t="str">
        <f>VLOOKUP(A461,基础数据!A:B,2,FALSE)</f>
        <v>大丰</v>
      </c>
      <c r="C461" s="10">
        <v>44116</v>
      </c>
      <c r="D461" s="9"/>
      <c r="E461" s="11">
        <v>4500071981</v>
      </c>
      <c r="F461" s="9"/>
      <c r="G461" s="11">
        <v>1120000142</v>
      </c>
      <c r="H461" s="9" t="s">
        <v>11</v>
      </c>
      <c r="I461" s="11"/>
      <c r="J461" s="11">
        <f>42311-5348-7052-4800-4800-1600-1600-16000</f>
        <v>1111</v>
      </c>
      <c r="K461" s="11">
        <f>J461</f>
        <v>1111</v>
      </c>
      <c r="L461" s="10">
        <v>44132</v>
      </c>
      <c r="M461" s="9" t="s">
        <v>1870</v>
      </c>
      <c r="N461" s="13" t="str">
        <f>VLOOKUP(H461,基础数据!G:H,2,FALSE)</f>
        <v>TTX1250(60)-2.54-100</v>
      </c>
    </row>
    <row r="462" spans="1:14" s="12" customFormat="1">
      <c r="A462" s="11">
        <v>1680</v>
      </c>
      <c r="B462" s="13" t="str">
        <f>VLOOKUP(A462,基础数据!A:B,2,FALSE)</f>
        <v>大丰</v>
      </c>
      <c r="C462" s="10">
        <v>44141</v>
      </c>
      <c r="D462" s="9"/>
      <c r="E462" s="11">
        <v>4500073568</v>
      </c>
      <c r="F462" s="9"/>
      <c r="G462" s="11">
        <v>1120000142</v>
      </c>
      <c r="H462" s="9" t="s">
        <v>11</v>
      </c>
      <c r="I462" s="11"/>
      <c r="J462" s="11">
        <v>8489</v>
      </c>
      <c r="K462" s="11">
        <f>J462</f>
        <v>8489</v>
      </c>
      <c r="L462" s="10">
        <v>44147</v>
      </c>
      <c r="M462" s="9" t="s">
        <v>1869</v>
      </c>
      <c r="N462" s="13" t="str">
        <f>VLOOKUP(H462,基础数据!G:H,2,FALSE)</f>
        <v>TTX1250(60)-2.54-100</v>
      </c>
    </row>
    <row r="463" spans="1:14" s="12" customFormat="1">
      <c r="A463" s="11">
        <v>1680</v>
      </c>
      <c r="B463" s="13" t="str">
        <f>VLOOKUP(A463,基础数据!A:B,2,FALSE)</f>
        <v>大丰</v>
      </c>
      <c r="C463" s="10">
        <v>44152</v>
      </c>
      <c r="D463" s="9"/>
      <c r="E463" s="11">
        <v>4500074231</v>
      </c>
      <c r="F463" s="9"/>
      <c r="G463" s="11">
        <v>1120002746</v>
      </c>
      <c r="H463" s="9" t="s">
        <v>288</v>
      </c>
      <c r="I463" s="11">
        <v>2</v>
      </c>
      <c r="J463" s="11">
        <v>7008</v>
      </c>
      <c r="K463" s="11">
        <f>I463</f>
        <v>2</v>
      </c>
      <c r="L463" s="10">
        <v>44166</v>
      </c>
      <c r="M463" s="9" t="s">
        <v>1871</v>
      </c>
      <c r="N463" s="13" t="str">
        <f>VLOOKUP(H463,基础数据!G:H,2,FALSE)</f>
        <v>SR146Ⅱ大梁</v>
      </c>
    </row>
    <row r="464" spans="1:14" s="12" customFormat="1">
      <c r="A464" s="11">
        <v>1680</v>
      </c>
      <c r="B464" s="13" t="str">
        <f>VLOOKUP(A464,基础数据!A:B,2,FALSE)</f>
        <v>大丰</v>
      </c>
      <c r="C464" s="10">
        <v>44152</v>
      </c>
      <c r="D464" s="9"/>
      <c r="E464" s="11">
        <v>4500074231</v>
      </c>
      <c r="F464" s="9"/>
      <c r="G464" s="11">
        <v>1120002746</v>
      </c>
      <c r="H464" s="9" t="s">
        <v>288</v>
      </c>
      <c r="I464" s="11">
        <v>2</v>
      </c>
      <c r="J464" s="11">
        <v>7008</v>
      </c>
      <c r="K464" s="11">
        <f>I464</f>
        <v>2</v>
      </c>
      <c r="L464" s="10">
        <v>44166</v>
      </c>
      <c r="M464" s="9" t="s">
        <v>1872</v>
      </c>
      <c r="N464" s="13" t="str">
        <f>VLOOKUP(H464,基础数据!G:H,2,FALSE)</f>
        <v>SR146Ⅱ大梁</v>
      </c>
    </row>
    <row r="465" spans="1:14" s="12" customFormat="1">
      <c r="A465" s="11">
        <v>1680</v>
      </c>
      <c r="B465" s="13" t="str">
        <f>VLOOKUP(A465,基础数据!A:B,2,FALSE)</f>
        <v>大丰</v>
      </c>
      <c r="C465" s="10">
        <v>44152</v>
      </c>
      <c r="D465" s="9"/>
      <c r="E465" s="11">
        <v>4500074231</v>
      </c>
      <c r="F465" s="9"/>
      <c r="G465" s="11">
        <v>1120002904</v>
      </c>
      <c r="H465" s="9" t="s">
        <v>1073</v>
      </c>
      <c r="I465" s="11">
        <f>20-4-4-4-4</f>
        <v>4</v>
      </c>
      <c r="J465" s="11">
        <f>10040-2008-2008-2008-2008</f>
        <v>2008</v>
      </c>
      <c r="K465" s="11">
        <f>I465</f>
        <v>4</v>
      </c>
      <c r="L465" s="10">
        <v>44166</v>
      </c>
      <c r="M465" s="9" t="s">
        <v>1846</v>
      </c>
      <c r="N465" s="13" t="str">
        <f>VLOOKUP(H465,基础数据!G:H,2,FALSE)</f>
        <v>SR146Ⅱ腹板套裁</v>
      </c>
    </row>
    <row r="466" spans="1:14" s="12" customFormat="1">
      <c r="A466" s="11">
        <v>1680</v>
      </c>
      <c r="B466" s="13" t="str">
        <f>VLOOKUP(A466,基础数据!A:B,2,FALSE)</f>
        <v>大丰</v>
      </c>
      <c r="C466" s="10">
        <v>44152</v>
      </c>
      <c r="D466" s="9"/>
      <c r="E466" s="11">
        <v>4500074231</v>
      </c>
      <c r="F466" s="9"/>
      <c r="G466" s="11">
        <v>1120002905</v>
      </c>
      <c r="H466" s="9" t="s">
        <v>1074</v>
      </c>
      <c r="I466" s="11">
        <f>20-4-4-4-4</f>
        <v>4</v>
      </c>
      <c r="J466" s="11">
        <f>49480-9896-9896-9896-9896</f>
        <v>9896</v>
      </c>
      <c r="K466" s="11">
        <f>I466</f>
        <v>4</v>
      </c>
      <c r="L466" s="10">
        <v>44166</v>
      </c>
      <c r="M466" s="9" t="s">
        <v>1846</v>
      </c>
      <c r="N466" s="13" t="str">
        <f>VLOOKUP(H466,基础数据!G:H,2,FALSE)</f>
        <v>SR146Ⅱ壳体套裁</v>
      </c>
    </row>
    <row r="467" spans="1:14" s="12" customFormat="1">
      <c r="A467" s="11">
        <v>1680</v>
      </c>
      <c r="B467" s="13" t="str">
        <f>VLOOKUP(A467,基础数据!A:B,2,FALSE)</f>
        <v>大丰</v>
      </c>
      <c r="C467" s="10">
        <v>44141</v>
      </c>
      <c r="D467" s="9"/>
      <c r="E467" s="11">
        <v>4500073568</v>
      </c>
      <c r="F467" s="9"/>
      <c r="G467" s="11">
        <v>1120000142</v>
      </c>
      <c r="H467" s="9" t="s">
        <v>11</v>
      </c>
      <c r="I467" s="11"/>
      <c r="J467" s="11">
        <v>8000</v>
      </c>
      <c r="K467" s="11">
        <f>J467</f>
        <v>8000</v>
      </c>
      <c r="L467" s="10">
        <v>44147</v>
      </c>
      <c r="M467" s="9" t="s">
        <v>1874</v>
      </c>
      <c r="N467" s="13" t="str">
        <f>VLOOKUP(H467,基础数据!G:H,2,FALSE)</f>
        <v>TTX1250(60)-2.54-100</v>
      </c>
    </row>
    <row r="468" spans="1:14" s="12" customFormat="1">
      <c r="A468" s="11">
        <v>1680</v>
      </c>
      <c r="B468" s="13" t="str">
        <f>VLOOKUP(A468,基础数据!A:B,2,FALSE)</f>
        <v>大丰</v>
      </c>
      <c r="C468" s="10">
        <v>44152</v>
      </c>
      <c r="D468" s="9"/>
      <c r="E468" s="11">
        <v>4500074231</v>
      </c>
      <c r="F468" s="9"/>
      <c r="G468" s="11">
        <v>1120002747</v>
      </c>
      <c r="H468" s="9" t="s">
        <v>289</v>
      </c>
      <c r="I468" s="11">
        <v>10</v>
      </c>
      <c r="J468" s="11">
        <v>5860</v>
      </c>
      <c r="K468" s="11">
        <f>I468</f>
        <v>10</v>
      </c>
      <c r="L468" s="10">
        <v>44166</v>
      </c>
      <c r="M468" s="9" t="s">
        <v>1875</v>
      </c>
      <c r="N468" s="13" t="str">
        <f>VLOOKUP(H468,基础数据!G:H,2,FALSE)</f>
        <v>SR146Ⅱ后缘</v>
      </c>
    </row>
    <row r="469" spans="1:14" s="12" customFormat="1">
      <c r="A469" s="11">
        <v>1680</v>
      </c>
      <c r="B469" s="13" t="str">
        <f>VLOOKUP(A469,基础数据!A:B,2,FALSE)</f>
        <v>大丰</v>
      </c>
      <c r="C469" s="10">
        <v>44152</v>
      </c>
      <c r="D469" s="9"/>
      <c r="E469" s="11">
        <v>4500074231</v>
      </c>
      <c r="F469" s="9"/>
      <c r="G469" s="11">
        <v>1120002746</v>
      </c>
      <c r="H469" s="9" t="s">
        <v>288</v>
      </c>
      <c r="I469" s="11">
        <v>2</v>
      </c>
      <c r="J469" s="11">
        <v>7008</v>
      </c>
      <c r="K469" s="11">
        <f>I469</f>
        <v>2</v>
      </c>
      <c r="L469" s="10">
        <v>44166</v>
      </c>
      <c r="M469" s="9" t="s">
        <v>1876</v>
      </c>
      <c r="N469" s="13" t="str">
        <f>VLOOKUP(H469,基础数据!G:H,2,FALSE)</f>
        <v>SR146Ⅱ大梁</v>
      </c>
    </row>
    <row r="470" spans="1:14" s="12" customFormat="1">
      <c r="A470" s="11">
        <v>1680</v>
      </c>
      <c r="B470" s="13" t="str">
        <f>VLOOKUP(A470,基础数据!A:B,2,FALSE)</f>
        <v>大丰</v>
      </c>
      <c r="C470" s="10">
        <v>44141</v>
      </c>
      <c r="D470" s="9"/>
      <c r="E470" s="11">
        <v>4500073568</v>
      </c>
      <c r="F470" s="9"/>
      <c r="G470" s="11">
        <v>1120000142</v>
      </c>
      <c r="H470" s="9" t="s">
        <v>11</v>
      </c>
      <c r="I470" s="11"/>
      <c r="J470" s="11">
        <v>6400</v>
      </c>
      <c r="K470" s="11">
        <f>J470</f>
        <v>6400</v>
      </c>
      <c r="L470" s="10">
        <v>44147</v>
      </c>
      <c r="M470" s="9" t="s">
        <v>1877</v>
      </c>
      <c r="N470" s="13" t="str">
        <f>VLOOKUP(H470,基础数据!G:H,2,FALSE)</f>
        <v>TTX1250(60)-2.54-100</v>
      </c>
    </row>
    <row r="471" spans="1:14" s="12" customFormat="1">
      <c r="A471" s="11">
        <v>1680</v>
      </c>
      <c r="B471" s="13" t="str">
        <f>VLOOKUP(A471,基础数据!A:B,2,FALSE)</f>
        <v>大丰</v>
      </c>
      <c r="C471" s="10">
        <v>44118</v>
      </c>
      <c r="D471" s="9"/>
      <c r="E471" s="11">
        <v>4500072276</v>
      </c>
      <c r="F471" s="9"/>
      <c r="G471" s="11">
        <v>1120001194</v>
      </c>
      <c r="H471" s="9" t="s">
        <v>1423</v>
      </c>
      <c r="I471" s="11">
        <v>2</v>
      </c>
      <c r="J471" s="11">
        <v>2562</v>
      </c>
      <c r="K471" s="11">
        <f>I471</f>
        <v>2</v>
      </c>
      <c r="L471" s="10">
        <v>44140</v>
      </c>
      <c r="M471" s="9" t="s">
        <v>1880</v>
      </c>
      <c r="N471" s="13" t="str">
        <f>VLOOKUP(H471,基础数据!G:H,2,FALSE)</f>
        <v>WB171I后缘</v>
      </c>
    </row>
    <row r="472" spans="1:14" s="12" customFormat="1">
      <c r="A472" s="9">
        <v>1680</v>
      </c>
      <c r="B472" s="13" t="str">
        <f>VLOOKUP(A472,基础数据!A:B,2,FALSE)</f>
        <v>大丰</v>
      </c>
      <c r="C472" s="10">
        <v>44203</v>
      </c>
      <c r="D472" s="9"/>
      <c r="E472" s="9">
        <v>4500077482</v>
      </c>
      <c r="F472" s="9"/>
      <c r="G472" s="9">
        <v>1120001194</v>
      </c>
      <c r="H472" s="9" t="s">
        <v>16</v>
      </c>
      <c r="I472" s="11"/>
      <c r="J472" s="11">
        <v>616</v>
      </c>
      <c r="K472" s="11">
        <v>0.5</v>
      </c>
      <c r="L472" s="10">
        <v>44206</v>
      </c>
      <c r="M472" s="9" t="s">
        <v>1881</v>
      </c>
      <c r="N472" s="13" t="str">
        <f>VLOOKUP(H472,基础数据!G:H,2,FALSE)</f>
        <v>WB171I后缘</v>
      </c>
    </row>
    <row r="473" spans="1:14" s="12" customFormat="1">
      <c r="A473" s="11">
        <v>1680</v>
      </c>
      <c r="B473" s="13" t="str">
        <f>VLOOKUP(A473,基础数据!A:B,2,FALSE)</f>
        <v>大丰</v>
      </c>
      <c r="C473" s="10">
        <v>44127</v>
      </c>
      <c r="D473" s="9"/>
      <c r="E473" s="11">
        <v>4500072694</v>
      </c>
      <c r="F473" s="9"/>
      <c r="G473" s="11">
        <v>1120002325</v>
      </c>
      <c r="H473" s="9" t="s">
        <v>1470</v>
      </c>
      <c r="I473" s="11">
        <v>2</v>
      </c>
      <c r="J473" s="11">
        <v>3238</v>
      </c>
      <c r="K473" s="11">
        <f>I473</f>
        <v>2</v>
      </c>
      <c r="L473" s="10">
        <v>44141</v>
      </c>
      <c r="M473" s="9" t="s">
        <v>1882</v>
      </c>
      <c r="N473" s="13" t="str">
        <f>VLOOKUP(H473,基础数据!G:H,2,FALSE)</f>
        <v>SR152Ⅲ后缘</v>
      </c>
    </row>
    <row r="474" spans="1:14" s="12" customFormat="1">
      <c r="A474" s="11">
        <v>1680</v>
      </c>
      <c r="B474" s="13" t="str">
        <f>VLOOKUP(A474,基础数据!A:B,2,FALSE)</f>
        <v>大丰</v>
      </c>
      <c r="C474" s="10">
        <v>44152</v>
      </c>
      <c r="D474" s="9"/>
      <c r="E474" s="11">
        <v>4500074231</v>
      </c>
      <c r="F474" s="9"/>
      <c r="G474" s="11">
        <v>1120002747</v>
      </c>
      <c r="H474" s="9" t="s">
        <v>289</v>
      </c>
      <c r="I474" s="11">
        <v>1</v>
      </c>
      <c r="J474" s="11">
        <v>586</v>
      </c>
      <c r="K474" s="11">
        <f>I474</f>
        <v>1</v>
      </c>
      <c r="L474" s="10">
        <v>44166</v>
      </c>
      <c r="M474" s="9" t="s">
        <v>1883</v>
      </c>
      <c r="N474" s="13" t="str">
        <f>VLOOKUP(H474,基础数据!G:H,2,FALSE)</f>
        <v>SR146Ⅱ后缘</v>
      </c>
    </row>
    <row r="475" spans="1:14" s="12" customFormat="1">
      <c r="A475" s="11">
        <v>1680</v>
      </c>
      <c r="B475" s="13" t="str">
        <f>VLOOKUP(A475,基础数据!A:B,2,FALSE)</f>
        <v>大丰</v>
      </c>
      <c r="C475" s="10">
        <v>44155</v>
      </c>
      <c r="D475" s="9"/>
      <c r="E475" s="9">
        <v>4500074526</v>
      </c>
      <c r="F475" s="9"/>
      <c r="G475" s="11">
        <v>1120001035</v>
      </c>
      <c r="H475" s="9" t="s">
        <v>12</v>
      </c>
      <c r="I475" s="11"/>
      <c r="J475" s="11">
        <v>15910</v>
      </c>
      <c r="K475" s="11">
        <f>J475</f>
        <v>15910</v>
      </c>
      <c r="L475" s="10">
        <v>44158</v>
      </c>
      <c r="M475" s="9" t="s">
        <v>1884</v>
      </c>
      <c r="N475" s="13" t="str">
        <f>VLOOKUP(H475,基础数据!G:H,2,FALSE)</f>
        <v>TLX1250-2.54-100</v>
      </c>
    </row>
    <row r="476" spans="1:14" s="12" customFormat="1">
      <c r="A476" s="11">
        <v>1680</v>
      </c>
      <c r="B476" s="13" t="str">
        <f>VLOOKUP(A476,基础数据!A:B,2,FALSE)</f>
        <v>大丰</v>
      </c>
      <c r="C476" s="10">
        <v>44152</v>
      </c>
      <c r="D476" s="9"/>
      <c r="E476" s="11">
        <v>4500074231</v>
      </c>
      <c r="F476" s="9"/>
      <c r="G476" s="11">
        <v>1120002746</v>
      </c>
      <c r="H476" s="9" t="s">
        <v>288</v>
      </c>
      <c r="I476" s="11">
        <v>2</v>
      </c>
      <c r="J476" s="11">
        <v>7008</v>
      </c>
      <c r="K476" s="11">
        <f>I476</f>
        <v>2</v>
      </c>
      <c r="L476" s="10">
        <v>44166</v>
      </c>
      <c r="M476" s="9" t="s">
        <v>1885</v>
      </c>
      <c r="N476" s="13" t="str">
        <f>VLOOKUP(H476,基础数据!G:H,2,FALSE)</f>
        <v>SR146Ⅱ大梁</v>
      </c>
    </row>
    <row r="477" spans="1:14" s="12" customFormat="1">
      <c r="A477" s="11">
        <v>1680</v>
      </c>
      <c r="B477" s="13" t="str">
        <f>VLOOKUP(A477,基础数据!A:B,2,FALSE)</f>
        <v>大丰</v>
      </c>
      <c r="C477" s="10">
        <v>44141</v>
      </c>
      <c r="D477" s="9"/>
      <c r="E477" s="11">
        <v>4500073568</v>
      </c>
      <c r="F477" s="9"/>
      <c r="G477" s="11">
        <v>1120000142</v>
      </c>
      <c r="H477" s="9" t="s">
        <v>11</v>
      </c>
      <c r="I477" s="11"/>
      <c r="J477" s="11">
        <v>8000</v>
      </c>
      <c r="K477" s="11">
        <f>J477</f>
        <v>8000</v>
      </c>
      <c r="L477" s="10">
        <v>44147</v>
      </c>
      <c r="M477" s="9" t="s">
        <v>1886</v>
      </c>
      <c r="N477" s="13" t="str">
        <f>VLOOKUP(H477,基础数据!G:H,2,FALSE)</f>
        <v>TTX1250(60)-2.54-100</v>
      </c>
    </row>
    <row r="478" spans="1:14" s="12" customFormat="1">
      <c r="A478" s="11">
        <v>1680</v>
      </c>
      <c r="B478" s="13" t="str">
        <f>VLOOKUP(A478,基础数据!A:B,2,FALSE)</f>
        <v>大丰</v>
      </c>
      <c r="C478" s="10">
        <v>44152</v>
      </c>
      <c r="D478" s="9"/>
      <c r="E478" s="11">
        <v>4500074231</v>
      </c>
      <c r="F478" s="9"/>
      <c r="G478" s="11">
        <v>1120002746</v>
      </c>
      <c r="H478" s="9" t="s">
        <v>288</v>
      </c>
      <c r="I478" s="11">
        <v>2</v>
      </c>
      <c r="J478" s="11">
        <v>7008</v>
      </c>
      <c r="K478" s="11">
        <f t="shared" ref="K478:K483" si="12">I478</f>
        <v>2</v>
      </c>
      <c r="L478" s="10">
        <v>44166</v>
      </c>
      <c r="M478" s="9" t="s">
        <v>1887</v>
      </c>
      <c r="N478" s="13" t="str">
        <f>VLOOKUP(H478,基础数据!G:H,2,FALSE)</f>
        <v>SR146Ⅱ大梁</v>
      </c>
    </row>
    <row r="479" spans="1:14" s="12" customFormat="1">
      <c r="A479" s="11">
        <v>1680</v>
      </c>
      <c r="B479" s="13" t="str">
        <f>VLOOKUP(A479,基础数据!A:B,2,FALSE)</f>
        <v>大丰</v>
      </c>
      <c r="C479" s="10">
        <v>44127</v>
      </c>
      <c r="D479" s="9"/>
      <c r="E479" s="11">
        <v>4500072694</v>
      </c>
      <c r="F479" s="9"/>
      <c r="G479" s="11">
        <v>1120002325</v>
      </c>
      <c r="H479" s="9" t="s">
        <v>1470</v>
      </c>
      <c r="I479" s="11">
        <f>18-2-2-1-2-1-1-3-2-2</f>
        <v>2</v>
      </c>
      <c r="J479" s="11">
        <f>28296-3118-3118-1519-3358-1679-1679-4857-3238-3238</f>
        <v>2492</v>
      </c>
      <c r="K479" s="11">
        <f t="shared" si="12"/>
        <v>2</v>
      </c>
      <c r="L479" s="10">
        <v>44141</v>
      </c>
      <c r="M479" s="9" t="s">
        <v>1888</v>
      </c>
      <c r="N479" s="13" t="str">
        <f>VLOOKUP(H479,基础数据!G:H,2,FALSE)</f>
        <v>SR152Ⅲ后缘</v>
      </c>
    </row>
    <row r="480" spans="1:14" s="12" customFormat="1">
      <c r="A480" s="11">
        <v>1680</v>
      </c>
      <c r="B480" s="13" t="str">
        <f>VLOOKUP(A480,基础数据!A:B,2,FALSE)</f>
        <v>大丰</v>
      </c>
      <c r="C480" s="10">
        <v>44152</v>
      </c>
      <c r="D480" s="9"/>
      <c r="E480" s="11">
        <v>4500074231</v>
      </c>
      <c r="F480" s="9"/>
      <c r="G480" s="11">
        <v>1120002747</v>
      </c>
      <c r="H480" s="9" t="s">
        <v>289</v>
      </c>
      <c r="I480" s="11">
        <v>4</v>
      </c>
      <c r="J480" s="11">
        <v>2344</v>
      </c>
      <c r="K480" s="11">
        <f t="shared" si="12"/>
        <v>4</v>
      </c>
      <c r="L480" s="10">
        <v>44166</v>
      </c>
      <c r="M480" s="9" t="s">
        <v>1889</v>
      </c>
      <c r="N480" s="13" t="str">
        <f>VLOOKUP(H480,基础数据!G:H,2,FALSE)</f>
        <v>SR146Ⅱ后缘</v>
      </c>
    </row>
    <row r="481" spans="1:14" s="12" customFormat="1">
      <c r="A481" s="11">
        <v>1680</v>
      </c>
      <c r="B481" s="13" t="str">
        <f>VLOOKUP(A481,基础数据!A:B,2,FALSE)</f>
        <v>大丰</v>
      </c>
      <c r="C481" s="10">
        <v>44069</v>
      </c>
      <c r="D481" s="9"/>
      <c r="E481" s="9">
        <v>4500067597</v>
      </c>
      <c r="F481" s="9"/>
      <c r="G481" s="11">
        <v>1120001194</v>
      </c>
      <c r="H481" s="9" t="s">
        <v>16</v>
      </c>
      <c r="I481" s="11">
        <f>16-5-5-5</f>
        <v>1</v>
      </c>
      <c r="J481" s="11">
        <f>20496-6405-6405-6405</f>
        <v>1281</v>
      </c>
      <c r="K481" s="11">
        <f t="shared" si="12"/>
        <v>1</v>
      </c>
      <c r="L481" s="10">
        <v>44069</v>
      </c>
      <c r="M481" s="9" t="s">
        <v>1892</v>
      </c>
      <c r="N481" s="13" t="str">
        <f>VLOOKUP(H481,基础数据!G:H,2,FALSE)</f>
        <v>WB171I后缘</v>
      </c>
    </row>
    <row r="482" spans="1:14" s="12" customFormat="1">
      <c r="A482" s="11">
        <v>1680</v>
      </c>
      <c r="B482" s="13" t="str">
        <f>VLOOKUP(A482,基础数据!A:B,2,FALSE)</f>
        <v>大丰</v>
      </c>
      <c r="C482" s="10">
        <v>44148</v>
      </c>
      <c r="D482" s="9"/>
      <c r="E482" s="11">
        <v>4500074052</v>
      </c>
      <c r="F482" s="9"/>
      <c r="G482" s="11">
        <v>1120001194</v>
      </c>
      <c r="H482" s="9" t="s">
        <v>1670</v>
      </c>
      <c r="I482" s="11">
        <f>16-5-5-5</f>
        <v>1</v>
      </c>
      <c r="J482" s="11">
        <f>20014.5-6405-6405-6405</f>
        <v>799.5</v>
      </c>
      <c r="K482" s="11">
        <f t="shared" si="12"/>
        <v>1</v>
      </c>
      <c r="L482" s="10">
        <v>44158</v>
      </c>
      <c r="M482" s="9" t="s">
        <v>1893</v>
      </c>
      <c r="N482" s="13" t="str">
        <f>VLOOKUP(H482,基础数据!G:H,2,FALSE)</f>
        <v>WB171I后缘</v>
      </c>
    </row>
    <row r="483" spans="1:14" s="12" customFormat="1">
      <c r="A483" s="11">
        <v>1680</v>
      </c>
      <c r="B483" s="13" t="str">
        <f>VLOOKUP(A483,基础数据!A:B,2,FALSE)</f>
        <v>大丰</v>
      </c>
      <c r="C483" s="10">
        <v>44194</v>
      </c>
      <c r="D483" s="9"/>
      <c r="E483" s="11">
        <v>4500076879</v>
      </c>
      <c r="F483" s="9"/>
      <c r="G483" s="11">
        <v>1120003037</v>
      </c>
      <c r="H483" s="9" t="s">
        <v>1861</v>
      </c>
      <c r="I483" s="11">
        <v>5</v>
      </c>
      <c r="J483" s="11">
        <v>9290</v>
      </c>
      <c r="K483" s="11">
        <f t="shared" si="12"/>
        <v>5</v>
      </c>
      <c r="L483" s="10">
        <v>44210</v>
      </c>
      <c r="M483" s="9" t="s">
        <v>1896</v>
      </c>
      <c r="N483" s="13" t="str">
        <f>VLOOKUP(H483,基础数据!G:H,2,FALSE)</f>
        <v>SR171Ⅴ后缘</v>
      </c>
    </row>
    <row r="484" spans="1:14" s="12" customFormat="1">
      <c r="A484" s="9">
        <v>1680</v>
      </c>
      <c r="B484" s="13" t="str">
        <f>VLOOKUP(A484,基础数据!A:B,2,FALSE)</f>
        <v>大丰</v>
      </c>
      <c r="C484" s="10">
        <v>44202</v>
      </c>
      <c r="D484" s="9"/>
      <c r="E484" s="9">
        <v>4500077450</v>
      </c>
      <c r="F484" s="9"/>
      <c r="G484" s="9">
        <v>1120002891</v>
      </c>
      <c r="H484" s="9" t="s">
        <v>1469</v>
      </c>
      <c r="I484" s="11"/>
      <c r="J484" s="11">
        <v>950</v>
      </c>
      <c r="K484" s="11">
        <f>J484</f>
        <v>950</v>
      </c>
      <c r="L484" s="10">
        <v>44210</v>
      </c>
      <c r="M484" s="9" t="s">
        <v>1897</v>
      </c>
      <c r="N484" s="13" t="str">
        <f>VLOOKUP(H484,基础数据!G:H,2,FALSE)</f>
        <v>SR146Ⅱ前缘</v>
      </c>
    </row>
    <row r="485" spans="1:14" s="12" customFormat="1">
      <c r="A485" s="11">
        <v>1680</v>
      </c>
      <c r="B485" s="13" t="str">
        <f>VLOOKUP(A485,基础数据!A:B,2,FALSE)</f>
        <v>大丰</v>
      </c>
      <c r="C485" s="10">
        <v>44141</v>
      </c>
      <c r="D485" s="9"/>
      <c r="E485" s="11">
        <v>4500073568</v>
      </c>
      <c r="F485" s="9"/>
      <c r="G485" s="11">
        <v>1120000142</v>
      </c>
      <c r="H485" s="9" t="s">
        <v>11</v>
      </c>
      <c r="I485" s="11"/>
      <c r="J485" s="11">
        <v>6400</v>
      </c>
      <c r="K485" s="11">
        <f>J485</f>
        <v>6400</v>
      </c>
      <c r="L485" s="10">
        <v>44210</v>
      </c>
      <c r="M485" s="9" t="s">
        <v>1898</v>
      </c>
      <c r="N485" s="13" t="str">
        <f>VLOOKUP(H485,基础数据!G:H,2,FALSE)</f>
        <v>TTX1250(60)-2.54-100</v>
      </c>
    </row>
    <row r="486" spans="1:14" s="12" customFormat="1">
      <c r="A486" s="11">
        <v>1680</v>
      </c>
      <c r="B486" s="13" t="str">
        <f>VLOOKUP(A486,基础数据!A:B,2,FALSE)</f>
        <v>大丰</v>
      </c>
      <c r="C486" s="10">
        <v>44155</v>
      </c>
      <c r="D486" s="9"/>
      <c r="E486" s="9">
        <v>4500074526</v>
      </c>
      <c r="F486" s="9"/>
      <c r="G486" s="11">
        <v>1120001035</v>
      </c>
      <c r="H486" s="9" t="s">
        <v>12</v>
      </c>
      <c r="I486" s="11"/>
      <c r="J486" s="11">
        <v>16000</v>
      </c>
      <c r="K486" s="11">
        <f>J486</f>
        <v>16000</v>
      </c>
      <c r="L486" s="10">
        <v>44211</v>
      </c>
      <c r="M486" s="9" t="s">
        <v>1902</v>
      </c>
      <c r="N486" s="13" t="str">
        <f>VLOOKUP(H486,基础数据!G:H,2,FALSE)</f>
        <v>TLX1250-2.54-100</v>
      </c>
    </row>
    <row r="487" spans="1:14" s="12" customFormat="1">
      <c r="A487" s="11">
        <v>1680</v>
      </c>
      <c r="B487" s="13" t="str">
        <f>VLOOKUP(A487,基础数据!A:B,2,FALSE)</f>
        <v>大丰</v>
      </c>
      <c r="C487" s="10">
        <v>44141</v>
      </c>
      <c r="D487" s="9"/>
      <c r="E487" s="9">
        <v>4500073568</v>
      </c>
      <c r="F487" s="9"/>
      <c r="G487" s="11">
        <v>1120000142</v>
      </c>
      <c r="H487" s="9" t="s">
        <v>11</v>
      </c>
      <c r="I487" s="11"/>
      <c r="J487" s="11">
        <v>8000</v>
      </c>
      <c r="K487" s="11">
        <f>J487</f>
        <v>8000</v>
      </c>
      <c r="L487" s="10">
        <v>44147</v>
      </c>
      <c r="M487" s="9" t="s">
        <v>1903</v>
      </c>
      <c r="N487" s="13" t="str">
        <f>VLOOKUP(H487,基础数据!G:H,2,FALSE)</f>
        <v>TTX1250(60)-2.54-100</v>
      </c>
    </row>
    <row r="488" spans="1:14" s="12" customFormat="1">
      <c r="A488" s="11">
        <v>1680</v>
      </c>
      <c r="B488" s="13" t="str">
        <f>VLOOKUP(A488,基础数据!A:B,2,FALSE)</f>
        <v>大丰</v>
      </c>
      <c r="C488" s="10">
        <v>44127</v>
      </c>
      <c r="D488" s="9"/>
      <c r="E488" s="11">
        <v>4500072694</v>
      </c>
      <c r="F488" s="9"/>
      <c r="G488" s="11">
        <v>1120002326</v>
      </c>
      <c r="H488" s="9" t="s">
        <v>1471</v>
      </c>
      <c r="I488" s="11">
        <v>2</v>
      </c>
      <c r="J488" s="11">
        <v>15120</v>
      </c>
      <c r="K488" s="11">
        <f>I488</f>
        <v>2</v>
      </c>
      <c r="L488" s="10">
        <v>44141</v>
      </c>
      <c r="M488" s="9" t="s">
        <v>1901</v>
      </c>
      <c r="N488" s="13" t="str">
        <f>VLOOKUP(H488,基础数据!G:H,2,FALSE)</f>
        <v>SR152Ⅲ大梁</v>
      </c>
    </row>
    <row r="489" spans="1:14" s="12" customFormat="1">
      <c r="A489" s="11">
        <v>1680</v>
      </c>
      <c r="B489" s="13" t="str">
        <f>VLOOKUP(A489,[4]基础数据!A:B,2,FALSE)</f>
        <v>大丰</v>
      </c>
      <c r="C489" s="10">
        <v>44141</v>
      </c>
      <c r="D489" s="9"/>
      <c r="E489" s="11">
        <v>4500073568</v>
      </c>
      <c r="F489" s="9"/>
      <c r="G489" s="11">
        <v>1120000142</v>
      </c>
      <c r="H489" s="9" t="s">
        <v>11</v>
      </c>
      <c r="I489" s="11"/>
      <c r="J489" s="11">
        <v>704</v>
      </c>
      <c r="K489" s="11">
        <f>J489</f>
        <v>704</v>
      </c>
      <c r="L489" s="10">
        <v>44212</v>
      </c>
      <c r="M489" s="9" t="s">
        <v>1906</v>
      </c>
      <c r="N489" s="13" t="str">
        <f>VLOOKUP(H489,[4]基础数据!G:H,2,FALSE)</f>
        <v>TTX1250(60)-2.54-100</v>
      </c>
    </row>
    <row r="490" spans="1:14" s="12" customFormat="1">
      <c r="A490" s="11">
        <v>1680</v>
      </c>
      <c r="B490" s="13" t="str">
        <f>VLOOKUP(A490,[4]基础数据!A:B,2,FALSE)</f>
        <v>大丰</v>
      </c>
      <c r="C490" s="10">
        <v>44155</v>
      </c>
      <c r="D490" s="9"/>
      <c r="E490" s="9">
        <v>4500074526</v>
      </c>
      <c r="F490" s="9"/>
      <c r="G490" s="11">
        <v>1120000142</v>
      </c>
      <c r="H490" s="9" t="s">
        <v>11</v>
      </c>
      <c r="I490" s="11"/>
      <c r="J490" s="11">
        <v>13696</v>
      </c>
      <c r="K490" s="11">
        <f>J490</f>
        <v>13696</v>
      </c>
      <c r="L490" s="10">
        <v>44212</v>
      </c>
      <c r="M490" s="9" t="s">
        <v>1908</v>
      </c>
      <c r="N490" s="13" t="str">
        <f>VLOOKUP(H490,[4]基础数据!G:H,2,FALSE)</f>
        <v>TTX1250(60)-2.54-100</v>
      </c>
    </row>
    <row r="491" spans="1:14" s="12" customFormat="1">
      <c r="A491" s="11">
        <v>1680</v>
      </c>
      <c r="B491" s="13" t="str">
        <f>VLOOKUP(A491,[4]基础数据!A:B,2,FALSE)</f>
        <v>大丰</v>
      </c>
      <c r="C491" s="10">
        <v>44155</v>
      </c>
      <c r="D491" s="9"/>
      <c r="E491" s="9">
        <v>4500074526</v>
      </c>
      <c r="F491" s="9"/>
      <c r="G491" s="11">
        <v>1120001035</v>
      </c>
      <c r="H491" s="9" t="s">
        <v>12</v>
      </c>
      <c r="I491" s="11"/>
      <c r="J491" s="11">
        <v>18317</v>
      </c>
      <c r="K491" s="11">
        <f>J491</f>
        <v>18317</v>
      </c>
      <c r="L491" s="10">
        <v>44212</v>
      </c>
      <c r="M491" s="9" t="s">
        <v>1907</v>
      </c>
      <c r="N491" s="13" t="str">
        <f>VLOOKUP(H491,[4]基础数据!G:H,2,FALSE)</f>
        <v>TLX1250-2.54-100</v>
      </c>
    </row>
    <row r="492" spans="1:14" s="12" customFormat="1">
      <c r="A492" s="11">
        <v>1680</v>
      </c>
      <c r="B492" s="13" t="str">
        <f>VLOOKUP(A492,[4]基础数据!A:B,2,FALSE)</f>
        <v>大丰</v>
      </c>
      <c r="C492" s="10">
        <v>44190</v>
      </c>
      <c r="D492" s="9"/>
      <c r="E492" s="9">
        <v>4500076682</v>
      </c>
      <c r="F492" s="9"/>
      <c r="G492" s="11">
        <v>1120001035</v>
      </c>
      <c r="H492" s="9" t="s">
        <v>12</v>
      </c>
      <c r="I492" s="11"/>
      <c r="J492" s="11">
        <v>4083</v>
      </c>
      <c r="K492" s="11">
        <f>J492</f>
        <v>4083</v>
      </c>
      <c r="L492" s="10">
        <v>44212</v>
      </c>
      <c r="M492" s="9" t="s">
        <v>1914</v>
      </c>
      <c r="N492" s="13" t="str">
        <f>VLOOKUP(H492,[4]基础数据!G:H,2,FALSE)</f>
        <v>TLX1250-2.54-100</v>
      </c>
    </row>
    <row r="493" spans="1:14" s="12" customFormat="1">
      <c r="A493" s="11">
        <v>1680</v>
      </c>
      <c r="B493" s="13" t="str">
        <f>VLOOKUP(A493,基础数据!A:B,2,FALSE)</f>
        <v>大丰</v>
      </c>
      <c r="C493" s="10">
        <v>44127</v>
      </c>
      <c r="D493" s="9"/>
      <c r="E493" s="11">
        <v>4500072694</v>
      </c>
      <c r="F493" s="9"/>
      <c r="G493" s="11">
        <v>1120002326</v>
      </c>
      <c r="H493" s="9" t="s">
        <v>1471</v>
      </c>
      <c r="I493" s="11">
        <v>2</v>
      </c>
      <c r="J493" s="11">
        <v>15120</v>
      </c>
      <c r="K493" s="11">
        <f>I493</f>
        <v>2</v>
      </c>
      <c r="L493" s="10">
        <v>44213</v>
      </c>
      <c r="M493" s="9" t="s">
        <v>1910</v>
      </c>
      <c r="N493" s="13" t="str">
        <f>VLOOKUP(H493,基础数据!G:H,2,FALSE)</f>
        <v>SR152Ⅲ大梁</v>
      </c>
    </row>
    <row r="494" spans="1:14" s="12" customFormat="1">
      <c r="A494" s="11">
        <v>1680</v>
      </c>
      <c r="B494" s="13" t="str">
        <f>VLOOKUP(A494,基础数据!A:B,2,FALSE)</f>
        <v>大丰</v>
      </c>
      <c r="C494" s="10">
        <v>44155</v>
      </c>
      <c r="D494" s="9"/>
      <c r="E494" s="9">
        <v>4500074526</v>
      </c>
      <c r="F494" s="9"/>
      <c r="G494" s="11">
        <v>1120000142</v>
      </c>
      <c r="H494" s="9" t="s">
        <v>11</v>
      </c>
      <c r="I494" s="11"/>
      <c r="J494" s="11">
        <v>3200</v>
      </c>
      <c r="K494" s="11">
        <f>J494</f>
        <v>3200</v>
      </c>
      <c r="L494" s="10">
        <v>44213</v>
      </c>
      <c r="M494" s="9" t="s">
        <v>1909</v>
      </c>
      <c r="N494" s="13" t="str">
        <f>VLOOKUP(H494,基础数据!G:H,2,FALSE)</f>
        <v>TTX1250(60)-2.54-100</v>
      </c>
    </row>
    <row r="495" spans="1:14" s="44" customFormat="1">
      <c r="A495" s="44">
        <v>1680</v>
      </c>
      <c r="B495" s="44" t="str">
        <f>VLOOKUP(A495,基础数据!A:B,2,FALSE)</f>
        <v>大丰</v>
      </c>
      <c r="C495" s="44">
        <v>44152</v>
      </c>
      <c r="E495" s="44">
        <v>4500074231</v>
      </c>
      <c r="G495" s="44">
        <v>1120002746</v>
      </c>
      <c r="H495" s="44" t="s">
        <v>288</v>
      </c>
      <c r="I495" s="44">
        <v>1</v>
      </c>
      <c r="J495" s="44">
        <v>3504</v>
      </c>
      <c r="K495" s="44">
        <f>I495</f>
        <v>1</v>
      </c>
      <c r="L495" s="44">
        <v>44166</v>
      </c>
      <c r="M495" s="44" t="s">
        <v>1911</v>
      </c>
      <c r="N495" s="44" t="str">
        <f>VLOOKUP(H495,基础数据!G:H,2,FALSE)</f>
        <v>SR146Ⅱ大梁</v>
      </c>
    </row>
    <row r="496" spans="1:14" s="44" customFormat="1">
      <c r="A496" s="44">
        <v>1680</v>
      </c>
      <c r="B496" s="44" t="str">
        <f>VLOOKUP(A496,基础数据!A:B,2,FALSE)</f>
        <v>大丰</v>
      </c>
      <c r="C496" s="44">
        <v>44141</v>
      </c>
      <c r="E496" s="44">
        <v>4500073568</v>
      </c>
      <c r="G496" s="44">
        <v>1120002038</v>
      </c>
      <c r="H496" s="44" t="s">
        <v>54</v>
      </c>
      <c r="J496" s="44">
        <f>8573-2568-3210</f>
        <v>2795</v>
      </c>
      <c r="K496" s="44">
        <f>J496</f>
        <v>2795</v>
      </c>
      <c r="L496" s="44">
        <v>44147</v>
      </c>
      <c r="M496" s="44" t="s">
        <v>1912</v>
      </c>
      <c r="N496" s="44" t="str">
        <f>VLOOKUP(H496,基础数据!G:H,2,FALSE)</f>
        <v>TTX1250(45)-2.54-100</v>
      </c>
    </row>
    <row r="497" spans="1:14" s="44" customFormat="1">
      <c r="A497" s="44">
        <v>1680</v>
      </c>
      <c r="B497" s="44" t="str">
        <f>VLOOKUP(A497,基础数据!A:B,2,FALSE)</f>
        <v>大丰</v>
      </c>
      <c r="C497" s="44">
        <v>44190</v>
      </c>
      <c r="E497" s="44">
        <v>4500076682</v>
      </c>
      <c r="G497" s="44">
        <v>1120002038</v>
      </c>
      <c r="H497" s="44" t="s">
        <v>54</v>
      </c>
      <c r="J497" s="44">
        <v>3665</v>
      </c>
      <c r="K497" s="44">
        <f>J497</f>
        <v>3665</v>
      </c>
      <c r="L497" s="44">
        <v>44221</v>
      </c>
      <c r="M497" s="44" t="s">
        <v>1913</v>
      </c>
      <c r="N497" s="44" t="str">
        <f>VLOOKUP(H497,基础数据!G:H,2,FALSE)</f>
        <v>TTX1250(45)-2.54-100</v>
      </c>
    </row>
    <row r="498" spans="1:14" s="44" customFormat="1">
      <c r="A498" s="44">
        <v>1680</v>
      </c>
      <c r="B498" s="44" t="str">
        <f>VLOOKUP(A498,[3]基础数据!A:B,2,FALSE)</f>
        <v>大丰</v>
      </c>
      <c r="C498" s="44">
        <v>44155</v>
      </c>
      <c r="E498" s="44">
        <v>4500074526</v>
      </c>
      <c r="G498" s="44">
        <v>1120000142</v>
      </c>
      <c r="H498" s="44" t="s">
        <v>11</v>
      </c>
      <c r="J498" s="44">
        <v>11200</v>
      </c>
      <c r="K498" s="44">
        <f>J498</f>
        <v>11200</v>
      </c>
      <c r="L498" s="44">
        <v>44215</v>
      </c>
      <c r="M498" s="44" t="s">
        <v>1920</v>
      </c>
      <c r="N498" s="44" t="str">
        <f>VLOOKUP(H498,[3]基础数据!G:H,2,FALSE)</f>
        <v>TTX1250(60)-2.54-100</v>
      </c>
    </row>
    <row r="499" spans="1:14" s="44" customFormat="1">
      <c r="A499" s="44">
        <v>1680</v>
      </c>
      <c r="B499" s="44" t="str">
        <f>VLOOKUP(A499,[3]基础数据!A:B,2,FALSE)</f>
        <v>大丰</v>
      </c>
      <c r="C499" s="44">
        <v>44152</v>
      </c>
      <c r="E499" s="44">
        <v>4500074231</v>
      </c>
      <c r="G499" s="44">
        <v>1120002746</v>
      </c>
      <c r="H499" s="44" t="s">
        <v>288</v>
      </c>
      <c r="I499" s="44">
        <v>2</v>
      </c>
      <c r="J499" s="44">
        <v>7008</v>
      </c>
      <c r="K499" s="44">
        <f>I499</f>
        <v>2</v>
      </c>
      <c r="L499" s="44">
        <v>44215</v>
      </c>
      <c r="M499" s="44" t="s">
        <v>1919</v>
      </c>
      <c r="N499" s="44" t="str">
        <f>VLOOKUP(H499,[3]基础数据!G:H,2,FALSE)</f>
        <v>SR146Ⅱ大梁</v>
      </c>
    </row>
    <row r="500" spans="1:14" s="44" customFormat="1">
      <c r="A500" s="44">
        <v>1680</v>
      </c>
      <c r="B500" s="44" t="s">
        <v>1046</v>
      </c>
      <c r="C500" s="44">
        <v>44194</v>
      </c>
      <c r="E500" s="44">
        <v>4500076879</v>
      </c>
      <c r="G500" s="44">
        <v>1120003037</v>
      </c>
      <c r="H500" s="44" t="s">
        <v>1861</v>
      </c>
      <c r="I500" s="44">
        <v>4</v>
      </c>
      <c r="J500" s="44">
        <v>7432</v>
      </c>
      <c r="K500" s="44">
        <v>6</v>
      </c>
      <c r="L500" s="44">
        <v>44211</v>
      </c>
      <c r="M500" s="44" t="s">
        <v>1922</v>
      </c>
      <c r="N500" s="44" t="s">
        <v>1863</v>
      </c>
    </row>
    <row r="501" spans="1:14" s="44" customFormat="1">
      <c r="A501" s="44">
        <v>1680</v>
      </c>
      <c r="B501" s="44" t="str">
        <f>VLOOKUP(A501,基础数据!A:B,2,FALSE)</f>
        <v>大丰</v>
      </c>
      <c r="C501" s="44">
        <v>44152</v>
      </c>
      <c r="E501" s="44">
        <v>4500074231</v>
      </c>
      <c r="G501" s="44">
        <v>1120002746</v>
      </c>
      <c r="H501" s="44" t="s">
        <v>288</v>
      </c>
      <c r="I501" s="44">
        <v>2</v>
      </c>
      <c r="J501" s="44">
        <v>7008</v>
      </c>
      <c r="K501" s="44">
        <f>I501</f>
        <v>2</v>
      </c>
      <c r="L501" s="44">
        <v>44166</v>
      </c>
      <c r="M501" s="44" t="s">
        <v>1926</v>
      </c>
      <c r="N501" s="44" t="str">
        <f>VLOOKUP(H501,基础数据!G:H,2,FALSE)</f>
        <v>SR146Ⅱ大梁</v>
      </c>
    </row>
    <row r="502" spans="1:14" s="44" customFormat="1">
      <c r="A502" s="44">
        <v>1680</v>
      </c>
      <c r="B502" s="44" t="str">
        <f>VLOOKUP(A502,基础数据!A:B,2,FALSE)</f>
        <v>大丰</v>
      </c>
      <c r="C502" s="44">
        <v>44152</v>
      </c>
      <c r="E502" s="44">
        <v>4500074231</v>
      </c>
      <c r="G502" s="44">
        <v>1120002747</v>
      </c>
      <c r="H502" s="44" t="s">
        <v>289</v>
      </c>
      <c r="I502" s="44">
        <v>2</v>
      </c>
      <c r="J502" s="44">
        <v>1172</v>
      </c>
      <c r="K502" s="44">
        <f>I502</f>
        <v>2</v>
      </c>
      <c r="L502" s="44">
        <v>44166</v>
      </c>
      <c r="M502" s="44" t="s">
        <v>1927</v>
      </c>
      <c r="N502" s="44" t="str">
        <f>VLOOKUP(H502,基础数据!G:H,2,FALSE)</f>
        <v>SR146Ⅱ后缘</v>
      </c>
    </row>
    <row r="503" spans="1:14" s="12" customFormat="1">
      <c r="A503" s="11">
        <v>1680</v>
      </c>
      <c r="B503" s="13" t="str">
        <f>VLOOKUP(A503,基础数据!A:B,2,FALSE)</f>
        <v>大丰</v>
      </c>
      <c r="C503" s="10">
        <v>44152</v>
      </c>
      <c r="D503" s="9"/>
      <c r="E503" s="11">
        <v>4500074231</v>
      </c>
      <c r="F503" s="9"/>
      <c r="G503" s="11">
        <v>1120002746</v>
      </c>
      <c r="H503" s="9" t="s">
        <v>288</v>
      </c>
      <c r="I503" s="11">
        <v>1</v>
      </c>
      <c r="J503" s="11">
        <v>3504</v>
      </c>
      <c r="K503" s="11">
        <f>I503</f>
        <v>1</v>
      </c>
      <c r="L503" s="10">
        <v>44166</v>
      </c>
      <c r="M503" s="9" t="s">
        <v>1932</v>
      </c>
      <c r="N503" s="13" t="str">
        <f>VLOOKUP(H503,基础数据!G:H,2,FALSE)</f>
        <v>SR146Ⅱ大梁</v>
      </c>
    </row>
    <row r="504" spans="1:14" s="12" customFormat="1">
      <c r="A504" s="11">
        <v>1680</v>
      </c>
      <c r="B504" s="13" t="str">
        <f>VLOOKUP(A504,基础数据!A:B,2,FALSE)</f>
        <v>大丰</v>
      </c>
      <c r="C504" s="10">
        <v>44204</v>
      </c>
      <c r="D504" s="9"/>
      <c r="E504" s="11">
        <v>4500077604</v>
      </c>
      <c r="F504" s="9"/>
      <c r="G504" s="11">
        <v>1120002325</v>
      </c>
      <c r="H504" s="9" t="s">
        <v>1470</v>
      </c>
      <c r="I504" s="11">
        <v>2</v>
      </c>
      <c r="J504" s="11">
        <v>3238</v>
      </c>
      <c r="K504" s="11">
        <f>I504</f>
        <v>2</v>
      </c>
      <c r="L504" s="10">
        <v>44256</v>
      </c>
      <c r="M504" s="9" t="s">
        <v>1933</v>
      </c>
      <c r="N504" s="13" t="str">
        <f>VLOOKUP(H504,基础数据!G:H,2,FALSE)</f>
        <v>SR152Ⅲ后缘</v>
      </c>
    </row>
    <row r="505" spans="1:14" s="12" customFormat="1">
      <c r="A505" s="11">
        <v>1680</v>
      </c>
      <c r="B505" s="13" t="str">
        <f>VLOOKUP(A505,基础数据!A:B,2,FALSE)</f>
        <v>大丰</v>
      </c>
      <c r="C505" s="10">
        <v>44155</v>
      </c>
      <c r="D505" s="9"/>
      <c r="E505" s="11">
        <v>4500074526</v>
      </c>
      <c r="F505" s="9"/>
      <c r="G505" s="11">
        <v>1120000142</v>
      </c>
      <c r="H505" s="9" t="s">
        <v>11</v>
      </c>
      <c r="I505" s="11"/>
      <c r="J505" s="11">
        <v>6400</v>
      </c>
      <c r="K505" s="11">
        <f>J505</f>
        <v>6400</v>
      </c>
      <c r="L505" s="10">
        <v>44218</v>
      </c>
      <c r="M505" s="9" t="s">
        <v>1934</v>
      </c>
      <c r="N505" s="13" t="str">
        <f>VLOOKUP(H505,基础数据!G:H,2,FALSE)</f>
        <v>TTX1250(60)-2.54-100</v>
      </c>
    </row>
    <row r="506" spans="1:14" s="12" customFormat="1">
      <c r="A506" s="11">
        <v>1680</v>
      </c>
      <c r="B506" s="13" t="str">
        <f>VLOOKUP(A506,基础数据!A:B,2,FALSE)</f>
        <v>大丰</v>
      </c>
      <c r="C506" s="10">
        <v>44152</v>
      </c>
      <c r="D506" s="9"/>
      <c r="E506" s="11">
        <v>4500074231</v>
      </c>
      <c r="F506" s="9"/>
      <c r="G506" s="11">
        <v>1120002746</v>
      </c>
      <c r="H506" s="9" t="s">
        <v>288</v>
      </c>
      <c r="I506" s="11">
        <v>3</v>
      </c>
      <c r="J506" s="11">
        <v>10512</v>
      </c>
      <c r="K506" s="11">
        <f>I506</f>
        <v>3</v>
      </c>
      <c r="L506" s="10">
        <v>44218</v>
      </c>
      <c r="M506" s="9" t="s">
        <v>1935</v>
      </c>
      <c r="N506" s="13" t="str">
        <f>VLOOKUP(H506,基础数据!G:H,2,FALSE)</f>
        <v>SR146Ⅱ大梁</v>
      </c>
    </row>
    <row r="507" spans="1:14" s="12" customFormat="1">
      <c r="A507" s="11">
        <v>1680</v>
      </c>
      <c r="B507" s="13" t="str">
        <f>VLOOKUP(A507,基础数据!A:B,2,FALSE)</f>
        <v>大丰</v>
      </c>
      <c r="C507" s="10">
        <v>44194</v>
      </c>
      <c r="D507" s="9"/>
      <c r="E507" s="11">
        <v>4500076879</v>
      </c>
      <c r="F507" s="9"/>
      <c r="G507" s="11">
        <v>1120003037</v>
      </c>
      <c r="H507" s="9" t="s">
        <v>1944</v>
      </c>
      <c r="I507" s="11">
        <v>2</v>
      </c>
      <c r="J507" s="11">
        <v>3716</v>
      </c>
      <c r="K507" s="11">
        <f>I507</f>
        <v>2</v>
      </c>
      <c r="L507" s="10">
        <v>44218</v>
      </c>
      <c r="M507" s="9" t="s">
        <v>1936</v>
      </c>
      <c r="N507" s="13" t="str">
        <f>VLOOKUP(H507,基础数据!G:H,2,FALSE)</f>
        <v>SR171Ⅴ后缘</v>
      </c>
    </row>
    <row r="508" spans="1:14" s="12" customFormat="1">
      <c r="A508" s="11">
        <v>1680</v>
      </c>
      <c r="B508" s="13" t="str">
        <f>VLOOKUP(A508,基础数据!A:B,2,FALSE)</f>
        <v>大丰</v>
      </c>
      <c r="C508" s="10">
        <v>44152</v>
      </c>
      <c r="D508" s="9"/>
      <c r="E508" s="11">
        <v>4500074231</v>
      </c>
      <c r="F508" s="9"/>
      <c r="G508" s="11">
        <v>1120002747</v>
      </c>
      <c r="H508" s="9" t="s">
        <v>289</v>
      </c>
      <c r="I508" s="11">
        <v>2</v>
      </c>
      <c r="J508" s="11">
        <v>1172</v>
      </c>
      <c r="K508" s="11">
        <f>I508</f>
        <v>2</v>
      </c>
      <c r="L508" s="10">
        <v>44218</v>
      </c>
      <c r="M508" s="9" t="s">
        <v>1937</v>
      </c>
      <c r="N508" s="13" t="str">
        <f>VLOOKUP(H508,基础数据!G:H,2,FALSE)</f>
        <v>SR146Ⅱ后缘</v>
      </c>
    </row>
    <row r="509" spans="1:14" s="12" customFormat="1">
      <c r="A509" s="11">
        <v>1680</v>
      </c>
      <c r="B509" s="13" t="str">
        <f>VLOOKUP(A509,基础数据!A:B,2,FALSE)</f>
        <v>大丰</v>
      </c>
      <c r="C509" s="10">
        <v>44204</v>
      </c>
      <c r="D509" s="9"/>
      <c r="E509" s="11">
        <v>4500077604</v>
      </c>
      <c r="F509" s="9"/>
      <c r="G509" s="11">
        <v>1120002325</v>
      </c>
      <c r="H509" s="9" t="s">
        <v>1470</v>
      </c>
      <c r="I509" s="11">
        <v>2</v>
      </c>
      <c r="J509" s="11">
        <v>3238</v>
      </c>
      <c r="K509" s="11">
        <f>I509</f>
        <v>2</v>
      </c>
      <c r="L509" s="10">
        <v>44218</v>
      </c>
      <c r="M509" s="9" t="s">
        <v>1938</v>
      </c>
      <c r="N509" s="13" t="str">
        <f>VLOOKUP(H509,基础数据!G:H,2,FALSE)</f>
        <v>SR152Ⅲ后缘</v>
      </c>
    </row>
    <row r="510" spans="1:14" s="12" customFormat="1">
      <c r="A510" s="11">
        <v>1680</v>
      </c>
      <c r="B510" s="13" t="str">
        <f>VLOOKUP(A510,基础数据!A:B,2,FALSE)</f>
        <v>大丰</v>
      </c>
      <c r="C510" s="10">
        <v>44155</v>
      </c>
      <c r="D510" s="9"/>
      <c r="E510" s="11">
        <v>4500074526</v>
      </c>
      <c r="F510" s="9"/>
      <c r="G510" s="11">
        <v>1120000142</v>
      </c>
      <c r="H510" s="9" t="s">
        <v>11</v>
      </c>
      <c r="I510" s="11"/>
      <c r="J510" s="11">
        <v>4800</v>
      </c>
      <c r="K510" s="11">
        <f>J510</f>
        <v>4800</v>
      </c>
      <c r="L510" s="10">
        <v>44219</v>
      </c>
      <c r="M510" s="9" t="s">
        <v>1939</v>
      </c>
      <c r="N510" s="13" t="str">
        <f>VLOOKUP(H510,基础数据!G:H,2,FALSE)</f>
        <v>TTX1250(60)-2.54-100</v>
      </c>
    </row>
    <row r="511" spans="1:14" s="12" customFormat="1">
      <c r="A511" s="11">
        <v>1680</v>
      </c>
      <c r="B511" s="13" t="str">
        <f>VLOOKUP(A511,基础数据!A:B,2,FALSE)</f>
        <v>大丰</v>
      </c>
      <c r="C511" s="10">
        <v>44127</v>
      </c>
      <c r="D511" s="9"/>
      <c r="E511" s="11">
        <v>4500072694</v>
      </c>
      <c r="F511" s="9"/>
      <c r="G511" s="11">
        <v>1120002326</v>
      </c>
      <c r="H511" s="9" t="s">
        <v>1471</v>
      </c>
      <c r="I511" s="11">
        <v>2</v>
      </c>
      <c r="J511" s="11">
        <v>15120</v>
      </c>
      <c r="K511" s="11">
        <f>I511</f>
        <v>2</v>
      </c>
      <c r="L511" s="10">
        <v>44219</v>
      </c>
      <c r="M511" s="9" t="s">
        <v>1940</v>
      </c>
      <c r="N511" s="13" t="str">
        <f>VLOOKUP(H511,基础数据!G:H,2,FALSE)</f>
        <v>SR152Ⅲ大梁</v>
      </c>
    </row>
    <row r="512" spans="1:14" s="12" customFormat="1">
      <c r="A512" s="11">
        <v>1680</v>
      </c>
      <c r="B512" s="13" t="s">
        <v>1046</v>
      </c>
      <c r="C512" s="10">
        <v>44127</v>
      </c>
      <c r="D512" s="9"/>
      <c r="E512" s="11">
        <v>4500072694</v>
      </c>
      <c r="F512" s="9"/>
      <c r="G512" s="11">
        <v>1120002326</v>
      </c>
      <c r="H512" s="9" t="s">
        <v>1471</v>
      </c>
      <c r="I512" s="11">
        <v>1</v>
      </c>
      <c r="J512" s="11">
        <v>7560</v>
      </c>
      <c r="K512" s="11">
        <f>I512</f>
        <v>1</v>
      </c>
      <c r="L512" s="10">
        <v>44220</v>
      </c>
      <c r="M512" s="9" t="s">
        <v>1941</v>
      </c>
      <c r="N512" s="13" t="s">
        <v>1478</v>
      </c>
    </row>
    <row r="513" spans="1:14" s="12" customFormat="1">
      <c r="A513" s="11">
        <v>1680</v>
      </c>
      <c r="B513" s="13" t="s">
        <v>1046</v>
      </c>
      <c r="C513" s="10">
        <v>44204</v>
      </c>
      <c r="D513" s="9"/>
      <c r="E513" s="11">
        <v>4500077604</v>
      </c>
      <c r="F513" s="9"/>
      <c r="G513" s="11">
        <v>1120002326</v>
      </c>
      <c r="H513" s="9" t="s">
        <v>1471</v>
      </c>
      <c r="I513" s="11">
        <v>1</v>
      </c>
      <c r="J513" s="11">
        <v>7560</v>
      </c>
      <c r="K513" s="11">
        <f>I513</f>
        <v>1</v>
      </c>
      <c r="L513" s="10">
        <v>44220</v>
      </c>
      <c r="M513" s="9" t="s">
        <v>1942</v>
      </c>
      <c r="N513" s="13" t="s">
        <v>1478</v>
      </c>
    </row>
    <row r="514" spans="1:14" s="12" customFormat="1">
      <c r="A514" s="11">
        <v>1680</v>
      </c>
      <c r="B514" s="13" t="str">
        <f>VLOOKUP(A514,基础数据!A:B,2,FALSE)</f>
        <v>大丰</v>
      </c>
      <c r="C514" s="10">
        <v>44155</v>
      </c>
      <c r="D514" s="9"/>
      <c r="E514" s="11">
        <v>4500074526</v>
      </c>
      <c r="F514" s="9"/>
      <c r="G514" s="11">
        <v>1120000142</v>
      </c>
      <c r="H514" s="9" t="s">
        <v>11</v>
      </c>
      <c r="I514" s="11"/>
      <c r="J514" s="11">
        <v>7360</v>
      </c>
      <c r="K514" s="11">
        <f>J514</f>
        <v>7360</v>
      </c>
      <c r="L514" s="10">
        <v>44158</v>
      </c>
      <c r="M514" s="9" t="s">
        <v>1943</v>
      </c>
      <c r="N514" s="13" t="str">
        <f>VLOOKUP(H514,基础数据!G:H,2,FALSE)</f>
        <v>TTX1250(60)-2.54-100</v>
      </c>
    </row>
    <row r="515" spans="1:14" s="12" customFormat="1">
      <c r="A515" s="11">
        <v>1680</v>
      </c>
      <c r="B515" s="13" t="str">
        <f>VLOOKUP(A515,基础数据!A:B,2,FALSE)</f>
        <v>大丰</v>
      </c>
      <c r="C515" s="10">
        <v>44190</v>
      </c>
      <c r="D515" s="9"/>
      <c r="E515" s="11">
        <v>4500076682</v>
      </c>
      <c r="F515" s="9"/>
      <c r="G515" s="11">
        <v>1120002038</v>
      </c>
      <c r="H515" s="9" t="s">
        <v>54</v>
      </c>
      <c r="I515" s="11"/>
      <c r="J515" s="11">
        <v>3230</v>
      </c>
      <c r="K515" s="11">
        <f>J515</f>
        <v>3230</v>
      </c>
      <c r="L515" s="10">
        <v>44221</v>
      </c>
      <c r="M515" s="9" t="s">
        <v>1945</v>
      </c>
      <c r="N515" s="13" t="str">
        <f>VLOOKUP(H515,基础数据!G:H,2,FALSE)</f>
        <v>TTX1250(45)-2.54-100</v>
      </c>
    </row>
    <row r="516" spans="1:14" s="12" customFormat="1">
      <c r="A516" s="11">
        <v>1680</v>
      </c>
      <c r="B516" s="13" t="str">
        <f>VLOOKUP(A516,基础数据!A:B,2,FALSE)</f>
        <v>大丰</v>
      </c>
      <c r="C516" s="10">
        <v>44193</v>
      </c>
      <c r="D516" s="9"/>
      <c r="E516" s="11">
        <v>4500076875</v>
      </c>
      <c r="F516" s="9"/>
      <c r="G516" s="11">
        <v>1120002904</v>
      </c>
      <c r="H516" s="9" t="s">
        <v>1073</v>
      </c>
      <c r="I516" s="11">
        <v>4</v>
      </c>
      <c r="J516" s="11">
        <f>514*4</f>
        <v>2056</v>
      </c>
      <c r="K516" s="11">
        <f>I516</f>
        <v>4</v>
      </c>
      <c r="L516" s="10">
        <v>44207</v>
      </c>
      <c r="M516" s="9" t="s">
        <v>1946</v>
      </c>
      <c r="N516" s="13" t="str">
        <f>VLOOKUP(H516,基础数据!G:H,2,FALSE)</f>
        <v>SR146Ⅱ腹板套裁</v>
      </c>
    </row>
    <row r="517" spans="1:14" s="12" customFormat="1">
      <c r="A517" s="11">
        <v>1680</v>
      </c>
      <c r="B517" s="13" t="str">
        <f>VLOOKUP(A517,基础数据!A:B,2,FALSE)</f>
        <v>大丰</v>
      </c>
      <c r="C517" s="10">
        <v>44193</v>
      </c>
      <c r="D517" s="9"/>
      <c r="E517" s="11">
        <v>4500076875</v>
      </c>
      <c r="F517" s="9"/>
      <c r="G517" s="11">
        <v>1120002905</v>
      </c>
      <c r="H517" s="9" t="s">
        <v>1074</v>
      </c>
      <c r="I517" s="11">
        <v>4</v>
      </c>
      <c r="J517" s="11">
        <f>2658*4</f>
        <v>10632</v>
      </c>
      <c r="K517" s="11">
        <f>I517</f>
        <v>4</v>
      </c>
      <c r="L517" s="10">
        <v>44207</v>
      </c>
      <c r="M517" s="9" t="s">
        <v>1946</v>
      </c>
      <c r="N517" s="13" t="str">
        <f>VLOOKUP(H517,基础数据!G:H,2,FALSE)</f>
        <v>SR146Ⅱ壳体套裁</v>
      </c>
    </row>
    <row r="518" spans="1:14" s="12" customFormat="1">
      <c r="A518" s="11">
        <v>1680</v>
      </c>
      <c r="B518" s="13" t="str">
        <f>VLOOKUP(A518,基础数据!A:B,2,FALSE)</f>
        <v>大丰</v>
      </c>
      <c r="C518" s="10">
        <v>44152</v>
      </c>
      <c r="D518" s="9"/>
      <c r="E518" s="11">
        <v>4500074231</v>
      </c>
      <c r="F518" s="9"/>
      <c r="G518" s="11">
        <v>1120002746</v>
      </c>
      <c r="H518" s="9" t="s">
        <v>288</v>
      </c>
      <c r="I518" s="11">
        <v>4</v>
      </c>
      <c r="J518" s="11">
        <v>14016</v>
      </c>
      <c r="K518" s="11">
        <f>I518</f>
        <v>4</v>
      </c>
      <c r="L518" s="10">
        <v>44166</v>
      </c>
      <c r="M518" s="9" t="s">
        <v>1947</v>
      </c>
      <c r="N518" s="13" t="str">
        <f>VLOOKUP(H518,基础数据!G:H,2,FALSE)</f>
        <v>SR146Ⅱ大梁</v>
      </c>
    </row>
    <row r="519" spans="1:14" s="12" customFormat="1">
      <c r="A519" s="11">
        <v>1680</v>
      </c>
      <c r="B519" s="13" t="str">
        <f>VLOOKUP(A519,基础数据!A:B,2,FALSE)</f>
        <v>大丰</v>
      </c>
      <c r="C519" s="10">
        <v>44190</v>
      </c>
      <c r="D519" s="9"/>
      <c r="E519" s="11">
        <v>4500076682</v>
      </c>
      <c r="F519" s="9"/>
      <c r="G519" s="11">
        <v>1120001035</v>
      </c>
      <c r="H519" s="9" t="s">
        <v>12</v>
      </c>
      <c r="I519" s="11"/>
      <c r="J519" s="11">
        <v>3270</v>
      </c>
      <c r="K519" s="11">
        <f>J519</f>
        <v>3270</v>
      </c>
      <c r="L519" s="10">
        <v>44222</v>
      </c>
      <c r="M519" s="9" t="s">
        <v>1948</v>
      </c>
      <c r="N519" s="13" t="str">
        <f>VLOOKUP(H519,基础数据!G:H,2,FALSE)</f>
        <v>TLX1250-2.54-100</v>
      </c>
    </row>
    <row r="520" spans="1:14" s="12" customFormat="1">
      <c r="A520" s="11">
        <v>1680</v>
      </c>
      <c r="B520" s="13" t="str">
        <f>VLOOKUP(A520,基础数据!A:B,2,FALSE)</f>
        <v>大丰</v>
      </c>
      <c r="C520" s="10">
        <v>44204</v>
      </c>
      <c r="D520" s="9"/>
      <c r="E520" s="11">
        <v>4500077604</v>
      </c>
      <c r="F520" s="9"/>
      <c r="G520" s="11">
        <v>1120002325</v>
      </c>
      <c r="H520" s="9" t="s">
        <v>1470</v>
      </c>
      <c r="I520" s="11">
        <v>3</v>
      </c>
      <c r="J520" s="11">
        <v>4857</v>
      </c>
      <c r="K520" s="11">
        <f>I520</f>
        <v>3</v>
      </c>
      <c r="L520" s="10">
        <v>44256</v>
      </c>
      <c r="M520" s="9" t="s">
        <v>1949</v>
      </c>
      <c r="N520" s="13" t="str">
        <f>VLOOKUP(H520,基础数据!G:H,2,FALSE)</f>
        <v>SR152Ⅲ后缘</v>
      </c>
    </row>
    <row r="521" spans="1:14" s="12" customFormat="1">
      <c r="A521" s="11">
        <v>1680</v>
      </c>
      <c r="B521" s="13" t="str">
        <f>VLOOKUP(A521,基础数据!A:B,2,FALSE)</f>
        <v>大丰</v>
      </c>
      <c r="C521" s="10">
        <v>44152</v>
      </c>
      <c r="D521" s="9"/>
      <c r="E521" s="11">
        <v>4500074231</v>
      </c>
      <c r="F521" s="9"/>
      <c r="G521" s="11">
        <v>1120002746</v>
      </c>
      <c r="H521" s="9" t="s">
        <v>288</v>
      </c>
      <c r="I521" s="11">
        <v>3</v>
      </c>
      <c r="J521" s="11">
        <v>10512</v>
      </c>
      <c r="K521" s="11">
        <f>I521</f>
        <v>3</v>
      </c>
      <c r="L521" s="10">
        <v>44166</v>
      </c>
      <c r="M521" s="9" t="s">
        <v>1950</v>
      </c>
      <c r="N521" s="13" t="str">
        <f>VLOOKUP(H521,基础数据!G:H,2,FALSE)</f>
        <v>SR146Ⅱ大梁</v>
      </c>
    </row>
    <row r="522" spans="1:14" s="12" customFormat="1">
      <c r="A522" s="11">
        <v>1680</v>
      </c>
      <c r="B522" s="13" t="str">
        <f>VLOOKUP(A522,基础数据!A:B,2,FALSE)</f>
        <v>大丰</v>
      </c>
      <c r="C522" s="10">
        <v>44152</v>
      </c>
      <c r="D522" s="9"/>
      <c r="E522" s="11">
        <v>4500074231</v>
      </c>
      <c r="F522" s="9"/>
      <c r="G522" s="11">
        <v>1120002747</v>
      </c>
      <c r="H522" s="9" t="s">
        <v>289</v>
      </c>
      <c r="I522" s="11">
        <v>6</v>
      </c>
      <c r="J522" s="11">
        <v>3516</v>
      </c>
      <c r="K522" s="11">
        <f>I522</f>
        <v>6</v>
      </c>
      <c r="L522" s="10">
        <v>44166</v>
      </c>
      <c r="M522" s="9" t="s">
        <v>1951</v>
      </c>
      <c r="N522" s="13" t="str">
        <f>VLOOKUP(H522,基础数据!G:H,2,FALSE)</f>
        <v>SR146Ⅱ后缘</v>
      </c>
    </row>
    <row r="523" spans="1:14" s="12" customFormat="1">
      <c r="A523" s="11">
        <v>1680</v>
      </c>
      <c r="B523" s="13" t="str">
        <f>VLOOKUP(A523,基础数据!A:B,2,FALSE)</f>
        <v>大丰</v>
      </c>
      <c r="C523" s="10">
        <v>44155</v>
      </c>
      <c r="D523" s="9"/>
      <c r="E523" s="11">
        <v>4500074526</v>
      </c>
      <c r="F523" s="9"/>
      <c r="G523" s="11">
        <v>1120000142</v>
      </c>
      <c r="H523" s="9" t="s">
        <v>11</v>
      </c>
      <c r="I523" s="11"/>
      <c r="J523" s="11">
        <v>4845</v>
      </c>
      <c r="K523" s="11">
        <f>J523</f>
        <v>4845</v>
      </c>
      <c r="L523" s="10">
        <v>44223</v>
      </c>
      <c r="M523" s="9" t="s">
        <v>1952</v>
      </c>
      <c r="N523" s="13" t="str">
        <f>VLOOKUP(H523,基础数据!G:H,2,FALSE)</f>
        <v>TTX1250(60)-2.54-100</v>
      </c>
    </row>
    <row r="524" spans="1:14" s="12" customFormat="1">
      <c r="A524" s="11">
        <v>1680</v>
      </c>
      <c r="B524" s="13" t="str">
        <f>VLOOKUP(A524,基础数据!A:B,2,FALSE)</f>
        <v>大丰</v>
      </c>
      <c r="C524" s="10">
        <v>44204</v>
      </c>
      <c r="D524" s="9"/>
      <c r="E524" s="11">
        <v>4500077604</v>
      </c>
      <c r="F524" s="9"/>
      <c r="G524" s="11">
        <v>1120002326</v>
      </c>
      <c r="H524" s="9" t="s">
        <v>1471</v>
      </c>
      <c r="I524" s="11">
        <v>2</v>
      </c>
      <c r="J524" s="11">
        <v>15120</v>
      </c>
      <c r="K524" s="11">
        <f>I524</f>
        <v>2</v>
      </c>
      <c r="L524" s="10">
        <v>44223</v>
      </c>
      <c r="M524" s="9" t="s">
        <v>1953</v>
      </c>
      <c r="N524" s="13" t="str">
        <f>VLOOKUP(H524,基础数据!G:H,2,FALSE)</f>
        <v>SR152Ⅲ大梁</v>
      </c>
    </row>
    <row r="525" spans="1:14" s="12" customFormat="1">
      <c r="A525" s="11">
        <v>1680</v>
      </c>
      <c r="B525" s="13" t="str">
        <f>VLOOKUP(A525,基础数据!A:B,2,FALSE)</f>
        <v>大丰</v>
      </c>
      <c r="C525" s="10">
        <v>44190</v>
      </c>
      <c r="D525" s="9"/>
      <c r="E525" s="11">
        <v>4500076682</v>
      </c>
      <c r="F525" s="9"/>
      <c r="G525" s="11">
        <v>1120001035</v>
      </c>
      <c r="H525" s="9" t="s">
        <v>12</v>
      </c>
      <c r="I525" s="11"/>
      <c r="J525" s="11">
        <v>4905</v>
      </c>
      <c r="K525" s="11">
        <f>J525</f>
        <v>4905</v>
      </c>
      <c r="L525" s="10">
        <v>44223</v>
      </c>
      <c r="M525" s="9" t="s">
        <v>1954</v>
      </c>
      <c r="N525" s="13" t="str">
        <f>VLOOKUP(H525,基础数据!G:H,2,FALSE)</f>
        <v>TLX1250-2.54-100</v>
      </c>
    </row>
    <row r="526" spans="1:14" s="12" customFormat="1">
      <c r="A526" s="11">
        <v>1680</v>
      </c>
      <c r="B526" s="13" t="str">
        <f>VLOOKUP(A526,基础数据!A:B,2,FALSE)</f>
        <v>大丰</v>
      </c>
      <c r="C526" s="10">
        <v>44190</v>
      </c>
      <c r="D526" s="9"/>
      <c r="E526" s="11">
        <v>4500076682</v>
      </c>
      <c r="F526" s="9"/>
      <c r="G526" s="11">
        <v>1120001035</v>
      </c>
      <c r="H526" s="9" t="s">
        <v>12</v>
      </c>
      <c r="I526" s="11"/>
      <c r="J526" s="11">
        <v>4905</v>
      </c>
      <c r="K526" s="11">
        <f>J526</f>
        <v>4905</v>
      </c>
      <c r="L526" s="10">
        <v>44221</v>
      </c>
      <c r="M526" s="9" t="s">
        <v>1960</v>
      </c>
      <c r="N526" s="13" t="str">
        <f>VLOOKUP(H526,基础数据!G:H,2,FALSE)</f>
        <v>TLX1250-2.54-100</v>
      </c>
    </row>
    <row r="527" spans="1:14" s="12" customFormat="1">
      <c r="A527" s="11">
        <v>1680</v>
      </c>
      <c r="B527" s="13" t="str">
        <f>VLOOKUP(A527,基础数据!A:B,2,FALSE)</f>
        <v>大丰</v>
      </c>
      <c r="C527" s="10">
        <v>44204</v>
      </c>
      <c r="D527" s="9"/>
      <c r="E527" s="11">
        <v>4500077604</v>
      </c>
      <c r="F527" s="9"/>
      <c r="G527" s="11">
        <v>1120002325</v>
      </c>
      <c r="H527" s="9" t="s">
        <v>1470</v>
      </c>
      <c r="I527" s="11">
        <v>3</v>
      </c>
      <c r="J527" s="11">
        <v>4857</v>
      </c>
      <c r="K527" s="11">
        <f>I527</f>
        <v>3</v>
      </c>
      <c r="L527" s="10">
        <v>44224</v>
      </c>
      <c r="M527" s="9" t="s">
        <v>1955</v>
      </c>
      <c r="N527" s="13" t="str">
        <f>VLOOKUP(H527,基础数据!G:H,2,FALSE)</f>
        <v>SR152Ⅲ后缘</v>
      </c>
    </row>
    <row r="528" spans="1:14" s="12" customFormat="1">
      <c r="A528" s="11">
        <v>1680</v>
      </c>
      <c r="B528" s="13" t="str">
        <f>VLOOKUP(A528,基础数据!A:B,2,FALSE)</f>
        <v>大丰</v>
      </c>
      <c r="C528" s="10">
        <v>44152</v>
      </c>
      <c r="D528" s="9"/>
      <c r="E528" s="11">
        <v>4500074231</v>
      </c>
      <c r="F528" s="9"/>
      <c r="G528" s="11">
        <v>1120002746</v>
      </c>
      <c r="H528" s="9" t="s">
        <v>288</v>
      </c>
      <c r="I528" s="11">
        <v>2</v>
      </c>
      <c r="J528" s="11">
        <v>7008</v>
      </c>
      <c r="K528" s="11">
        <f>I528</f>
        <v>2</v>
      </c>
      <c r="L528" s="10">
        <v>44224</v>
      </c>
      <c r="M528" s="9" t="s">
        <v>1956</v>
      </c>
      <c r="N528" s="13" t="str">
        <f>VLOOKUP(H528,基础数据!G:H,2,FALSE)</f>
        <v>SR146Ⅱ大梁</v>
      </c>
    </row>
    <row r="529" spans="1:14" s="12" customFormat="1">
      <c r="A529" s="11">
        <v>1680</v>
      </c>
      <c r="B529" s="13" t="str">
        <f>VLOOKUP(A529,基础数据!A:B,2,FALSE)</f>
        <v>大丰</v>
      </c>
      <c r="C529" s="10">
        <v>44152</v>
      </c>
      <c r="D529" s="9"/>
      <c r="E529" s="11">
        <v>4500074231</v>
      </c>
      <c r="F529" s="9"/>
      <c r="G529" s="11">
        <v>1120002747</v>
      </c>
      <c r="H529" s="9" t="s">
        <v>289</v>
      </c>
      <c r="I529" s="11">
        <v>4</v>
      </c>
      <c r="J529" s="11">
        <v>2344</v>
      </c>
      <c r="K529" s="11">
        <f>I529</f>
        <v>4</v>
      </c>
      <c r="L529" s="10">
        <v>44224</v>
      </c>
      <c r="M529" s="9" t="s">
        <v>1957</v>
      </c>
      <c r="N529" s="13" t="str">
        <f>VLOOKUP(H529,基础数据!G:H,2,FALSE)</f>
        <v>SR146Ⅱ后缘</v>
      </c>
    </row>
    <row r="530" spans="1:14" s="12" customFormat="1">
      <c r="A530" s="11">
        <v>1680</v>
      </c>
      <c r="B530" s="13" t="str">
        <f>VLOOKUP(A530,基础数据!A:B,2,FALSE)</f>
        <v>大丰</v>
      </c>
      <c r="C530" s="10">
        <v>44155</v>
      </c>
      <c r="D530" s="9"/>
      <c r="E530" s="11">
        <v>4500074526</v>
      </c>
      <c r="F530" s="9"/>
      <c r="G530" s="11">
        <v>1120000142</v>
      </c>
      <c r="H530" s="9" t="s">
        <v>11</v>
      </c>
      <c r="I530" s="11"/>
      <c r="J530" s="11">
        <v>569</v>
      </c>
      <c r="K530" s="11">
        <f>J530</f>
        <v>569</v>
      </c>
      <c r="L530" s="10">
        <v>44224</v>
      </c>
      <c r="M530" s="9" t="s">
        <v>1958</v>
      </c>
      <c r="N530" s="13" t="str">
        <f>VLOOKUP(H530,基础数据!G:H,2,FALSE)</f>
        <v>TTX1250(60)-2.54-100</v>
      </c>
    </row>
    <row r="531" spans="1:14" s="12" customFormat="1">
      <c r="A531" s="11">
        <v>1680</v>
      </c>
      <c r="B531" s="13" t="str">
        <f>VLOOKUP(A531,基础数据!A:B,2,FALSE)</f>
        <v>大丰</v>
      </c>
      <c r="C531" s="10">
        <v>44158</v>
      </c>
      <c r="D531" s="9"/>
      <c r="E531" s="11">
        <v>4500074599</v>
      </c>
      <c r="F531" s="9"/>
      <c r="G531" s="11">
        <v>1120000142</v>
      </c>
      <c r="H531" s="9" t="s">
        <v>11</v>
      </c>
      <c r="I531" s="11"/>
      <c r="J531" s="11">
        <v>4276</v>
      </c>
      <c r="K531" s="11">
        <f>J531</f>
        <v>4276</v>
      </c>
      <c r="L531" s="10">
        <v>44224</v>
      </c>
      <c r="M531" s="9" t="s">
        <v>1959</v>
      </c>
      <c r="N531" s="13" t="str">
        <f>VLOOKUP(H531,基础数据!G:H,2,FALSE)</f>
        <v>TTX1250(60)-2.54-100</v>
      </c>
    </row>
    <row r="532" spans="1:14" s="12" customFormat="1">
      <c r="A532" s="11">
        <v>1680</v>
      </c>
      <c r="B532" s="13" t="str">
        <f>VLOOKUP(A532,基础数据!A:B,2,FALSE)</f>
        <v>大丰</v>
      </c>
      <c r="C532" s="10">
        <v>44204</v>
      </c>
      <c r="D532" s="9"/>
      <c r="E532" s="11">
        <v>4500077604</v>
      </c>
      <c r="F532" s="9"/>
      <c r="G532" s="11">
        <v>1120002326</v>
      </c>
      <c r="H532" s="9" t="s">
        <v>1471</v>
      </c>
      <c r="I532" s="11">
        <v>2</v>
      </c>
      <c r="J532" s="11">
        <v>15120</v>
      </c>
      <c r="K532" s="11">
        <f>I532</f>
        <v>2</v>
      </c>
      <c r="L532" s="10">
        <v>44225</v>
      </c>
      <c r="M532" s="9" t="s">
        <v>1966</v>
      </c>
      <c r="N532" s="13" t="str">
        <f>VLOOKUP(H532,基础数据!G:H,2,FALSE)</f>
        <v>SR152Ⅲ大梁</v>
      </c>
    </row>
    <row r="533" spans="1:14" s="12" customFormat="1">
      <c r="A533" s="11">
        <v>1680</v>
      </c>
      <c r="B533" s="13" t="str">
        <f>VLOOKUP(A533,基础数据!A:B,2,FALSE)</f>
        <v>大丰</v>
      </c>
      <c r="C533" s="10">
        <v>44152</v>
      </c>
      <c r="D533" s="9"/>
      <c r="E533" s="11">
        <v>4500074231</v>
      </c>
      <c r="F533" s="9"/>
      <c r="G533" s="11">
        <v>1120002746</v>
      </c>
      <c r="H533" s="9" t="s">
        <v>288</v>
      </c>
      <c r="I533" s="11">
        <v>4</v>
      </c>
      <c r="J533" s="11">
        <v>14016</v>
      </c>
      <c r="K533" s="11">
        <f>I533</f>
        <v>4</v>
      </c>
      <c r="L533" s="10">
        <v>44225</v>
      </c>
      <c r="M533" s="9" t="s">
        <v>1967</v>
      </c>
      <c r="N533" s="13" t="str">
        <f>VLOOKUP(H533,基础数据!G:H,2,FALSE)</f>
        <v>SR146Ⅱ大梁</v>
      </c>
    </row>
    <row r="534" spans="1:14" s="12" customFormat="1">
      <c r="A534" s="11">
        <v>1680</v>
      </c>
      <c r="B534" s="13" t="str">
        <f>VLOOKUP(A534,基础数据!A:B,2,FALSE)</f>
        <v>大丰</v>
      </c>
      <c r="C534" s="10">
        <v>44152</v>
      </c>
      <c r="D534" s="9"/>
      <c r="E534" s="11">
        <v>4500074231</v>
      </c>
      <c r="F534" s="9"/>
      <c r="G534" s="11">
        <v>1120002747</v>
      </c>
      <c r="H534" s="9" t="s">
        <v>289</v>
      </c>
      <c r="I534" s="11">
        <v>6</v>
      </c>
      <c r="J534" s="11">
        <v>3516</v>
      </c>
      <c r="K534" s="11">
        <f>I534</f>
        <v>6</v>
      </c>
      <c r="L534" s="10">
        <v>44225</v>
      </c>
      <c r="M534" s="9" t="s">
        <v>1968</v>
      </c>
      <c r="N534" s="13" t="str">
        <f>VLOOKUP(H534,基础数据!G:H,2,FALSE)</f>
        <v>SR146Ⅱ后缘</v>
      </c>
    </row>
    <row r="535" spans="1:14" s="12" customFormat="1">
      <c r="A535" s="11">
        <v>1680</v>
      </c>
      <c r="B535" s="13" t="str">
        <f>VLOOKUP(A535,基础数据!A:B,2,FALSE)</f>
        <v>大丰</v>
      </c>
      <c r="C535" s="10">
        <v>44158</v>
      </c>
      <c r="D535" s="9"/>
      <c r="E535" s="11">
        <v>4500074599</v>
      </c>
      <c r="F535" s="9"/>
      <c r="G535" s="11">
        <v>1120000142</v>
      </c>
      <c r="H535" s="9" t="s">
        <v>11</v>
      </c>
      <c r="I535" s="11"/>
      <c r="J535" s="11">
        <v>4845</v>
      </c>
      <c r="K535" s="11">
        <f>J535</f>
        <v>4845</v>
      </c>
      <c r="L535" s="10">
        <v>44225</v>
      </c>
      <c r="M535" s="9" t="s">
        <v>1969</v>
      </c>
      <c r="N535" s="13" t="str">
        <f>VLOOKUP(H535,基础数据!G:H,2,FALSE)</f>
        <v>TTX1250(60)-2.54-100</v>
      </c>
    </row>
    <row r="536" spans="1:14" s="12" customFormat="1">
      <c r="A536" s="11">
        <v>1680</v>
      </c>
      <c r="B536" s="13" t="str">
        <f>VLOOKUP(A536,基础数据!A:B,2,FALSE)</f>
        <v>大丰</v>
      </c>
      <c r="C536" s="10">
        <v>44209</v>
      </c>
      <c r="D536" s="9"/>
      <c r="E536" s="11">
        <v>4500068637</v>
      </c>
      <c r="F536" s="9"/>
      <c r="G536" s="11">
        <v>1120001397</v>
      </c>
      <c r="H536" s="9" t="s">
        <v>10</v>
      </c>
      <c r="I536" s="11"/>
      <c r="J536" s="11">
        <v>7210</v>
      </c>
      <c r="K536" s="11">
        <f>J536</f>
        <v>7210</v>
      </c>
      <c r="L536" s="10">
        <v>44226</v>
      </c>
      <c r="M536" s="9" t="s">
        <v>1976</v>
      </c>
      <c r="N536" s="13" t="str">
        <f>VLOOKUP(H536,基础数据!G:H,2,FALSE)</f>
        <v>BX800-2.54-100</v>
      </c>
    </row>
    <row r="537" spans="1:14" s="12" customFormat="1">
      <c r="A537" s="11">
        <v>1680</v>
      </c>
      <c r="B537" s="13" t="str">
        <f>VLOOKUP(A537,基础数据!A:B,2,FALSE)</f>
        <v>大丰</v>
      </c>
      <c r="C537" s="10">
        <v>44158</v>
      </c>
      <c r="D537" s="9"/>
      <c r="E537" s="11">
        <v>4500074599</v>
      </c>
      <c r="F537" s="9"/>
      <c r="G537" s="11">
        <v>1120000142</v>
      </c>
      <c r="H537" s="9" t="s">
        <v>11</v>
      </c>
      <c r="I537" s="11"/>
      <c r="J537" s="11">
        <v>8075</v>
      </c>
      <c r="K537" s="11">
        <f>J537</f>
        <v>8075</v>
      </c>
      <c r="L537" s="10">
        <v>44226</v>
      </c>
      <c r="M537" s="9" t="s">
        <v>1970</v>
      </c>
      <c r="N537" s="13" t="str">
        <f>VLOOKUP(H537,基础数据!G:H,2,FALSE)</f>
        <v>TTX1250(60)-2.54-100</v>
      </c>
    </row>
    <row r="538" spans="1:14" s="12" customFormat="1">
      <c r="A538" s="11">
        <v>1680</v>
      </c>
      <c r="B538" s="13" t="str">
        <f>VLOOKUP(A538,基础数据!A:B,2,FALSE)</f>
        <v>大丰</v>
      </c>
      <c r="C538" s="10">
        <v>44116</v>
      </c>
      <c r="D538" s="9"/>
      <c r="E538" s="11">
        <v>4500071981</v>
      </c>
      <c r="F538" s="9"/>
      <c r="G538" s="11">
        <v>1120000145</v>
      </c>
      <c r="H538" s="9" t="s">
        <v>95</v>
      </c>
      <c r="I538" s="11"/>
      <c r="J538" s="22">
        <v>1555</v>
      </c>
      <c r="K538" s="11">
        <f>J538</f>
        <v>1555</v>
      </c>
      <c r="L538" s="10">
        <v>44226</v>
      </c>
      <c r="M538" s="9" t="s">
        <v>1971</v>
      </c>
      <c r="N538" s="13" t="str">
        <f>VLOOKUP(H538,基础数据!G:H,2,FALSE)</f>
        <v>TTX1215(45)-2.54-100</v>
      </c>
    </row>
    <row r="539" spans="1:14" s="12" customFormat="1">
      <c r="A539" s="11">
        <v>1680</v>
      </c>
      <c r="B539" s="13" t="str">
        <f>VLOOKUP(A539,基础数据!A:B,2,FALSE)</f>
        <v>大丰</v>
      </c>
      <c r="C539" s="10">
        <v>44204</v>
      </c>
      <c r="D539" s="9"/>
      <c r="E539" s="11">
        <v>4500077604</v>
      </c>
      <c r="F539" s="9"/>
      <c r="G539" s="11">
        <v>1120002326</v>
      </c>
      <c r="H539" s="9" t="s">
        <v>1471</v>
      </c>
      <c r="I539" s="11">
        <v>2</v>
      </c>
      <c r="J539" s="22">
        <v>15120</v>
      </c>
      <c r="K539" s="11">
        <f>I539</f>
        <v>2</v>
      </c>
      <c r="L539" s="10">
        <v>44226</v>
      </c>
      <c r="M539" s="9" t="s">
        <v>1972</v>
      </c>
      <c r="N539" s="13" t="str">
        <f>VLOOKUP(H539,基础数据!G:H,2,FALSE)</f>
        <v>SR152Ⅲ大梁</v>
      </c>
    </row>
    <row r="540" spans="1:14" s="12" customFormat="1">
      <c r="A540" s="11">
        <v>1680</v>
      </c>
      <c r="B540" s="13" t="str">
        <f>VLOOKUP(A540,基础数据!A:B,2,FALSE)</f>
        <v>大丰</v>
      </c>
      <c r="C540" s="10">
        <v>44204</v>
      </c>
      <c r="D540" s="9"/>
      <c r="E540" s="11">
        <v>4500077604</v>
      </c>
      <c r="F540" s="9"/>
      <c r="G540" s="11">
        <v>1120002325</v>
      </c>
      <c r="H540" s="9" t="s">
        <v>1470</v>
      </c>
      <c r="I540" s="11">
        <v>4</v>
      </c>
      <c r="J540" s="22">
        <f>8814.5-2338.5</f>
        <v>6476</v>
      </c>
      <c r="K540" s="11">
        <f>I540</f>
        <v>4</v>
      </c>
      <c r="L540" s="10">
        <v>44226</v>
      </c>
      <c r="M540" s="9" t="s">
        <v>1975</v>
      </c>
      <c r="N540" s="13" t="str">
        <f>VLOOKUP(H540,基础数据!G:H,2,FALSE)</f>
        <v>SR152Ⅲ后缘</v>
      </c>
    </row>
    <row r="541" spans="1:14" s="12" customFormat="1">
      <c r="A541" s="11">
        <v>1680</v>
      </c>
      <c r="B541" s="13" t="str">
        <f>VLOOKUP(A541,基础数据!A:B,2,FALSE)</f>
        <v>大丰</v>
      </c>
      <c r="C541" s="10">
        <v>44152</v>
      </c>
      <c r="D541" s="9"/>
      <c r="E541" s="11">
        <v>4500074231</v>
      </c>
      <c r="F541" s="9"/>
      <c r="G541" s="11">
        <v>1120002747</v>
      </c>
      <c r="H541" s="9" t="s">
        <v>289</v>
      </c>
      <c r="I541" s="11">
        <v>3</v>
      </c>
      <c r="J541" s="11">
        <v>1758</v>
      </c>
      <c r="K541" s="11">
        <f>I541</f>
        <v>3</v>
      </c>
      <c r="L541" s="10">
        <v>44226</v>
      </c>
      <c r="M541" s="9" t="s">
        <v>1973</v>
      </c>
      <c r="N541" s="13" t="str">
        <f>VLOOKUP(H541,基础数据!G:H,2,FALSE)</f>
        <v>SR146Ⅱ后缘</v>
      </c>
    </row>
    <row r="542" spans="1:14" s="12" customFormat="1">
      <c r="A542" s="11">
        <v>1680</v>
      </c>
      <c r="B542" s="13" t="str">
        <f>VLOOKUP(A542,基础数据!A:B,2,FALSE)</f>
        <v>大丰</v>
      </c>
      <c r="C542" s="10">
        <v>44194</v>
      </c>
      <c r="D542" s="9"/>
      <c r="E542" s="11">
        <v>4500076879</v>
      </c>
      <c r="F542" s="9"/>
      <c r="G542" s="11">
        <v>1120003037</v>
      </c>
      <c r="H542" s="9" t="s">
        <v>1861</v>
      </c>
      <c r="I542" s="11">
        <v>4</v>
      </c>
      <c r="J542" s="11">
        <v>7432</v>
      </c>
      <c r="K542" s="11">
        <f>I542</f>
        <v>4</v>
      </c>
      <c r="L542" s="10">
        <v>44226</v>
      </c>
      <c r="M542" s="9" t="s">
        <v>1974</v>
      </c>
      <c r="N542" s="13" t="str">
        <f>VLOOKUP(H542,基础数据!G:H,2,FALSE)</f>
        <v>SR171Ⅴ后缘</v>
      </c>
    </row>
    <row r="543" spans="1:14" s="12" customFormat="1">
      <c r="A543" s="11">
        <v>1680</v>
      </c>
      <c r="B543" s="13" t="str">
        <f>VLOOKUP(A543,基础数据!A:B,2,FALSE)</f>
        <v>大丰</v>
      </c>
      <c r="C543" s="10">
        <v>44116</v>
      </c>
      <c r="D543" s="9"/>
      <c r="E543" s="11">
        <v>4500071981</v>
      </c>
      <c r="F543" s="9"/>
      <c r="G543" s="11">
        <v>1120000145</v>
      </c>
      <c r="H543" s="9" t="s">
        <v>95</v>
      </c>
      <c r="I543" s="11"/>
      <c r="J543" s="22">
        <v>1555</v>
      </c>
      <c r="K543" s="11">
        <f>J543</f>
        <v>1555</v>
      </c>
      <c r="L543" s="10">
        <v>44132</v>
      </c>
      <c r="M543" s="9" t="s">
        <v>1977</v>
      </c>
      <c r="N543" s="13" t="str">
        <f>VLOOKUP(H543,基础数据!G:H,2,FALSE)</f>
        <v>TTX1215(45)-2.54-100</v>
      </c>
    </row>
    <row r="544" spans="1:14" s="12" customFormat="1">
      <c r="A544" s="11">
        <v>1680</v>
      </c>
      <c r="B544" s="13" t="str">
        <f>VLOOKUP(A544,基础数据!A:B,2,FALSE)</f>
        <v>大丰</v>
      </c>
      <c r="C544" s="10">
        <v>44116</v>
      </c>
      <c r="D544" s="9"/>
      <c r="E544" s="11">
        <v>4500071981</v>
      </c>
      <c r="F544" s="9"/>
      <c r="G544" s="11">
        <v>1120002854</v>
      </c>
      <c r="H544" s="9" t="s">
        <v>94</v>
      </c>
      <c r="I544" s="11"/>
      <c r="J544" s="11">
        <v>7625</v>
      </c>
      <c r="K544" s="11">
        <f>J544</f>
        <v>7625</v>
      </c>
      <c r="L544" s="10">
        <v>44132</v>
      </c>
      <c r="M544" s="9" t="s">
        <v>1980</v>
      </c>
      <c r="N544" s="13" t="str">
        <f>VLOOKUP(H544,基础数据!G:H,2,FALSE)</f>
        <v>TLX1215-2.54-100</v>
      </c>
    </row>
    <row r="545" spans="1:14" s="12" customFormat="1">
      <c r="A545" s="11">
        <v>1680</v>
      </c>
      <c r="B545" s="13" t="str">
        <f>VLOOKUP(A545,基础数据!A:B,2,FALSE)</f>
        <v>大丰</v>
      </c>
      <c r="C545" s="10">
        <v>44190</v>
      </c>
      <c r="D545" s="9"/>
      <c r="E545" s="11">
        <v>4500076682</v>
      </c>
      <c r="F545" s="9"/>
      <c r="G545" s="11">
        <v>1120001035</v>
      </c>
      <c r="H545" s="9" t="s">
        <v>12</v>
      </c>
      <c r="I545" s="11"/>
      <c r="J545" s="11">
        <v>4840</v>
      </c>
      <c r="K545" s="11">
        <f>J545</f>
        <v>4840</v>
      </c>
      <c r="L545" s="10">
        <v>44221</v>
      </c>
      <c r="M545" s="9" t="s">
        <v>1978</v>
      </c>
      <c r="N545" s="13" t="str">
        <f>VLOOKUP(H545,基础数据!G:H,2,FALSE)</f>
        <v>TLX1250-2.54-100</v>
      </c>
    </row>
    <row r="546" spans="1:14" s="12" customFormat="1">
      <c r="A546" s="11">
        <v>1680</v>
      </c>
      <c r="B546" s="13" t="str">
        <f>VLOOKUP(A546,基础数据!A:B,2,FALSE)</f>
        <v>大丰</v>
      </c>
      <c r="C546" s="10">
        <v>44209</v>
      </c>
      <c r="D546" s="9"/>
      <c r="E546" s="11">
        <v>4500068637</v>
      </c>
      <c r="F546" s="9"/>
      <c r="G546" s="11">
        <v>1120001397</v>
      </c>
      <c r="H546" s="9" t="s">
        <v>10</v>
      </c>
      <c r="I546" s="11"/>
      <c r="J546" s="11">
        <v>4326</v>
      </c>
      <c r="K546" s="11">
        <f>J546</f>
        <v>4326</v>
      </c>
      <c r="L546" s="10">
        <v>44214</v>
      </c>
      <c r="M546" s="9" t="s">
        <v>1979</v>
      </c>
      <c r="N546" s="13" t="str">
        <f>VLOOKUP(H546,基础数据!G:H,2,FALSE)</f>
        <v>BX800-2.54-100</v>
      </c>
    </row>
    <row r="547" spans="1:14" s="12" customFormat="1">
      <c r="A547" s="11">
        <v>1680</v>
      </c>
      <c r="B547" s="13" t="str">
        <f>VLOOKUP(A547,基础数据!A:B,2,FALSE)</f>
        <v>大丰</v>
      </c>
      <c r="C547" s="10">
        <v>44152</v>
      </c>
      <c r="D547" s="9"/>
      <c r="E547" s="11">
        <v>4500074231</v>
      </c>
      <c r="F547" s="9"/>
      <c r="G547" s="11">
        <v>1120002746</v>
      </c>
      <c r="H547" s="9" t="s">
        <v>288</v>
      </c>
      <c r="I547" s="11">
        <v>4</v>
      </c>
      <c r="J547" s="11">
        <v>14016</v>
      </c>
      <c r="K547" s="11">
        <f>I547</f>
        <v>4</v>
      </c>
      <c r="L547" s="10">
        <v>44166</v>
      </c>
      <c r="M547" s="9" t="s">
        <v>1981</v>
      </c>
      <c r="N547" s="13" t="str">
        <f>VLOOKUP(H547,基础数据!G:H,2,FALSE)</f>
        <v>SR146Ⅱ大梁</v>
      </c>
    </row>
    <row r="548" spans="1:14" s="12" customFormat="1">
      <c r="A548" s="11">
        <v>1680</v>
      </c>
      <c r="B548" s="13" t="str">
        <f>VLOOKUP(A548,基础数据!A:B,2,FALSE)</f>
        <v>大丰</v>
      </c>
      <c r="C548" s="10">
        <v>44193</v>
      </c>
      <c r="D548" s="9"/>
      <c r="E548" s="11">
        <v>4500076875</v>
      </c>
      <c r="F548" s="9"/>
      <c r="G548" s="11">
        <v>1120002904</v>
      </c>
      <c r="H548" s="9" t="s">
        <v>1073</v>
      </c>
      <c r="I548" s="11">
        <v>4</v>
      </c>
      <c r="J548" s="11">
        <f>514*4</f>
        <v>2056</v>
      </c>
      <c r="K548" s="11">
        <f>I548</f>
        <v>4</v>
      </c>
      <c r="L548" s="10">
        <v>44207</v>
      </c>
      <c r="M548" s="9" t="s">
        <v>1982</v>
      </c>
      <c r="N548" s="13" t="str">
        <f>VLOOKUP(H548,基础数据!G:H,2,FALSE)</f>
        <v>SR146Ⅱ腹板套裁</v>
      </c>
    </row>
    <row r="549" spans="1:14" s="12" customFormat="1">
      <c r="A549" s="11">
        <v>1680</v>
      </c>
      <c r="B549" s="13" t="str">
        <f>VLOOKUP(A549,基础数据!A:B,2,FALSE)</f>
        <v>大丰</v>
      </c>
      <c r="C549" s="10">
        <v>44193</v>
      </c>
      <c r="D549" s="9"/>
      <c r="E549" s="11">
        <v>4500076875</v>
      </c>
      <c r="F549" s="9"/>
      <c r="G549" s="11">
        <v>1120002905</v>
      </c>
      <c r="H549" s="9" t="s">
        <v>1074</v>
      </c>
      <c r="I549" s="11">
        <v>4</v>
      </c>
      <c r="J549" s="11">
        <f>2658*4</f>
        <v>10632</v>
      </c>
      <c r="K549" s="11">
        <f>I549</f>
        <v>4</v>
      </c>
      <c r="L549" s="10">
        <v>44207</v>
      </c>
      <c r="M549" s="9" t="s">
        <v>1982</v>
      </c>
      <c r="N549" s="13" t="str">
        <f>VLOOKUP(H549,基础数据!G:H,2,FALSE)</f>
        <v>SR146Ⅱ壳体套裁</v>
      </c>
    </row>
    <row r="550" spans="1:14" s="12" customFormat="1">
      <c r="A550" s="11">
        <v>1680</v>
      </c>
      <c r="B550" s="13" t="str">
        <f>VLOOKUP(A550,基础数据!A:B,2,FALSE)</f>
        <v>大丰</v>
      </c>
      <c r="C550" s="10">
        <v>44190</v>
      </c>
      <c r="D550" s="9"/>
      <c r="E550" s="11">
        <v>4500076682</v>
      </c>
      <c r="F550" s="9"/>
      <c r="G550" s="11">
        <v>1120001035</v>
      </c>
      <c r="H550" s="9" t="s">
        <v>12</v>
      </c>
      <c r="I550" s="11"/>
      <c r="J550" s="11">
        <v>6500</v>
      </c>
      <c r="K550" s="11">
        <f>J550</f>
        <v>6500</v>
      </c>
      <c r="L550" s="10">
        <v>44221</v>
      </c>
      <c r="M550" s="9" t="s">
        <v>1983</v>
      </c>
      <c r="N550" s="13" t="str">
        <f>VLOOKUP(H550,基础数据!G:H,2,FALSE)</f>
        <v>TLX1250-2.54-100</v>
      </c>
    </row>
    <row r="551" spans="1:14" s="12" customFormat="1">
      <c r="A551" s="11">
        <v>1680</v>
      </c>
      <c r="B551" s="13" t="str">
        <f>VLOOKUP(A551,基础数据!A:B,2,FALSE)</f>
        <v>大丰</v>
      </c>
      <c r="C551" s="10">
        <v>44158</v>
      </c>
      <c r="D551" s="9"/>
      <c r="E551" s="11">
        <v>4500074599</v>
      </c>
      <c r="F551" s="9"/>
      <c r="G551" s="11">
        <v>1120000142</v>
      </c>
      <c r="H551" s="9" t="s">
        <v>11</v>
      </c>
      <c r="I551" s="11"/>
      <c r="J551" s="11">
        <v>9690</v>
      </c>
      <c r="K551" s="11">
        <f>J551</f>
        <v>9690</v>
      </c>
      <c r="L551" s="10">
        <v>44229</v>
      </c>
      <c r="M551" s="9" t="s">
        <v>1984</v>
      </c>
      <c r="N551" s="13" t="str">
        <f>VLOOKUP(H551,基础数据!G:H,2,FALSE)</f>
        <v>TTX1250(60)-2.54-100</v>
      </c>
    </row>
    <row r="552" spans="1:14" s="12" customFormat="1">
      <c r="A552" s="11">
        <v>1680</v>
      </c>
      <c r="B552" s="13" t="str">
        <f>VLOOKUP(A552,基础数据!A:B,2,FALSE)</f>
        <v>大丰</v>
      </c>
      <c r="C552" s="10">
        <v>44190</v>
      </c>
      <c r="D552" s="9"/>
      <c r="E552" s="11">
        <v>4500076682</v>
      </c>
      <c r="F552" s="9"/>
      <c r="G552" s="11">
        <v>1120001035</v>
      </c>
      <c r="H552" s="9" t="s">
        <v>12</v>
      </c>
      <c r="I552" s="11"/>
      <c r="J552" s="11">
        <v>12790</v>
      </c>
      <c r="K552" s="11">
        <f>J552</f>
        <v>12790</v>
      </c>
      <c r="L552" s="10">
        <v>44229</v>
      </c>
      <c r="M552" s="9" t="s">
        <v>1985</v>
      </c>
      <c r="N552" s="13" t="str">
        <f>VLOOKUP(H552,基础数据!G:H,2,FALSE)</f>
        <v>TLX1250-2.54-100</v>
      </c>
    </row>
    <row r="553" spans="1:14" s="12" customFormat="1">
      <c r="A553" s="11">
        <v>1680</v>
      </c>
      <c r="B553" s="13" t="str">
        <f>VLOOKUP(A553,基础数据!A:B,2,FALSE)</f>
        <v>大丰</v>
      </c>
      <c r="C553" s="10">
        <v>44209</v>
      </c>
      <c r="D553" s="9"/>
      <c r="E553" s="11">
        <v>4500068637</v>
      </c>
      <c r="F553" s="9"/>
      <c r="G553" s="11">
        <v>1120001397</v>
      </c>
      <c r="H553" s="9" t="s">
        <v>10</v>
      </c>
      <c r="I553" s="11"/>
      <c r="J553" s="11">
        <v>8652</v>
      </c>
      <c r="K553" s="11">
        <f>J553</f>
        <v>8652</v>
      </c>
      <c r="L553" s="10">
        <v>44229</v>
      </c>
      <c r="M553" s="9" t="s">
        <v>1986</v>
      </c>
      <c r="N553" s="13" t="str">
        <f>VLOOKUP(H553,基础数据!G:H,2,FALSE)</f>
        <v>BX800-2.54-100</v>
      </c>
    </row>
    <row r="554" spans="1:14" s="12" customFormat="1">
      <c r="A554" s="11">
        <v>1680</v>
      </c>
      <c r="B554" s="13" t="s">
        <v>1046</v>
      </c>
      <c r="C554" s="10">
        <v>44158</v>
      </c>
      <c r="D554" s="9"/>
      <c r="E554" s="11">
        <v>4500074599</v>
      </c>
      <c r="F554" s="9"/>
      <c r="G554" s="11">
        <v>1120000142</v>
      </c>
      <c r="H554" s="9" t="s">
        <v>11</v>
      </c>
      <c r="I554" s="11"/>
      <c r="J554" s="11">
        <v>5880</v>
      </c>
      <c r="K554" s="11">
        <v>5880</v>
      </c>
      <c r="L554" s="10">
        <v>44230</v>
      </c>
      <c r="M554" s="9" t="s">
        <v>1993</v>
      </c>
      <c r="N554" s="13" t="s">
        <v>1146</v>
      </c>
    </row>
    <row r="555" spans="1:14" s="12" customFormat="1">
      <c r="A555" s="11">
        <v>1680</v>
      </c>
      <c r="B555" s="13" t="s">
        <v>1046</v>
      </c>
      <c r="C555" s="10">
        <v>44209</v>
      </c>
      <c r="D555" s="9"/>
      <c r="E555" s="11">
        <v>4500077982</v>
      </c>
      <c r="F555" s="9"/>
      <c r="G555" s="11">
        <v>1120000142</v>
      </c>
      <c r="H555" s="9" t="s">
        <v>11</v>
      </c>
      <c r="I555" s="11"/>
      <c r="J555" s="11">
        <v>580</v>
      </c>
      <c r="K555" s="11">
        <v>580</v>
      </c>
      <c r="L555" s="10">
        <v>44230</v>
      </c>
      <c r="M555" s="9" t="s">
        <v>1994</v>
      </c>
      <c r="N555" s="13" t="s">
        <v>1146</v>
      </c>
    </row>
    <row r="556" spans="1:14" s="12" customFormat="1">
      <c r="A556" s="11">
        <v>1680</v>
      </c>
      <c r="B556" s="13" t="str">
        <f>VLOOKUP(A556,[5]基础数据!A:B,2,FALSE)</f>
        <v>大丰</v>
      </c>
      <c r="C556" s="10">
        <v>44190</v>
      </c>
      <c r="D556" s="9"/>
      <c r="E556" s="11">
        <v>4500076682</v>
      </c>
      <c r="F556" s="9"/>
      <c r="G556" s="11">
        <v>1120001035</v>
      </c>
      <c r="H556" s="9" t="s">
        <v>12</v>
      </c>
      <c r="I556" s="11"/>
      <c r="J556" s="11">
        <v>9645</v>
      </c>
      <c r="K556" s="11">
        <f t="shared" ref="K556:K563" si="13">J556</f>
        <v>9645</v>
      </c>
      <c r="L556" s="10">
        <v>44230</v>
      </c>
      <c r="M556" s="9" t="s">
        <v>1995</v>
      </c>
      <c r="N556" s="13" t="str">
        <f>VLOOKUP(H556,[5]基础数据!G:H,2,FALSE)</f>
        <v>TLX1250-2.54-100</v>
      </c>
    </row>
    <row r="557" spans="1:14" s="12" customFormat="1">
      <c r="A557" s="11">
        <v>1680</v>
      </c>
      <c r="B557" s="13" t="str">
        <f>VLOOKUP(A557,基础数据!A:B,2,FALSE)</f>
        <v>大丰</v>
      </c>
      <c r="C557" s="10">
        <v>44209</v>
      </c>
      <c r="D557" s="9"/>
      <c r="E557" s="11">
        <v>4500068637</v>
      </c>
      <c r="F557" s="9"/>
      <c r="G557" s="11">
        <v>1120001397</v>
      </c>
      <c r="H557" s="9" t="s">
        <v>10</v>
      </c>
      <c r="I557" s="11"/>
      <c r="J557" s="11">
        <v>7210</v>
      </c>
      <c r="K557" s="11">
        <f t="shared" si="13"/>
        <v>7210</v>
      </c>
      <c r="L557" s="10">
        <v>44231</v>
      </c>
      <c r="M557" s="9" t="s">
        <v>1998</v>
      </c>
      <c r="N557" s="13" t="str">
        <f>VLOOKUP(H557,基础数据!G:H,2,FALSE)</f>
        <v>BX800-2.54-100</v>
      </c>
    </row>
    <row r="558" spans="1:14" s="12" customFormat="1">
      <c r="A558" s="11">
        <v>1680</v>
      </c>
      <c r="B558" s="13" t="str">
        <f>VLOOKUP(A558,基础数据!A:B,2,FALSE)</f>
        <v>大丰</v>
      </c>
      <c r="C558" s="10">
        <v>44209</v>
      </c>
      <c r="D558" s="9"/>
      <c r="E558" s="11">
        <v>4500077982</v>
      </c>
      <c r="F558" s="9"/>
      <c r="G558" s="11">
        <v>1120000142</v>
      </c>
      <c r="H558" s="9" t="s">
        <v>11</v>
      </c>
      <c r="I558" s="11"/>
      <c r="J558" s="11">
        <v>3230</v>
      </c>
      <c r="K558" s="11">
        <f t="shared" si="13"/>
        <v>3230</v>
      </c>
      <c r="L558" s="10">
        <v>44231</v>
      </c>
      <c r="M558" s="9" t="s">
        <v>1996</v>
      </c>
      <c r="N558" s="13" t="str">
        <f>VLOOKUP(H558,基础数据!G:H,2,FALSE)</f>
        <v>TTX1250(60)-2.54-100</v>
      </c>
    </row>
    <row r="559" spans="1:14" s="12" customFormat="1">
      <c r="A559" s="11">
        <v>1680</v>
      </c>
      <c r="B559" s="13" t="str">
        <f>VLOOKUP(A559,基础数据!A:B,2,FALSE)</f>
        <v>大丰</v>
      </c>
      <c r="C559" s="10">
        <v>44190</v>
      </c>
      <c r="D559" s="9"/>
      <c r="E559" s="11">
        <v>4500076682</v>
      </c>
      <c r="F559" s="9"/>
      <c r="G559" s="11">
        <v>1120001035</v>
      </c>
      <c r="H559" s="9" t="s">
        <v>12</v>
      </c>
      <c r="I559" s="11"/>
      <c r="J559" s="11">
        <v>4840</v>
      </c>
      <c r="K559" s="11">
        <f t="shared" si="13"/>
        <v>4840</v>
      </c>
      <c r="L559" s="10">
        <v>44231</v>
      </c>
      <c r="M559" s="9" t="s">
        <v>1997</v>
      </c>
      <c r="N559" s="13" t="str">
        <f>VLOOKUP(H559,基础数据!G:H,2,FALSE)</f>
        <v>TLX1250-2.54-100</v>
      </c>
    </row>
    <row r="560" spans="1:14" s="12" customFormat="1">
      <c r="A560" s="11">
        <v>1680</v>
      </c>
      <c r="B560" s="13" t="str">
        <f>VLOOKUP(A560,基础数据!A:B,2,FALSE)</f>
        <v>大丰</v>
      </c>
      <c r="C560" s="10">
        <v>44209</v>
      </c>
      <c r="D560" s="9"/>
      <c r="E560" s="11">
        <v>4500068637</v>
      </c>
      <c r="F560" s="9"/>
      <c r="G560" s="11">
        <v>1120001397</v>
      </c>
      <c r="H560" s="9" t="s">
        <v>10</v>
      </c>
      <c r="I560" s="11"/>
      <c r="J560" s="11">
        <v>7210</v>
      </c>
      <c r="K560" s="11">
        <f t="shared" si="13"/>
        <v>7210</v>
      </c>
      <c r="L560" s="10">
        <v>44232</v>
      </c>
      <c r="M560" s="9" t="s">
        <v>1999</v>
      </c>
      <c r="N560" s="13" t="str">
        <f>VLOOKUP(H560,基础数据!G:H,2,FALSE)</f>
        <v>BX800-2.54-100</v>
      </c>
    </row>
    <row r="561" spans="1:14" s="12" customFormat="1">
      <c r="A561" s="11">
        <v>1680</v>
      </c>
      <c r="B561" s="13" t="str">
        <f>VLOOKUP(A561,基础数据!A:B,2,FALSE)</f>
        <v>大丰</v>
      </c>
      <c r="C561" s="10">
        <v>44190</v>
      </c>
      <c r="D561" s="9"/>
      <c r="E561" s="11">
        <v>4500076682</v>
      </c>
      <c r="F561" s="9"/>
      <c r="G561" s="11">
        <v>1120001035</v>
      </c>
      <c r="H561" s="9" t="s">
        <v>12</v>
      </c>
      <c r="I561" s="11"/>
      <c r="J561" s="11">
        <v>4770</v>
      </c>
      <c r="K561" s="11">
        <f t="shared" si="13"/>
        <v>4770</v>
      </c>
      <c r="L561" s="10">
        <v>44232</v>
      </c>
      <c r="M561" s="9" t="s">
        <v>2000</v>
      </c>
      <c r="N561" s="13" t="str">
        <f>VLOOKUP(H561,基础数据!G:H,2,FALSE)</f>
        <v>TLX1250-2.54-100</v>
      </c>
    </row>
    <row r="562" spans="1:14" s="12" customFormat="1">
      <c r="A562" s="11">
        <v>1680</v>
      </c>
      <c r="B562" s="13" t="str">
        <f>VLOOKUP(A562,基础数据!A:B,2,FALSE)</f>
        <v>大丰</v>
      </c>
      <c r="C562" s="10">
        <v>44209</v>
      </c>
      <c r="D562" s="9"/>
      <c r="E562" s="11">
        <v>4500077982</v>
      </c>
      <c r="F562" s="9"/>
      <c r="G562" s="11">
        <v>1120000142</v>
      </c>
      <c r="H562" s="9" t="s">
        <v>11</v>
      </c>
      <c r="I562" s="11"/>
      <c r="J562" s="11">
        <v>3230</v>
      </c>
      <c r="K562" s="11">
        <f t="shared" si="13"/>
        <v>3230</v>
      </c>
      <c r="L562" s="10">
        <v>44232</v>
      </c>
      <c r="M562" s="9" t="s">
        <v>2001</v>
      </c>
      <c r="N562" s="13" t="str">
        <f>VLOOKUP(H562,基础数据!G:H,2,FALSE)</f>
        <v>TTX1250(60)-2.54-100</v>
      </c>
    </row>
    <row r="563" spans="1:14" s="12" customFormat="1">
      <c r="A563" s="11">
        <v>1680</v>
      </c>
      <c r="B563" s="13" t="str">
        <f>VLOOKUP(A563,基础数据!A:B,2,FALSE)</f>
        <v>大丰</v>
      </c>
      <c r="C563" s="10">
        <v>44209</v>
      </c>
      <c r="D563" s="9"/>
      <c r="E563" s="11">
        <v>4500077982</v>
      </c>
      <c r="F563" s="9"/>
      <c r="G563" s="11">
        <v>1120000142</v>
      </c>
      <c r="H563" s="9" t="s">
        <v>11</v>
      </c>
      <c r="I563" s="11"/>
      <c r="J563" s="11">
        <v>3230</v>
      </c>
      <c r="K563" s="11">
        <f t="shared" si="13"/>
        <v>3230</v>
      </c>
      <c r="L563" s="10">
        <v>44233</v>
      </c>
      <c r="M563" s="9" t="s">
        <v>2002</v>
      </c>
      <c r="N563" s="13" t="str">
        <f>VLOOKUP(H563,基础数据!G:H,2,FALSE)</f>
        <v>TTX1250(60)-2.54-100</v>
      </c>
    </row>
    <row r="564" spans="1:14" s="12" customFormat="1">
      <c r="A564" s="11">
        <v>1680</v>
      </c>
      <c r="B564" s="13" t="s">
        <v>1046</v>
      </c>
      <c r="C564" s="10">
        <v>44069</v>
      </c>
      <c r="D564" s="9"/>
      <c r="E564" s="11">
        <v>4500067613</v>
      </c>
      <c r="F564" s="9"/>
      <c r="G564" s="11">
        <v>1120002772</v>
      </c>
      <c r="H564" s="9" t="s">
        <v>492</v>
      </c>
      <c r="I564" s="11">
        <v>1</v>
      </c>
      <c r="J564" s="11">
        <v>1825</v>
      </c>
      <c r="K564" s="11">
        <f>I564</f>
        <v>1</v>
      </c>
      <c r="L564" s="10">
        <v>44233</v>
      </c>
      <c r="M564" s="9" t="s">
        <v>2003</v>
      </c>
      <c r="N564" s="13" t="s">
        <v>894</v>
      </c>
    </row>
    <row r="565" spans="1:14" s="12" customFormat="1">
      <c r="A565" s="11">
        <v>1680</v>
      </c>
      <c r="B565" s="13" t="s">
        <v>1046</v>
      </c>
      <c r="C565" s="10">
        <v>44116</v>
      </c>
      <c r="D565" s="9"/>
      <c r="E565" s="11">
        <v>4500071981</v>
      </c>
      <c r="F565" s="9"/>
      <c r="G565" s="11">
        <v>1120002772</v>
      </c>
      <c r="H565" s="9" t="s">
        <v>492</v>
      </c>
      <c r="I565" s="11">
        <v>4</v>
      </c>
      <c r="J565" s="11">
        <v>7300</v>
      </c>
      <c r="K565" s="11">
        <f>I565</f>
        <v>4</v>
      </c>
      <c r="L565" s="10">
        <v>44233</v>
      </c>
      <c r="M565" s="9" t="s">
        <v>2004</v>
      </c>
      <c r="N565" s="13" t="s">
        <v>894</v>
      </c>
    </row>
    <row r="566" spans="1:14" s="12" customFormat="1">
      <c r="A566" s="11">
        <v>1680</v>
      </c>
      <c r="B566" s="13" t="str">
        <f>VLOOKUP(A566,基础数据!A:B,2,FALSE)</f>
        <v>大丰</v>
      </c>
      <c r="C566" s="10">
        <v>44204</v>
      </c>
      <c r="D566" s="9"/>
      <c r="E566" s="11">
        <v>4500077604</v>
      </c>
      <c r="F566" s="9"/>
      <c r="G566" s="11">
        <v>1120003037</v>
      </c>
      <c r="H566" s="9" t="s">
        <v>1861</v>
      </c>
      <c r="I566" s="11">
        <v>2</v>
      </c>
      <c r="J566" s="11">
        <v>3716</v>
      </c>
      <c r="K566" s="11">
        <f>I566</f>
        <v>2</v>
      </c>
      <c r="L566" s="10">
        <v>44249</v>
      </c>
      <c r="M566" s="9" t="s">
        <v>2005</v>
      </c>
      <c r="N566" s="13" t="str">
        <f>VLOOKUP(H566,基础数据!G:H,2,FALSE)</f>
        <v>SR171Ⅴ后缘</v>
      </c>
    </row>
    <row r="567" spans="1:14" s="12" customFormat="1">
      <c r="A567" s="11">
        <v>1680</v>
      </c>
      <c r="B567" s="13" t="str">
        <f>VLOOKUP(A567,基础数据!A:B,2,FALSE)</f>
        <v>大丰</v>
      </c>
      <c r="C567" s="10">
        <v>44229</v>
      </c>
      <c r="D567" s="9"/>
      <c r="E567" s="11">
        <v>4500079277</v>
      </c>
      <c r="F567" s="9"/>
      <c r="G567" s="11">
        <v>1120000145</v>
      </c>
      <c r="H567" s="9" t="s">
        <v>95</v>
      </c>
      <c r="I567" s="11"/>
      <c r="J567" s="11">
        <v>4665</v>
      </c>
      <c r="K567" s="11">
        <f>J567</f>
        <v>4665</v>
      </c>
      <c r="L567" s="10">
        <v>44256</v>
      </c>
      <c r="M567" s="9" t="s">
        <v>2008</v>
      </c>
      <c r="N567" s="13" t="str">
        <f>VLOOKUP(H567,基础数据!G:H,2,FALSE)</f>
        <v>TTX1215(45)-2.54-100</v>
      </c>
    </row>
    <row r="568" spans="1:14" s="12" customFormat="1">
      <c r="A568" s="11">
        <v>1680</v>
      </c>
      <c r="B568" s="13" t="str">
        <f>VLOOKUP(A568,基础数据!A:B,2,FALSE)</f>
        <v>大丰</v>
      </c>
      <c r="C568" s="10">
        <v>44229</v>
      </c>
      <c r="D568" s="9"/>
      <c r="E568" s="11">
        <v>4500079277</v>
      </c>
      <c r="F568" s="9"/>
      <c r="G568" s="11">
        <v>1120002854</v>
      </c>
      <c r="H568" s="9" t="s">
        <v>94</v>
      </c>
      <c r="I568" s="11"/>
      <c r="J568" s="11">
        <v>10675</v>
      </c>
      <c r="K568" s="11">
        <f>J568</f>
        <v>10675</v>
      </c>
      <c r="L568" s="10">
        <v>44256</v>
      </c>
      <c r="M568" s="9" t="s">
        <v>2009</v>
      </c>
      <c r="N568" s="13" t="str">
        <f>VLOOKUP(H568,基础数据!G:H,2,FALSE)</f>
        <v>TLX1215-2.54-100</v>
      </c>
    </row>
    <row r="569" spans="1:14" s="12" customFormat="1">
      <c r="A569" s="11">
        <v>1680</v>
      </c>
      <c r="B569" s="13" t="str">
        <f>VLOOKUP(A569,基础数据!A:B,2,FALSE)</f>
        <v>大丰</v>
      </c>
      <c r="C569" s="10">
        <v>44229</v>
      </c>
      <c r="D569" s="9"/>
      <c r="E569" s="11">
        <v>4500079277</v>
      </c>
      <c r="F569" s="9"/>
      <c r="G569" s="11">
        <v>1120000145</v>
      </c>
      <c r="H569" s="9" t="s">
        <v>2010</v>
      </c>
      <c r="I569" s="11"/>
      <c r="J569" s="11">
        <v>3110</v>
      </c>
      <c r="K569" s="11">
        <f>J569</f>
        <v>3110</v>
      </c>
      <c r="L569" s="10">
        <v>44249</v>
      </c>
      <c r="M569" s="9" t="s">
        <v>2013</v>
      </c>
      <c r="N569" s="13" t="str">
        <f>VLOOKUP(H569,基础数据!G:H,2,FALSE)</f>
        <v>TTX1215(45)-2.54-100</v>
      </c>
    </row>
    <row r="570" spans="1:14" s="12" customFormat="1">
      <c r="A570" s="11">
        <v>1680</v>
      </c>
      <c r="B570" s="13" t="str">
        <f>VLOOKUP(A570,基础数据!A:B,2,FALSE)</f>
        <v>大丰</v>
      </c>
      <c r="C570" s="10">
        <v>44229</v>
      </c>
      <c r="D570" s="9"/>
      <c r="E570" s="11">
        <v>4500079277</v>
      </c>
      <c r="F570" s="9"/>
      <c r="G570" s="11">
        <v>1120002854</v>
      </c>
      <c r="H570" s="9" t="s">
        <v>2011</v>
      </c>
      <c r="I570" s="11"/>
      <c r="J570" s="11">
        <v>12200</v>
      </c>
      <c r="K570" s="11">
        <f>J570</f>
        <v>12200</v>
      </c>
      <c r="L570" s="10">
        <v>44249</v>
      </c>
      <c r="M570" s="9" t="s">
        <v>2012</v>
      </c>
      <c r="N570" s="13" t="str">
        <f>VLOOKUP(H570,基础数据!G:H,2,FALSE)</f>
        <v>TLX1215-2.54-100</v>
      </c>
    </row>
    <row r="571" spans="1:14" s="12" customFormat="1">
      <c r="A571" s="11">
        <v>1680</v>
      </c>
      <c r="B571" s="13" t="str">
        <f>VLOOKUP(A571,基础数据!A:B,2,FALSE)</f>
        <v>大丰</v>
      </c>
      <c r="C571" s="10">
        <v>44204</v>
      </c>
      <c r="D571" s="9"/>
      <c r="E571" s="11">
        <v>4500077604</v>
      </c>
      <c r="F571" s="9"/>
      <c r="G571" s="11">
        <v>1120002326</v>
      </c>
      <c r="H571" s="9" t="s">
        <v>1475</v>
      </c>
      <c r="I571" s="11">
        <v>2</v>
      </c>
      <c r="J571" s="11">
        <v>15120</v>
      </c>
      <c r="K571" s="11">
        <f>I571</f>
        <v>2</v>
      </c>
      <c r="L571" s="10">
        <v>44250</v>
      </c>
      <c r="M571" s="9" t="s">
        <v>2019</v>
      </c>
      <c r="N571" s="13" t="str">
        <f>VLOOKUP(H571,基础数据!G:H,2,FALSE)</f>
        <v>SR152Ⅲ大梁</v>
      </c>
    </row>
    <row r="572" spans="1:14" s="12" customFormat="1">
      <c r="A572" s="11">
        <v>1680</v>
      </c>
      <c r="B572" s="13" t="str">
        <f>VLOOKUP(A572,基础数据!A:B,2,FALSE)</f>
        <v>大丰</v>
      </c>
      <c r="C572" s="10">
        <v>44229</v>
      </c>
      <c r="D572" s="9"/>
      <c r="E572" s="11">
        <v>4500079277</v>
      </c>
      <c r="F572" s="9"/>
      <c r="G572" s="11">
        <v>1120001397</v>
      </c>
      <c r="H572" s="9" t="s">
        <v>2021</v>
      </c>
      <c r="I572" s="11"/>
      <c r="J572" s="11">
        <v>2884</v>
      </c>
      <c r="K572" s="11">
        <f>J572</f>
        <v>2884</v>
      </c>
      <c r="L572" s="10">
        <v>44250</v>
      </c>
      <c r="M572" s="9" t="s">
        <v>2020</v>
      </c>
      <c r="N572" s="13" t="str">
        <f>VLOOKUP(H572,基础数据!G:H,2,FALSE)</f>
        <v>BX800-2.54-100</v>
      </c>
    </row>
    <row r="573" spans="1:14" s="12" customFormat="1">
      <c r="A573" s="11">
        <v>1680</v>
      </c>
      <c r="B573" s="13" t="str">
        <f>VLOOKUP(A573,基础数据!A:B,2,FALSE)</f>
        <v>大丰</v>
      </c>
      <c r="C573" s="10">
        <v>44211</v>
      </c>
      <c r="D573" s="9"/>
      <c r="E573" s="11">
        <v>4500078193</v>
      </c>
      <c r="F573" s="9"/>
      <c r="G573" s="11">
        <v>1120002772</v>
      </c>
      <c r="H573" s="9" t="s">
        <v>1075</v>
      </c>
      <c r="I573" s="11">
        <v>5</v>
      </c>
      <c r="J573" s="11">
        <v>9125</v>
      </c>
      <c r="K573" s="11">
        <f>I573</f>
        <v>5</v>
      </c>
      <c r="L573" s="10">
        <v>44251</v>
      </c>
      <c r="M573" s="9" t="s">
        <v>2022</v>
      </c>
      <c r="N573" s="13" t="str">
        <f>VLOOKUP(H573,基础数据!G:H,2,FALSE)</f>
        <v>GW171后缘</v>
      </c>
    </row>
    <row r="574" spans="1:14" s="12" customFormat="1">
      <c r="A574" s="11">
        <v>1680</v>
      </c>
      <c r="B574" s="13" t="str">
        <f>VLOOKUP(A574,基础数据!A:B,2,FALSE)</f>
        <v>大丰</v>
      </c>
      <c r="C574" s="10">
        <v>44229</v>
      </c>
      <c r="D574" s="9"/>
      <c r="E574" s="11">
        <v>4500079277</v>
      </c>
      <c r="F574" s="9"/>
      <c r="G574" s="11">
        <v>1120000142</v>
      </c>
      <c r="H574" s="9" t="s">
        <v>11</v>
      </c>
      <c r="I574" s="11"/>
      <c r="J574" s="11">
        <v>6460</v>
      </c>
      <c r="K574" s="11">
        <f>J574</f>
        <v>6460</v>
      </c>
      <c r="L574" s="10">
        <v>44256</v>
      </c>
      <c r="M574" s="9" t="s">
        <v>2023</v>
      </c>
      <c r="N574" s="13" t="str">
        <f>VLOOKUP(H574,基础数据!G:H,2,FALSE)</f>
        <v>TTX1250(60)-2.54-100</v>
      </c>
    </row>
    <row r="575" spans="1:14" s="12" customFormat="1">
      <c r="A575" s="11">
        <v>1680</v>
      </c>
      <c r="B575" s="13" t="str">
        <f>VLOOKUP(A575,基础数据!A:B,2,FALSE)</f>
        <v>大丰</v>
      </c>
      <c r="C575" s="10">
        <v>44229</v>
      </c>
      <c r="D575" s="9"/>
      <c r="E575" s="11">
        <v>4500079277</v>
      </c>
      <c r="F575" s="9"/>
      <c r="G575" s="11">
        <v>1120001397</v>
      </c>
      <c r="H575" s="9" t="s">
        <v>2021</v>
      </c>
      <c r="I575" s="11"/>
      <c r="J575" s="11">
        <v>14441</v>
      </c>
      <c r="K575" s="11">
        <f>J575</f>
        <v>14441</v>
      </c>
      <c r="L575" s="10">
        <v>44256</v>
      </c>
      <c r="M575" s="9" t="s">
        <v>2026</v>
      </c>
      <c r="N575" s="13" t="str">
        <f>VLOOKUP(H575,基础数据!G:H,2,FALSE)</f>
        <v>BX800-2.54-100</v>
      </c>
    </row>
    <row r="576" spans="1:14" s="12" customFormat="1">
      <c r="A576" s="11">
        <v>1680</v>
      </c>
      <c r="B576" s="13" t="str">
        <f>VLOOKUP(A576,基础数据!A:B,2,FALSE)</f>
        <v>大丰</v>
      </c>
      <c r="C576" s="10">
        <v>44229</v>
      </c>
      <c r="D576" s="9"/>
      <c r="E576" s="11">
        <v>4500079277</v>
      </c>
      <c r="F576" s="9"/>
      <c r="G576" s="11">
        <v>1120000142</v>
      </c>
      <c r="H576" s="9" t="s">
        <v>2029</v>
      </c>
      <c r="I576" s="11"/>
      <c r="J576" s="11">
        <v>8075</v>
      </c>
      <c r="K576" s="11">
        <f>J576</f>
        <v>8075</v>
      </c>
      <c r="L576" s="10">
        <v>44256</v>
      </c>
      <c r="M576" s="9" t="s">
        <v>2027</v>
      </c>
      <c r="N576" s="13" t="str">
        <f>VLOOKUP(H576,基础数据!G:H,2,FALSE)</f>
        <v>TTX1250(60)-2.54-100</v>
      </c>
    </row>
    <row r="577" spans="1:14" s="12" customFormat="1">
      <c r="A577" s="11">
        <v>1680</v>
      </c>
      <c r="B577" s="13" t="str">
        <f>VLOOKUP(A577,基础数据!A:B,2,FALSE)</f>
        <v>大丰</v>
      </c>
      <c r="C577" s="10">
        <v>44229</v>
      </c>
      <c r="D577" s="9"/>
      <c r="E577" s="11">
        <v>4500079277</v>
      </c>
      <c r="F577" s="9"/>
      <c r="G577" s="11">
        <v>1120001035</v>
      </c>
      <c r="H577" s="9" t="s">
        <v>12</v>
      </c>
      <c r="I577" s="11"/>
      <c r="J577" s="11">
        <v>8055</v>
      </c>
      <c r="K577" s="11">
        <f>J577</f>
        <v>8055</v>
      </c>
      <c r="L577" s="10">
        <v>44256</v>
      </c>
      <c r="M577" s="9" t="s">
        <v>2028</v>
      </c>
      <c r="N577" s="13" t="str">
        <f>VLOOKUP(H577,基础数据!G:H,2,FALSE)</f>
        <v>TLX1250-2.54-100</v>
      </c>
    </row>
    <row r="578" spans="1:14" s="12" customFormat="1">
      <c r="A578" s="11">
        <v>1680</v>
      </c>
      <c r="B578" s="13" t="str">
        <f>VLOOKUP(A578,基础数据!A:B,2,FALSE)</f>
        <v>大丰</v>
      </c>
      <c r="C578" s="10">
        <v>44204</v>
      </c>
      <c r="D578" s="9"/>
      <c r="E578" s="11">
        <v>4500077604</v>
      </c>
      <c r="F578" s="9"/>
      <c r="G578" s="11">
        <v>1120002326</v>
      </c>
      <c r="H578" s="9" t="s">
        <v>1475</v>
      </c>
      <c r="I578" s="11">
        <v>2</v>
      </c>
      <c r="J578" s="11">
        <v>15120</v>
      </c>
      <c r="K578" s="11">
        <f>I578</f>
        <v>2</v>
      </c>
      <c r="L578" s="10">
        <v>44256</v>
      </c>
      <c r="M578" s="9" t="s">
        <v>2033</v>
      </c>
      <c r="N578" s="13" t="str">
        <f>VLOOKUP(H578,基础数据!G:H,2,FALSE)</f>
        <v>SR152Ⅲ大梁</v>
      </c>
    </row>
    <row r="579" spans="1:14" s="12" customFormat="1">
      <c r="A579" s="11">
        <v>1680</v>
      </c>
      <c r="B579" s="13" t="str">
        <f>VLOOKUP(A579,基础数据!A:B,2,FALSE)</f>
        <v>大丰</v>
      </c>
      <c r="C579" s="10">
        <v>44229</v>
      </c>
      <c r="D579" s="9"/>
      <c r="E579" s="11">
        <v>4500079277</v>
      </c>
      <c r="F579" s="9"/>
      <c r="G579" s="11">
        <v>1120000142</v>
      </c>
      <c r="H579" s="9" t="s">
        <v>2029</v>
      </c>
      <c r="I579" s="11"/>
      <c r="J579" s="11">
        <v>3230</v>
      </c>
      <c r="K579" s="11">
        <f>J579</f>
        <v>3230</v>
      </c>
      <c r="L579" s="10">
        <v>44256</v>
      </c>
      <c r="M579" s="9" t="s">
        <v>2034</v>
      </c>
      <c r="N579" s="13" t="str">
        <f>VLOOKUP(H579,基础数据!G:H,2,FALSE)</f>
        <v>TTX1250(60)-2.54-100</v>
      </c>
    </row>
    <row r="580" spans="1:14" s="12" customFormat="1">
      <c r="A580" s="11">
        <v>1680</v>
      </c>
      <c r="B580" s="13" t="str">
        <f>VLOOKUP(A580,[2]基础数据!A:B,2,FALSE)</f>
        <v>大丰</v>
      </c>
      <c r="C580" s="10">
        <v>44229</v>
      </c>
      <c r="D580" s="9"/>
      <c r="E580" s="11">
        <v>4500079277</v>
      </c>
      <c r="F580" s="9"/>
      <c r="G580" s="11">
        <v>1120000142</v>
      </c>
      <c r="H580" s="9" t="s">
        <v>2029</v>
      </c>
      <c r="I580" s="11"/>
      <c r="J580" s="11">
        <v>12920</v>
      </c>
      <c r="K580" s="11">
        <f>J580</f>
        <v>12920</v>
      </c>
      <c r="L580" s="10">
        <v>44257</v>
      </c>
      <c r="M580" s="9" t="s">
        <v>2035</v>
      </c>
      <c r="N580" s="13" t="str">
        <f>VLOOKUP(H580,[2]基础数据!G:H,2,FALSE)</f>
        <v>TTX1250(60)-2.54-100</v>
      </c>
    </row>
    <row r="581" spans="1:14" s="12" customFormat="1">
      <c r="A581" s="11">
        <v>1680</v>
      </c>
      <c r="B581" s="13" t="str">
        <f>VLOOKUP(A581,[2]基础数据!A:B,2,FALSE)</f>
        <v>大丰</v>
      </c>
      <c r="C581" s="10">
        <v>44204</v>
      </c>
      <c r="D581" s="9"/>
      <c r="E581" s="11">
        <v>4500077604</v>
      </c>
      <c r="F581" s="9"/>
      <c r="G581" s="11">
        <v>1120002325</v>
      </c>
      <c r="H581" s="9" t="s">
        <v>1474</v>
      </c>
      <c r="I581" s="11">
        <v>2</v>
      </c>
      <c r="J581" s="11">
        <v>3238</v>
      </c>
      <c r="K581" s="11">
        <f>I581</f>
        <v>2</v>
      </c>
      <c r="L581" s="10">
        <v>44257</v>
      </c>
      <c r="M581" s="9" t="s">
        <v>2036</v>
      </c>
      <c r="N581" s="13" t="str">
        <f>VLOOKUP(H581,[2]基础数据!G:H,2,FALSE)</f>
        <v>SR152Ⅲ后缘</v>
      </c>
    </row>
    <row r="582" spans="1:14" s="12" customFormat="1">
      <c r="A582" s="11">
        <v>1680</v>
      </c>
      <c r="B582" s="13" t="str">
        <f>VLOOKUP(A582,基础数据!A:B,2,FALSE)</f>
        <v>大丰</v>
      </c>
      <c r="C582" s="10">
        <v>44211</v>
      </c>
      <c r="D582" s="9"/>
      <c r="E582" s="11">
        <v>4500078193</v>
      </c>
      <c r="F582" s="9"/>
      <c r="G582" s="11">
        <v>1120002772</v>
      </c>
      <c r="H582" s="9" t="s">
        <v>1075</v>
      </c>
      <c r="I582" s="11">
        <v>5</v>
      </c>
      <c r="J582" s="11">
        <v>9125</v>
      </c>
      <c r="K582" s="11">
        <f>I582</f>
        <v>5</v>
      </c>
      <c r="L582" s="10">
        <v>44258</v>
      </c>
      <c r="M582" s="9" t="s">
        <v>2044</v>
      </c>
      <c r="N582" s="13" t="str">
        <f>VLOOKUP(H582,基础数据!G:H,2,FALSE)</f>
        <v>GW171后缘</v>
      </c>
    </row>
    <row r="583" spans="1:14" s="12" customFormat="1">
      <c r="A583" s="11">
        <v>1680</v>
      </c>
      <c r="B583" s="13" t="str">
        <f>VLOOKUP(A583,基础数据!A:B,2,FALSE)</f>
        <v>大丰</v>
      </c>
      <c r="C583" s="10">
        <v>44204</v>
      </c>
      <c r="D583" s="9"/>
      <c r="E583" s="11">
        <v>4500077604</v>
      </c>
      <c r="F583" s="9"/>
      <c r="G583" s="11">
        <v>1120003037</v>
      </c>
      <c r="H583" s="9" t="s">
        <v>1862</v>
      </c>
      <c r="I583" s="11">
        <v>3</v>
      </c>
      <c r="J583" s="11">
        <v>5574</v>
      </c>
      <c r="K583" s="11">
        <f>I583</f>
        <v>3</v>
      </c>
      <c r="L583" s="10">
        <v>44258</v>
      </c>
      <c r="M583" s="9" t="s">
        <v>2045</v>
      </c>
      <c r="N583" s="13" t="str">
        <f>VLOOKUP(H583,基础数据!G:H,2,FALSE)</f>
        <v>SR171Ⅴ后缘</v>
      </c>
    </row>
    <row r="584" spans="1:14" s="12" customFormat="1">
      <c r="A584" s="11">
        <v>1680</v>
      </c>
      <c r="B584" s="13" t="str">
        <f>VLOOKUP(A584,[2]基础数据!A:B,2,FALSE)</f>
        <v>大丰</v>
      </c>
      <c r="C584" s="10">
        <v>44229</v>
      </c>
      <c r="D584" s="9"/>
      <c r="E584" s="11">
        <v>4500079277</v>
      </c>
      <c r="F584" s="9"/>
      <c r="G584" s="11">
        <v>1120000142</v>
      </c>
      <c r="H584" s="9" t="s">
        <v>2029</v>
      </c>
      <c r="I584" s="11"/>
      <c r="J584" s="11">
        <v>8075</v>
      </c>
      <c r="K584" s="11">
        <f>J584</f>
        <v>8075</v>
      </c>
      <c r="L584" s="10">
        <v>44258</v>
      </c>
      <c r="M584" s="9" t="s">
        <v>2046</v>
      </c>
      <c r="N584" s="13" t="str">
        <f>VLOOKUP(H584,[2]基础数据!G:H,2,FALSE)</f>
        <v>TTX1250(60)-2.54-100</v>
      </c>
    </row>
    <row r="585" spans="1:14" s="12" customFormat="1">
      <c r="A585" s="11">
        <v>1680</v>
      </c>
      <c r="B585" s="13" t="str">
        <f>VLOOKUP(A585,基础数据!A:B,2,FALSE)</f>
        <v>大丰</v>
      </c>
      <c r="C585" s="10">
        <v>44229</v>
      </c>
      <c r="D585" s="9"/>
      <c r="E585" s="11">
        <v>4500079277</v>
      </c>
      <c r="F585" s="9"/>
      <c r="G585" s="11">
        <v>1120001397</v>
      </c>
      <c r="H585" s="9" t="s">
        <v>2021</v>
      </c>
      <c r="I585" s="11"/>
      <c r="J585" s="11">
        <f>18763.6-2884-14441</f>
        <v>1438.5999999999985</v>
      </c>
      <c r="K585" s="11">
        <f>J585</f>
        <v>1438.5999999999985</v>
      </c>
      <c r="L585" s="10">
        <v>44258</v>
      </c>
      <c r="M585" s="9" t="s">
        <v>2051</v>
      </c>
      <c r="N585" s="13" t="str">
        <f>VLOOKUP(H585,基础数据!G:H,2,FALSE)</f>
        <v>BX800-2.54-100</v>
      </c>
    </row>
    <row r="586" spans="1:14" s="12" customFormat="1">
      <c r="A586" s="11">
        <v>1680</v>
      </c>
      <c r="B586" s="13" t="str">
        <f>VLOOKUP(A586,基础数据!A:B,2,FALSE)</f>
        <v>大丰</v>
      </c>
      <c r="C586" s="10">
        <v>44257</v>
      </c>
      <c r="D586" s="9"/>
      <c r="E586" s="11">
        <v>4500080407</v>
      </c>
      <c r="F586" s="9"/>
      <c r="G586" s="11">
        <v>1120001397</v>
      </c>
      <c r="H586" s="9" t="s">
        <v>2021</v>
      </c>
      <c r="I586" s="11"/>
      <c r="J586" s="11">
        <v>5762.4</v>
      </c>
      <c r="K586" s="11">
        <f>J586</f>
        <v>5762.4</v>
      </c>
      <c r="L586" s="10">
        <v>44271</v>
      </c>
      <c r="M586" s="9" t="s">
        <v>2052</v>
      </c>
      <c r="N586" s="13" t="str">
        <f>VLOOKUP(H586,基础数据!G:H,2,FALSE)</f>
        <v>BX800-2.54-100</v>
      </c>
    </row>
    <row r="587" spans="1:14" s="12" customFormat="1">
      <c r="A587" s="11">
        <v>1680</v>
      </c>
      <c r="B587" s="13" t="str">
        <f>VLOOKUP(A587,基础数据!A:B,2,FALSE)</f>
        <v>大丰</v>
      </c>
      <c r="C587" s="10">
        <v>44204</v>
      </c>
      <c r="D587" s="9"/>
      <c r="E587" s="11">
        <v>4500077604</v>
      </c>
      <c r="F587" s="9"/>
      <c r="G587" s="11">
        <v>1120002326</v>
      </c>
      <c r="H587" s="9" t="s">
        <v>1475</v>
      </c>
      <c r="I587" s="11">
        <v>1</v>
      </c>
      <c r="J587" s="11">
        <v>7560</v>
      </c>
      <c r="K587" s="11">
        <f>I587</f>
        <v>1</v>
      </c>
      <c r="L587" s="10">
        <v>44259</v>
      </c>
      <c r="M587" s="9" t="s">
        <v>2055</v>
      </c>
      <c r="N587" s="13" t="str">
        <f>VLOOKUP(H587,基础数据!G:H,2,FALSE)</f>
        <v>SR152Ⅲ大梁</v>
      </c>
    </row>
    <row r="588" spans="1:14" s="12" customFormat="1">
      <c r="A588" s="11">
        <v>1680</v>
      </c>
      <c r="B588" s="13" t="str">
        <f>VLOOKUP(A588,[2]基础数据!A:B,2,FALSE)</f>
        <v>大丰</v>
      </c>
      <c r="C588" s="10">
        <v>44204</v>
      </c>
      <c r="D588" s="9"/>
      <c r="E588" s="11">
        <v>4500077604</v>
      </c>
      <c r="F588" s="9"/>
      <c r="G588" s="11">
        <v>1120002325</v>
      </c>
      <c r="H588" s="9" t="s">
        <v>1474</v>
      </c>
      <c r="I588" s="11">
        <f>4.7-2</f>
        <v>2.7</v>
      </c>
      <c r="J588" s="11">
        <v>4797</v>
      </c>
      <c r="K588" s="11">
        <f>I588</f>
        <v>2.7</v>
      </c>
      <c r="L588" s="10">
        <v>44259</v>
      </c>
      <c r="M588" s="9" t="s">
        <v>2054</v>
      </c>
      <c r="N588" s="13" t="str">
        <f>VLOOKUP(H588,[2]基础数据!G:H,2,FALSE)</f>
        <v>SR152Ⅲ后缘</v>
      </c>
    </row>
    <row r="589" spans="1:14" s="12" customFormat="1">
      <c r="A589" s="11">
        <v>1680</v>
      </c>
      <c r="B589" s="13" t="str">
        <f>VLOOKUP(A589,基础数据!A:B,2,FALSE)</f>
        <v>大丰</v>
      </c>
      <c r="C589" s="10">
        <v>44257</v>
      </c>
      <c r="D589" s="9"/>
      <c r="E589" s="11">
        <v>4500080407</v>
      </c>
      <c r="F589" s="9"/>
      <c r="G589" s="11">
        <v>1120001397</v>
      </c>
      <c r="H589" s="9" t="s">
        <v>2021</v>
      </c>
      <c r="I589" s="11"/>
      <c r="J589" s="11">
        <v>4326</v>
      </c>
      <c r="K589" s="11">
        <f>J589</f>
        <v>4326</v>
      </c>
      <c r="L589" s="10">
        <v>44259</v>
      </c>
      <c r="M589" s="9" t="s">
        <v>2053</v>
      </c>
      <c r="N589" s="13" t="str">
        <f>VLOOKUP(H589,基础数据!G:H,2,FALSE)</f>
        <v>BX800-2.54-100</v>
      </c>
    </row>
    <row r="590" spans="1:14" s="84" customFormat="1">
      <c r="A590" s="83">
        <v>1680</v>
      </c>
      <c r="B590" s="85" t="str">
        <f>VLOOKUP(A590,基础数据!A:B,2,FALSE)</f>
        <v>大丰</v>
      </c>
      <c r="C590" s="82">
        <v>44229</v>
      </c>
      <c r="D590" s="81"/>
      <c r="E590" s="83">
        <v>4500079277</v>
      </c>
      <c r="F590" s="81"/>
      <c r="G590" s="83">
        <v>1120002854</v>
      </c>
      <c r="H590" s="81" t="s">
        <v>2011</v>
      </c>
      <c r="I590" s="83"/>
      <c r="J590" s="83">
        <v>10675</v>
      </c>
      <c r="K590" s="83">
        <f>J590</f>
        <v>10675</v>
      </c>
      <c r="L590" s="82">
        <v>44260</v>
      </c>
      <c r="M590" s="81" t="s">
        <v>2059</v>
      </c>
      <c r="N590" s="85" t="str">
        <f>VLOOKUP(H590,基础数据!G:H,2,FALSE)</f>
        <v>TLX1215-2.54-100</v>
      </c>
    </row>
    <row r="591" spans="1:14" s="84" customFormat="1">
      <c r="A591" s="83">
        <v>1680</v>
      </c>
      <c r="B591" s="85" t="str">
        <f>VLOOKUP(A591,基础数据!A:B,2,FALSE)</f>
        <v>大丰</v>
      </c>
      <c r="C591" s="82">
        <v>44229</v>
      </c>
      <c r="D591" s="81"/>
      <c r="E591" s="83">
        <v>4500079277</v>
      </c>
      <c r="F591" s="81"/>
      <c r="G591" s="83">
        <v>1120000145</v>
      </c>
      <c r="H591" s="81" t="s">
        <v>2010</v>
      </c>
      <c r="I591" s="83"/>
      <c r="J591" s="83">
        <v>4665</v>
      </c>
      <c r="K591" s="83">
        <f>J591</f>
        <v>4665</v>
      </c>
      <c r="L591" s="82">
        <v>44256</v>
      </c>
      <c r="M591" s="81" t="s">
        <v>2060</v>
      </c>
      <c r="N591" s="85" t="str">
        <f>VLOOKUP(H591,基础数据!G:H,2,FALSE)</f>
        <v>TTX1215(45)-2.54-100</v>
      </c>
    </row>
    <row r="592" spans="1:14" s="84" customFormat="1">
      <c r="A592" s="83">
        <v>1680</v>
      </c>
      <c r="B592" s="85" t="str">
        <f>VLOOKUP(A592,基础数据!A:B,2,FALSE)</f>
        <v>大丰</v>
      </c>
      <c r="C592" s="82">
        <v>44204</v>
      </c>
      <c r="D592" s="81"/>
      <c r="E592" s="83">
        <v>4500077604</v>
      </c>
      <c r="F592" s="81"/>
      <c r="G592" s="83">
        <v>1120002326</v>
      </c>
      <c r="H592" s="81" t="s">
        <v>1475</v>
      </c>
      <c r="I592" s="83">
        <v>2</v>
      </c>
      <c r="J592" s="83">
        <v>15120</v>
      </c>
      <c r="K592" s="83">
        <f>IF(I592="",J592,I592)</f>
        <v>2</v>
      </c>
      <c r="L592" s="82">
        <v>44261</v>
      </c>
      <c r="M592" s="81" t="s">
        <v>2065</v>
      </c>
      <c r="N592" s="85" t="str">
        <f>VLOOKUP(H592,基础数据!G:H,2,FALSE)</f>
        <v>SR152Ⅲ大梁</v>
      </c>
    </row>
    <row r="593" spans="1:14" s="84" customFormat="1">
      <c r="A593" s="83">
        <v>1680</v>
      </c>
      <c r="B593" s="85" t="str">
        <f>VLOOKUP(A593,基础数据!A:B,2,FALSE)</f>
        <v>大丰</v>
      </c>
      <c r="C593" s="82">
        <v>44229</v>
      </c>
      <c r="D593" s="81"/>
      <c r="E593" s="83">
        <v>4500079277</v>
      </c>
      <c r="F593" s="81"/>
      <c r="G593" s="83">
        <v>1120000145</v>
      </c>
      <c r="H593" s="81" t="s">
        <v>2010</v>
      </c>
      <c r="I593" s="83"/>
      <c r="J593" s="83">
        <v>3110</v>
      </c>
      <c r="K593" s="83">
        <f>IF(I593="",J593,I593)</f>
        <v>3110</v>
      </c>
      <c r="L593" s="82">
        <v>44261</v>
      </c>
      <c r="M593" s="81" t="s">
        <v>2066</v>
      </c>
      <c r="N593" s="85" t="str">
        <f>VLOOKUP(H593,基础数据!G:H,2,FALSE)</f>
        <v>TTX1215(45)-2.54-100</v>
      </c>
    </row>
    <row r="594" spans="1:14" s="84" customFormat="1">
      <c r="A594" s="83">
        <v>1680</v>
      </c>
      <c r="B594" s="85" t="str">
        <f>VLOOKUP(A594,基础数据!A:B,2,FALSE)</f>
        <v>大丰</v>
      </c>
      <c r="C594" s="82">
        <v>44257</v>
      </c>
      <c r="D594" s="81"/>
      <c r="E594" s="83">
        <v>4500080407</v>
      </c>
      <c r="F594" s="81"/>
      <c r="G594" s="83">
        <v>1120001397</v>
      </c>
      <c r="H594" s="81" t="s">
        <v>2021</v>
      </c>
      <c r="I594" s="83"/>
      <c r="J594" s="83">
        <v>8652</v>
      </c>
      <c r="K594" s="83">
        <f>IF(I594="",J594,I594)</f>
        <v>8652</v>
      </c>
      <c r="L594" s="82">
        <v>44262</v>
      </c>
      <c r="M594" s="81" t="s">
        <v>2067</v>
      </c>
      <c r="N594" s="85" t="str">
        <f>VLOOKUP(H594,基础数据!G:H,2,FALSE)</f>
        <v>BX800-2.54-100</v>
      </c>
    </row>
    <row r="595" spans="1:14" s="84" customFormat="1">
      <c r="A595" s="83">
        <v>1680</v>
      </c>
      <c r="B595" s="85" t="str">
        <f>VLOOKUP(A595,基础数据!A:B,2,FALSE)</f>
        <v>大丰</v>
      </c>
      <c r="C595" s="82">
        <v>44229</v>
      </c>
      <c r="D595" s="81"/>
      <c r="E595" s="83">
        <v>4500079277</v>
      </c>
      <c r="F595" s="81"/>
      <c r="G595" s="83">
        <v>1120001035</v>
      </c>
      <c r="H595" s="81" t="s">
        <v>2040</v>
      </c>
      <c r="I595" s="83"/>
      <c r="J595" s="83">
        <v>6430</v>
      </c>
      <c r="K595" s="83">
        <f>IF(I595="",J595,I595)</f>
        <v>6430</v>
      </c>
      <c r="L595" s="82">
        <v>44262</v>
      </c>
      <c r="M595" s="81" t="s">
        <v>2068</v>
      </c>
      <c r="N595" s="85" t="str">
        <f>VLOOKUP(H595,基础数据!G:H,2,FALSE)</f>
        <v>TLX1250-2.54-100</v>
      </c>
    </row>
    <row r="596" spans="1:14" s="84" customFormat="1">
      <c r="A596" s="83">
        <v>1680</v>
      </c>
      <c r="B596" s="85" t="s">
        <v>1046</v>
      </c>
      <c r="C596" s="82">
        <v>44204</v>
      </c>
      <c r="D596" s="81"/>
      <c r="E596" s="83">
        <v>4500077604</v>
      </c>
      <c r="F596" s="81"/>
      <c r="G596" s="83">
        <v>1120002326</v>
      </c>
      <c r="H596" s="81" t="s">
        <v>1475</v>
      </c>
      <c r="I596" s="83">
        <v>0.5</v>
      </c>
      <c r="J596" s="83">
        <v>3780</v>
      </c>
      <c r="K596" s="83">
        <v>0.5</v>
      </c>
      <c r="L596" s="82">
        <v>44264</v>
      </c>
      <c r="M596" s="81" t="s">
        <v>2071</v>
      </c>
      <c r="N596" s="85" t="s">
        <v>1478</v>
      </c>
    </row>
    <row r="597" spans="1:14" s="84" customFormat="1">
      <c r="A597" s="83">
        <v>1680</v>
      </c>
      <c r="B597" s="85" t="s">
        <v>1046</v>
      </c>
      <c r="C597" s="82">
        <v>44232</v>
      </c>
      <c r="D597" s="81"/>
      <c r="E597" s="83">
        <v>4500079667</v>
      </c>
      <c r="F597" s="81"/>
      <c r="G597" s="83">
        <v>1120002326</v>
      </c>
      <c r="H597" s="81" t="s">
        <v>1475</v>
      </c>
      <c r="I597" s="83">
        <v>0.4</v>
      </c>
      <c r="J597" s="83">
        <v>3780</v>
      </c>
      <c r="K597" s="83">
        <v>0.4</v>
      </c>
      <c r="L597" s="82">
        <v>44264</v>
      </c>
      <c r="M597" s="81" t="s">
        <v>2072</v>
      </c>
      <c r="N597" s="85" t="s">
        <v>1478</v>
      </c>
    </row>
    <row r="598" spans="1:14" s="84" customFormat="1">
      <c r="A598" s="83">
        <v>1680</v>
      </c>
      <c r="B598" s="85" t="str">
        <f>VLOOKUP(A598,基础数据!A:B,2,FALSE)</f>
        <v>大丰</v>
      </c>
      <c r="C598" s="82">
        <v>44204</v>
      </c>
      <c r="D598" s="81"/>
      <c r="E598" s="83">
        <v>4500077604</v>
      </c>
      <c r="F598" s="81"/>
      <c r="G598" s="83">
        <v>1120003037</v>
      </c>
      <c r="H598" s="81" t="s">
        <v>1862</v>
      </c>
      <c r="I598" s="83">
        <v>3</v>
      </c>
      <c r="J598" s="83">
        <v>5574</v>
      </c>
      <c r="K598" s="83">
        <f t="shared" ref="K598:K610" si="14">IF(I598="",J598,I598)</f>
        <v>3</v>
      </c>
      <c r="L598" s="82">
        <v>44264</v>
      </c>
      <c r="M598" s="81" t="s">
        <v>2073</v>
      </c>
      <c r="N598" s="85" t="str">
        <f>VLOOKUP(H598,基础数据!G:H,2,FALSE)</f>
        <v>SR171Ⅴ后缘</v>
      </c>
    </row>
    <row r="599" spans="1:14" s="84" customFormat="1">
      <c r="A599" s="83">
        <v>1680</v>
      </c>
      <c r="B599" s="85" t="str">
        <f>VLOOKUP(A599,基础数据!A:B,2,FALSE)</f>
        <v>大丰</v>
      </c>
      <c r="C599" s="82">
        <v>44257</v>
      </c>
      <c r="D599" s="81"/>
      <c r="E599" s="83">
        <v>4500080407</v>
      </c>
      <c r="F599" s="81"/>
      <c r="G599" s="83">
        <v>1120001397</v>
      </c>
      <c r="H599" s="81" t="s">
        <v>2021</v>
      </c>
      <c r="I599" s="83"/>
      <c r="J599" s="83">
        <v>2884</v>
      </c>
      <c r="K599" s="83">
        <f t="shared" si="14"/>
        <v>2884</v>
      </c>
      <c r="L599" s="82">
        <v>44264</v>
      </c>
      <c r="M599" s="81" t="s">
        <v>2074</v>
      </c>
      <c r="N599" s="85" t="str">
        <f>VLOOKUP(H599,基础数据!G:H,2,FALSE)</f>
        <v>BX800-2.54-100</v>
      </c>
    </row>
    <row r="600" spans="1:14" s="84" customFormat="1">
      <c r="A600" s="83">
        <v>1680</v>
      </c>
      <c r="B600" s="85" t="s">
        <v>1046</v>
      </c>
      <c r="C600" s="82">
        <v>44232</v>
      </c>
      <c r="D600" s="81"/>
      <c r="E600" s="83">
        <v>4500079668</v>
      </c>
      <c r="F600" s="81"/>
      <c r="G600" s="83">
        <v>1120002772</v>
      </c>
      <c r="H600" s="81" t="s">
        <v>1075</v>
      </c>
      <c r="I600" s="83">
        <v>0.9</v>
      </c>
      <c r="J600" s="83">
        <v>674</v>
      </c>
      <c r="K600" s="83">
        <f t="shared" si="14"/>
        <v>0.9</v>
      </c>
      <c r="L600" s="82">
        <v>44235</v>
      </c>
      <c r="M600" s="81" t="s">
        <v>2076</v>
      </c>
      <c r="N600" s="85" t="str">
        <f>VLOOKUP(H600,基础数据!G:H,2,FALSE)</f>
        <v>GW171后缘</v>
      </c>
    </row>
    <row r="601" spans="1:14" s="84" customFormat="1">
      <c r="A601" s="83">
        <v>1680</v>
      </c>
      <c r="B601" s="85" t="str">
        <f>VLOOKUP(A601,[2]基础数据!A:B,2,FALSE)</f>
        <v>大丰</v>
      </c>
      <c r="C601" s="82">
        <v>44229</v>
      </c>
      <c r="D601" s="81"/>
      <c r="E601" s="83">
        <v>4500079277</v>
      </c>
      <c r="F601" s="81"/>
      <c r="G601" s="83">
        <v>1120000142</v>
      </c>
      <c r="H601" s="81" t="s">
        <v>2029</v>
      </c>
      <c r="I601" s="83"/>
      <c r="J601" s="83">
        <v>3230</v>
      </c>
      <c r="K601" s="83">
        <f t="shared" si="14"/>
        <v>3230</v>
      </c>
      <c r="L601" s="82">
        <v>44265</v>
      </c>
      <c r="M601" s="81" t="s">
        <v>2075</v>
      </c>
      <c r="N601" s="85" t="str">
        <f>VLOOKUP(H601,[2]基础数据!G:H,2,FALSE)</f>
        <v>TTX1250(60)-2.54-100</v>
      </c>
    </row>
    <row r="602" spans="1:14" s="84" customFormat="1">
      <c r="A602" s="83">
        <v>1680</v>
      </c>
      <c r="B602" s="85" t="str">
        <f>VLOOKUP(A602,基础数据!A:B,2,FALSE)</f>
        <v>大丰</v>
      </c>
      <c r="C602" s="82">
        <v>44229</v>
      </c>
      <c r="D602" s="81"/>
      <c r="E602" s="83">
        <v>4500079277</v>
      </c>
      <c r="F602" s="81"/>
      <c r="G602" s="83">
        <v>1120001035</v>
      </c>
      <c r="H602" s="81" t="s">
        <v>2040</v>
      </c>
      <c r="I602" s="83"/>
      <c r="J602" s="83">
        <v>12790</v>
      </c>
      <c r="K602" s="83">
        <f t="shared" si="14"/>
        <v>12790</v>
      </c>
      <c r="L602" s="82">
        <v>44265</v>
      </c>
      <c r="M602" s="81" t="s">
        <v>2082</v>
      </c>
      <c r="N602" s="85" t="str">
        <f>VLOOKUP(H602,基础数据!G:H,2,FALSE)</f>
        <v>TLX1250-2.54-100</v>
      </c>
    </row>
    <row r="603" spans="1:14" s="84" customFormat="1">
      <c r="A603" s="83">
        <v>1680</v>
      </c>
      <c r="B603" s="85" t="str">
        <f>VLOOKUP(A603,基础数据!A:B,2,FALSE)</f>
        <v>大丰</v>
      </c>
      <c r="C603" s="82">
        <v>44229</v>
      </c>
      <c r="D603" s="81"/>
      <c r="E603" s="83">
        <v>4500079277</v>
      </c>
      <c r="F603" s="81"/>
      <c r="G603" s="83">
        <v>1120000142</v>
      </c>
      <c r="H603" s="81" t="s">
        <v>2029</v>
      </c>
      <c r="I603" s="83"/>
      <c r="J603" s="83">
        <v>16150</v>
      </c>
      <c r="K603" s="83">
        <f t="shared" si="14"/>
        <v>16150</v>
      </c>
      <c r="L603" s="82">
        <v>44266</v>
      </c>
      <c r="M603" s="81" t="s">
        <v>2085</v>
      </c>
      <c r="N603" s="85" t="str">
        <f>VLOOKUP(H603,[2]基础数据!G:H,2,FALSE)</f>
        <v>TTX1250(60)-2.54-100</v>
      </c>
    </row>
    <row r="604" spans="1:14" s="84" customFormat="1">
      <c r="A604" s="83">
        <v>1680</v>
      </c>
      <c r="B604" s="85" t="str">
        <f>VLOOKUP(A604,基础数据!A:B,2,FALSE)</f>
        <v>大丰</v>
      </c>
      <c r="C604" s="82">
        <v>44257</v>
      </c>
      <c r="D604" s="81"/>
      <c r="E604" s="83">
        <v>4500080407</v>
      </c>
      <c r="F604" s="81"/>
      <c r="G604" s="83">
        <v>1120001397</v>
      </c>
      <c r="H604" s="81" t="s">
        <v>2021</v>
      </c>
      <c r="I604" s="83"/>
      <c r="J604" s="83">
        <v>13596</v>
      </c>
      <c r="K604" s="83">
        <f t="shared" si="14"/>
        <v>13596</v>
      </c>
      <c r="L604" s="82">
        <v>44267</v>
      </c>
      <c r="M604" s="81" t="s">
        <v>2088</v>
      </c>
      <c r="N604" s="85" t="str">
        <f>VLOOKUP(H604,基础数据!G:H,2,FALSE)</f>
        <v>BX800-2.54-100</v>
      </c>
    </row>
    <row r="605" spans="1:14" s="84" customFormat="1">
      <c r="A605" s="83">
        <v>1680</v>
      </c>
      <c r="B605" s="85" t="str">
        <f>VLOOKUP(A605,基础数据!A:B,2,FALSE)</f>
        <v>大丰</v>
      </c>
      <c r="C605" s="82">
        <v>44211</v>
      </c>
      <c r="D605" s="81"/>
      <c r="E605" s="83">
        <v>4500078193</v>
      </c>
      <c r="F605" s="81"/>
      <c r="G605" s="83">
        <v>1120002772</v>
      </c>
      <c r="H605" s="81" t="s">
        <v>1075</v>
      </c>
      <c r="I605" s="83">
        <v>5</v>
      </c>
      <c r="J605" s="83">
        <v>9125</v>
      </c>
      <c r="K605" s="83">
        <f t="shared" si="14"/>
        <v>5</v>
      </c>
      <c r="L605" s="82">
        <v>44268</v>
      </c>
      <c r="M605" s="81" t="s">
        <v>2089</v>
      </c>
      <c r="N605" s="85" t="str">
        <f>VLOOKUP(H605,基础数据!G:H,2,FALSE)</f>
        <v>GW171后缘</v>
      </c>
    </row>
    <row r="606" spans="1:14" s="84" customFormat="1">
      <c r="A606" s="83">
        <v>1680</v>
      </c>
      <c r="B606" s="85" t="str">
        <f>VLOOKUP(A606,基础数据!A:B,2,FALSE)</f>
        <v>大丰</v>
      </c>
      <c r="C606" s="82">
        <v>44229</v>
      </c>
      <c r="D606" s="81"/>
      <c r="E606" s="83">
        <v>4500079277</v>
      </c>
      <c r="F606" s="81"/>
      <c r="G606" s="83">
        <v>1120002854</v>
      </c>
      <c r="H606" s="81" t="s">
        <v>2011</v>
      </c>
      <c r="I606" s="83"/>
      <c r="J606" s="83">
        <v>6100</v>
      </c>
      <c r="K606" s="83">
        <f t="shared" si="14"/>
        <v>6100</v>
      </c>
      <c r="L606" s="82">
        <v>44268</v>
      </c>
      <c r="M606" s="81" t="s">
        <v>2090</v>
      </c>
      <c r="N606" s="85" t="str">
        <f>VLOOKUP(H606,基础数据!G:H,2,FALSE)</f>
        <v>TLX1215-2.54-100</v>
      </c>
    </row>
    <row r="607" spans="1:14" s="84" customFormat="1">
      <c r="A607" s="83">
        <v>1680</v>
      </c>
      <c r="B607" s="85" t="str">
        <f>VLOOKUP(A607,基础数据!A:B,2,FALSE)</f>
        <v>大丰</v>
      </c>
      <c r="C607" s="82">
        <v>44229</v>
      </c>
      <c r="D607" s="81"/>
      <c r="E607" s="83">
        <v>4500079277</v>
      </c>
      <c r="F607" s="81"/>
      <c r="G607" s="83">
        <v>1120002854</v>
      </c>
      <c r="H607" s="81" t="s">
        <v>2011</v>
      </c>
      <c r="I607" s="83"/>
      <c r="J607" s="83">
        <v>10675</v>
      </c>
      <c r="K607" s="83">
        <f t="shared" si="14"/>
        <v>10675</v>
      </c>
      <c r="L607" s="82">
        <v>44270</v>
      </c>
      <c r="M607" s="81" t="s">
        <v>2094</v>
      </c>
      <c r="N607" s="85" t="str">
        <f>VLOOKUP(H607,基础数据!G:H,2,FALSE)</f>
        <v>TLX1215-2.54-100</v>
      </c>
    </row>
    <row r="608" spans="1:14" s="84" customFormat="1">
      <c r="A608" s="83">
        <v>1680</v>
      </c>
      <c r="B608" s="85" t="str">
        <f>VLOOKUP(A608,基础数据!A:B,2,FALSE)</f>
        <v>大丰</v>
      </c>
      <c r="C608" s="82">
        <v>44229</v>
      </c>
      <c r="D608" s="81"/>
      <c r="E608" s="83">
        <v>4500079277</v>
      </c>
      <c r="F608" s="81"/>
      <c r="G608" s="83">
        <v>1120000145</v>
      </c>
      <c r="H608" s="81" t="s">
        <v>2010</v>
      </c>
      <c r="I608" s="83"/>
      <c r="J608" s="83">
        <v>4033</v>
      </c>
      <c r="K608" s="83">
        <f t="shared" si="14"/>
        <v>4033</v>
      </c>
      <c r="L608" s="82">
        <v>44270</v>
      </c>
      <c r="M608" s="81" t="s">
        <v>2095</v>
      </c>
      <c r="N608" s="85" t="str">
        <f>VLOOKUP(H608,基础数据!G:H,2,FALSE)</f>
        <v>TTX1215(45)-2.54-100</v>
      </c>
    </row>
    <row r="609" spans="1:14" s="94" customFormat="1">
      <c r="A609" s="93">
        <v>1680</v>
      </c>
      <c r="B609" s="95" t="str">
        <f>VLOOKUP(A609,基础数据!A:B,2,FALSE)</f>
        <v>大丰</v>
      </c>
      <c r="C609" s="92">
        <v>44229</v>
      </c>
      <c r="D609" s="91"/>
      <c r="E609" s="93">
        <v>4500079277</v>
      </c>
      <c r="F609" s="91"/>
      <c r="G609" s="91">
        <v>1120002745</v>
      </c>
      <c r="H609" s="91" t="s">
        <v>2079</v>
      </c>
      <c r="I609" s="93"/>
      <c r="J609" s="93">
        <v>1422</v>
      </c>
      <c r="K609" s="93">
        <f t="shared" si="14"/>
        <v>1422</v>
      </c>
      <c r="L609" s="92">
        <v>44271</v>
      </c>
      <c r="M609" s="91" t="s">
        <v>2098</v>
      </c>
      <c r="N609" s="95" t="str">
        <f>VLOOKUP(H609,基础数据!G:H,2,FALSE)</f>
        <v>BX600-2.54-100</v>
      </c>
    </row>
    <row r="610" spans="1:14" s="94" customFormat="1">
      <c r="A610" s="93">
        <v>1680</v>
      </c>
      <c r="B610" s="95" t="str">
        <f>VLOOKUP(A610,基础数据!A:B,2,FALSE)</f>
        <v>大丰</v>
      </c>
      <c r="C610" s="92">
        <v>44257</v>
      </c>
      <c r="D610" s="91"/>
      <c r="E610" s="91">
        <v>4500080407</v>
      </c>
      <c r="F610" s="91"/>
      <c r="G610" s="93">
        <v>1120001397</v>
      </c>
      <c r="H610" s="91" t="s">
        <v>2021</v>
      </c>
      <c r="I610" s="93"/>
      <c r="J610" s="93">
        <v>8652</v>
      </c>
      <c r="K610" s="93">
        <f t="shared" si="14"/>
        <v>8652</v>
      </c>
      <c r="L610" s="92">
        <v>44271</v>
      </c>
      <c r="M610" s="91" t="s">
        <v>2099</v>
      </c>
      <c r="N610" s="95" t="str">
        <f>VLOOKUP(H610,基础数据!G:H,2,FALSE)</f>
        <v>BX800-2.54-100</v>
      </c>
    </row>
    <row r="611" spans="1:14" s="94" customFormat="1">
      <c r="A611" s="93">
        <v>1680</v>
      </c>
      <c r="B611" s="95" t="s">
        <v>1046</v>
      </c>
      <c r="C611" s="92">
        <v>44229</v>
      </c>
      <c r="D611" s="91"/>
      <c r="E611" s="93">
        <v>4500079277</v>
      </c>
      <c r="F611" s="91"/>
      <c r="G611" s="91">
        <v>1120001035</v>
      </c>
      <c r="H611" s="91" t="s">
        <v>12</v>
      </c>
      <c r="I611" s="93"/>
      <c r="J611" s="93">
        <v>597</v>
      </c>
      <c r="K611" s="93">
        <v>597</v>
      </c>
      <c r="L611" s="92">
        <v>44271</v>
      </c>
      <c r="M611" s="91" t="s">
        <v>2121</v>
      </c>
      <c r="N611" s="95" t="s">
        <v>1153</v>
      </c>
    </row>
    <row r="612" spans="1:14" s="94" customFormat="1">
      <c r="A612" s="93">
        <v>1680</v>
      </c>
      <c r="B612" s="95" t="s">
        <v>1046</v>
      </c>
      <c r="C612" s="92">
        <v>44229</v>
      </c>
      <c r="D612" s="91"/>
      <c r="E612" s="93">
        <v>4500079277</v>
      </c>
      <c r="F612" s="91"/>
      <c r="G612" s="91">
        <v>1120001035</v>
      </c>
      <c r="H612" s="91" t="s">
        <v>12</v>
      </c>
      <c r="I612" s="93"/>
      <c r="J612" s="93">
        <v>4173</v>
      </c>
      <c r="K612" s="93">
        <v>4173</v>
      </c>
      <c r="L612" s="92">
        <v>44256</v>
      </c>
      <c r="M612" s="91" t="s">
        <v>2122</v>
      </c>
      <c r="N612" s="95" t="s">
        <v>1153</v>
      </c>
    </row>
    <row r="613" spans="1:14" s="94" customFormat="1">
      <c r="A613" s="93">
        <v>1680</v>
      </c>
      <c r="B613" s="95" t="s">
        <v>1046</v>
      </c>
      <c r="C613" s="92">
        <v>44204</v>
      </c>
      <c r="D613" s="91"/>
      <c r="E613" s="93">
        <v>4500077604</v>
      </c>
      <c r="F613" s="91"/>
      <c r="G613" s="93">
        <v>1120003037</v>
      </c>
      <c r="H613" s="91" t="s">
        <v>1861</v>
      </c>
      <c r="I613" s="93">
        <f>8-3-3</f>
        <v>2</v>
      </c>
      <c r="J613" s="93">
        <v>3716</v>
      </c>
      <c r="K613" s="93">
        <f t="shared" ref="K613:K623" si="15">IF(I613="",J613,I613)</f>
        <v>2</v>
      </c>
      <c r="L613" s="92">
        <v>44256</v>
      </c>
      <c r="M613" s="91" t="s">
        <v>2106</v>
      </c>
      <c r="N613" s="95" t="s">
        <v>1863</v>
      </c>
    </row>
    <row r="614" spans="1:14" s="94" customFormat="1">
      <c r="A614" s="93">
        <v>1680</v>
      </c>
      <c r="B614" s="95" t="str">
        <f>VLOOKUP(A614,基础数据!A:B,2,FALSE)</f>
        <v>大丰</v>
      </c>
      <c r="C614" s="92">
        <v>44211</v>
      </c>
      <c r="D614" s="91"/>
      <c r="E614" s="93">
        <v>4500078193</v>
      </c>
      <c r="F614" s="91"/>
      <c r="G614" s="93">
        <v>1120003037</v>
      </c>
      <c r="H614" s="91" t="s">
        <v>1861</v>
      </c>
      <c r="I614" s="93">
        <v>7</v>
      </c>
      <c r="J614" s="93">
        <v>13006</v>
      </c>
      <c r="K614" s="93">
        <f t="shared" si="15"/>
        <v>7</v>
      </c>
      <c r="L614" s="92">
        <v>44256</v>
      </c>
      <c r="M614" s="91" t="s">
        <v>2105</v>
      </c>
      <c r="N614" s="95" t="str">
        <f>VLOOKUP(H614,基础数据!G:H,2,FALSE)</f>
        <v>SR171Ⅴ后缘</v>
      </c>
    </row>
    <row r="615" spans="1:14" s="94" customFormat="1">
      <c r="A615" s="93">
        <v>1680</v>
      </c>
      <c r="B615" s="95" t="str">
        <f>VLOOKUP(A615,基础数据!A:B,2,FALSE)</f>
        <v>大丰</v>
      </c>
      <c r="C615" s="92">
        <v>44211</v>
      </c>
      <c r="D615" s="91"/>
      <c r="E615" s="93">
        <v>4500078193</v>
      </c>
      <c r="F615" s="91"/>
      <c r="G615" s="93">
        <v>1120002772</v>
      </c>
      <c r="H615" s="91" t="s">
        <v>2007</v>
      </c>
      <c r="I615" s="93">
        <f>19-5-5-5</f>
        <v>4</v>
      </c>
      <c r="J615" s="93">
        <f>41025-9125-9125-9125</f>
        <v>13650</v>
      </c>
      <c r="K615" s="93">
        <f t="shared" si="15"/>
        <v>4</v>
      </c>
      <c r="L615" s="92">
        <v>44256</v>
      </c>
      <c r="M615" s="91" t="s">
        <v>2127</v>
      </c>
      <c r="N615" s="95" t="str">
        <f>VLOOKUP(H615,基础数据!G:H,2,FALSE)</f>
        <v>GW171后缘</v>
      </c>
    </row>
    <row r="616" spans="1:14" s="94" customFormat="1">
      <c r="A616" s="93">
        <v>1680</v>
      </c>
      <c r="B616" s="95" t="str">
        <f>VLOOKUP(A616,基础数据!A:B,2,FALSE)</f>
        <v>大丰</v>
      </c>
      <c r="C616" s="92">
        <v>44211</v>
      </c>
      <c r="D616" s="91"/>
      <c r="E616" s="93">
        <v>4500078193</v>
      </c>
      <c r="F616" s="91"/>
      <c r="G616" s="93">
        <v>1120002772</v>
      </c>
      <c r="H616" s="91" t="s">
        <v>1075</v>
      </c>
      <c r="I616" s="93">
        <v>5</v>
      </c>
      <c r="J616" s="93">
        <v>9125</v>
      </c>
      <c r="K616" s="93">
        <f t="shared" si="15"/>
        <v>5</v>
      </c>
      <c r="L616" s="92">
        <v>44275</v>
      </c>
      <c r="M616" s="91" t="s">
        <v>2132</v>
      </c>
      <c r="N616" s="95" t="str">
        <f>VLOOKUP(H616,基础数据!G:H,2,FALSE)</f>
        <v>GW171后缘</v>
      </c>
    </row>
    <row r="617" spans="1:14" s="94" customFormat="1">
      <c r="A617" s="93">
        <v>1680</v>
      </c>
      <c r="B617" s="95" t="str">
        <f>VLOOKUP(A617,基础数据!A:B,2,FALSE)</f>
        <v>大丰</v>
      </c>
      <c r="C617" s="92">
        <v>44270</v>
      </c>
      <c r="D617" s="91"/>
      <c r="E617" s="93">
        <v>4500081481</v>
      </c>
      <c r="F617" s="91"/>
      <c r="G617" s="93">
        <v>1120001397</v>
      </c>
      <c r="H617" s="91" t="s">
        <v>2021</v>
      </c>
      <c r="I617" s="93"/>
      <c r="J617" s="93">
        <f>10094-8652</f>
        <v>1442</v>
      </c>
      <c r="K617" s="93">
        <f t="shared" si="15"/>
        <v>1442</v>
      </c>
      <c r="L617" s="92">
        <v>44275</v>
      </c>
      <c r="M617" s="91" t="s">
        <v>2133</v>
      </c>
      <c r="N617" s="95" t="str">
        <f>VLOOKUP(H617,基础数据!G:H,2,FALSE)</f>
        <v>BX800-2.54-100</v>
      </c>
    </row>
    <row r="618" spans="1:14" s="94" customFormat="1">
      <c r="A618" s="93">
        <v>1680</v>
      </c>
      <c r="B618" s="95" t="str">
        <f>VLOOKUP(A618,基础数据!A:B,2,FALSE)</f>
        <v>大丰</v>
      </c>
      <c r="C618" s="92">
        <v>44229</v>
      </c>
      <c r="D618" s="91"/>
      <c r="E618" s="93">
        <v>4500079277</v>
      </c>
      <c r="F618" s="91"/>
      <c r="G618" s="93">
        <v>1120000145</v>
      </c>
      <c r="H618" s="91" t="s">
        <v>2010</v>
      </c>
      <c r="I618" s="93"/>
      <c r="J618" s="93">
        <v>1550</v>
      </c>
      <c r="K618" s="93">
        <f t="shared" si="15"/>
        <v>1550</v>
      </c>
      <c r="L618" s="92">
        <v>44275</v>
      </c>
      <c r="M618" s="91" t="s">
        <v>2134</v>
      </c>
      <c r="N618" s="95" t="str">
        <f>VLOOKUP(H618,基础数据!G:H,2,FALSE)</f>
        <v>TTX1215(45)-2.54-100</v>
      </c>
    </row>
    <row r="619" spans="1:14" s="94" customFormat="1">
      <c r="A619" s="93">
        <v>1680</v>
      </c>
      <c r="B619" s="95" t="str">
        <f>VLOOKUP(A619,基础数据!A:B,2,FALSE)</f>
        <v>大丰</v>
      </c>
      <c r="C619" s="92">
        <v>44229</v>
      </c>
      <c r="D619" s="91"/>
      <c r="E619" s="93">
        <v>4500079277</v>
      </c>
      <c r="F619" s="91"/>
      <c r="G619" s="93">
        <v>1120002854</v>
      </c>
      <c r="H619" s="91" t="s">
        <v>2011</v>
      </c>
      <c r="I619" s="93"/>
      <c r="J619" s="93">
        <v>9190</v>
      </c>
      <c r="K619" s="93">
        <f t="shared" si="15"/>
        <v>9190</v>
      </c>
      <c r="L619" s="92">
        <v>44275</v>
      </c>
      <c r="M619" s="91" t="s">
        <v>2135</v>
      </c>
      <c r="N619" s="95" t="str">
        <f>VLOOKUP(H619,基础数据!G:H,2,FALSE)</f>
        <v>TLX1215-2.54-100</v>
      </c>
    </row>
    <row r="620" spans="1:14" s="94" customFormat="1">
      <c r="A620" s="93">
        <v>1680</v>
      </c>
      <c r="B620" s="95" t="str">
        <f>VLOOKUP(A620,基础数据!A:B,2,FALSE)</f>
        <v>大丰</v>
      </c>
      <c r="C620" s="92">
        <v>44229</v>
      </c>
      <c r="D620" s="91"/>
      <c r="E620" s="93">
        <v>4500079277</v>
      </c>
      <c r="F620" s="91"/>
      <c r="G620" s="93">
        <v>1120000142</v>
      </c>
      <c r="H620" s="91" t="s">
        <v>2029</v>
      </c>
      <c r="I620" s="93"/>
      <c r="J620" s="93">
        <v>9690</v>
      </c>
      <c r="K620" s="93">
        <f t="shared" si="15"/>
        <v>9690</v>
      </c>
      <c r="L620" s="92">
        <v>44275</v>
      </c>
      <c r="M620" s="91" t="s">
        <v>2136</v>
      </c>
      <c r="N620" s="95" t="str">
        <f>VLOOKUP(H620,[2]基础数据!G:H,2,FALSE)</f>
        <v>TTX1250(60)-2.54-100</v>
      </c>
    </row>
    <row r="621" spans="1:14" s="114" customFormat="1">
      <c r="A621" s="110">
        <v>1680</v>
      </c>
      <c r="B621" s="111" t="str">
        <f>VLOOKUP(A621,基础数据!A:B,2,FALSE)</f>
        <v>大丰</v>
      </c>
      <c r="C621" s="112">
        <v>44229</v>
      </c>
      <c r="D621" s="113"/>
      <c r="E621" s="110">
        <v>4500079277</v>
      </c>
      <c r="F621" s="113"/>
      <c r="G621" s="113">
        <v>1120002854</v>
      </c>
      <c r="H621" s="113" t="s">
        <v>2011</v>
      </c>
      <c r="I621" s="110"/>
      <c r="J621" s="110">
        <v>10745</v>
      </c>
      <c r="K621" s="110">
        <f t="shared" si="15"/>
        <v>10745</v>
      </c>
      <c r="L621" s="112">
        <v>44256</v>
      </c>
      <c r="M621" s="113" t="s">
        <v>2149</v>
      </c>
      <c r="N621" s="111" t="str">
        <f>VLOOKUP(H621,基础数据!G:H,2,FALSE)</f>
        <v>TLX1215-2.54-100</v>
      </c>
    </row>
    <row r="622" spans="1:14" s="114" customFormat="1">
      <c r="A622" s="110">
        <v>1680</v>
      </c>
      <c r="B622" s="111" t="str">
        <f>VLOOKUP(A622,基础数据!A:B,2,FALSE)</f>
        <v>大丰</v>
      </c>
      <c r="C622" s="112">
        <v>44229</v>
      </c>
      <c r="D622" s="113"/>
      <c r="E622" s="110">
        <v>4500079277</v>
      </c>
      <c r="F622" s="113"/>
      <c r="G622" s="113" t="s">
        <v>2150</v>
      </c>
      <c r="H622" s="113" t="s">
        <v>2010</v>
      </c>
      <c r="I622" s="110"/>
      <c r="J622" s="110">
        <v>4650</v>
      </c>
      <c r="K622" s="110">
        <f t="shared" si="15"/>
        <v>4650</v>
      </c>
      <c r="L622" s="112">
        <v>44256</v>
      </c>
      <c r="M622" s="113" t="s">
        <v>2151</v>
      </c>
      <c r="N622" s="111" t="str">
        <f>VLOOKUP(H622,基础数据!G:H,2,FALSE)</f>
        <v>TTX1215(45)-2.54-100</v>
      </c>
    </row>
    <row r="623" spans="1:14" s="114" customFormat="1">
      <c r="A623" s="110">
        <v>1680</v>
      </c>
      <c r="B623" s="111" t="str">
        <f>VLOOKUP(A623,基础数据!A:B,2,FALSE)</f>
        <v>大丰</v>
      </c>
      <c r="C623" s="112">
        <v>44229</v>
      </c>
      <c r="D623" s="113"/>
      <c r="E623" s="110">
        <v>4500079277</v>
      </c>
      <c r="F623" s="113"/>
      <c r="G623" s="110">
        <v>1120000142</v>
      </c>
      <c r="H623" s="113" t="s">
        <v>2029</v>
      </c>
      <c r="I623" s="110"/>
      <c r="J623" s="110">
        <v>16150</v>
      </c>
      <c r="K623" s="110">
        <f t="shared" si="15"/>
        <v>16150</v>
      </c>
      <c r="L623" s="112">
        <v>44256</v>
      </c>
      <c r="M623" s="113" t="s">
        <v>2152</v>
      </c>
      <c r="N623" s="111" t="str">
        <f>VLOOKUP(H623,[2]基础数据!G:H,2,FALSE)</f>
        <v>TTX1250(60)-2.54-100</v>
      </c>
    </row>
  </sheetData>
  <autoFilter ref="A1:N542"/>
  <phoneticPr fontId="1" type="noConversion"/>
  <pageMargins left="0.7" right="0.7" top="0.75" bottom="0.75" header="0.3" footer="0.3"/>
  <pageSetup paperSize="9" scale="95" orientation="portrait" r:id="rId1"/>
  <rowBreaks count="1" manualBreakCount="1">
    <brk id="435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58"/>
  <sheetViews>
    <sheetView view="pageBreakPreview" topLeftCell="A13" zoomScale="85" zoomScaleNormal="100" zoomScaleSheetLayoutView="85" workbookViewId="0">
      <selection activeCell="G42" sqref="G42"/>
    </sheetView>
  </sheetViews>
  <sheetFormatPr defaultColWidth="8.5703125" defaultRowHeight="13.5"/>
  <cols>
    <col min="1" max="1" width="7" style="8" bestFit="1" customWidth="1"/>
    <col min="2" max="2" width="7.28515625" style="8" bestFit="1" customWidth="1"/>
    <col min="3" max="3" width="8.7109375" style="8" bestFit="1" customWidth="1"/>
    <col min="4" max="4" width="8.28515625" style="8" bestFit="1" customWidth="1"/>
    <col min="5" max="5" width="9.140625" style="8" bestFit="1" customWidth="1"/>
    <col min="6" max="6" width="14.28515625" style="8" bestFit="1" customWidth="1"/>
    <col min="7" max="7" width="11.7109375" style="8" bestFit="1" customWidth="1"/>
    <col min="8" max="8" width="39" style="8" bestFit="1" customWidth="1"/>
    <col min="9" max="9" width="7" style="8" bestFit="1" customWidth="1"/>
    <col min="10" max="10" width="6.42578125" style="8" bestFit="1" customWidth="1"/>
    <col min="11" max="11" width="6.42578125" style="8" customWidth="1"/>
    <col min="12" max="12" width="8.7109375" style="8" bestFit="1" customWidth="1"/>
    <col min="13" max="13" width="73.140625" style="8" bestFit="1" customWidth="1"/>
    <col min="14" max="14" width="14.140625" style="8" bestFit="1" customWidth="1"/>
    <col min="15" max="16384" width="8.5703125" style="8"/>
  </cols>
  <sheetData>
    <row r="1" spans="1:14" s="19" customFormat="1">
      <c r="A1" s="13" t="s">
        <v>0</v>
      </c>
      <c r="B1" s="13" t="s">
        <v>1</v>
      </c>
      <c r="C1" s="13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11" t="s">
        <v>1432</v>
      </c>
      <c r="L1" s="13" t="s">
        <v>8</v>
      </c>
      <c r="M1" s="13" t="s">
        <v>43</v>
      </c>
    </row>
    <row r="2" spans="1:14">
      <c r="A2" s="44">
        <v>1920</v>
      </c>
      <c r="B2" s="44" t="s">
        <v>155</v>
      </c>
      <c r="C2" s="45">
        <v>43902</v>
      </c>
      <c r="D2" s="44">
        <v>101332937</v>
      </c>
      <c r="E2" s="44">
        <v>4500054410</v>
      </c>
      <c r="F2" s="44">
        <v>1118623</v>
      </c>
      <c r="G2" s="13" t="s">
        <v>183</v>
      </c>
      <c r="H2" s="44" t="s">
        <v>156</v>
      </c>
      <c r="I2" s="2">
        <v>4</v>
      </c>
      <c r="J2" s="2">
        <v>5972</v>
      </c>
      <c r="K2" s="2"/>
      <c r="L2" s="46">
        <v>43906</v>
      </c>
      <c r="M2" s="44" t="s">
        <v>157</v>
      </c>
    </row>
    <row r="3" spans="1:14" s="19" customFormat="1">
      <c r="A3" s="13">
        <v>1920</v>
      </c>
      <c r="B3" s="13" t="str">
        <f>VLOOKUP(A3,基础数据!A:B,2,FALSE)</f>
        <v>鄂尔多斯</v>
      </c>
      <c r="C3" s="10">
        <v>43910</v>
      </c>
      <c r="D3" s="13">
        <v>101335706</v>
      </c>
      <c r="E3" s="13" t="s">
        <v>186</v>
      </c>
      <c r="F3" s="13">
        <v>1106543</v>
      </c>
      <c r="G3" s="13" t="s">
        <v>183</v>
      </c>
      <c r="H3" s="13" t="s">
        <v>234</v>
      </c>
      <c r="I3" s="11">
        <f>8-4</f>
        <v>4</v>
      </c>
      <c r="J3" s="11">
        <f>1493*(8-4)</f>
        <v>5972</v>
      </c>
      <c r="K3" s="11"/>
      <c r="L3" s="10">
        <v>43923</v>
      </c>
      <c r="M3" s="13" t="s">
        <v>233</v>
      </c>
    </row>
    <row r="4" spans="1:14" s="19" customFormat="1">
      <c r="A4" s="13">
        <v>1920</v>
      </c>
      <c r="B4" s="13" t="str">
        <f>VLOOKUP(A4,基础数据!A:B,2,FALSE)</f>
        <v>鄂尔多斯</v>
      </c>
      <c r="C4" s="10">
        <v>43910</v>
      </c>
      <c r="D4" s="13">
        <v>101335944</v>
      </c>
      <c r="E4" s="11">
        <v>4500054991</v>
      </c>
      <c r="F4" s="13">
        <v>1106543</v>
      </c>
      <c r="G4" s="11">
        <v>2019000544</v>
      </c>
      <c r="H4" s="13" t="s">
        <v>269</v>
      </c>
      <c r="I4" s="11">
        <f>8-4</f>
        <v>4</v>
      </c>
      <c r="J4" s="11">
        <f>1493*(8-4)</f>
        <v>5972</v>
      </c>
      <c r="K4" s="11"/>
      <c r="L4" s="10">
        <v>43923</v>
      </c>
      <c r="M4" s="13" t="s">
        <v>241</v>
      </c>
    </row>
    <row r="5" spans="1:14" s="12" customFormat="1">
      <c r="A5" s="11">
        <v>1920</v>
      </c>
      <c r="B5" s="13" t="str">
        <f>VLOOKUP(A5,基础数据!A:B,2,FALSE)</f>
        <v>鄂尔多斯</v>
      </c>
      <c r="C5" s="10">
        <v>43924</v>
      </c>
      <c r="D5" s="9">
        <v>101336684</v>
      </c>
      <c r="E5" s="11">
        <v>4500056194</v>
      </c>
      <c r="F5" s="9">
        <v>1118937</v>
      </c>
      <c r="G5" s="11">
        <v>2019000544</v>
      </c>
      <c r="H5" s="9" t="s">
        <v>184</v>
      </c>
      <c r="I5" s="11">
        <v>4</v>
      </c>
      <c r="J5" s="11">
        <v>5972</v>
      </c>
      <c r="K5" s="11"/>
      <c r="L5" s="10">
        <v>43943</v>
      </c>
      <c r="M5" s="9" t="s">
        <v>268</v>
      </c>
    </row>
    <row r="6" spans="1:14" s="12" customFormat="1">
      <c r="A6" s="11">
        <v>1920</v>
      </c>
      <c r="B6" s="13" t="str">
        <f>VLOOKUP(A6,基础数据!A:B,2,FALSE)</f>
        <v>鄂尔多斯</v>
      </c>
      <c r="C6" s="10">
        <v>43924</v>
      </c>
      <c r="D6" s="9"/>
      <c r="E6" s="11">
        <v>4500056194</v>
      </c>
      <c r="F6" s="9">
        <v>1118937</v>
      </c>
      <c r="G6" s="11">
        <v>2019000544</v>
      </c>
      <c r="H6" s="9" t="s">
        <v>184</v>
      </c>
      <c r="I6" s="11">
        <f>12-4</f>
        <v>8</v>
      </c>
      <c r="J6" s="11">
        <f>17916-5972</f>
        <v>11944</v>
      </c>
      <c r="K6" s="11"/>
      <c r="L6" s="10">
        <v>43943</v>
      </c>
      <c r="M6" s="9" t="s">
        <v>291</v>
      </c>
    </row>
    <row r="7" spans="1:14" s="12" customFormat="1">
      <c r="A7" s="11">
        <v>1920</v>
      </c>
      <c r="B7" s="13" t="str">
        <f>VLOOKUP(A7,基础数据!A:B,2,FALSE)</f>
        <v>鄂尔多斯</v>
      </c>
      <c r="C7" s="10">
        <v>43931</v>
      </c>
      <c r="D7" s="9"/>
      <c r="E7" s="11">
        <v>4500056669</v>
      </c>
      <c r="F7" s="9">
        <v>1118937</v>
      </c>
      <c r="G7" s="11">
        <v>2019000544</v>
      </c>
      <c r="H7" s="9" t="s">
        <v>184</v>
      </c>
      <c r="I7" s="11">
        <v>4</v>
      </c>
      <c r="J7" s="11">
        <f>1493*4</f>
        <v>5972</v>
      </c>
      <c r="K7" s="11"/>
      <c r="L7" s="10">
        <v>43941</v>
      </c>
      <c r="M7" s="9" t="s">
        <v>322</v>
      </c>
    </row>
    <row r="8" spans="1:14" s="12" customFormat="1">
      <c r="A8" s="9">
        <v>1920</v>
      </c>
      <c r="B8" s="9" t="s">
        <v>155</v>
      </c>
      <c r="C8" s="10">
        <v>43921</v>
      </c>
      <c r="D8" s="13" t="s">
        <v>46</v>
      </c>
      <c r="E8" s="9">
        <v>20200398</v>
      </c>
      <c r="F8" s="9" t="s">
        <v>331</v>
      </c>
      <c r="G8" s="9"/>
      <c r="H8" s="9" t="s">
        <v>184</v>
      </c>
      <c r="I8" s="11">
        <v>0.5</v>
      </c>
      <c r="J8" s="11">
        <v>746.5</v>
      </c>
      <c r="K8" s="11"/>
      <c r="L8" s="10">
        <v>43936</v>
      </c>
      <c r="M8" s="9" t="s">
        <v>332</v>
      </c>
    </row>
    <row r="9" spans="1:14" s="12" customFormat="1">
      <c r="A9" s="11">
        <v>1920</v>
      </c>
      <c r="B9" s="13" t="str">
        <f>VLOOKUP(A9,基础数据!A:B,2,FALSE)</f>
        <v>鄂尔多斯</v>
      </c>
      <c r="C9" s="10">
        <v>43931</v>
      </c>
      <c r="D9" s="9"/>
      <c r="E9" s="11">
        <v>4500056669</v>
      </c>
      <c r="F9" s="9" t="s">
        <v>330</v>
      </c>
      <c r="G9" s="11">
        <v>2019000544</v>
      </c>
      <c r="H9" s="9" t="s">
        <v>184</v>
      </c>
      <c r="I9" s="11">
        <v>4</v>
      </c>
      <c r="J9" s="11">
        <f>17916-1493*4</f>
        <v>11944</v>
      </c>
      <c r="K9" s="11"/>
      <c r="L9" s="10">
        <v>43941</v>
      </c>
      <c r="M9" s="9" t="s">
        <v>333</v>
      </c>
    </row>
    <row r="10" spans="1:14" s="12" customFormat="1">
      <c r="A10" s="11">
        <v>1920</v>
      </c>
      <c r="B10" s="13" t="str">
        <f>VLOOKUP(A10,基础数据!A:B,2,FALSE)</f>
        <v>鄂尔多斯</v>
      </c>
      <c r="C10" s="10">
        <v>43931</v>
      </c>
      <c r="D10" s="9"/>
      <c r="E10" s="11">
        <v>4500056669</v>
      </c>
      <c r="F10" s="9" t="s">
        <v>330</v>
      </c>
      <c r="G10" s="11">
        <v>2019000544</v>
      </c>
      <c r="H10" s="9" t="s">
        <v>184</v>
      </c>
      <c r="I10" s="11">
        <f>12-4-4</f>
        <v>4</v>
      </c>
      <c r="J10" s="11">
        <f>17916-1493*4</f>
        <v>11944</v>
      </c>
      <c r="K10" s="11"/>
      <c r="L10" s="10">
        <v>43941</v>
      </c>
      <c r="M10" s="9" t="s">
        <v>391</v>
      </c>
      <c r="N10" s="19" t="str">
        <f>VLOOKUP(H10,基础数据!G:H,2,FALSE)</f>
        <v>SR136Ⅲ螺栓加强层</v>
      </c>
    </row>
    <row r="11" spans="1:14" s="12" customFormat="1">
      <c r="A11" s="11">
        <v>1920</v>
      </c>
      <c r="B11" s="13" t="str">
        <f>VLOOKUP(A11,基础数据!A:B,2,FALSE)</f>
        <v>鄂尔多斯</v>
      </c>
      <c r="C11" s="10">
        <v>43945</v>
      </c>
      <c r="D11" s="9"/>
      <c r="E11" s="11">
        <v>4500058146</v>
      </c>
      <c r="F11" s="9" t="s">
        <v>330</v>
      </c>
      <c r="G11" s="11">
        <v>2019000544</v>
      </c>
      <c r="H11" s="9" t="s">
        <v>184</v>
      </c>
      <c r="I11" s="11">
        <v>4</v>
      </c>
      <c r="J11" s="11">
        <v>5972</v>
      </c>
      <c r="K11" s="11"/>
      <c r="L11" s="10">
        <v>43964</v>
      </c>
      <c r="M11" s="9" t="s">
        <v>400</v>
      </c>
      <c r="N11" s="19" t="str">
        <f>VLOOKUP(H11,基础数据!G:H,2,FALSE)</f>
        <v>SR136Ⅲ螺栓加强层</v>
      </c>
    </row>
    <row r="12" spans="1:14" s="12" customFormat="1">
      <c r="A12" s="11">
        <v>1920</v>
      </c>
      <c r="B12" s="13" t="str">
        <f>VLOOKUP(A12,基础数据!A:B,2,FALSE)</f>
        <v>鄂尔多斯</v>
      </c>
      <c r="C12" s="10">
        <v>43945</v>
      </c>
      <c r="D12" s="9"/>
      <c r="E12" s="11">
        <v>4500058146</v>
      </c>
      <c r="F12" s="9" t="s">
        <v>330</v>
      </c>
      <c r="G12" s="11">
        <v>2019000544</v>
      </c>
      <c r="H12" s="9" t="s">
        <v>184</v>
      </c>
      <c r="I12" s="11">
        <v>4</v>
      </c>
      <c r="J12" s="11">
        <v>5972</v>
      </c>
      <c r="K12" s="11"/>
      <c r="L12" s="10">
        <v>43964</v>
      </c>
      <c r="M12" s="9" t="s">
        <v>409</v>
      </c>
      <c r="N12" s="19" t="str">
        <f>VLOOKUP(H12,基础数据!G:H,2,FALSE)</f>
        <v>SR136Ⅲ螺栓加强层</v>
      </c>
    </row>
    <row r="13" spans="1:14" s="12" customFormat="1">
      <c r="A13" s="11">
        <v>1920</v>
      </c>
      <c r="B13" s="13" t="str">
        <f>VLOOKUP(A13,基础数据!A:B,2,FALSE)</f>
        <v>鄂尔多斯</v>
      </c>
      <c r="C13" s="10">
        <v>43945</v>
      </c>
      <c r="D13" s="9"/>
      <c r="E13" s="11">
        <v>4500058146</v>
      </c>
      <c r="F13" s="9" t="s">
        <v>330</v>
      </c>
      <c r="G13" s="11">
        <v>2019000544</v>
      </c>
      <c r="H13" s="9" t="s">
        <v>184</v>
      </c>
      <c r="I13" s="11">
        <f>12-4-4</f>
        <v>4</v>
      </c>
      <c r="J13" s="11">
        <f>1493*12-5972-5972</f>
        <v>5972</v>
      </c>
      <c r="K13" s="11"/>
      <c r="L13" s="10">
        <v>43964</v>
      </c>
      <c r="M13" s="9" t="s">
        <v>426</v>
      </c>
      <c r="N13" s="19" t="str">
        <f>VLOOKUP(H13,基础数据!G:H,2,FALSE)</f>
        <v>SR136Ⅲ螺栓加强层</v>
      </c>
    </row>
    <row r="14" spans="1:14" s="12" customFormat="1">
      <c r="A14" s="11">
        <v>1920</v>
      </c>
      <c r="B14" s="13" t="str">
        <f>VLOOKUP(A14,基础数据!A:B,2,FALSE)</f>
        <v>鄂尔多斯</v>
      </c>
      <c r="C14" s="10">
        <v>43959</v>
      </c>
      <c r="D14" s="9"/>
      <c r="E14" s="11">
        <v>4500059021</v>
      </c>
      <c r="F14" s="9"/>
      <c r="G14" s="11">
        <v>2019000544</v>
      </c>
      <c r="H14" s="9" t="s">
        <v>184</v>
      </c>
      <c r="I14" s="11">
        <v>4</v>
      </c>
      <c r="J14" s="11">
        <f>1493*8-5972</f>
        <v>5972</v>
      </c>
      <c r="K14" s="11"/>
      <c r="L14" s="10">
        <v>43983</v>
      </c>
      <c r="M14" s="9" t="s">
        <v>431</v>
      </c>
      <c r="N14" s="19" t="str">
        <f>VLOOKUP(H14,基础数据!G:H,2,FALSE)</f>
        <v>SR136Ⅲ螺栓加强层</v>
      </c>
    </row>
    <row r="15" spans="1:14" s="33" customFormat="1">
      <c r="A15" s="11">
        <v>1920</v>
      </c>
      <c r="B15" s="13" t="str">
        <f>VLOOKUP(A15,基础数据!A:B,2,FALSE)</f>
        <v>鄂尔多斯</v>
      </c>
      <c r="C15" s="10">
        <v>43973</v>
      </c>
      <c r="D15" s="32"/>
      <c r="E15" s="32">
        <v>4500060384</v>
      </c>
      <c r="F15" s="32"/>
      <c r="G15" s="32"/>
      <c r="H15" s="32" t="s">
        <v>441</v>
      </c>
      <c r="I15" s="32"/>
      <c r="J15" s="32">
        <v>908</v>
      </c>
      <c r="K15" s="32"/>
      <c r="L15" s="10">
        <v>43974</v>
      </c>
      <c r="M15" s="32" t="s">
        <v>440</v>
      </c>
    </row>
    <row r="16" spans="1:14" s="12" customFormat="1">
      <c r="A16" s="11">
        <v>1920</v>
      </c>
      <c r="B16" s="13" t="str">
        <f>VLOOKUP(A16,基础数据!A:B,2,FALSE)</f>
        <v>鄂尔多斯</v>
      </c>
      <c r="C16" s="10">
        <v>43959</v>
      </c>
      <c r="D16" s="9"/>
      <c r="E16" s="11">
        <v>4500059021</v>
      </c>
      <c r="F16" s="9"/>
      <c r="G16" s="11">
        <v>2019000544</v>
      </c>
      <c r="H16" s="9" t="s">
        <v>184</v>
      </c>
      <c r="I16" s="11">
        <v>4</v>
      </c>
      <c r="J16" s="11">
        <v>5972</v>
      </c>
      <c r="K16" s="11"/>
      <c r="L16" s="10">
        <v>43983</v>
      </c>
      <c r="M16" s="9" t="s">
        <v>451</v>
      </c>
      <c r="N16" s="19" t="str">
        <f>VLOOKUP(H16,基础数据!G:H,2,FALSE)</f>
        <v>SR136Ⅲ螺栓加强层</v>
      </c>
    </row>
    <row r="17" spans="1:14" s="12" customFormat="1">
      <c r="A17" s="11">
        <v>1920</v>
      </c>
      <c r="B17" s="13" t="str">
        <f>VLOOKUP(A17,基础数据!A:B,2,FALSE)</f>
        <v>鄂尔多斯</v>
      </c>
      <c r="C17" s="10">
        <v>43973</v>
      </c>
      <c r="D17" s="9"/>
      <c r="E17" s="11">
        <v>4500060334</v>
      </c>
      <c r="F17" s="9"/>
      <c r="G17" s="9" t="s">
        <v>183</v>
      </c>
      <c r="H17" s="9" t="s">
        <v>437</v>
      </c>
      <c r="I17" s="11">
        <v>4</v>
      </c>
      <c r="J17" s="11">
        <v>5972</v>
      </c>
      <c r="K17" s="11"/>
      <c r="L17" s="10">
        <v>44001</v>
      </c>
      <c r="M17" s="9" t="s">
        <v>452</v>
      </c>
      <c r="N17" s="19" t="e">
        <f>VLOOKUP(H17,基础数据!G:H,2,FALSE)</f>
        <v>#N/A</v>
      </c>
    </row>
    <row r="18" spans="1:14" s="12" customFormat="1">
      <c r="A18" s="11">
        <v>1920</v>
      </c>
      <c r="B18" s="13" t="str">
        <f>VLOOKUP(A18,基础数据!A:B,2,FALSE)</f>
        <v>鄂尔多斯</v>
      </c>
      <c r="C18" s="10">
        <v>43973</v>
      </c>
      <c r="D18" s="9"/>
      <c r="E18" s="11">
        <v>4500060334</v>
      </c>
      <c r="F18" s="9"/>
      <c r="G18" s="11">
        <v>2019000544</v>
      </c>
      <c r="H18" s="9" t="s">
        <v>437</v>
      </c>
      <c r="I18" s="11">
        <v>8</v>
      </c>
      <c r="J18" s="11">
        <v>11944</v>
      </c>
      <c r="K18" s="11"/>
      <c r="L18" s="10">
        <v>44001</v>
      </c>
      <c r="M18" s="9" t="s">
        <v>522</v>
      </c>
      <c r="N18" s="13" t="e">
        <f>VLOOKUP(H18,基础数据!G:H,2,FALSE)</f>
        <v>#N/A</v>
      </c>
    </row>
    <row r="19" spans="1:14" s="12" customFormat="1">
      <c r="A19" s="11">
        <v>1920</v>
      </c>
      <c r="B19" s="13" t="str">
        <f>VLOOKUP(A19,基础数据!A:B,2,FALSE)</f>
        <v>鄂尔多斯</v>
      </c>
      <c r="C19" s="10">
        <v>43973</v>
      </c>
      <c r="D19" s="9"/>
      <c r="E19" s="11">
        <v>4500060334</v>
      </c>
      <c r="F19" s="9"/>
      <c r="G19" s="11">
        <v>2019000544</v>
      </c>
      <c r="H19" s="9" t="s">
        <v>437</v>
      </c>
      <c r="I19" s="11">
        <v>4</v>
      </c>
      <c r="J19" s="11">
        <v>5972</v>
      </c>
      <c r="K19" s="11"/>
      <c r="L19" s="10">
        <v>44001</v>
      </c>
      <c r="M19" s="9" t="s">
        <v>552</v>
      </c>
      <c r="N19" s="13" t="e">
        <f>VLOOKUP(H19,基础数据!G:H,2,FALSE)</f>
        <v>#N/A</v>
      </c>
    </row>
    <row r="20" spans="1:14" s="12" customFormat="1">
      <c r="A20" s="11">
        <v>1920</v>
      </c>
      <c r="B20" s="13" t="str">
        <f>VLOOKUP(A20,基础数据!A:B,2,FALSE)</f>
        <v>鄂尔多斯</v>
      </c>
      <c r="C20" s="10">
        <v>43973</v>
      </c>
      <c r="D20" s="9"/>
      <c r="E20" s="11">
        <v>4500060334</v>
      </c>
      <c r="F20" s="9"/>
      <c r="G20" s="11">
        <v>2019000544</v>
      </c>
      <c r="H20" s="9" t="s">
        <v>437</v>
      </c>
      <c r="I20" s="11">
        <v>4</v>
      </c>
      <c r="J20" s="11">
        <v>5972</v>
      </c>
      <c r="K20" s="11"/>
      <c r="L20" s="10">
        <v>44001</v>
      </c>
      <c r="M20" s="9" t="s">
        <v>555</v>
      </c>
      <c r="N20" s="13" t="e">
        <f>VLOOKUP(H20,基础数据!G:H,2,FALSE)</f>
        <v>#N/A</v>
      </c>
    </row>
    <row r="21" spans="1:14" s="12" customFormat="1">
      <c r="A21" s="11">
        <v>1920</v>
      </c>
      <c r="B21" s="13" t="str">
        <f>VLOOKUP(A21,基础数据!A:B,2,FALSE)</f>
        <v>鄂尔多斯</v>
      </c>
      <c r="C21" s="10">
        <v>43973</v>
      </c>
      <c r="D21" s="9"/>
      <c r="E21" s="11">
        <v>4500060334</v>
      </c>
      <c r="F21" s="9"/>
      <c r="G21" s="11">
        <v>2019000544</v>
      </c>
      <c r="H21" s="9" t="s">
        <v>437</v>
      </c>
      <c r="I21" s="11">
        <v>4</v>
      </c>
      <c r="J21" s="11">
        <v>5972</v>
      </c>
      <c r="K21" s="11"/>
      <c r="L21" s="10">
        <v>44001</v>
      </c>
      <c r="M21" s="9" t="s">
        <v>567</v>
      </c>
      <c r="N21" s="13" t="e">
        <f>VLOOKUP(H21,基础数据!G:H,2,FALSE)</f>
        <v>#N/A</v>
      </c>
    </row>
    <row r="22" spans="1:14" s="12" customFormat="1">
      <c r="A22" s="11">
        <v>1920</v>
      </c>
      <c r="B22" s="13" t="str">
        <f>VLOOKUP(A22,基础数据!A:B,2,FALSE)</f>
        <v>鄂尔多斯</v>
      </c>
      <c r="C22" s="10">
        <v>43973</v>
      </c>
      <c r="D22" s="9"/>
      <c r="E22" s="11">
        <v>4500060334</v>
      </c>
      <c r="F22" s="9"/>
      <c r="G22" s="11">
        <v>2019000544</v>
      </c>
      <c r="H22" s="9" t="s">
        <v>437</v>
      </c>
      <c r="I22" s="11">
        <f>32-4-8-4-4-4</f>
        <v>8</v>
      </c>
      <c r="J22" s="11">
        <f>1493*32-5972-11944-5972-5972-5972</f>
        <v>11944</v>
      </c>
      <c r="K22" s="11"/>
      <c r="L22" s="10">
        <v>44001</v>
      </c>
      <c r="M22" s="9" t="s">
        <v>574</v>
      </c>
      <c r="N22" s="13" t="e">
        <f>VLOOKUP(H22,基础数据!G:H,2,FALSE)</f>
        <v>#N/A</v>
      </c>
    </row>
    <row r="23" spans="1:14" s="12" customFormat="1">
      <c r="A23" s="11">
        <v>1920</v>
      </c>
      <c r="B23" s="13" t="str">
        <f>VLOOKUP(A23,基础数据!A:B,2,FALSE)</f>
        <v>鄂尔多斯</v>
      </c>
      <c r="C23" s="10">
        <v>44004</v>
      </c>
      <c r="D23" s="9"/>
      <c r="E23" s="11">
        <v>4500062999</v>
      </c>
      <c r="F23" s="11"/>
      <c r="G23" s="11">
        <v>2019000544</v>
      </c>
      <c r="H23" s="9" t="s">
        <v>437</v>
      </c>
      <c r="I23" s="11">
        <v>8</v>
      </c>
      <c r="J23" s="11">
        <v>11944</v>
      </c>
      <c r="K23" s="11"/>
      <c r="L23" s="10">
        <v>44012</v>
      </c>
      <c r="M23" s="9" t="s">
        <v>590</v>
      </c>
      <c r="N23" s="13" t="e">
        <f>VLOOKUP(H23,基础数据!G:H,2,FALSE)</f>
        <v>#N/A</v>
      </c>
    </row>
    <row r="24" spans="1:14" s="12" customFormat="1">
      <c r="A24" s="11">
        <v>1920</v>
      </c>
      <c r="B24" s="13" t="str">
        <f>VLOOKUP(A24,基础数据!A:B,2,FALSE)</f>
        <v>鄂尔多斯</v>
      </c>
      <c r="C24" s="10">
        <v>44004</v>
      </c>
      <c r="D24" s="9"/>
      <c r="E24" s="11">
        <v>4500062999</v>
      </c>
      <c r="F24" s="11"/>
      <c r="G24" s="11">
        <v>2019000544</v>
      </c>
      <c r="H24" s="9" t="s">
        <v>437</v>
      </c>
      <c r="I24" s="11">
        <f>13-8</f>
        <v>5</v>
      </c>
      <c r="J24" s="11">
        <f>1604*13-11944</f>
        <v>8908</v>
      </c>
      <c r="K24" s="11"/>
      <c r="L24" s="10">
        <v>44012</v>
      </c>
      <c r="M24" s="9" t="s">
        <v>590</v>
      </c>
      <c r="N24" s="13" t="e">
        <f>VLOOKUP(H24,基础数据!G:H,2,FALSE)</f>
        <v>#N/A</v>
      </c>
    </row>
    <row r="25" spans="1:14" s="12" customFormat="1">
      <c r="A25" s="11">
        <v>1920</v>
      </c>
      <c r="B25" s="13" t="str">
        <f>VLOOKUP(A25,基础数据!A:B,2,FALSE)</f>
        <v>鄂尔多斯</v>
      </c>
      <c r="C25" s="10">
        <v>43987</v>
      </c>
      <c r="D25" s="9"/>
      <c r="E25" s="11">
        <v>4500061550</v>
      </c>
      <c r="F25" s="9"/>
      <c r="G25" s="11">
        <v>2019000496</v>
      </c>
      <c r="H25" s="9" t="s">
        <v>505</v>
      </c>
      <c r="I25" s="11">
        <v>8</v>
      </c>
      <c r="J25" s="11">
        <v>11888</v>
      </c>
      <c r="K25" s="11"/>
      <c r="L25" s="10">
        <v>43993</v>
      </c>
      <c r="M25" s="9" t="s">
        <v>612</v>
      </c>
      <c r="N25" s="13" t="str">
        <f>VLOOKUP(H25,基础数据!G:H,2,FALSE)</f>
        <v>SR136Ⅱ螺栓加强层</v>
      </c>
    </row>
    <row r="26" spans="1:14" s="12" customFormat="1">
      <c r="A26" s="11">
        <v>1920</v>
      </c>
      <c r="B26" s="13" t="str">
        <f>VLOOKUP(A26,基础数据!A:B,2,FALSE)</f>
        <v>鄂尔多斯</v>
      </c>
      <c r="C26" s="10">
        <v>43987</v>
      </c>
      <c r="D26" s="9"/>
      <c r="E26" s="11">
        <v>4500061550</v>
      </c>
      <c r="F26" s="9"/>
      <c r="G26" s="11">
        <v>2019000496</v>
      </c>
      <c r="H26" s="9" t="s">
        <v>505</v>
      </c>
      <c r="I26" s="11">
        <f>16-8</f>
        <v>8</v>
      </c>
      <c r="J26" s="11">
        <f>1493*16-11888</f>
        <v>12000</v>
      </c>
      <c r="K26" s="11"/>
      <c r="L26" s="10">
        <v>43993</v>
      </c>
      <c r="M26" s="9" t="s">
        <v>624</v>
      </c>
      <c r="N26" s="13" t="str">
        <f>VLOOKUP(H26,基础数据!G:H,2,FALSE)</f>
        <v>SR136Ⅱ螺栓加强层</v>
      </c>
    </row>
    <row r="27" spans="1:14" s="12" customFormat="1">
      <c r="A27" s="11">
        <v>1920</v>
      </c>
      <c r="B27" s="13" t="str">
        <f>VLOOKUP(A27,基础数据!A:B,2,FALSE)</f>
        <v>鄂尔多斯</v>
      </c>
      <c r="C27" s="10">
        <v>44004</v>
      </c>
      <c r="D27" s="9"/>
      <c r="E27" s="11">
        <v>4500062999</v>
      </c>
      <c r="F27" s="11"/>
      <c r="G27" s="11">
        <v>2019000496</v>
      </c>
      <c r="H27" s="9" t="s">
        <v>505</v>
      </c>
      <c r="I27" s="11">
        <v>4</v>
      </c>
      <c r="J27" s="11">
        <v>5944</v>
      </c>
      <c r="K27" s="11"/>
      <c r="L27" s="10">
        <v>44021</v>
      </c>
      <c r="M27" s="9" t="s">
        <v>630</v>
      </c>
      <c r="N27" s="13" t="str">
        <f>VLOOKUP(H27,基础数据!G:H,2,FALSE)</f>
        <v>SR136Ⅱ螺栓加强层</v>
      </c>
    </row>
    <row r="28" spans="1:14" s="12" customFormat="1">
      <c r="A28" s="11">
        <v>1920</v>
      </c>
      <c r="B28" s="13" t="str">
        <f>VLOOKUP(A28,基础数据!A:B,2,FALSE)</f>
        <v>鄂尔多斯</v>
      </c>
      <c r="C28" s="10">
        <v>44004</v>
      </c>
      <c r="D28" s="9"/>
      <c r="E28" s="11">
        <v>4500062999</v>
      </c>
      <c r="F28" s="11"/>
      <c r="G28" s="11">
        <v>2019000496</v>
      </c>
      <c r="H28" s="9" t="s">
        <v>505</v>
      </c>
      <c r="I28" s="11">
        <v>4</v>
      </c>
      <c r="J28" s="11">
        <v>5944</v>
      </c>
      <c r="K28" s="11"/>
      <c r="L28" s="10">
        <v>44021</v>
      </c>
      <c r="M28" s="9" t="s">
        <v>644</v>
      </c>
      <c r="N28" s="13" t="str">
        <f>VLOOKUP(H28,基础数据!G:H,2,FALSE)</f>
        <v>SR136Ⅱ螺栓加强层</v>
      </c>
    </row>
    <row r="29" spans="1:14" s="12" customFormat="1">
      <c r="A29" s="11">
        <v>1920</v>
      </c>
      <c r="B29" s="13" t="str">
        <f>VLOOKUP(A29,基础数据!A:B,2,FALSE)</f>
        <v>鄂尔多斯</v>
      </c>
      <c r="C29" s="10">
        <v>44004</v>
      </c>
      <c r="D29" s="9"/>
      <c r="E29" s="11">
        <v>4500062999</v>
      </c>
      <c r="F29" s="11"/>
      <c r="G29" s="11">
        <v>2019000496</v>
      </c>
      <c r="H29" s="9" t="s">
        <v>505</v>
      </c>
      <c r="I29" s="11">
        <v>4</v>
      </c>
      <c r="J29" s="11">
        <v>5944</v>
      </c>
      <c r="K29" s="11"/>
      <c r="L29" s="10">
        <v>44021</v>
      </c>
      <c r="M29" s="9" t="s">
        <v>648</v>
      </c>
      <c r="N29" s="13" t="str">
        <f>VLOOKUP(H29,基础数据!G:H,2,FALSE)</f>
        <v>SR136Ⅱ螺栓加强层</v>
      </c>
    </row>
    <row r="30" spans="1:14" s="12" customFormat="1">
      <c r="A30" s="11">
        <v>1920</v>
      </c>
      <c r="B30" s="13" t="str">
        <f>VLOOKUP(A30,基础数据!A:B,2,FALSE)</f>
        <v>鄂尔多斯</v>
      </c>
      <c r="C30" s="10">
        <v>44015</v>
      </c>
      <c r="D30" s="9"/>
      <c r="E30" s="11">
        <v>4500063970</v>
      </c>
      <c r="F30" s="9"/>
      <c r="G30" s="11">
        <v>2019000496</v>
      </c>
      <c r="H30" s="9" t="s">
        <v>505</v>
      </c>
      <c r="I30" s="11">
        <v>8</v>
      </c>
      <c r="J30" s="11">
        <f>8*1598</f>
        <v>12784</v>
      </c>
      <c r="K30" s="11"/>
      <c r="L30" s="10">
        <v>44035</v>
      </c>
      <c r="M30" s="9" t="s">
        <v>683</v>
      </c>
      <c r="N30" s="13" t="str">
        <f>VLOOKUP(H30,基础数据!G:H,2,FALSE)</f>
        <v>SR136Ⅱ螺栓加强层</v>
      </c>
    </row>
    <row r="31" spans="1:14" s="12" customFormat="1">
      <c r="A31" s="11">
        <v>1920</v>
      </c>
      <c r="B31" s="13" t="str">
        <f>VLOOKUP(A31,基础数据!A:B,2,FALSE)</f>
        <v>鄂尔多斯</v>
      </c>
      <c r="C31" s="10">
        <v>44010</v>
      </c>
      <c r="D31" s="9"/>
      <c r="E31" s="11">
        <v>4500063470</v>
      </c>
      <c r="F31" s="9"/>
      <c r="G31" s="11">
        <v>2019000496</v>
      </c>
      <c r="H31" s="9" t="s">
        <v>505</v>
      </c>
      <c r="I31" s="11">
        <v>8</v>
      </c>
      <c r="J31" s="11">
        <v>11688</v>
      </c>
      <c r="K31" s="11"/>
      <c r="L31" s="10">
        <v>44028</v>
      </c>
      <c r="M31" s="9" t="s">
        <v>728</v>
      </c>
      <c r="N31" s="13" t="str">
        <f>VLOOKUP(H31,基础数据!G:H,2,FALSE)</f>
        <v>SR136Ⅱ螺栓加强层</v>
      </c>
    </row>
    <row r="32" spans="1:14" s="12" customFormat="1">
      <c r="A32" s="11">
        <v>1920</v>
      </c>
      <c r="B32" s="13" t="str">
        <f>VLOOKUP(A32,基础数据!A:B,2,FALSE)</f>
        <v>鄂尔多斯</v>
      </c>
      <c r="C32" s="10">
        <v>44010</v>
      </c>
      <c r="D32" s="9"/>
      <c r="E32" s="11">
        <v>4500063470</v>
      </c>
      <c r="F32" s="9"/>
      <c r="G32" s="11">
        <v>2019000496</v>
      </c>
      <c r="H32" s="9" t="s">
        <v>505</v>
      </c>
      <c r="I32" s="11">
        <f>16-8</f>
        <v>8</v>
      </c>
      <c r="J32" s="11">
        <f>1598*16-11688</f>
        <v>13880</v>
      </c>
      <c r="K32" s="11"/>
      <c r="L32" s="10">
        <v>44028</v>
      </c>
      <c r="M32" s="9" t="s">
        <v>764</v>
      </c>
      <c r="N32" s="13" t="str">
        <f>VLOOKUP(H32,基础数据!G:H,2,FALSE)</f>
        <v>SR136Ⅱ螺栓加强层</v>
      </c>
    </row>
    <row r="33" spans="1:14" s="12" customFormat="1">
      <c r="A33" s="11">
        <v>1920</v>
      </c>
      <c r="B33" s="9" t="s">
        <v>757</v>
      </c>
      <c r="C33" s="10">
        <v>44047</v>
      </c>
      <c r="D33" s="9"/>
      <c r="E33" s="9">
        <v>20200811</v>
      </c>
      <c r="F33" s="9"/>
      <c r="G33" s="9"/>
      <c r="H33" s="9" t="s">
        <v>10</v>
      </c>
      <c r="I33" s="11"/>
      <c r="J33" s="11">
        <v>5896.8</v>
      </c>
      <c r="K33" s="11"/>
      <c r="L33" s="10">
        <v>44052</v>
      </c>
      <c r="M33" s="9" t="s">
        <v>765</v>
      </c>
      <c r="N33" s="13" t="str">
        <f>VLOOKUP(H33,基础数据!G:H,2,FALSE)</f>
        <v>BX800-2.54-100</v>
      </c>
    </row>
    <row r="34" spans="1:14" s="12" customFormat="1">
      <c r="A34" s="11">
        <v>1920</v>
      </c>
      <c r="B34" s="13" t="str">
        <f>VLOOKUP(A34,基础数据!A:B,2,FALSE)</f>
        <v>鄂尔多斯</v>
      </c>
      <c r="C34" s="10">
        <v>44004</v>
      </c>
      <c r="D34" s="9"/>
      <c r="E34" s="11">
        <v>4500062999</v>
      </c>
      <c r="F34" s="11"/>
      <c r="G34" s="11">
        <v>2019000496</v>
      </c>
      <c r="H34" s="9" t="s">
        <v>505</v>
      </c>
      <c r="I34" s="11">
        <f>16-4-4-4</f>
        <v>4</v>
      </c>
      <c r="J34" s="11">
        <f>1598*16-5944-5944-5944</f>
        <v>7736</v>
      </c>
      <c r="K34" s="11"/>
      <c r="L34" s="10">
        <v>44021</v>
      </c>
      <c r="M34" s="9" t="s">
        <v>789</v>
      </c>
      <c r="N34" s="13" t="str">
        <f>VLOOKUP(H34,基础数据!G:H,2,FALSE)</f>
        <v>SR136Ⅱ螺栓加强层</v>
      </c>
    </row>
    <row r="35" spans="1:14" s="12" customFormat="1">
      <c r="A35" s="11">
        <v>1920</v>
      </c>
      <c r="B35" s="13" t="str">
        <f>VLOOKUP(A35,基础数据!A:B,2,FALSE)</f>
        <v>鄂尔多斯</v>
      </c>
      <c r="C35" s="10">
        <v>44037</v>
      </c>
      <c r="D35" s="9"/>
      <c r="E35" s="11">
        <v>4500066003</v>
      </c>
      <c r="F35" s="9"/>
      <c r="G35" s="11">
        <v>2019000496</v>
      </c>
      <c r="H35" s="9" t="s">
        <v>505</v>
      </c>
      <c r="I35" s="11">
        <v>4</v>
      </c>
      <c r="J35" s="11">
        <v>5844</v>
      </c>
      <c r="K35" s="11"/>
      <c r="L35" s="10">
        <v>44068</v>
      </c>
      <c r="M35" s="9" t="s">
        <v>790</v>
      </c>
      <c r="N35" s="13" t="str">
        <f>VLOOKUP(H35,基础数据!G:H,2,FALSE)</f>
        <v>SR136Ⅱ螺栓加强层</v>
      </c>
    </row>
    <row r="36" spans="1:14" s="12" customFormat="1">
      <c r="A36" s="11">
        <v>1920</v>
      </c>
      <c r="B36" s="13" t="str">
        <f>VLOOKUP(A36,基础数据!A:B,2,FALSE)</f>
        <v>鄂尔多斯</v>
      </c>
      <c r="C36" s="10">
        <v>44037</v>
      </c>
      <c r="D36" s="9"/>
      <c r="E36" s="11">
        <v>4500066003</v>
      </c>
      <c r="F36" s="9"/>
      <c r="G36" s="11">
        <v>2019000496</v>
      </c>
      <c r="H36" s="9" t="s">
        <v>505</v>
      </c>
      <c r="I36" s="11">
        <v>8</v>
      </c>
      <c r="J36" s="11">
        <v>11688</v>
      </c>
      <c r="K36" s="11"/>
      <c r="L36" s="10">
        <v>44068</v>
      </c>
      <c r="M36" s="9" t="s">
        <v>804</v>
      </c>
      <c r="N36" s="13" t="str">
        <f>VLOOKUP(H36,基础数据!G:H,2,FALSE)</f>
        <v>SR136Ⅱ螺栓加强层</v>
      </c>
    </row>
    <row r="37" spans="1:14" s="12" customFormat="1">
      <c r="A37" s="11">
        <v>1920</v>
      </c>
      <c r="B37" s="13" t="str">
        <f>VLOOKUP(A37,基础数据!A:B,2,FALSE)</f>
        <v>鄂尔多斯</v>
      </c>
      <c r="C37" s="10">
        <v>44037</v>
      </c>
      <c r="D37" s="9"/>
      <c r="E37" s="11">
        <v>4500066003</v>
      </c>
      <c r="F37" s="9"/>
      <c r="G37" s="11">
        <v>2019000496</v>
      </c>
      <c r="H37" s="9" t="s">
        <v>505</v>
      </c>
      <c r="I37" s="11">
        <v>8</v>
      </c>
      <c r="J37" s="11">
        <v>11688</v>
      </c>
      <c r="K37" s="11"/>
      <c r="L37" s="10">
        <v>44068</v>
      </c>
      <c r="M37" s="9" t="s">
        <v>828</v>
      </c>
      <c r="N37" s="13" t="str">
        <f>VLOOKUP(H37,基础数据!G:H,2,FALSE)</f>
        <v>SR136Ⅱ螺栓加强层</v>
      </c>
    </row>
    <row r="38" spans="1:14" s="33" customFormat="1">
      <c r="A38" s="11">
        <v>1920</v>
      </c>
      <c r="B38" s="13" t="str">
        <f>VLOOKUP(A38,基础数据!A:B,2,FALSE)</f>
        <v>鄂尔多斯</v>
      </c>
      <c r="C38" s="47">
        <v>44061</v>
      </c>
      <c r="E38" s="33">
        <v>20200862</v>
      </c>
      <c r="H38" s="33" t="s">
        <v>836</v>
      </c>
      <c r="I38" s="33">
        <v>9</v>
      </c>
      <c r="J38" s="11">
        <v>5274</v>
      </c>
      <c r="K38" s="63"/>
      <c r="L38" s="47">
        <v>44063</v>
      </c>
      <c r="M38" s="33" t="s">
        <v>837</v>
      </c>
    </row>
    <row r="39" spans="1:14" s="12" customFormat="1">
      <c r="A39" s="11">
        <v>1920</v>
      </c>
      <c r="B39" s="13" t="str">
        <f>VLOOKUP(A39,基础数据!A:B,2,FALSE)</f>
        <v>鄂尔多斯</v>
      </c>
      <c r="C39" s="10">
        <v>44037</v>
      </c>
      <c r="D39" s="9"/>
      <c r="E39" s="11">
        <v>4500066003</v>
      </c>
      <c r="F39" s="9"/>
      <c r="G39" s="11">
        <v>2019000496</v>
      </c>
      <c r="H39" s="9" t="s">
        <v>505</v>
      </c>
      <c r="I39" s="11">
        <v>8</v>
      </c>
      <c r="J39" s="11">
        <v>11688</v>
      </c>
      <c r="K39" s="11"/>
      <c r="L39" s="10">
        <v>44068</v>
      </c>
      <c r="M39" s="9" t="s">
        <v>858</v>
      </c>
      <c r="N39" s="13" t="str">
        <f>VLOOKUP(H39,基础数据!G:H,2,FALSE)</f>
        <v>SR136Ⅱ螺栓加强层</v>
      </c>
    </row>
    <row r="40" spans="1:14" s="12" customFormat="1">
      <c r="A40" s="11">
        <v>1920</v>
      </c>
      <c r="B40" s="13" t="str">
        <f>VLOOKUP(A40,基础数据!A:B,2,FALSE)</f>
        <v>鄂尔多斯</v>
      </c>
      <c r="C40" s="10">
        <v>44037</v>
      </c>
      <c r="D40" s="9"/>
      <c r="E40" s="11">
        <v>4500066003</v>
      </c>
      <c r="F40" s="9"/>
      <c r="G40" s="11">
        <v>2019000496</v>
      </c>
      <c r="H40" s="9" t="s">
        <v>505</v>
      </c>
      <c r="I40" s="11">
        <v>8</v>
      </c>
      <c r="J40" s="11">
        <v>11688</v>
      </c>
      <c r="K40" s="11"/>
      <c r="L40" s="10">
        <v>44068</v>
      </c>
      <c r="M40" s="9" t="s">
        <v>915</v>
      </c>
      <c r="N40" s="13" t="str">
        <f>VLOOKUP(H40,基础数据!G:H,2,FALSE)</f>
        <v>SR136Ⅱ螺栓加强层</v>
      </c>
    </row>
    <row r="41" spans="1:14" s="12" customFormat="1">
      <c r="A41" s="11">
        <v>1920</v>
      </c>
      <c r="B41" s="13" t="str">
        <f>VLOOKUP(A41,基础数据!A:B,2,FALSE)</f>
        <v>鄂尔多斯</v>
      </c>
      <c r="C41" s="10">
        <v>44037</v>
      </c>
      <c r="D41" s="9"/>
      <c r="E41" s="11">
        <v>4500066003</v>
      </c>
      <c r="F41" s="9"/>
      <c r="G41" s="11">
        <v>2019000496</v>
      </c>
      <c r="H41" s="9" t="s">
        <v>505</v>
      </c>
      <c r="I41" s="11">
        <v>8</v>
      </c>
      <c r="J41" s="11">
        <v>11688</v>
      </c>
      <c r="K41" s="11"/>
      <c r="L41" s="10">
        <v>44068</v>
      </c>
      <c r="M41" s="9" t="s">
        <v>939</v>
      </c>
      <c r="N41" s="13" t="str">
        <f>VLOOKUP(H41,基础数据!G:H,2,FALSE)</f>
        <v>SR136Ⅱ螺栓加强层</v>
      </c>
    </row>
    <row r="42" spans="1:14" s="12" customFormat="1">
      <c r="A42" s="11">
        <v>1920</v>
      </c>
      <c r="B42" s="13" t="str">
        <f>VLOOKUP(A42,基础数据!A:B,2,FALSE)</f>
        <v>鄂尔多斯</v>
      </c>
      <c r="C42" s="10">
        <v>44071</v>
      </c>
      <c r="D42" s="9"/>
      <c r="E42" s="11">
        <v>4500068840</v>
      </c>
      <c r="F42" s="9"/>
      <c r="G42" s="11">
        <v>2019000496</v>
      </c>
      <c r="H42" s="9" t="s">
        <v>505</v>
      </c>
      <c r="I42" s="11">
        <v>10</v>
      </c>
      <c r="J42" s="11">
        <f>1598*10</f>
        <v>15980</v>
      </c>
      <c r="K42" s="11"/>
      <c r="L42" s="10">
        <v>44089</v>
      </c>
      <c r="M42" s="9" t="s">
        <v>958</v>
      </c>
      <c r="N42" s="13" t="str">
        <f>VLOOKUP(H42,基础数据!G:H,2,FALSE)</f>
        <v>SR136Ⅱ螺栓加强层</v>
      </c>
    </row>
    <row r="43" spans="1:14" s="12" customFormat="1">
      <c r="A43" s="11">
        <v>1920</v>
      </c>
      <c r="B43" s="13" t="str">
        <f>VLOOKUP(A43,基础数据!A:B,2,FALSE)</f>
        <v>鄂尔多斯</v>
      </c>
      <c r="C43" s="10">
        <v>44037</v>
      </c>
      <c r="D43" s="9"/>
      <c r="E43" s="11">
        <v>4500066003</v>
      </c>
      <c r="F43" s="9"/>
      <c r="G43" s="11">
        <v>2019000496</v>
      </c>
      <c r="H43" s="9" t="s">
        <v>505</v>
      </c>
      <c r="I43" s="11">
        <f>52-4-8-8-8-8-8</f>
        <v>8</v>
      </c>
      <c r="J43" s="11">
        <f>1598*52-5844-11688-11688-11688-11688-11688</f>
        <v>18812</v>
      </c>
      <c r="K43" s="11"/>
      <c r="L43" s="10">
        <v>44068</v>
      </c>
      <c r="M43" s="9" t="s">
        <v>963</v>
      </c>
      <c r="N43" s="13" t="str">
        <f>VLOOKUP(H43,基础数据!G:H,2,FALSE)</f>
        <v>SR136Ⅱ螺栓加强层</v>
      </c>
    </row>
    <row r="44" spans="1:14" s="12" customFormat="1">
      <c r="A44" s="9">
        <v>1920</v>
      </c>
      <c r="B44" s="9" t="s">
        <v>861</v>
      </c>
      <c r="C44" s="10">
        <v>44064</v>
      </c>
      <c r="D44" s="9"/>
      <c r="E44" s="9">
        <v>20200876</v>
      </c>
      <c r="F44" s="9"/>
      <c r="G44" s="11">
        <v>1120001397</v>
      </c>
      <c r="H44" s="9" t="s">
        <v>10</v>
      </c>
      <c r="I44" s="11"/>
      <c r="J44" s="11">
        <v>5901</v>
      </c>
      <c r="K44" s="11"/>
      <c r="L44" s="10">
        <v>44073</v>
      </c>
      <c r="M44" s="9" t="s">
        <v>964</v>
      </c>
      <c r="N44" s="13" t="str">
        <f>VLOOKUP(H44,基础数据!G:H,2,FALSE)</f>
        <v>BX800-2.54-100</v>
      </c>
    </row>
    <row r="45" spans="1:14" s="12" customFormat="1">
      <c r="A45" s="11">
        <v>1920</v>
      </c>
      <c r="B45" s="13" t="str">
        <f>VLOOKUP(A45,基础数据!A:B,2,FALSE)</f>
        <v>鄂尔多斯</v>
      </c>
      <c r="C45" s="10">
        <v>44085</v>
      </c>
      <c r="D45" s="9"/>
      <c r="E45" s="9">
        <v>20200942</v>
      </c>
      <c r="F45" s="9"/>
      <c r="G45" s="9"/>
      <c r="H45" s="9" t="s">
        <v>970</v>
      </c>
      <c r="I45" s="11"/>
      <c r="J45" s="11">
        <v>350</v>
      </c>
      <c r="K45" s="11"/>
      <c r="L45" s="10">
        <v>44091</v>
      </c>
      <c r="M45" s="9" t="s">
        <v>1019</v>
      </c>
      <c r="N45" s="9" t="s">
        <v>896</v>
      </c>
    </row>
    <row r="46" spans="1:14" s="12" customFormat="1">
      <c r="A46" s="11">
        <v>1920</v>
      </c>
      <c r="B46" s="13" t="str">
        <f>VLOOKUP(A46,基础数据!A:B,2,FALSE)</f>
        <v>鄂尔多斯</v>
      </c>
      <c r="C46" s="10">
        <v>44071</v>
      </c>
      <c r="D46" s="9"/>
      <c r="E46" s="11">
        <v>4500068899</v>
      </c>
      <c r="F46" s="9"/>
      <c r="G46" s="11">
        <v>1120001747</v>
      </c>
      <c r="H46" s="9" t="s">
        <v>654</v>
      </c>
      <c r="I46" s="11">
        <v>4</v>
      </c>
      <c r="J46" s="11">
        <v>2600</v>
      </c>
      <c r="K46" s="11"/>
      <c r="L46" s="10">
        <v>44078</v>
      </c>
      <c r="M46" s="9" t="s">
        <v>1032</v>
      </c>
      <c r="N46" s="13" t="str">
        <f>VLOOKUP(H46,基础数据!G:H,2,FALSE)</f>
        <v>SR136Ⅰ后缘</v>
      </c>
    </row>
    <row r="47" spans="1:14" s="12" customFormat="1">
      <c r="A47" s="11">
        <v>1920</v>
      </c>
      <c r="B47" s="13" t="str">
        <f>VLOOKUP(A47,基础数据!A:B,2,FALSE)</f>
        <v>鄂尔多斯</v>
      </c>
      <c r="C47" s="10">
        <v>44071</v>
      </c>
      <c r="D47" s="9"/>
      <c r="E47" s="11">
        <v>4500068899</v>
      </c>
      <c r="F47" s="9"/>
      <c r="G47" s="11">
        <v>1120001706</v>
      </c>
      <c r="H47" s="9" t="s">
        <v>653</v>
      </c>
      <c r="I47" s="11">
        <v>3</v>
      </c>
      <c r="J47" s="11">
        <v>13173</v>
      </c>
      <c r="K47" s="11"/>
      <c r="L47" s="10">
        <v>44078</v>
      </c>
      <c r="M47" s="9" t="s">
        <v>1018</v>
      </c>
      <c r="N47" s="13" t="str">
        <f>VLOOKUP(H47,基础数据!G:H,2,FALSE)</f>
        <v>SR136Ⅰ大梁</v>
      </c>
    </row>
    <row r="48" spans="1:14" s="12" customFormat="1">
      <c r="A48" s="11">
        <v>1920</v>
      </c>
      <c r="B48" s="13" t="str">
        <f>VLOOKUP(A48,基础数据!A:B,2,FALSE)</f>
        <v>鄂尔多斯</v>
      </c>
      <c r="C48" s="10">
        <v>44071</v>
      </c>
      <c r="D48" s="9"/>
      <c r="E48" s="11">
        <v>4500068899</v>
      </c>
      <c r="F48" s="9"/>
      <c r="G48" s="11">
        <v>1120001747</v>
      </c>
      <c r="H48" s="9" t="s">
        <v>654</v>
      </c>
      <c r="I48" s="11">
        <v>4</v>
      </c>
      <c r="J48" s="11">
        <v>2600</v>
      </c>
      <c r="K48" s="11"/>
      <c r="L48" s="10">
        <v>44078</v>
      </c>
      <c r="M48" s="9" t="s">
        <v>1083</v>
      </c>
      <c r="N48" s="13" t="str">
        <f>VLOOKUP(H48,基础数据!G:H,2,FALSE)</f>
        <v>SR136Ⅰ后缘</v>
      </c>
    </row>
    <row r="49" spans="1:14" s="12" customFormat="1">
      <c r="A49" s="11">
        <v>1920</v>
      </c>
      <c r="B49" s="13" t="str">
        <f>VLOOKUP(A49,基础数据!A:B,2,FALSE)</f>
        <v>鄂尔多斯</v>
      </c>
      <c r="C49" s="10">
        <v>44071</v>
      </c>
      <c r="D49" s="9"/>
      <c r="E49" s="11">
        <v>4500068899</v>
      </c>
      <c r="F49" s="9"/>
      <c r="G49" s="11">
        <v>1120001706</v>
      </c>
      <c r="H49" s="9" t="s">
        <v>653</v>
      </c>
      <c r="I49" s="11">
        <v>4</v>
      </c>
      <c r="J49" s="11">
        <v>17564</v>
      </c>
      <c r="K49" s="11"/>
      <c r="L49" s="10">
        <v>44078</v>
      </c>
      <c r="M49" s="9" t="s">
        <v>1084</v>
      </c>
      <c r="N49" s="13" t="str">
        <f>VLOOKUP(H49,基础数据!G:H,2,FALSE)</f>
        <v>SR136Ⅰ大梁</v>
      </c>
    </row>
    <row r="50" spans="1:14" s="12" customFormat="1">
      <c r="A50" s="11">
        <v>1920</v>
      </c>
      <c r="B50" s="13" t="str">
        <f>VLOOKUP(A50,基础数据!A:B,2,FALSE)</f>
        <v>鄂尔多斯</v>
      </c>
      <c r="C50" s="10">
        <v>44071</v>
      </c>
      <c r="D50" s="9"/>
      <c r="E50" s="11">
        <v>4500068899</v>
      </c>
      <c r="F50" s="9"/>
      <c r="G50" s="11">
        <v>1120001747</v>
      </c>
      <c r="H50" s="9" t="s">
        <v>654</v>
      </c>
      <c r="I50" s="11">
        <v>4</v>
      </c>
      <c r="J50" s="11">
        <v>2600</v>
      </c>
      <c r="K50" s="11"/>
      <c r="L50" s="10">
        <v>44078</v>
      </c>
      <c r="M50" s="9" t="s">
        <v>1110</v>
      </c>
      <c r="N50" s="13" t="str">
        <f>VLOOKUP(H50,基础数据!G:H,2,FALSE)</f>
        <v>SR136Ⅰ后缘</v>
      </c>
    </row>
    <row r="51" spans="1:14" s="12" customFormat="1">
      <c r="A51" s="11">
        <v>1920</v>
      </c>
      <c r="B51" s="13" t="str">
        <f>VLOOKUP(A51,基础数据!A:B,2,FALSE)</f>
        <v>鄂尔多斯</v>
      </c>
      <c r="C51" s="10">
        <v>44071</v>
      </c>
      <c r="D51" s="9"/>
      <c r="E51" s="11">
        <v>4500068899</v>
      </c>
      <c r="F51" s="9"/>
      <c r="G51" s="11">
        <v>1120001706</v>
      </c>
      <c r="H51" s="9" t="s">
        <v>653</v>
      </c>
      <c r="I51" s="11">
        <v>5</v>
      </c>
      <c r="J51" s="11">
        <v>21955</v>
      </c>
      <c r="K51" s="11"/>
      <c r="L51" s="10">
        <v>44078</v>
      </c>
      <c r="M51" s="9" t="s">
        <v>1111</v>
      </c>
      <c r="N51" s="13" t="str">
        <f>VLOOKUP(H51,基础数据!G:H,2,FALSE)</f>
        <v>SR136Ⅰ大梁</v>
      </c>
    </row>
    <row r="52" spans="1:14" s="12" customFormat="1">
      <c r="A52" s="11">
        <v>1920</v>
      </c>
      <c r="B52" s="13" t="str">
        <f>VLOOKUP(A52,基础数据!A:B,2,FALSE)</f>
        <v>鄂尔多斯</v>
      </c>
      <c r="C52" s="10">
        <v>44071</v>
      </c>
      <c r="D52" s="9"/>
      <c r="E52" s="11">
        <v>4500068899</v>
      </c>
      <c r="F52" s="9"/>
      <c r="G52" s="11">
        <v>1120001706</v>
      </c>
      <c r="H52" s="9" t="s">
        <v>653</v>
      </c>
      <c r="I52" s="11">
        <f>18-3-4-5</f>
        <v>6</v>
      </c>
      <c r="J52" s="11">
        <f>79575-13173-17564-21955</f>
        <v>26883</v>
      </c>
      <c r="K52" s="11"/>
      <c r="L52" s="10">
        <v>44078</v>
      </c>
      <c r="M52" s="9" t="s">
        <v>1317</v>
      </c>
      <c r="N52" s="13" t="str">
        <f>VLOOKUP(H52,基础数据!G:H,2,FALSE)</f>
        <v>SR136Ⅰ大梁</v>
      </c>
    </row>
    <row r="53" spans="1:14" s="12" customFormat="1">
      <c r="A53" s="11">
        <v>1920</v>
      </c>
      <c r="B53" s="13" t="str">
        <f>VLOOKUP(A53,基础数据!A:B,2,FALSE)</f>
        <v>鄂尔多斯</v>
      </c>
      <c r="C53" s="10">
        <v>44071</v>
      </c>
      <c r="D53" s="9"/>
      <c r="E53" s="11">
        <v>4500068899</v>
      </c>
      <c r="F53" s="9"/>
      <c r="G53" s="11">
        <v>1120001747</v>
      </c>
      <c r="H53" s="9" t="s">
        <v>654</v>
      </c>
      <c r="I53" s="11">
        <v>4</v>
      </c>
      <c r="J53" s="11">
        <v>2600</v>
      </c>
      <c r="K53" s="11"/>
      <c r="L53" s="10">
        <v>44078</v>
      </c>
      <c r="M53" s="9" t="s">
        <v>1318</v>
      </c>
      <c r="N53" s="13" t="str">
        <f>VLOOKUP(H53,基础数据!G:H,2,FALSE)</f>
        <v>SR136Ⅰ后缘</v>
      </c>
    </row>
    <row r="54" spans="1:14" s="18" customFormat="1">
      <c r="A54" s="14">
        <v>1920</v>
      </c>
      <c r="B54" s="17" t="str">
        <f>VLOOKUP(A54,基础数据!A:B,2,FALSE)</f>
        <v>鄂尔多斯</v>
      </c>
      <c r="C54" s="16">
        <v>44099</v>
      </c>
      <c r="D54" s="15"/>
      <c r="E54" s="14">
        <v>4500071267</v>
      </c>
      <c r="F54" s="15"/>
      <c r="G54" s="14">
        <v>1120001747</v>
      </c>
      <c r="H54" s="15" t="s">
        <v>654</v>
      </c>
      <c r="I54" s="14">
        <v>9</v>
      </c>
      <c r="J54" s="14">
        <v>5988.42</v>
      </c>
      <c r="K54" s="14"/>
      <c r="L54" s="16">
        <v>44124</v>
      </c>
      <c r="M54" s="15" t="s">
        <v>1366</v>
      </c>
      <c r="N54" s="17" t="str">
        <f>VLOOKUP(H54,基础数据!G:H,2,FALSE)</f>
        <v>SR136Ⅰ后缘</v>
      </c>
    </row>
    <row r="55" spans="1:14" s="18" customFormat="1">
      <c r="A55" s="14">
        <v>1920</v>
      </c>
      <c r="B55" s="17" t="str">
        <f>VLOOKUP(A55,基础数据!A:B,2,FALSE)</f>
        <v>鄂尔多斯</v>
      </c>
      <c r="C55" s="16">
        <v>44099</v>
      </c>
      <c r="D55" s="15"/>
      <c r="E55" s="14">
        <v>4500071267</v>
      </c>
      <c r="F55" s="15"/>
      <c r="G55" s="14">
        <v>1120001706</v>
      </c>
      <c r="H55" s="15" t="s">
        <v>653</v>
      </c>
      <c r="I55" s="14">
        <v>9</v>
      </c>
      <c r="J55" s="14">
        <v>39942</v>
      </c>
      <c r="K55" s="14"/>
      <c r="L55" s="16">
        <v>44124</v>
      </c>
      <c r="M55" s="15" t="s">
        <v>1366</v>
      </c>
      <c r="N55" s="17" t="str">
        <f>VLOOKUP(H55,基础数据!G:H,2,FALSE)</f>
        <v>SR136Ⅰ大梁</v>
      </c>
    </row>
    <row r="56" spans="1:14" s="12" customFormat="1">
      <c r="A56" s="11">
        <v>1920</v>
      </c>
      <c r="B56" s="13" t="str">
        <f>VLOOKUP(A56,基础数据!A:B,2,FALSE)</f>
        <v>鄂尔多斯</v>
      </c>
      <c r="C56" s="10">
        <v>44071</v>
      </c>
      <c r="D56" s="9"/>
      <c r="E56" s="11">
        <v>4500068899</v>
      </c>
      <c r="F56" s="9"/>
      <c r="G56" s="11">
        <v>1120001747</v>
      </c>
      <c r="H56" s="9" t="s">
        <v>654</v>
      </c>
      <c r="I56" s="11">
        <f>18-4-4-4-4</f>
        <v>2</v>
      </c>
      <c r="J56" s="11">
        <f>11561.58-2600-2600-2600-2600</f>
        <v>1161.58</v>
      </c>
      <c r="K56" s="11"/>
      <c r="L56" s="10">
        <v>44078</v>
      </c>
      <c r="M56" s="9" t="s">
        <v>1404</v>
      </c>
      <c r="N56" s="13" t="str">
        <f>VLOOKUP(H56,基础数据!G:H,2,FALSE)</f>
        <v>SR136Ⅰ后缘</v>
      </c>
    </row>
    <row r="57" spans="1:14" s="12" customFormat="1">
      <c r="A57" s="11">
        <v>1920</v>
      </c>
      <c r="B57" s="13" t="str">
        <f>VLOOKUP(A57,基础数据!A:B,2,FALSE)</f>
        <v>鄂尔多斯</v>
      </c>
      <c r="C57" s="10">
        <v>44119</v>
      </c>
      <c r="D57" s="9"/>
      <c r="E57" s="11">
        <v>4500072135</v>
      </c>
      <c r="F57" s="9"/>
      <c r="G57" s="11">
        <v>1120001035</v>
      </c>
      <c r="H57" s="9" t="s">
        <v>12</v>
      </c>
      <c r="I57" s="11"/>
      <c r="J57" s="11">
        <v>1585</v>
      </c>
      <c r="K57" s="11"/>
      <c r="L57" s="10">
        <v>44128</v>
      </c>
      <c r="M57" s="9" t="s">
        <v>1405</v>
      </c>
      <c r="N57" s="13" t="str">
        <f>VLOOKUP(H57,基础数据!G:H,2,FALSE)</f>
        <v>TLX1250-2.54-100</v>
      </c>
    </row>
    <row r="58" spans="1:14" s="38" customFormat="1">
      <c r="A58" s="34">
        <v>1920</v>
      </c>
      <c r="B58" s="35" t="str">
        <f>VLOOKUP(A58,基础数据!A:B,2,FALSE)</f>
        <v>鄂尔多斯</v>
      </c>
      <c r="C58" s="36">
        <v>44125</v>
      </c>
      <c r="D58" s="37"/>
      <c r="E58" s="34">
        <v>4500072442</v>
      </c>
      <c r="F58" s="37"/>
      <c r="G58" s="34">
        <v>1120001747</v>
      </c>
      <c r="H58" s="37" t="s">
        <v>654</v>
      </c>
      <c r="I58" s="34">
        <v>0.3</v>
      </c>
      <c r="J58" s="34">
        <v>630</v>
      </c>
      <c r="K58" s="34">
        <f>I58</f>
        <v>0.3</v>
      </c>
      <c r="L58" s="36">
        <v>44131</v>
      </c>
      <c r="M58" s="64" t="s">
        <v>1531</v>
      </c>
      <c r="N58" s="35" t="str">
        <f>VLOOKUP(H58,基础数据!G:H,2,FALSE)</f>
        <v>SR136Ⅰ后缘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M29"/>
  <sheetViews>
    <sheetView zoomScale="85" zoomScaleNormal="85" workbookViewId="0">
      <selection activeCell="L1" sqref="L1:L1048576"/>
    </sheetView>
  </sheetViews>
  <sheetFormatPr defaultColWidth="8.5703125" defaultRowHeight="13.5"/>
  <cols>
    <col min="1" max="1" width="9.28515625" style="8" bestFit="1" customWidth="1"/>
    <col min="2" max="2" width="9.5703125" style="8" bestFit="1" customWidth="1"/>
    <col min="3" max="3" width="9.28515625" style="39" bestFit="1" customWidth="1"/>
    <col min="4" max="4" width="8.28515625" style="8" bestFit="1" customWidth="1"/>
    <col min="5" max="5" width="9.140625" style="8" bestFit="1" customWidth="1"/>
    <col min="6" max="6" width="10.28515625" style="8" bestFit="1" customWidth="1"/>
    <col min="7" max="7" width="14.140625" style="8" bestFit="1" customWidth="1"/>
    <col min="8" max="8" width="39.28515625" style="8" bestFit="1" customWidth="1"/>
    <col min="9" max="9" width="9.28515625" style="8" bestFit="1" customWidth="1"/>
    <col min="10" max="10" width="8.7109375" style="8" bestFit="1" customWidth="1"/>
    <col min="11" max="11" width="8.7109375" style="39" customWidth="1"/>
    <col min="12" max="12" width="80.140625" style="8" bestFit="1" customWidth="1"/>
    <col min="13" max="13" width="7" style="8" bestFit="1" customWidth="1"/>
    <col min="14" max="16384" width="8.5703125" style="8"/>
  </cols>
  <sheetData>
    <row r="1" spans="1:12" s="19" customFormat="1">
      <c r="A1" s="13" t="s">
        <v>0</v>
      </c>
      <c r="B1" s="13" t="s">
        <v>1</v>
      </c>
      <c r="C1" s="29" t="s">
        <v>2</v>
      </c>
      <c r="D1" s="13" t="s">
        <v>44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89</v>
      </c>
      <c r="J1" s="13" t="s">
        <v>7</v>
      </c>
      <c r="K1" s="29" t="s">
        <v>8</v>
      </c>
      <c r="L1" s="13" t="s">
        <v>43</v>
      </c>
    </row>
    <row r="2" spans="1:12" s="19" customFormat="1">
      <c r="A2" s="13">
        <v>1920</v>
      </c>
      <c r="B2" s="13" t="s">
        <v>55</v>
      </c>
      <c r="C2" s="29">
        <v>43826</v>
      </c>
      <c r="D2" s="13">
        <v>101325227</v>
      </c>
      <c r="E2" s="13">
        <v>4500050989</v>
      </c>
      <c r="F2" s="13">
        <v>1096030</v>
      </c>
      <c r="G2" s="13">
        <v>1120000149</v>
      </c>
      <c r="H2" s="13" t="s">
        <v>56</v>
      </c>
      <c r="I2" s="13"/>
      <c r="J2" s="13">
        <v>11760</v>
      </c>
      <c r="K2" s="29">
        <v>43892</v>
      </c>
      <c r="L2" s="13" t="s">
        <v>59</v>
      </c>
    </row>
    <row r="3" spans="1:12" s="19" customFormat="1">
      <c r="A3" s="13">
        <v>1530</v>
      </c>
      <c r="B3" s="13" t="s">
        <v>53</v>
      </c>
      <c r="C3" s="29">
        <v>43825</v>
      </c>
      <c r="D3" s="13">
        <v>101325338</v>
      </c>
      <c r="E3" s="13">
        <v>4500050992</v>
      </c>
      <c r="F3" s="13">
        <v>1096030</v>
      </c>
      <c r="G3" s="13">
        <v>1120000149</v>
      </c>
      <c r="H3" s="13" t="s">
        <v>56</v>
      </c>
      <c r="I3" s="13"/>
      <c r="J3" s="13">
        <v>6272</v>
      </c>
      <c r="K3" s="29">
        <v>43833</v>
      </c>
      <c r="L3" s="13" t="s">
        <v>60</v>
      </c>
    </row>
    <row r="4" spans="1:12" s="19" customFormat="1">
      <c r="A4" s="13">
        <v>1530</v>
      </c>
      <c r="B4" s="13" t="s">
        <v>53</v>
      </c>
      <c r="C4" s="29">
        <v>43825</v>
      </c>
      <c r="D4" s="13">
        <v>101325812</v>
      </c>
      <c r="E4" s="13">
        <v>4500050992</v>
      </c>
      <c r="F4" s="13">
        <v>1096030</v>
      </c>
      <c r="G4" s="13">
        <v>1120000149</v>
      </c>
      <c r="H4" s="13" t="s">
        <v>56</v>
      </c>
      <c r="I4" s="13"/>
      <c r="J4" s="13">
        <v>11036</v>
      </c>
      <c r="K4" s="29">
        <v>43833</v>
      </c>
      <c r="L4" s="13" t="s">
        <v>69</v>
      </c>
    </row>
    <row r="5" spans="1:12" s="19" customFormat="1">
      <c r="A5" s="13">
        <v>1920</v>
      </c>
      <c r="B5" s="13" t="s">
        <v>55</v>
      </c>
      <c r="C5" s="29">
        <v>43826</v>
      </c>
      <c r="D5" s="13">
        <v>101331064</v>
      </c>
      <c r="E5" s="13">
        <v>4500050989</v>
      </c>
      <c r="F5" s="13">
        <v>1096030</v>
      </c>
      <c r="G5" s="13">
        <v>1120000149</v>
      </c>
      <c r="H5" s="13" t="s">
        <v>56</v>
      </c>
      <c r="I5" s="13"/>
      <c r="J5" s="13">
        <v>12544</v>
      </c>
      <c r="K5" s="29">
        <v>43892</v>
      </c>
      <c r="L5" s="13" t="s">
        <v>123</v>
      </c>
    </row>
    <row r="6" spans="1:12" s="19" customFormat="1">
      <c r="A6" s="13">
        <v>1530</v>
      </c>
      <c r="B6" s="13" t="s">
        <v>53</v>
      </c>
      <c r="C6" s="29">
        <v>43833</v>
      </c>
      <c r="D6" s="13">
        <v>101331066</v>
      </c>
      <c r="E6" s="13">
        <v>4500051129</v>
      </c>
      <c r="F6" s="13">
        <v>1096030</v>
      </c>
      <c r="G6" s="13">
        <v>1120000149</v>
      </c>
      <c r="H6" s="13" t="s">
        <v>56</v>
      </c>
      <c r="I6" s="13"/>
      <c r="J6" s="13">
        <v>3136</v>
      </c>
      <c r="K6" s="29">
        <v>43840</v>
      </c>
      <c r="L6" s="13" t="s">
        <v>124</v>
      </c>
    </row>
    <row r="7" spans="1:12" s="19" customFormat="1">
      <c r="A7" s="13">
        <v>1920</v>
      </c>
      <c r="B7" s="13" t="s">
        <v>55</v>
      </c>
      <c r="C7" s="29">
        <v>43826</v>
      </c>
      <c r="D7" s="13">
        <v>101331879</v>
      </c>
      <c r="E7" s="13">
        <v>4500050989</v>
      </c>
      <c r="F7" s="13">
        <v>1096030</v>
      </c>
      <c r="G7" s="13">
        <v>1120000149</v>
      </c>
      <c r="H7" s="13" t="s">
        <v>56</v>
      </c>
      <c r="I7" s="13"/>
      <c r="J7" s="13">
        <v>12544</v>
      </c>
      <c r="K7" s="29">
        <v>43892</v>
      </c>
      <c r="L7" s="13" t="s">
        <v>133</v>
      </c>
    </row>
    <row r="8" spans="1:12" s="19" customFormat="1">
      <c r="A8" s="13">
        <v>1530</v>
      </c>
      <c r="B8" s="13" t="s">
        <v>53</v>
      </c>
      <c r="C8" s="29">
        <v>43833</v>
      </c>
      <c r="D8" s="13">
        <v>101331882</v>
      </c>
      <c r="E8" s="13">
        <v>4500051129</v>
      </c>
      <c r="F8" s="13">
        <v>1096030</v>
      </c>
      <c r="G8" s="13">
        <v>1120000149</v>
      </c>
      <c r="H8" s="13" t="s">
        <v>56</v>
      </c>
      <c r="I8" s="13"/>
      <c r="J8" s="13">
        <v>10936</v>
      </c>
      <c r="K8" s="29">
        <v>43840</v>
      </c>
      <c r="L8" s="13" t="s">
        <v>134</v>
      </c>
    </row>
    <row r="9" spans="1:12" s="19" customFormat="1">
      <c r="A9" s="13">
        <v>1920</v>
      </c>
      <c r="B9" s="13" t="s">
        <v>55</v>
      </c>
      <c r="C9" s="29">
        <v>43826</v>
      </c>
      <c r="D9" s="13">
        <v>101333070</v>
      </c>
      <c r="E9" s="13">
        <v>4500050989</v>
      </c>
      <c r="F9" s="13">
        <v>1096030</v>
      </c>
      <c r="G9" s="13">
        <v>1120000149</v>
      </c>
      <c r="H9" s="13" t="s">
        <v>56</v>
      </c>
      <c r="I9" s="13"/>
      <c r="J9" s="13">
        <v>12544</v>
      </c>
      <c r="K9" s="29">
        <v>43892</v>
      </c>
      <c r="L9" s="13" t="s">
        <v>158</v>
      </c>
    </row>
    <row r="10" spans="1:12" s="19" customFormat="1">
      <c r="A10" s="13">
        <v>1530</v>
      </c>
      <c r="B10" s="13" t="s">
        <v>53</v>
      </c>
      <c r="C10" s="10">
        <v>43889</v>
      </c>
      <c r="D10" s="13">
        <v>101334910</v>
      </c>
      <c r="E10" s="13" t="s">
        <v>125</v>
      </c>
      <c r="F10" s="13">
        <v>1096030</v>
      </c>
      <c r="G10" s="13" t="s">
        <v>107</v>
      </c>
      <c r="H10" s="13" t="s">
        <v>56</v>
      </c>
      <c r="I10" s="13"/>
      <c r="J10" s="13">
        <v>12544</v>
      </c>
      <c r="K10" s="10">
        <v>43889</v>
      </c>
      <c r="L10" s="13" t="s">
        <v>201</v>
      </c>
    </row>
    <row r="11" spans="1:12" s="19" customFormat="1">
      <c r="A11" s="13">
        <v>1530</v>
      </c>
      <c r="B11" s="13" t="s">
        <v>175</v>
      </c>
      <c r="C11" s="10">
        <v>43833</v>
      </c>
      <c r="D11" s="13">
        <v>101336024</v>
      </c>
      <c r="E11" s="13">
        <v>4500051129</v>
      </c>
      <c r="F11" s="13">
        <v>1096030</v>
      </c>
      <c r="G11" s="13">
        <v>1120000149</v>
      </c>
      <c r="H11" s="13" t="s">
        <v>65</v>
      </c>
      <c r="I11" s="11"/>
      <c r="J11" s="11">
        <f>21336-3136-10936</f>
        <v>7264</v>
      </c>
      <c r="K11" s="10">
        <v>43840</v>
      </c>
      <c r="L11" s="13" t="s">
        <v>134</v>
      </c>
    </row>
    <row r="12" spans="1:12" s="19" customFormat="1">
      <c r="A12" s="13">
        <v>1530</v>
      </c>
      <c r="B12" s="13" t="s">
        <v>175</v>
      </c>
      <c r="C12" s="10">
        <v>43882</v>
      </c>
      <c r="D12" s="13">
        <v>101336025</v>
      </c>
      <c r="E12" s="11">
        <v>4500053035</v>
      </c>
      <c r="F12" s="13">
        <v>1096030</v>
      </c>
      <c r="G12" s="11">
        <v>1120000149</v>
      </c>
      <c r="H12" s="13" t="s">
        <v>113</v>
      </c>
      <c r="I12" s="11"/>
      <c r="J12" s="11">
        <v>2286</v>
      </c>
      <c r="K12" s="10">
        <v>43947</v>
      </c>
      <c r="L12" s="13" t="s">
        <v>100</v>
      </c>
    </row>
    <row r="13" spans="1:12" s="19" customFormat="1">
      <c r="A13" s="13">
        <v>1530</v>
      </c>
      <c r="B13" s="13" t="s">
        <v>53</v>
      </c>
      <c r="C13" s="10">
        <v>43889</v>
      </c>
      <c r="D13" s="13">
        <v>101336026</v>
      </c>
      <c r="E13" s="11">
        <v>4500053616</v>
      </c>
      <c r="F13" s="13">
        <v>1096030</v>
      </c>
      <c r="G13" s="11">
        <v>1120000149</v>
      </c>
      <c r="H13" s="13" t="s">
        <v>56</v>
      </c>
      <c r="I13" s="11"/>
      <c r="J13" s="11">
        <v>9266</v>
      </c>
      <c r="K13" s="10">
        <v>43889</v>
      </c>
      <c r="L13" s="13" t="s">
        <v>251</v>
      </c>
    </row>
    <row r="14" spans="1:12" s="19" customFormat="1">
      <c r="A14" s="13">
        <v>1530</v>
      </c>
      <c r="B14" s="13" t="s">
        <v>53</v>
      </c>
      <c r="C14" s="10">
        <v>43889</v>
      </c>
      <c r="D14" s="13">
        <v>101336922</v>
      </c>
      <c r="E14" s="11">
        <v>4500053616</v>
      </c>
      <c r="F14" s="13">
        <v>1096030</v>
      </c>
      <c r="G14" s="11">
        <v>1120000149</v>
      </c>
      <c r="H14" s="13" t="s">
        <v>56</v>
      </c>
      <c r="I14" s="11"/>
      <c r="J14" s="11">
        <v>9360</v>
      </c>
      <c r="K14" s="10">
        <v>43889</v>
      </c>
      <c r="L14" s="13" t="s">
        <v>281</v>
      </c>
    </row>
    <row r="15" spans="1:12" s="19" customFormat="1">
      <c r="A15" s="13">
        <v>1920</v>
      </c>
      <c r="B15" s="13" t="s">
        <v>174</v>
      </c>
      <c r="C15" s="10">
        <v>43826</v>
      </c>
      <c r="D15" s="13" t="s">
        <v>46</v>
      </c>
      <c r="E15" s="13">
        <v>4500050989</v>
      </c>
      <c r="F15" s="13">
        <v>1096030</v>
      </c>
      <c r="G15" s="13">
        <v>1120000149</v>
      </c>
      <c r="H15" s="13" t="s">
        <v>56</v>
      </c>
      <c r="I15" s="11"/>
      <c r="J15" s="11">
        <f>54864-2792-11760-12544-12544-12544</f>
        <v>2680</v>
      </c>
      <c r="K15" s="10">
        <v>43892</v>
      </c>
      <c r="L15" s="13" t="s">
        <v>307</v>
      </c>
    </row>
    <row r="16" spans="1:12" s="19" customFormat="1">
      <c r="A16" s="13">
        <v>1920</v>
      </c>
      <c r="B16" s="13" t="s">
        <v>174</v>
      </c>
      <c r="C16" s="10">
        <v>43882</v>
      </c>
      <c r="D16" s="13" t="s">
        <v>46</v>
      </c>
      <c r="E16" s="11">
        <v>4500053046</v>
      </c>
      <c r="F16" s="13">
        <v>1096030</v>
      </c>
      <c r="G16" s="11">
        <v>1120000149</v>
      </c>
      <c r="H16" s="13" t="s">
        <v>113</v>
      </c>
      <c r="I16" s="11"/>
      <c r="J16" s="11">
        <v>18288</v>
      </c>
      <c r="K16" s="10">
        <v>43948</v>
      </c>
      <c r="L16" s="13" t="s">
        <v>306</v>
      </c>
    </row>
    <row r="17" spans="1:13" s="19" customFormat="1">
      <c r="A17" s="13">
        <v>1530</v>
      </c>
      <c r="B17" s="13" t="s">
        <v>175</v>
      </c>
      <c r="C17" s="10">
        <v>43889</v>
      </c>
      <c r="D17" s="13"/>
      <c r="E17" s="11">
        <v>4500053616</v>
      </c>
      <c r="F17" s="13">
        <v>1096030</v>
      </c>
      <c r="G17" s="11">
        <v>1120000149</v>
      </c>
      <c r="H17" s="13" t="s">
        <v>150</v>
      </c>
      <c r="I17" s="11"/>
      <c r="J17" s="11">
        <f>46528-12544-9266-9360</f>
        <v>15358</v>
      </c>
      <c r="K17" s="10">
        <v>43889</v>
      </c>
      <c r="L17" s="13" t="s">
        <v>312</v>
      </c>
    </row>
    <row r="18" spans="1:13" s="12" customFormat="1">
      <c r="A18" s="11">
        <v>1530</v>
      </c>
      <c r="B18" s="13" t="s">
        <v>53</v>
      </c>
      <c r="C18" s="10">
        <v>43938</v>
      </c>
      <c r="D18" s="9"/>
      <c r="E18" s="11">
        <v>4500057373</v>
      </c>
      <c r="F18" s="13">
        <v>1096030</v>
      </c>
      <c r="G18" s="11">
        <v>1120000149</v>
      </c>
      <c r="H18" s="9" t="s">
        <v>56</v>
      </c>
      <c r="I18" s="11"/>
      <c r="J18" s="11">
        <v>1560</v>
      </c>
      <c r="K18" s="10">
        <v>43962</v>
      </c>
      <c r="L18" s="9" t="s">
        <v>308</v>
      </c>
    </row>
    <row r="19" spans="1:13" s="12" customFormat="1">
      <c r="A19" s="11">
        <v>1530</v>
      </c>
      <c r="B19" s="13" t="s">
        <v>53</v>
      </c>
      <c r="C19" s="10">
        <v>43938</v>
      </c>
      <c r="D19" s="9"/>
      <c r="E19" s="11">
        <v>4500057373</v>
      </c>
      <c r="F19" s="13">
        <v>1096030</v>
      </c>
      <c r="G19" s="11">
        <v>1120000149</v>
      </c>
      <c r="H19" s="9" t="s">
        <v>56</v>
      </c>
      <c r="I19" s="11"/>
      <c r="J19" s="11">
        <v>18816</v>
      </c>
      <c r="K19" s="10">
        <v>43962</v>
      </c>
      <c r="L19" s="9" t="s">
        <v>345</v>
      </c>
    </row>
    <row r="20" spans="1:13" s="23" customFormat="1">
      <c r="A20" s="22">
        <v>1530</v>
      </c>
      <c r="B20" s="7" t="s">
        <v>53</v>
      </c>
      <c r="C20" s="21">
        <v>43945</v>
      </c>
      <c r="D20" s="20"/>
      <c r="E20" s="22">
        <v>4500058113</v>
      </c>
      <c r="F20" s="7">
        <v>1096030</v>
      </c>
      <c r="G20" s="22">
        <v>1120000149</v>
      </c>
      <c r="H20" s="20" t="s">
        <v>56</v>
      </c>
      <c r="I20" s="22"/>
      <c r="J20" s="22">
        <v>18720</v>
      </c>
      <c r="K20" s="21">
        <v>43955</v>
      </c>
      <c r="L20" s="20" t="s">
        <v>422</v>
      </c>
      <c r="M20" s="48" t="e">
        <f>VLOOKUP(H20,基础数据!G:H,2,FALSE)</f>
        <v>#N/A</v>
      </c>
    </row>
    <row r="21" spans="1:13" s="12" customFormat="1">
      <c r="A21" s="11">
        <v>1530</v>
      </c>
      <c r="B21" s="13" t="s">
        <v>53</v>
      </c>
      <c r="C21" s="10">
        <v>43938</v>
      </c>
      <c r="D21" s="9"/>
      <c r="E21" s="11">
        <v>4500057373</v>
      </c>
      <c r="F21" s="13">
        <v>1096030</v>
      </c>
      <c r="G21" s="11">
        <v>1120000149</v>
      </c>
      <c r="H21" s="9" t="s">
        <v>56</v>
      </c>
      <c r="I21" s="11"/>
      <c r="J21" s="11">
        <v>3120</v>
      </c>
      <c r="K21" s="10">
        <v>43962</v>
      </c>
      <c r="L21" s="9" t="s">
        <v>462</v>
      </c>
      <c r="M21" s="19" t="e">
        <f>VLOOKUP(H21,基础数据!G:H,2,FALSE)</f>
        <v>#N/A</v>
      </c>
    </row>
    <row r="22" spans="1:13" s="12" customFormat="1">
      <c r="A22" s="11">
        <v>1530</v>
      </c>
      <c r="B22" s="13" t="s">
        <v>53</v>
      </c>
      <c r="C22" s="10">
        <v>43945</v>
      </c>
      <c r="D22" s="9"/>
      <c r="E22" s="11">
        <v>4500058113</v>
      </c>
      <c r="F22" s="13">
        <v>1096030</v>
      </c>
      <c r="G22" s="11">
        <v>1120000149</v>
      </c>
      <c r="H22" s="9" t="s">
        <v>56</v>
      </c>
      <c r="I22" s="11"/>
      <c r="J22" s="11">
        <v>4680</v>
      </c>
      <c r="K22" s="10">
        <v>43955</v>
      </c>
      <c r="L22" s="9" t="s">
        <v>463</v>
      </c>
      <c r="M22" s="19" t="e">
        <f>VLOOKUP(H22,基础数据!G:H,2,FALSE)</f>
        <v>#N/A</v>
      </c>
    </row>
    <row r="23" spans="1:13" s="12" customFormat="1">
      <c r="A23" s="11">
        <v>1530</v>
      </c>
      <c r="B23" s="13" t="s">
        <v>53</v>
      </c>
      <c r="C23" s="10">
        <v>43966</v>
      </c>
      <c r="D23" s="9"/>
      <c r="E23" s="11">
        <v>4500059591</v>
      </c>
      <c r="F23" s="13">
        <v>1096030</v>
      </c>
      <c r="G23" s="11">
        <v>1120000149</v>
      </c>
      <c r="H23" s="9" t="s">
        <v>56</v>
      </c>
      <c r="I23" s="11"/>
      <c r="J23" s="11">
        <v>4680</v>
      </c>
      <c r="K23" s="10">
        <v>43985</v>
      </c>
      <c r="L23" s="9" t="s">
        <v>464</v>
      </c>
      <c r="M23" s="19" t="e">
        <f>VLOOKUP(H23,基础数据!G:H,2,FALSE)</f>
        <v>#N/A</v>
      </c>
    </row>
    <row r="24" spans="1:13" s="12" customFormat="1">
      <c r="A24" s="11">
        <v>1530</v>
      </c>
      <c r="B24" s="13" t="s">
        <v>53</v>
      </c>
      <c r="C24" s="10">
        <v>43966</v>
      </c>
      <c r="D24" s="9"/>
      <c r="E24" s="11">
        <v>4500059591</v>
      </c>
      <c r="F24" s="13">
        <v>1096030</v>
      </c>
      <c r="G24" s="11">
        <v>1120000149</v>
      </c>
      <c r="H24" s="9" t="s">
        <v>56</v>
      </c>
      <c r="I24" s="11"/>
      <c r="J24" s="11">
        <v>6272</v>
      </c>
      <c r="K24" s="10">
        <v>43985</v>
      </c>
      <c r="L24" s="9" t="s">
        <v>470</v>
      </c>
      <c r="M24" s="19" t="e">
        <f>VLOOKUP(H24,基础数据!G:H,2,FALSE)</f>
        <v>#N/A</v>
      </c>
    </row>
    <row r="25" spans="1:13" s="12" customFormat="1">
      <c r="A25" s="11">
        <v>1530</v>
      </c>
      <c r="B25" s="13" t="s">
        <v>53</v>
      </c>
      <c r="C25" s="10">
        <v>43966</v>
      </c>
      <c r="D25" s="9"/>
      <c r="E25" s="11">
        <v>4500059591</v>
      </c>
      <c r="F25" s="13">
        <v>1096030</v>
      </c>
      <c r="G25" s="11">
        <v>1120000149</v>
      </c>
      <c r="H25" s="9" t="s">
        <v>56</v>
      </c>
      <c r="I25" s="11"/>
      <c r="J25" s="11">
        <f>18992-4680-6272</f>
        <v>8040</v>
      </c>
      <c r="K25" s="10">
        <v>43985</v>
      </c>
      <c r="L25" s="9" t="s">
        <v>488</v>
      </c>
      <c r="M25" s="13" t="e">
        <f>VLOOKUP(H25,基础数据!G:H,2,FALSE)</f>
        <v>#N/A</v>
      </c>
    </row>
    <row r="26" spans="1:13" s="12" customFormat="1">
      <c r="A26" s="11">
        <v>1530</v>
      </c>
      <c r="B26" s="13" t="s">
        <v>53</v>
      </c>
      <c r="C26" s="10">
        <v>43980</v>
      </c>
      <c r="D26" s="9"/>
      <c r="E26" s="11">
        <v>4500060997</v>
      </c>
      <c r="F26" s="9"/>
      <c r="G26" s="11">
        <v>1120000149</v>
      </c>
      <c r="H26" s="9" t="s">
        <v>56</v>
      </c>
      <c r="I26" s="11"/>
      <c r="J26" s="11">
        <v>4680</v>
      </c>
      <c r="K26" s="10">
        <v>44008</v>
      </c>
      <c r="L26" s="9" t="s">
        <v>489</v>
      </c>
      <c r="M26" s="13" t="e">
        <f>VLOOKUP(H26,基础数据!G:H,2,FALSE)</f>
        <v>#N/A</v>
      </c>
    </row>
    <row r="27" spans="1:13" s="28" customFormat="1">
      <c r="A27" s="24">
        <v>1530</v>
      </c>
      <c r="B27" s="25" t="s">
        <v>53</v>
      </c>
      <c r="C27" s="26">
        <v>43924</v>
      </c>
      <c r="D27" s="27"/>
      <c r="E27" s="24">
        <v>4500056180</v>
      </c>
      <c r="F27" s="25">
        <v>1096030</v>
      </c>
      <c r="G27" s="24">
        <v>1120000149</v>
      </c>
      <c r="H27" s="27" t="s">
        <v>56</v>
      </c>
      <c r="I27" s="24"/>
      <c r="J27" s="24">
        <v>320</v>
      </c>
      <c r="K27" s="26">
        <v>43989</v>
      </c>
      <c r="L27" s="27" t="s">
        <v>633</v>
      </c>
      <c r="M27" s="25" t="s">
        <v>378</v>
      </c>
    </row>
    <row r="28" spans="1:13" s="28" customFormat="1">
      <c r="A28" s="24">
        <v>1530</v>
      </c>
      <c r="B28" s="25" t="s">
        <v>53</v>
      </c>
      <c r="C28" s="26">
        <v>43980</v>
      </c>
      <c r="D28" s="27"/>
      <c r="E28" s="24">
        <v>4500060997</v>
      </c>
      <c r="F28" s="27"/>
      <c r="G28" s="24">
        <v>1120000149</v>
      </c>
      <c r="H28" s="27" t="s">
        <v>56</v>
      </c>
      <c r="I28" s="24"/>
      <c r="J28" s="24">
        <v>41760</v>
      </c>
      <c r="K28" s="26">
        <v>44008</v>
      </c>
      <c r="L28" s="27" t="s">
        <v>634</v>
      </c>
      <c r="M28" s="25" t="s">
        <v>378</v>
      </c>
    </row>
    <row r="29" spans="1:13" s="28" customFormat="1">
      <c r="A29" s="24">
        <v>1530</v>
      </c>
      <c r="B29" s="25" t="s">
        <v>53</v>
      </c>
      <c r="C29" s="26">
        <v>43994</v>
      </c>
      <c r="D29" s="27"/>
      <c r="E29" s="24">
        <v>4500062222</v>
      </c>
      <c r="F29" s="27"/>
      <c r="G29" s="24">
        <v>1120000149</v>
      </c>
      <c r="H29" s="27" t="s">
        <v>56</v>
      </c>
      <c r="I29" s="24"/>
      <c r="J29" s="24">
        <v>18576</v>
      </c>
      <c r="K29" s="26">
        <v>44018</v>
      </c>
      <c r="L29" s="27" t="s">
        <v>635</v>
      </c>
      <c r="M29" s="25" t="s">
        <v>378</v>
      </c>
    </row>
  </sheetData>
  <autoFilter ref="A1:L16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透视表</vt:lpstr>
      <vt:lpstr>Open order</vt:lpstr>
      <vt:lpstr>张家口</vt:lpstr>
      <vt:lpstr>哈密</vt:lpstr>
      <vt:lpstr>洛阳</vt:lpstr>
      <vt:lpstr>大连</vt:lpstr>
      <vt:lpstr>大丰</vt:lpstr>
      <vt:lpstr>鄂尔多斯</vt:lpstr>
      <vt:lpstr>703</vt:lpstr>
      <vt:lpstr>德州</vt:lpstr>
      <vt:lpstr>乌兰察布</vt:lpstr>
      <vt:lpstr>基础数据</vt:lpstr>
      <vt:lpstr>'Open order'!Print_Area</vt:lpstr>
      <vt:lpstr>乌兰察布!Print_Area</vt:lpstr>
      <vt:lpstr>张家口!Print_Area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2021-03-24T02:42:53Z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c9f0f862-82c6-463a-a6cf-6fd271c19f55</vt:lpwstr>
  </property>
  <property fmtid="{D5CDD505-2E9C-101B-9397-08002B2CF9AE}" pid="3" name="TitusCorpClassification">
    <vt:lpwstr>Not Applicable</vt:lpwstr>
  </property>
</Properties>
</file>