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9440" windowHeight="12075" activeTab="6"/>
  </bookViews>
  <sheets>
    <sheet name="F&amp;P" sheetId="7" r:id="rId1"/>
    <sheet name="Balwyn Nth" sheetId="3" r:id="rId2"/>
    <sheet name="Canterbury" sheetId="4" r:id="rId3"/>
    <sheet name="Manningham" sheetId="2" r:id="rId4"/>
    <sheet name="Maroondah" sheetId="5" r:id="rId5"/>
    <sheet name="Blackburn" sheetId="6" r:id="rId6"/>
    <sheet name="Glen Iris" sheetId="11" r:id="rId7"/>
    <sheet name="Glen Waverley" sheetId="12" r:id="rId8"/>
    <sheet name="Hawthorn" sheetId="13" r:id="rId9"/>
    <sheet name="Agent Budget &amp; Travel" sheetId="9" r:id="rId10"/>
    <sheet name="Office Budget" sheetId="10" r:id="rId11"/>
  </sheets>
  <definedNames>
    <definedName name="_xlnm.Print_Area" localSheetId="1">'Balwyn Nth'!$A$1:$L$30</definedName>
  </definedNames>
  <calcPr calcId="125725" concurrentCalc="0"/>
</workbook>
</file>

<file path=xl/calcChain.xml><?xml version="1.0" encoding="utf-8"?>
<calcChain xmlns="http://schemas.openxmlformats.org/spreadsheetml/2006/main">
  <c r="R4" i="7"/>
  <c r="B7"/>
  <c r="R7"/>
  <c r="U7"/>
  <c r="F4" i="3"/>
  <c r="I4"/>
  <c r="F5"/>
  <c r="I5"/>
  <c r="F6"/>
  <c r="I6"/>
  <c r="F7"/>
  <c r="I7"/>
  <c r="F8"/>
  <c r="I8"/>
  <c r="F9"/>
  <c r="I9"/>
  <c r="F14"/>
  <c r="C7" i="7"/>
  <c r="S7"/>
  <c r="B11"/>
  <c r="R11"/>
  <c r="U11"/>
  <c r="B10"/>
  <c r="R10"/>
  <c r="U10"/>
  <c r="B9"/>
  <c r="R9"/>
  <c r="U9"/>
  <c r="B8"/>
  <c r="R8"/>
  <c r="U8"/>
  <c r="B13"/>
  <c r="R13"/>
  <c r="T13"/>
  <c r="T9"/>
  <c r="T8"/>
  <c r="X4" i="3"/>
  <c r="X5"/>
  <c r="X6"/>
  <c r="X7"/>
  <c r="X8"/>
  <c r="X9"/>
  <c r="F17"/>
  <c r="C10" i="7"/>
  <c r="S10"/>
  <c r="S4" i="3"/>
  <c r="S5"/>
  <c r="S6"/>
  <c r="S7"/>
  <c r="S8"/>
  <c r="S9"/>
  <c r="F16"/>
  <c r="C9" i="7"/>
  <c r="S9"/>
  <c r="T7"/>
  <c r="AH4" i="3"/>
  <c r="AH5"/>
  <c r="AH6"/>
  <c r="AH7"/>
  <c r="AH8"/>
  <c r="AH9"/>
  <c r="F19"/>
  <c r="C12" i="7"/>
  <c r="S12"/>
  <c r="AR4" i="3"/>
  <c r="AR5"/>
  <c r="AR6"/>
  <c r="AR7"/>
  <c r="AR8"/>
  <c r="AR9"/>
  <c r="F21"/>
  <c r="C14" i="7"/>
  <c r="S14"/>
  <c r="BL4" i="3"/>
  <c r="BL5"/>
  <c r="BL6"/>
  <c r="BL7"/>
  <c r="BL8"/>
  <c r="BL9"/>
  <c r="F25"/>
  <c r="C18" i="7"/>
  <c r="S18"/>
  <c r="N4" i="3"/>
  <c r="N5"/>
  <c r="N6"/>
  <c r="N7"/>
  <c r="N8"/>
  <c r="N9"/>
  <c r="F15"/>
  <c r="C8" i="7"/>
  <c r="S8"/>
  <c r="AC4" i="3"/>
  <c r="AC5"/>
  <c r="AC6"/>
  <c r="AC7"/>
  <c r="AC8"/>
  <c r="AC9"/>
  <c r="F18"/>
  <c r="C11" i="7"/>
  <c r="S11"/>
  <c r="AM4" i="3"/>
  <c r="AM5"/>
  <c r="AM6"/>
  <c r="AM7"/>
  <c r="AM8"/>
  <c r="AM9"/>
  <c r="F20"/>
  <c r="C13" i="7"/>
  <c r="S13"/>
  <c r="AW4" i="3"/>
  <c r="AW5"/>
  <c r="AW6"/>
  <c r="AW7"/>
  <c r="AW8"/>
  <c r="AW9"/>
  <c r="F22"/>
  <c r="C15" i="7"/>
  <c r="S15"/>
  <c r="BB4" i="3"/>
  <c r="BB5"/>
  <c r="BB6"/>
  <c r="BB7"/>
  <c r="BB8"/>
  <c r="BB9"/>
  <c r="F23"/>
  <c r="C16" i="7"/>
  <c r="S16"/>
  <c r="BG4" i="3"/>
  <c r="BG5"/>
  <c r="BG6"/>
  <c r="BG7"/>
  <c r="BG8"/>
  <c r="BG9"/>
  <c r="F24"/>
  <c r="C17" i="7"/>
  <c r="S17"/>
  <c r="B12"/>
  <c r="R12"/>
  <c r="B14"/>
  <c r="R14"/>
  <c r="B15"/>
  <c r="R15"/>
  <c r="B16"/>
  <c r="R16"/>
  <c r="B17"/>
  <c r="R17"/>
  <c r="B18"/>
  <c r="R18"/>
  <c r="F29" i="12"/>
  <c r="F29" i="2"/>
  <c r="N10"/>
  <c r="I10"/>
  <c r="AM7" i="5"/>
  <c r="BL7"/>
  <c r="BG7"/>
  <c r="BB7"/>
  <c r="AW7"/>
  <c r="AR7"/>
  <c r="BL5" i="13"/>
  <c r="BL6"/>
  <c r="BL4"/>
  <c r="BG5"/>
  <c r="BG6"/>
  <c r="BG4"/>
  <c r="BB5"/>
  <c r="BB6"/>
  <c r="BB4"/>
  <c r="AW5"/>
  <c r="AW6"/>
  <c r="AW4"/>
  <c r="AR5"/>
  <c r="AR6"/>
  <c r="AR4"/>
  <c r="AM5"/>
  <c r="AM6"/>
  <c r="AM4"/>
  <c r="S4" i="12"/>
  <c r="N4"/>
  <c r="I4"/>
  <c r="S11" i="6"/>
  <c r="N11"/>
  <c r="I11"/>
  <c r="AM9" i="5"/>
  <c r="AH9"/>
  <c r="AC9"/>
  <c r="AC8"/>
  <c r="I8"/>
  <c r="U8"/>
  <c r="X8"/>
  <c r="S8"/>
  <c r="N8"/>
  <c r="X9"/>
  <c r="S9"/>
  <c r="N9"/>
  <c r="I9"/>
  <c r="AM10" i="2"/>
  <c r="AH10"/>
  <c r="AC10"/>
  <c r="X10"/>
  <c r="S10"/>
  <c r="F11" i="4"/>
  <c r="N11"/>
  <c r="F9" i="5"/>
  <c r="F5" i="13"/>
  <c r="I5"/>
  <c r="N5"/>
  <c r="S5"/>
  <c r="X5"/>
  <c r="AC5"/>
  <c r="AH5"/>
  <c r="AY5"/>
  <c r="F4"/>
  <c r="I4"/>
  <c r="N4"/>
  <c r="S4"/>
  <c r="X4"/>
  <c r="AC4"/>
  <c r="AH4"/>
  <c r="AY4"/>
  <c r="J9" i="10"/>
  <c r="J8"/>
  <c r="F6" i="13"/>
  <c r="F7"/>
  <c r="P4" i="7"/>
  <c r="P20"/>
  <c r="F4" i="12"/>
  <c r="F5"/>
  <c r="F10"/>
  <c r="N4" i="7"/>
  <c r="N20"/>
  <c r="P19"/>
  <c r="P8"/>
  <c r="P9"/>
  <c r="P10"/>
  <c r="P11"/>
  <c r="P12"/>
  <c r="P13"/>
  <c r="P14"/>
  <c r="P15"/>
  <c r="P16"/>
  <c r="P17"/>
  <c r="P18"/>
  <c r="P7"/>
  <c r="I6" i="13"/>
  <c r="F13"/>
  <c r="Q7" i="7"/>
  <c r="N6" i="13"/>
  <c r="F14"/>
  <c r="Q8" i="7"/>
  <c r="S6" i="13"/>
  <c r="F15"/>
  <c r="Q9" i="7"/>
  <c r="X6" i="13"/>
  <c r="F16"/>
  <c r="Q10" i="7"/>
  <c r="AC6" i="13"/>
  <c r="F17"/>
  <c r="Q11" i="7"/>
  <c r="AH6" i="13"/>
  <c r="F18"/>
  <c r="Q12" i="7"/>
  <c r="F19" i="13"/>
  <c r="Q13" i="7"/>
  <c r="F20" i="13"/>
  <c r="Q14" i="7"/>
  <c r="F21" i="13"/>
  <c r="Q15" i="7"/>
  <c r="F22" i="13"/>
  <c r="Q16" i="7"/>
  <c r="F23" i="13"/>
  <c r="Q17" i="7"/>
  <c r="F24" i="13"/>
  <c r="Q18" i="7"/>
  <c r="Q19"/>
  <c r="BN5" i="13"/>
  <c r="BN6"/>
  <c r="BN4"/>
  <c r="BI5"/>
  <c r="BI6"/>
  <c r="BI4"/>
  <c r="BD5"/>
  <c r="BD6"/>
  <c r="BD4"/>
  <c r="AY6"/>
  <c r="AT5"/>
  <c r="AT6"/>
  <c r="AT4"/>
  <c r="AO4"/>
  <c r="AP4"/>
  <c r="AO5"/>
  <c r="AO6"/>
  <c r="AJ5"/>
  <c r="AJ6"/>
  <c r="AJ4"/>
  <c r="AE5"/>
  <c r="AE6"/>
  <c r="AE4"/>
  <c r="Z5"/>
  <c r="Z6"/>
  <c r="Z4"/>
  <c r="U5"/>
  <c r="U6"/>
  <c r="U4"/>
  <c r="P4"/>
  <c r="Q4"/>
  <c r="O4"/>
  <c r="J4"/>
  <c r="K4"/>
  <c r="L4"/>
  <c r="K5"/>
  <c r="K6"/>
  <c r="G5"/>
  <c r="G6"/>
  <c r="G4"/>
  <c r="E6"/>
  <c r="E5"/>
  <c r="E4"/>
  <c r="E25"/>
  <c r="D25"/>
  <c r="C25"/>
  <c r="B25"/>
  <c r="F25"/>
  <c r="F27"/>
  <c r="G25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G14"/>
  <c r="H13"/>
  <c r="G13"/>
  <c r="BO6"/>
  <c r="BM6"/>
  <c r="BJ6"/>
  <c r="BH6"/>
  <c r="BE6"/>
  <c r="BC6"/>
  <c r="AZ6"/>
  <c r="AX6"/>
  <c r="AU6"/>
  <c r="AS6"/>
  <c r="AP6"/>
  <c r="AN6"/>
  <c r="AK6"/>
  <c r="AI6"/>
  <c r="AF6"/>
  <c r="AD6"/>
  <c r="AA6"/>
  <c r="Y6"/>
  <c r="V6"/>
  <c r="T6"/>
  <c r="P6"/>
  <c r="Q6"/>
  <c r="O6"/>
  <c r="L6"/>
  <c r="J6"/>
  <c r="BO5"/>
  <c r="BM5"/>
  <c r="BJ5"/>
  <c r="BH5"/>
  <c r="BE5"/>
  <c r="BC5"/>
  <c r="AZ5"/>
  <c r="AX5"/>
  <c r="AU5"/>
  <c r="AS5"/>
  <c r="AP5"/>
  <c r="AN5"/>
  <c r="AK5"/>
  <c r="AI5"/>
  <c r="AF5"/>
  <c r="AD5"/>
  <c r="AA5"/>
  <c r="Y5"/>
  <c r="V5"/>
  <c r="T5"/>
  <c r="P5"/>
  <c r="Q5"/>
  <c r="O5"/>
  <c r="L5"/>
  <c r="J5"/>
  <c r="BO4"/>
  <c r="BM4"/>
  <c r="BJ4"/>
  <c r="BH4"/>
  <c r="BE4"/>
  <c r="BC4"/>
  <c r="AZ4"/>
  <c r="AX4"/>
  <c r="AU4"/>
  <c r="AS4"/>
  <c r="AN4"/>
  <c r="AK4"/>
  <c r="AI4"/>
  <c r="AF4"/>
  <c r="AD4"/>
  <c r="AA4"/>
  <c r="Y4"/>
  <c r="V4"/>
  <c r="T4"/>
  <c r="E5" i="12"/>
  <c r="E4"/>
  <c r="E5" i="11"/>
  <c r="E6"/>
  <c r="E7"/>
  <c r="E4"/>
  <c r="E5" i="6"/>
  <c r="E6"/>
  <c r="E7"/>
  <c r="E8"/>
  <c r="E9"/>
  <c r="E10"/>
  <c r="E11"/>
  <c r="E4"/>
  <c r="E5" i="5"/>
  <c r="E6"/>
  <c r="E7"/>
  <c r="E8"/>
  <c r="E9"/>
  <c r="E4"/>
  <c r="E5" i="2"/>
  <c r="E6"/>
  <c r="E7"/>
  <c r="E8"/>
  <c r="E9"/>
  <c r="E10"/>
  <c r="E4"/>
  <c r="G5" i="12"/>
  <c r="G4"/>
  <c r="H12" i="10"/>
  <c r="H4"/>
  <c r="H5"/>
  <c r="H6"/>
  <c r="H7"/>
  <c r="H8"/>
  <c r="H9"/>
  <c r="H10"/>
  <c r="H11"/>
  <c r="H13"/>
  <c r="H14"/>
  <c r="H15"/>
  <c r="H16"/>
  <c r="I12"/>
  <c r="AW4" i="12"/>
  <c r="AW5"/>
  <c r="AW6"/>
  <c r="AW7"/>
  <c r="AW8"/>
  <c r="AW9"/>
  <c r="F23"/>
  <c r="I4" i="10"/>
  <c r="I5"/>
  <c r="I6"/>
  <c r="I7"/>
  <c r="X4" i="12"/>
  <c r="I8" i="10"/>
  <c r="AC4" i="12"/>
  <c r="I9" i="10"/>
  <c r="AH4" i="12"/>
  <c r="AJ4"/>
  <c r="N5"/>
  <c r="N6"/>
  <c r="N7"/>
  <c r="N8"/>
  <c r="N9"/>
  <c r="F16"/>
  <c r="F4" i="11"/>
  <c r="I4"/>
  <c r="F5"/>
  <c r="I5"/>
  <c r="F6"/>
  <c r="I6"/>
  <c r="F7"/>
  <c r="I7"/>
  <c r="I8"/>
  <c r="I9"/>
  <c r="F15"/>
  <c r="N4"/>
  <c r="S4"/>
  <c r="X4"/>
  <c r="AC4"/>
  <c r="AH4"/>
  <c r="I10" i="10"/>
  <c r="AM4" i="11"/>
  <c r="I11" i="10"/>
  <c r="AR4" i="11"/>
  <c r="AW4"/>
  <c r="I13" i="10"/>
  <c r="BB4" i="11"/>
  <c r="I14" i="10"/>
  <c r="BG4" i="11"/>
  <c r="BI4"/>
  <c r="BD4"/>
  <c r="AT4"/>
  <c r="AJ4"/>
  <c r="G5"/>
  <c r="G6"/>
  <c r="G7"/>
  <c r="G4"/>
  <c r="F10"/>
  <c r="L4" i="7"/>
  <c r="F10" i="3"/>
  <c r="B4" i="7"/>
  <c r="F4" i="4"/>
  <c r="F5"/>
  <c r="F6"/>
  <c r="F7"/>
  <c r="F8"/>
  <c r="F9"/>
  <c r="F10"/>
  <c r="F12"/>
  <c r="D4" i="7"/>
  <c r="F4" i="2"/>
  <c r="F5"/>
  <c r="F6"/>
  <c r="F7"/>
  <c r="F8"/>
  <c r="F9"/>
  <c r="F10"/>
  <c r="F11"/>
  <c r="F4" i="7"/>
  <c r="F4" i="5"/>
  <c r="F5"/>
  <c r="F6"/>
  <c r="F7"/>
  <c r="F8"/>
  <c r="F10"/>
  <c r="H4" i="7"/>
  <c r="F4" i="6"/>
  <c r="F5"/>
  <c r="F6"/>
  <c r="F7"/>
  <c r="F8"/>
  <c r="F9"/>
  <c r="F10"/>
  <c r="F11"/>
  <c r="F12"/>
  <c r="J4" i="7"/>
  <c r="L7"/>
  <c r="N7"/>
  <c r="N8"/>
  <c r="N9"/>
  <c r="N10"/>
  <c r="N11"/>
  <c r="N12"/>
  <c r="N13"/>
  <c r="N14"/>
  <c r="N15"/>
  <c r="N16"/>
  <c r="N17"/>
  <c r="N18"/>
  <c r="N19"/>
  <c r="L8"/>
  <c r="L9"/>
  <c r="L10"/>
  <c r="L11"/>
  <c r="L12"/>
  <c r="L13"/>
  <c r="L14"/>
  <c r="L15"/>
  <c r="L16"/>
  <c r="L17"/>
  <c r="L18"/>
  <c r="L19"/>
  <c r="I5" i="12"/>
  <c r="I6"/>
  <c r="I7"/>
  <c r="I8"/>
  <c r="I9"/>
  <c r="F15"/>
  <c r="O7" i="7"/>
  <c r="O8"/>
  <c r="S5" i="12"/>
  <c r="S6"/>
  <c r="S7"/>
  <c r="S8"/>
  <c r="S9"/>
  <c r="F17"/>
  <c r="O9" i="7"/>
  <c r="X5" i="12"/>
  <c r="X6"/>
  <c r="X7"/>
  <c r="X8"/>
  <c r="X9"/>
  <c r="F18"/>
  <c r="O10" i="7"/>
  <c r="AC5" i="12"/>
  <c r="AC6"/>
  <c r="AC7"/>
  <c r="AC8"/>
  <c r="AC9"/>
  <c r="F19"/>
  <c r="O11" i="7"/>
  <c r="AH5" i="12"/>
  <c r="AH6"/>
  <c r="AH7"/>
  <c r="AH8"/>
  <c r="AH9"/>
  <c r="F20"/>
  <c r="O12" i="7"/>
  <c r="AM4" i="12"/>
  <c r="AM5"/>
  <c r="AM6"/>
  <c r="AM7"/>
  <c r="AM8"/>
  <c r="AM9"/>
  <c r="F21"/>
  <c r="O13" i="7"/>
  <c r="AR4" i="12"/>
  <c r="AR5"/>
  <c r="AR6"/>
  <c r="AR7"/>
  <c r="AR8"/>
  <c r="AR9"/>
  <c r="F22"/>
  <c r="O14" i="7"/>
  <c r="O15"/>
  <c r="BB4" i="12"/>
  <c r="BB5"/>
  <c r="BB6"/>
  <c r="BB7"/>
  <c r="BB8"/>
  <c r="BB9"/>
  <c r="F24"/>
  <c r="O16" i="7"/>
  <c r="BG4" i="12"/>
  <c r="BG5"/>
  <c r="BG6"/>
  <c r="BG7"/>
  <c r="BG8"/>
  <c r="BG9"/>
  <c r="F25"/>
  <c r="O17" i="7"/>
  <c r="I15" i="10"/>
  <c r="BL4" i="12"/>
  <c r="BL5"/>
  <c r="BL6"/>
  <c r="BL7"/>
  <c r="BL8"/>
  <c r="BL9"/>
  <c r="F26"/>
  <c r="O18" i="7"/>
  <c r="O19"/>
  <c r="D27" i="12"/>
  <c r="F27"/>
  <c r="G27"/>
  <c r="E27"/>
  <c r="C27"/>
  <c r="B27"/>
  <c r="H26"/>
  <c r="G26"/>
  <c r="H25"/>
  <c r="G25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BN9"/>
  <c r="BO9"/>
  <c r="BM9"/>
  <c r="BI9"/>
  <c r="BJ9"/>
  <c r="BH9"/>
  <c r="BD9"/>
  <c r="BE9"/>
  <c r="BC9"/>
  <c r="AY9"/>
  <c r="AZ9"/>
  <c r="AX9"/>
  <c r="AT9"/>
  <c r="AU9"/>
  <c r="AS9"/>
  <c r="AO9"/>
  <c r="AP9"/>
  <c r="AN9"/>
  <c r="AJ9"/>
  <c r="AK9"/>
  <c r="AI9"/>
  <c r="AE9"/>
  <c r="AF9"/>
  <c r="AD9"/>
  <c r="Z9"/>
  <c r="AA9"/>
  <c r="Y9"/>
  <c r="U9"/>
  <c r="V9"/>
  <c r="T9"/>
  <c r="P9"/>
  <c r="Q9"/>
  <c r="O9"/>
  <c r="K9"/>
  <c r="L9"/>
  <c r="J9"/>
  <c r="BN8"/>
  <c r="BO8"/>
  <c r="BM8"/>
  <c r="BI8"/>
  <c r="BJ8"/>
  <c r="BH8"/>
  <c r="BD8"/>
  <c r="BE8"/>
  <c r="BC8"/>
  <c r="AY8"/>
  <c r="AZ8"/>
  <c r="AX8"/>
  <c r="AT8"/>
  <c r="AU8"/>
  <c r="AS8"/>
  <c r="AO8"/>
  <c r="AP8"/>
  <c r="AN8"/>
  <c r="AJ8"/>
  <c r="AK8"/>
  <c r="AI8"/>
  <c r="AE8"/>
  <c r="AF8"/>
  <c r="AD8"/>
  <c r="Z8"/>
  <c r="AA8"/>
  <c r="Y8"/>
  <c r="U8"/>
  <c r="V8"/>
  <c r="T8"/>
  <c r="P8"/>
  <c r="Q8"/>
  <c r="O8"/>
  <c r="K8"/>
  <c r="L8"/>
  <c r="J8"/>
  <c r="BN7"/>
  <c r="BO7"/>
  <c r="BM7"/>
  <c r="BI7"/>
  <c r="BJ7"/>
  <c r="BH7"/>
  <c r="BD7"/>
  <c r="BE7"/>
  <c r="BC7"/>
  <c r="AY7"/>
  <c r="AZ7"/>
  <c r="AX7"/>
  <c r="AT7"/>
  <c r="AU7"/>
  <c r="AS7"/>
  <c r="AO7"/>
  <c r="AP7"/>
  <c r="AN7"/>
  <c r="AJ7"/>
  <c r="AK7"/>
  <c r="AI7"/>
  <c r="AE7"/>
  <c r="AF7"/>
  <c r="AD7"/>
  <c r="Z7"/>
  <c r="AA7"/>
  <c r="Y7"/>
  <c r="U7"/>
  <c r="V7"/>
  <c r="T7"/>
  <c r="P7"/>
  <c r="Q7"/>
  <c r="O7"/>
  <c r="K7"/>
  <c r="L7"/>
  <c r="J7"/>
  <c r="BN6"/>
  <c r="BO6"/>
  <c r="BM6"/>
  <c r="BI6"/>
  <c r="BJ6"/>
  <c r="BH6"/>
  <c r="BD6"/>
  <c r="BE6"/>
  <c r="BC6"/>
  <c r="AY6"/>
  <c r="AZ6"/>
  <c r="AX6"/>
  <c r="AT6"/>
  <c r="AU6"/>
  <c r="AS6"/>
  <c r="AO6"/>
  <c r="AP6"/>
  <c r="AN6"/>
  <c r="AJ6"/>
  <c r="AK6"/>
  <c r="AI6"/>
  <c r="AE6"/>
  <c r="AF6"/>
  <c r="AD6"/>
  <c r="Z6"/>
  <c r="AA6"/>
  <c r="Y6"/>
  <c r="U6"/>
  <c r="V6"/>
  <c r="T6"/>
  <c r="P6"/>
  <c r="Q6"/>
  <c r="O6"/>
  <c r="K6"/>
  <c r="L6"/>
  <c r="J6"/>
  <c r="BN5"/>
  <c r="BO5"/>
  <c r="BM5"/>
  <c r="BI5"/>
  <c r="BJ5"/>
  <c r="BH5"/>
  <c r="BD5"/>
  <c r="BE5"/>
  <c r="BC5"/>
  <c r="AY5"/>
  <c r="AZ5"/>
  <c r="AX5"/>
  <c r="AT5"/>
  <c r="AU5"/>
  <c r="AS5"/>
  <c r="AO5"/>
  <c r="AP5"/>
  <c r="AN5"/>
  <c r="AJ5"/>
  <c r="AK5"/>
  <c r="AI5"/>
  <c r="AE5"/>
  <c r="AF5"/>
  <c r="AD5"/>
  <c r="Z5"/>
  <c r="AA5"/>
  <c r="Y5"/>
  <c r="U5"/>
  <c r="V5"/>
  <c r="T5"/>
  <c r="P5"/>
  <c r="Q5"/>
  <c r="O5"/>
  <c r="K5"/>
  <c r="L5"/>
  <c r="J5"/>
  <c r="BN4"/>
  <c r="BO4"/>
  <c r="BM4"/>
  <c r="BI4"/>
  <c r="BJ4"/>
  <c r="BH4"/>
  <c r="BD4"/>
  <c r="BE4"/>
  <c r="BC4"/>
  <c r="AY4"/>
  <c r="AZ4"/>
  <c r="AX4"/>
  <c r="AT4"/>
  <c r="AU4"/>
  <c r="AS4"/>
  <c r="AO4"/>
  <c r="AP4"/>
  <c r="AN4"/>
  <c r="AK4"/>
  <c r="AI4"/>
  <c r="AE4"/>
  <c r="AF4"/>
  <c r="AD4"/>
  <c r="Z4"/>
  <c r="AA4"/>
  <c r="Y4"/>
  <c r="U4"/>
  <c r="V4"/>
  <c r="T4"/>
  <c r="P4"/>
  <c r="Q4"/>
  <c r="O4"/>
  <c r="K4"/>
  <c r="L4"/>
  <c r="J4"/>
  <c r="D7" i="7"/>
  <c r="F7"/>
  <c r="H7"/>
  <c r="J7"/>
  <c r="M7"/>
  <c r="N5" i="11"/>
  <c r="N6"/>
  <c r="N7"/>
  <c r="N8"/>
  <c r="N9"/>
  <c r="F16"/>
  <c r="M8" i="7"/>
  <c r="S5" i="11"/>
  <c r="S6"/>
  <c r="S7"/>
  <c r="S8"/>
  <c r="S9"/>
  <c r="F17"/>
  <c r="M9" i="7"/>
  <c r="X5" i="11"/>
  <c r="X6"/>
  <c r="X7"/>
  <c r="X8"/>
  <c r="X9"/>
  <c r="F18"/>
  <c r="M10" i="7"/>
  <c r="AC5" i="11"/>
  <c r="AC6"/>
  <c r="AC7"/>
  <c r="AC8"/>
  <c r="AC9"/>
  <c r="F19"/>
  <c r="M11" i="7"/>
  <c r="AH5" i="11"/>
  <c r="AH6"/>
  <c r="AH7"/>
  <c r="AH8"/>
  <c r="AH9"/>
  <c r="F20"/>
  <c r="M12" i="7"/>
  <c r="AM5" i="11"/>
  <c r="AM6"/>
  <c r="AM7"/>
  <c r="AM8"/>
  <c r="AM9"/>
  <c r="F21"/>
  <c r="M13" i="7"/>
  <c r="AR5" i="11"/>
  <c r="AR6"/>
  <c r="AR7"/>
  <c r="AR8"/>
  <c r="AR9"/>
  <c r="F22"/>
  <c r="M14" i="7"/>
  <c r="AW5" i="11"/>
  <c r="AW6"/>
  <c r="AW7"/>
  <c r="AW8"/>
  <c r="AW9"/>
  <c r="F23"/>
  <c r="M15" i="7"/>
  <c r="BB5" i="11"/>
  <c r="BB6"/>
  <c r="BB7"/>
  <c r="BB8"/>
  <c r="BB9"/>
  <c r="F24"/>
  <c r="M16" i="7"/>
  <c r="BG5" i="11"/>
  <c r="BG6"/>
  <c r="BG7"/>
  <c r="BG8"/>
  <c r="BG9"/>
  <c r="F25"/>
  <c r="M17" i="7"/>
  <c r="BL4" i="11"/>
  <c r="BL5"/>
  <c r="BL6"/>
  <c r="BL7"/>
  <c r="BL8"/>
  <c r="BL9"/>
  <c r="F26"/>
  <c r="M18" i="7"/>
  <c r="M19"/>
  <c r="C19"/>
  <c r="I4" i="4"/>
  <c r="I5"/>
  <c r="I6"/>
  <c r="I7"/>
  <c r="I8"/>
  <c r="I9"/>
  <c r="I10"/>
  <c r="I11"/>
  <c r="F15"/>
  <c r="E7" i="7"/>
  <c r="N4" i="4"/>
  <c r="N5"/>
  <c r="N6"/>
  <c r="N7"/>
  <c r="N8"/>
  <c r="N9"/>
  <c r="N10"/>
  <c r="F16"/>
  <c r="E8" i="7"/>
  <c r="S4" i="4"/>
  <c r="S5"/>
  <c r="S6"/>
  <c r="S7"/>
  <c r="S8"/>
  <c r="S9"/>
  <c r="S10"/>
  <c r="S11"/>
  <c r="F17"/>
  <c r="E9" i="7"/>
  <c r="X4" i="4"/>
  <c r="X5"/>
  <c r="X6"/>
  <c r="X7"/>
  <c r="X8"/>
  <c r="X9"/>
  <c r="X10"/>
  <c r="X11"/>
  <c r="F18"/>
  <c r="E10" i="7"/>
  <c r="AC4" i="4"/>
  <c r="AC5"/>
  <c r="AC6"/>
  <c r="AC7"/>
  <c r="AC8"/>
  <c r="AC9"/>
  <c r="AC10"/>
  <c r="AC11"/>
  <c r="F19"/>
  <c r="E11" i="7"/>
  <c r="AH4" i="4"/>
  <c r="AH5"/>
  <c r="AH6"/>
  <c r="AH7"/>
  <c r="AH8"/>
  <c r="AH9"/>
  <c r="AH10"/>
  <c r="AH11"/>
  <c r="F20"/>
  <c r="E12" i="7"/>
  <c r="AM4" i="4"/>
  <c r="AM5"/>
  <c r="AM6"/>
  <c r="AM7"/>
  <c r="AM8"/>
  <c r="AM9"/>
  <c r="AM10"/>
  <c r="AM11"/>
  <c r="F21"/>
  <c r="E13" i="7"/>
  <c r="AR4" i="4"/>
  <c r="AR5"/>
  <c r="AR6"/>
  <c r="AR7"/>
  <c r="AR8"/>
  <c r="AR9"/>
  <c r="AR10"/>
  <c r="AR11"/>
  <c r="F22"/>
  <c r="E14" i="7"/>
  <c r="AW4" i="4"/>
  <c r="AW5"/>
  <c r="AW6"/>
  <c r="AW7"/>
  <c r="AW8"/>
  <c r="AW9"/>
  <c r="AW10"/>
  <c r="AW11"/>
  <c r="F23"/>
  <c r="E15" i="7"/>
  <c r="BB4" i="4"/>
  <c r="BB5"/>
  <c r="BB6"/>
  <c r="BB7"/>
  <c r="BB8"/>
  <c r="BB9"/>
  <c r="BB10"/>
  <c r="BB11"/>
  <c r="F24"/>
  <c r="E16" i="7"/>
  <c r="BG4" i="4"/>
  <c r="BG5"/>
  <c r="BG6"/>
  <c r="BG7"/>
  <c r="BG8"/>
  <c r="BG9"/>
  <c r="BG10"/>
  <c r="BG11"/>
  <c r="F25"/>
  <c r="E17" i="7"/>
  <c r="BL4" i="4"/>
  <c r="BL5"/>
  <c r="BL6"/>
  <c r="BL7"/>
  <c r="BL8"/>
  <c r="BL9"/>
  <c r="BL10"/>
  <c r="BL11"/>
  <c r="F26"/>
  <c r="E18" i="7"/>
  <c r="E19"/>
  <c r="I4" i="2"/>
  <c r="I5"/>
  <c r="I6"/>
  <c r="I7"/>
  <c r="I8"/>
  <c r="I9"/>
  <c r="F15"/>
  <c r="G7" i="7"/>
  <c r="N4" i="2"/>
  <c r="N5"/>
  <c r="N6"/>
  <c r="N7"/>
  <c r="N8"/>
  <c r="N9"/>
  <c r="F16"/>
  <c r="G8" i="7"/>
  <c r="S4" i="2"/>
  <c r="S5"/>
  <c r="S6"/>
  <c r="S7"/>
  <c r="S8"/>
  <c r="S9"/>
  <c r="F17"/>
  <c r="G9" i="7"/>
  <c r="X4" i="2"/>
  <c r="X5"/>
  <c r="X6"/>
  <c r="X7"/>
  <c r="X8"/>
  <c r="X9"/>
  <c r="F18"/>
  <c r="G10" i="7"/>
  <c r="AC4" i="2"/>
  <c r="AC5"/>
  <c r="AC6"/>
  <c r="AC7"/>
  <c r="AC8"/>
  <c r="AC9"/>
  <c r="F19"/>
  <c r="G11" i="7"/>
  <c r="AH4" i="2"/>
  <c r="AH5"/>
  <c r="AH6"/>
  <c r="AH7"/>
  <c r="AH8"/>
  <c r="AH9"/>
  <c r="F20"/>
  <c r="G12" i="7"/>
  <c r="AM4" i="2"/>
  <c r="AM5"/>
  <c r="AM6"/>
  <c r="AM7"/>
  <c r="AM8"/>
  <c r="AM9"/>
  <c r="F21"/>
  <c r="G13" i="7"/>
  <c r="AR4" i="2"/>
  <c r="AR5"/>
  <c r="AR6"/>
  <c r="AR7"/>
  <c r="AR8"/>
  <c r="AR9"/>
  <c r="AR10"/>
  <c r="F22"/>
  <c r="G14" i="7"/>
  <c r="AW4" i="2"/>
  <c r="AW5"/>
  <c r="AW6"/>
  <c r="AW7"/>
  <c r="AW8"/>
  <c r="AW9"/>
  <c r="AW10"/>
  <c r="F23"/>
  <c r="G15" i="7"/>
  <c r="BB4" i="2"/>
  <c r="BB5"/>
  <c r="BB6"/>
  <c r="BB7"/>
  <c r="BB8"/>
  <c r="BB9"/>
  <c r="BB10"/>
  <c r="F24"/>
  <c r="G16" i="7"/>
  <c r="BG4" i="2"/>
  <c r="BG5"/>
  <c r="BG6"/>
  <c r="BG7"/>
  <c r="BG8"/>
  <c r="BG9"/>
  <c r="BG10"/>
  <c r="F25"/>
  <c r="G17" i="7"/>
  <c r="BL4" i="2"/>
  <c r="BL5"/>
  <c r="BL6"/>
  <c r="BL7"/>
  <c r="BL8"/>
  <c r="BL9"/>
  <c r="BL10"/>
  <c r="F26"/>
  <c r="G18" i="7"/>
  <c r="G19"/>
  <c r="I4" i="5"/>
  <c r="I5"/>
  <c r="I6"/>
  <c r="I7"/>
  <c r="F15"/>
  <c r="I7" i="7"/>
  <c r="N4" i="5"/>
  <c r="N5"/>
  <c r="N6"/>
  <c r="N7"/>
  <c r="F16"/>
  <c r="I8" i="7"/>
  <c r="S4" i="5"/>
  <c r="S5"/>
  <c r="S6"/>
  <c r="S7"/>
  <c r="F17"/>
  <c r="I9" i="7"/>
  <c r="X4" i="5"/>
  <c r="X5"/>
  <c r="X6"/>
  <c r="X7"/>
  <c r="F18"/>
  <c r="I10" i="7"/>
  <c r="AC4" i="5"/>
  <c r="AC5"/>
  <c r="AC6"/>
  <c r="AC7"/>
  <c r="F19"/>
  <c r="I11" i="7"/>
  <c r="AH4" i="5"/>
  <c r="AH5"/>
  <c r="AH6"/>
  <c r="AH7"/>
  <c r="AH8"/>
  <c r="F20"/>
  <c r="I12" i="7"/>
  <c r="AM4" i="5"/>
  <c r="AM5"/>
  <c r="AM6"/>
  <c r="AM8"/>
  <c r="F21"/>
  <c r="I13" i="7"/>
  <c r="AR4" i="5"/>
  <c r="AR5"/>
  <c r="AR6"/>
  <c r="AR8"/>
  <c r="AR9"/>
  <c r="F22"/>
  <c r="I14" i="7"/>
  <c r="AW4" i="5"/>
  <c r="AW5"/>
  <c r="AW6"/>
  <c r="AW8"/>
  <c r="AW9"/>
  <c r="F23"/>
  <c r="I15" i="7"/>
  <c r="BB4" i="5"/>
  <c r="BB5"/>
  <c r="BB6"/>
  <c r="BB8"/>
  <c r="BB9"/>
  <c r="F24"/>
  <c r="I16" i="7"/>
  <c r="BG4" i="5"/>
  <c r="BG5"/>
  <c r="BG6"/>
  <c r="BG8"/>
  <c r="BG9"/>
  <c r="F25"/>
  <c r="I17" i="7"/>
  <c r="BL4" i="5"/>
  <c r="BL5"/>
  <c r="BL6"/>
  <c r="BL8"/>
  <c r="BL9"/>
  <c r="F26"/>
  <c r="I18" i="7"/>
  <c r="I19"/>
  <c r="I4" i="6"/>
  <c r="I5"/>
  <c r="I6"/>
  <c r="I7"/>
  <c r="I8"/>
  <c r="I9"/>
  <c r="I10"/>
  <c r="F15"/>
  <c r="K7" i="7"/>
  <c r="N4" i="6"/>
  <c r="N5"/>
  <c r="N6"/>
  <c r="N7"/>
  <c r="N8"/>
  <c r="N9"/>
  <c r="N10"/>
  <c r="F16"/>
  <c r="K8" i="7"/>
  <c r="S4" i="6"/>
  <c r="S5"/>
  <c r="S6"/>
  <c r="S7"/>
  <c r="S8"/>
  <c r="S9"/>
  <c r="S10"/>
  <c r="F17"/>
  <c r="K9" i="7"/>
  <c r="X4" i="6"/>
  <c r="X5"/>
  <c r="X6"/>
  <c r="X7"/>
  <c r="X8"/>
  <c r="X9"/>
  <c r="X10"/>
  <c r="X11"/>
  <c r="F18"/>
  <c r="K10" i="7"/>
  <c r="AC4" i="6"/>
  <c r="AC5"/>
  <c r="AC6"/>
  <c r="AC7"/>
  <c r="AC8"/>
  <c r="AC9"/>
  <c r="AC10"/>
  <c r="AC11"/>
  <c r="F19"/>
  <c r="K11" i="7"/>
  <c r="AH4" i="6"/>
  <c r="AH5"/>
  <c r="AH6"/>
  <c r="AH7"/>
  <c r="AH8"/>
  <c r="AH9"/>
  <c r="AH10"/>
  <c r="AH11"/>
  <c r="F20"/>
  <c r="K12" i="7"/>
  <c r="AM4" i="6"/>
  <c r="AM5"/>
  <c r="AM6"/>
  <c r="AM7"/>
  <c r="AM8"/>
  <c r="AM9"/>
  <c r="AM10"/>
  <c r="AM11"/>
  <c r="F21"/>
  <c r="K13" i="7"/>
  <c r="AR4" i="6"/>
  <c r="AR5"/>
  <c r="AR6"/>
  <c r="AR7"/>
  <c r="AR8"/>
  <c r="AR9"/>
  <c r="AR10"/>
  <c r="AR11"/>
  <c r="F22"/>
  <c r="K14" i="7"/>
  <c r="AW4" i="6"/>
  <c r="AW5"/>
  <c r="AW6"/>
  <c r="AW7"/>
  <c r="AW8"/>
  <c r="AW9"/>
  <c r="AW10"/>
  <c r="AW11"/>
  <c r="F23"/>
  <c r="K15" i="7"/>
  <c r="BB4" i="6"/>
  <c r="BB5"/>
  <c r="BB6"/>
  <c r="BB7"/>
  <c r="BB8"/>
  <c r="BB9"/>
  <c r="BB10"/>
  <c r="BB11"/>
  <c r="F24"/>
  <c r="K16" i="7"/>
  <c r="BG4" i="6"/>
  <c r="BG5"/>
  <c r="BG6"/>
  <c r="BG7"/>
  <c r="BG8"/>
  <c r="BG9"/>
  <c r="BG10"/>
  <c r="BG11"/>
  <c r="F25"/>
  <c r="K17" i="7"/>
  <c r="BL4" i="6"/>
  <c r="BL5"/>
  <c r="BL6"/>
  <c r="BL7"/>
  <c r="BL8"/>
  <c r="BL9"/>
  <c r="BL10"/>
  <c r="BL11"/>
  <c r="F26"/>
  <c r="K18" i="7"/>
  <c r="K19"/>
  <c r="S19"/>
  <c r="L20"/>
  <c r="J8"/>
  <c r="J9"/>
  <c r="J10"/>
  <c r="J11"/>
  <c r="J12"/>
  <c r="J13"/>
  <c r="J14"/>
  <c r="J15"/>
  <c r="J16"/>
  <c r="J17"/>
  <c r="J18"/>
  <c r="J19"/>
  <c r="J20"/>
  <c r="D27" i="11"/>
  <c r="F27"/>
  <c r="F29"/>
  <c r="G27"/>
  <c r="E27"/>
  <c r="C27"/>
  <c r="B27"/>
  <c r="H26"/>
  <c r="G26"/>
  <c r="H25"/>
  <c r="G25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BN9"/>
  <c r="BO9"/>
  <c r="BM9"/>
  <c r="BI9"/>
  <c r="BJ9"/>
  <c r="BH9"/>
  <c r="BD9"/>
  <c r="BE9"/>
  <c r="BC9"/>
  <c r="AY9"/>
  <c r="AZ9"/>
  <c r="AX9"/>
  <c r="AT9"/>
  <c r="AU9"/>
  <c r="AS9"/>
  <c r="AO9"/>
  <c r="AP9"/>
  <c r="AN9"/>
  <c r="AJ9"/>
  <c r="AK9"/>
  <c r="AI9"/>
  <c r="AE9"/>
  <c r="AF9"/>
  <c r="AD9"/>
  <c r="Z9"/>
  <c r="AA9"/>
  <c r="Y9"/>
  <c r="U9"/>
  <c r="V9"/>
  <c r="T9"/>
  <c r="P9"/>
  <c r="Q9"/>
  <c r="O9"/>
  <c r="K9"/>
  <c r="L9"/>
  <c r="J9"/>
  <c r="BN8"/>
  <c r="BO8"/>
  <c r="BM8"/>
  <c r="BI8"/>
  <c r="BJ8"/>
  <c r="BH8"/>
  <c r="BD8"/>
  <c r="BE8"/>
  <c r="BC8"/>
  <c r="AY8"/>
  <c r="AZ8"/>
  <c r="AX8"/>
  <c r="AT8"/>
  <c r="AU8"/>
  <c r="AS8"/>
  <c r="AO8"/>
  <c r="AP8"/>
  <c r="AN8"/>
  <c r="AJ8"/>
  <c r="AK8"/>
  <c r="AI8"/>
  <c r="AE8"/>
  <c r="AF8"/>
  <c r="AD8"/>
  <c r="Z8"/>
  <c r="AA8"/>
  <c r="Y8"/>
  <c r="U8"/>
  <c r="V8"/>
  <c r="T8"/>
  <c r="P8"/>
  <c r="Q8"/>
  <c r="O8"/>
  <c r="K8"/>
  <c r="L8"/>
  <c r="J8"/>
  <c r="BN7"/>
  <c r="BO7"/>
  <c r="BM7"/>
  <c r="BI7"/>
  <c r="BJ7"/>
  <c r="BH7"/>
  <c r="BD7"/>
  <c r="BE7"/>
  <c r="BC7"/>
  <c r="AY7"/>
  <c r="AZ7"/>
  <c r="AX7"/>
  <c r="AT7"/>
  <c r="AU7"/>
  <c r="AS7"/>
  <c r="AO7"/>
  <c r="AP7"/>
  <c r="AN7"/>
  <c r="AJ7"/>
  <c r="AK7"/>
  <c r="AI7"/>
  <c r="AE7"/>
  <c r="AF7"/>
  <c r="AD7"/>
  <c r="Z7"/>
  <c r="AA7"/>
  <c r="Y7"/>
  <c r="U7"/>
  <c r="V7"/>
  <c r="T7"/>
  <c r="P7"/>
  <c r="Q7"/>
  <c r="O7"/>
  <c r="K7"/>
  <c r="L7"/>
  <c r="J7"/>
  <c r="BN6"/>
  <c r="BO6"/>
  <c r="BM6"/>
  <c r="BI6"/>
  <c r="BJ6"/>
  <c r="BH6"/>
  <c r="BD6"/>
  <c r="BE6"/>
  <c r="BC6"/>
  <c r="AY6"/>
  <c r="AZ6"/>
  <c r="AX6"/>
  <c r="AT6"/>
  <c r="AU6"/>
  <c r="AS6"/>
  <c r="AO6"/>
  <c r="AP6"/>
  <c r="AN6"/>
  <c r="AJ6"/>
  <c r="AK6"/>
  <c r="AI6"/>
  <c r="AE6"/>
  <c r="AF6"/>
  <c r="AD6"/>
  <c r="Z6"/>
  <c r="AA6"/>
  <c r="Y6"/>
  <c r="U6"/>
  <c r="V6"/>
  <c r="T6"/>
  <c r="P6"/>
  <c r="Q6"/>
  <c r="O6"/>
  <c r="K6"/>
  <c r="L6"/>
  <c r="J6"/>
  <c r="BN5"/>
  <c r="BO5"/>
  <c r="BM5"/>
  <c r="BI5"/>
  <c r="BJ5"/>
  <c r="BH5"/>
  <c r="BD5"/>
  <c r="BE5"/>
  <c r="BC5"/>
  <c r="AY5"/>
  <c r="AZ5"/>
  <c r="AX5"/>
  <c r="AT5"/>
  <c r="AU5"/>
  <c r="AS5"/>
  <c r="AO5"/>
  <c r="AP5"/>
  <c r="AN5"/>
  <c r="AJ5"/>
  <c r="AK5"/>
  <c r="AI5"/>
  <c r="AE5"/>
  <c r="AF5"/>
  <c r="AD5"/>
  <c r="Z5"/>
  <c r="AA5"/>
  <c r="Y5"/>
  <c r="U5"/>
  <c r="V5"/>
  <c r="T5"/>
  <c r="P5"/>
  <c r="Q5"/>
  <c r="O5"/>
  <c r="K5"/>
  <c r="L5"/>
  <c r="J5"/>
  <c r="BN4"/>
  <c r="BO4"/>
  <c r="BM4"/>
  <c r="BJ4"/>
  <c r="BH4"/>
  <c r="BE4"/>
  <c r="BC4"/>
  <c r="AY4"/>
  <c r="AZ4"/>
  <c r="AX4"/>
  <c r="AU4"/>
  <c r="AS4"/>
  <c r="AO4"/>
  <c r="AP4"/>
  <c r="AN4"/>
  <c r="AK4"/>
  <c r="AI4"/>
  <c r="AE4"/>
  <c r="AF4"/>
  <c r="AD4"/>
  <c r="Z4"/>
  <c r="AA4"/>
  <c r="Y4"/>
  <c r="U4"/>
  <c r="V4"/>
  <c r="T4"/>
  <c r="P4"/>
  <c r="Q4"/>
  <c r="O4"/>
  <c r="K4"/>
  <c r="L4"/>
  <c r="J4"/>
  <c r="BN5" i="6"/>
  <c r="BN6"/>
  <c r="BN7"/>
  <c r="BN8"/>
  <c r="BN9"/>
  <c r="BN10"/>
  <c r="BN11"/>
  <c r="BN4"/>
  <c r="BI5"/>
  <c r="BI6"/>
  <c r="BI7"/>
  <c r="BI8"/>
  <c r="BI9"/>
  <c r="BI10"/>
  <c r="BI11"/>
  <c r="BI4"/>
  <c r="BD5"/>
  <c r="BD6"/>
  <c r="BD7"/>
  <c r="BD8"/>
  <c r="BD9"/>
  <c r="BD10"/>
  <c r="BD11"/>
  <c r="BD4"/>
  <c r="AY5"/>
  <c r="AY6"/>
  <c r="AY7"/>
  <c r="AY8"/>
  <c r="AY9"/>
  <c r="AY10"/>
  <c r="AY11"/>
  <c r="AY4"/>
  <c r="AT5"/>
  <c r="AT6"/>
  <c r="AT7"/>
  <c r="AT8"/>
  <c r="AT9"/>
  <c r="AT10"/>
  <c r="AT11"/>
  <c r="AT4"/>
  <c r="AO5"/>
  <c r="AO6"/>
  <c r="AO7"/>
  <c r="AO8"/>
  <c r="AO9"/>
  <c r="AO10"/>
  <c r="AO11"/>
  <c r="AO4"/>
  <c r="AJ5"/>
  <c r="AJ6"/>
  <c r="AJ7"/>
  <c r="AJ8"/>
  <c r="AJ9"/>
  <c r="AJ10"/>
  <c r="AJ11"/>
  <c r="AJ4"/>
  <c r="AE5"/>
  <c r="AE6"/>
  <c r="AE7"/>
  <c r="AE8"/>
  <c r="AE9"/>
  <c r="AE10"/>
  <c r="AE11"/>
  <c r="AE4"/>
  <c r="Z5"/>
  <c r="Z6"/>
  <c r="Z7"/>
  <c r="Z8"/>
  <c r="Z9"/>
  <c r="Z10"/>
  <c r="Z11"/>
  <c r="Z4"/>
  <c r="U4"/>
  <c r="V4"/>
  <c r="U5"/>
  <c r="U6"/>
  <c r="U7"/>
  <c r="U8"/>
  <c r="U9"/>
  <c r="U10"/>
  <c r="U11"/>
  <c r="P5"/>
  <c r="P6"/>
  <c r="P7"/>
  <c r="P8"/>
  <c r="P9"/>
  <c r="P10"/>
  <c r="P11"/>
  <c r="P4"/>
  <c r="K5"/>
  <c r="K6"/>
  <c r="K7"/>
  <c r="K8"/>
  <c r="K9"/>
  <c r="K10"/>
  <c r="K11"/>
  <c r="K4"/>
  <c r="F27" i="5"/>
  <c r="BN9"/>
  <c r="BN5"/>
  <c r="BN6"/>
  <c r="BN7"/>
  <c r="BN8"/>
  <c r="BN4"/>
  <c r="BI5"/>
  <c r="BI6"/>
  <c r="BI7"/>
  <c r="BI8"/>
  <c r="BI9"/>
  <c r="BI4"/>
  <c r="BD9"/>
  <c r="BE9"/>
  <c r="BD5"/>
  <c r="BD6"/>
  <c r="BD7"/>
  <c r="BD8"/>
  <c r="BD4"/>
  <c r="AY5"/>
  <c r="AY6"/>
  <c r="AY7"/>
  <c r="AY8"/>
  <c r="AY9"/>
  <c r="AY4"/>
  <c r="AT5"/>
  <c r="AT6"/>
  <c r="AT7"/>
  <c r="AT8"/>
  <c r="AT9"/>
  <c r="AT4"/>
  <c r="AO7"/>
  <c r="AO5"/>
  <c r="AO6"/>
  <c r="AO8"/>
  <c r="AO9"/>
  <c r="AO4"/>
  <c r="AJ4"/>
  <c r="AJ5"/>
  <c r="AJ6"/>
  <c r="AJ7"/>
  <c r="AJ8"/>
  <c r="AJ9"/>
  <c r="AE4"/>
  <c r="AF4"/>
  <c r="AE5"/>
  <c r="AE6"/>
  <c r="AE7"/>
  <c r="AE8"/>
  <c r="AE9"/>
  <c r="Z4"/>
  <c r="AA4"/>
  <c r="Z5"/>
  <c r="Z6"/>
  <c r="Z7"/>
  <c r="Z8"/>
  <c r="Z9"/>
  <c r="U5"/>
  <c r="U6"/>
  <c r="U7"/>
  <c r="U9"/>
  <c r="U4"/>
  <c r="P5"/>
  <c r="Q5"/>
  <c r="P6"/>
  <c r="Q6"/>
  <c r="P7"/>
  <c r="Q7"/>
  <c r="P8"/>
  <c r="Q8"/>
  <c r="P9"/>
  <c r="Q9"/>
  <c r="P4"/>
  <c r="Q4"/>
  <c r="K5"/>
  <c r="K6"/>
  <c r="K7"/>
  <c r="K8"/>
  <c r="K9"/>
  <c r="K4"/>
  <c r="BN5" i="2"/>
  <c r="BO5"/>
  <c r="BN6"/>
  <c r="BO6"/>
  <c r="BN7"/>
  <c r="BO7"/>
  <c r="BN8"/>
  <c r="BO8"/>
  <c r="BN9"/>
  <c r="BO9"/>
  <c r="BN10"/>
  <c r="BO10"/>
  <c r="BN4"/>
  <c r="BO4"/>
  <c r="BI5"/>
  <c r="BJ5"/>
  <c r="BI6"/>
  <c r="BJ6"/>
  <c r="BI7"/>
  <c r="BJ7"/>
  <c r="BI8"/>
  <c r="BJ8"/>
  <c r="BI9"/>
  <c r="BJ9"/>
  <c r="BI10"/>
  <c r="BJ10"/>
  <c r="BI4"/>
  <c r="BD5"/>
  <c r="BE5"/>
  <c r="BD6"/>
  <c r="BE6"/>
  <c r="BD7"/>
  <c r="BE7"/>
  <c r="BD8"/>
  <c r="BE8"/>
  <c r="BD9"/>
  <c r="BE9"/>
  <c r="BD10"/>
  <c r="BE10"/>
  <c r="BD4"/>
  <c r="AY5"/>
  <c r="AZ5"/>
  <c r="AY6"/>
  <c r="AZ6"/>
  <c r="AY7"/>
  <c r="AZ7"/>
  <c r="AY8"/>
  <c r="AZ8"/>
  <c r="AY9"/>
  <c r="AZ9"/>
  <c r="AY10"/>
  <c r="AZ10"/>
  <c r="AY4"/>
  <c r="AZ4"/>
  <c r="AX5"/>
  <c r="AX6"/>
  <c r="AX7"/>
  <c r="AX8"/>
  <c r="AX9"/>
  <c r="AX10"/>
  <c r="AX4"/>
  <c r="AT4"/>
  <c r="AU4"/>
  <c r="AT5"/>
  <c r="AU5"/>
  <c r="AT6"/>
  <c r="AU6"/>
  <c r="AT7"/>
  <c r="AU7"/>
  <c r="AT8"/>
  <c r="AU8"/>
  <c r="AT9"/>
  <c r="AU9"/>
  <c r="AT10"/>
  <c r="AU10"/>
  <c r="AO4"/>
  <c r="AP4"/>
  <c r="P4" i="4"/>
  <c r="Q4"/>
  <c r="AJ4" i="2"/>
  <c r="AK4"/>
  <c r="AO5"/>
  <c r="AP5"/>
  <c r="AO6"/>
  <c r="AP6"/>
  <c r="AO7"/>
  <c r="AP7"/>
  <c r="AO8"/>
  <c r="AP8"/>
  <c r="AO9"/>
  <c r="AP9"/>
  <c r="AO10"/>
  <c r="AP10"/>
  <c r="AJ5"/>
  <c r="AK5"/>
  <c r="AJ6"/>
  <c r="AK6"/>
  <c r="AJ7"/>
  <c r="AK7"/>
  <c r="AJ8"/>
  <c r="AK8"/>
  <c r="AJ9"/>
  <c r="AK9"/>
  <c r="AJ10"/>
  <c r="AK10"/>
  <c r="AE5"/>
  <c r="AF5"/>
  <c r="AE6"/>
  <c r="AF6"/>
  <c r="AE7"/>
  <c r="AF7"/>
  <c r="AE8"/>
  <c r="AF8"/>
  <c r="AE9"/>
  <c r="AF9"/>
  <c r="AE10"/>
  <c r="AF10"/>
  <c r="AE4"/>
  <c r="AF4"/>
  <c r="AD4"/>
  <c r="Z5"/>
  <c r="AA5"/>
  <c r="Z6"/>
  <c r="AA6"/>
  <c r="Z7"/>
  <c r="AA7"/>
  <c r="Z8"/>
  <c r="AA8"/>
  <c r="Z9"/>
  <c r="AA9"/>
  <c r="Z10"/>
  <c r="AA10"/>
  <c r="Z4"/>
  <c r="AA4"/>
  <c r="U5"/>
  <c r="V5"/>
  <c r="U6"/>
  <c r="V6"/>
  <c r="U7"/>
  <c r="V7"/>
  <c r="U8"/>
  <c r="V8"/>
  <c r="U9"/>
  <c r="V9"/>
  <c r="U10"/>
  <c r="V10"/>
  <c r="U4"/>
  <c r="V4"/>
  <c r="T5"/>
  <c r="T6"/>
  <c r="T7"/>
  <c r="T8"/>
  <c r="T9"/>
  <c r="T10"/>
  <c r="T4"/>
  <c r="P4"/>
  <c r="Q4"/>
  <c r="P5"/>
  <c r="P6"/>
  <c r="P7"/>
  <c r="P8"/>
  <c r="P9"/>
  <c r="P10"/>
  <c r="Q10"/>
  <c r="Q5"/>
  <c r="Q6"/>
  <c r="Q7"/>
  <c r="Q8"/>
  <c r="Q9"/>
  <c r="O4"/>
  <c r="O5"/>
  <c r="O6"/>
  <c r="O7"/>
  <c r="O8"/>
  <c r="O9"/>
  <c r="O10"/>
  <c r="K4"/>
  <c r="L4"/>
  <c r="J5"/>
  <c r="J6"/>
  <c r="J7"/>
  <c r="J8"/>
  <c r="J9"/>
  <c r="J10"/>
  <c r="J4"/>
  <c r="P4" i="3"/>
  <c r="Q4"/>
  <c r="O4" i="4"/>
  <c r="K4"/>
  <c r="L4"/>
  <c r="J4"/>
  <c r="K4" i="3"/>
  <c r="L4"/>
  <c r="J4"/>
  <c r="BH4" i="4"/>
  <c r="BH5"/>
  <c r="K5" i="2"/>
  <c r="K6"/>
  <c r="K7"/>
  <c r="K8"/>
  <c r="K9"/>
  <c r="K10"/>
  <c r="BN4" i="4"/>
  <c r="BI4"/>
  <c r="BD4"/>
  <c r="AO4"/>
  <c r="Z4"/>
  <c r="U4"/>
  <c r="K5"/>
  <c r="K6"/>
  <c r="K7"/>
  <c r="K8"/>
  <c r="K9"/>
  <c r="K10"/>
  <c r="K11"/>
  <c r="D8" i="7"/>
  <c r="F8"/>
  <c r="H8"/>
  <c r="D9"/>
  <c r="F9"/>
  <c r="H9"/>
  <c r="D10"/>
  <c r="F10"/>
  <c r="H10"/>
  <c r="D11"/>
  <c r="F11"/>
  <c r="H11"/>
  <c r="D12"/>
  <c r="F12"/>
  <c r="H12"/>
  <c r="D13"/>
  <c r="F13"/>
  <c r="H13"/>
  <c r="D14"/>
  <c r="F14"/>
  <c r="H14"/>
  <c r="D15"/>
  <c r="F15"/>
  <c r="H15"/>
  <c r="D16"/>
  <c r="F16"/>
  <c r="H16"/>
  <c r="D17"/>
  <c r="F17"/>
  <c r="H17"/>
  <c r="D18"/>
  <c r="F18"/>
  <c r="H18"/>
  <c r="B19"/>
  <c r="D19"/>
  <c r="F19"/>
  <c r="H19"/>
  <c r="R19"/>
  <c r="F27" i="4"/>
  <c r="D27"/>
  <c r="F29"/>
  <c r="BN5"/>
  <c r="BN6"/>
  <c r="BN7"/>
  <c r="BN8"/>
  <c r="BN9"/>
  <c r="BN10"/>
  <c r="BN11"/>
  <c r="BI5"/>
  <c r="BI6"/>
  <c r="BI7"/>
  <c r="BI8"/>
  <c r="BI9"/>
  <c r="BI10"/>
  <c r="BI11"/>
  <c r="BD5"/>
  <c r="BD6"/>
  <c r="BD7"/>
  <c r="BD8"/>
  <c r="BD9"/>
  <c r="BD10"/>
  <c r="BD11"/>
  <c r="AY5"/>
  <c r="AY6"/>
  <c r="AY7"/>
  <c r="AY8"/>
  <c r="AY9"/>
  <c r="AY10"/>
  <c r="AY11"/>
  <c r="AY4"/>
  <c r="AT5"/>
  <c r="AT6"/>
  <c r="AT7"/>
  <c r="AT8"/>
  <c r="AT9"/>
  <c r="AT10"/>
  <c r="AT11"/>
  <c r="AT4"/>
  <c r="AO5"/>
  <c r="AO6"/>
  <c r="AO7"/>
  <c r="AO8"/>
  <c r="AO9"/>
  <c r="AO10"/>
  <c r="AO11"/>
  <c r="AN4"/>
  <c r="AJ5"/>
  <c r="AJ6"/>
  <c r="AJ7"/>
  <c r="AJ8"/>
  <c r="AJ9"/>
  <c r="AJ10"/>
  <c r="AJ11"/>
  <c r="AJ4"/>
  <c r="AE5"/>
  <c r="AE6"/>
  <c r="AE7"/>
  <c r="AE8"/>
  <c r="AE9"/>
  <c r="AE10"/>
  <c r="AE11"/>
  <c r="AE4"/>
  <c r="Z5"/>
  <c r="Z6"/>
  <c r="Z7"/>
  <c r="Z8"/>
  <c r="Z9"/>
  <c r="Z10"/>
  <c r="Z11"/>
  <c r="U5"/>
  <c r="U6"/>
  <c r="U7"/>
  <c r="U8"/>
  <c r="U9"/>
  <c r="U10"/>
  <c r="U11"/>
  <c r="P5"/>
  <c r="P6"/>
  <c r="P7"/>
  <c r="P8"/>
  <c r="P9"/>
  <c r="P10"/>
  <c r="P11"/>
  <c r="BN5" i="3"/>
  <c r="BN6"/>
  <c r="BN7"/>
  <c r="BN8"/>
  <c r="BN9"/>
  <c r="BN4"/>
  <c r="BI5"/>
  <c r="BI6"/>
  <c r="BI7"/>
  <c r="BI8"/>
  <c r="BI9"/>
  <c r="BI4"/>
  <c r="BD5"/>
  <c r="BD6"/>
  <c r="BD7"/>
  <c r="BD8"/>
  <c r="BD9"/>
  <c r="BD4"/>
  <c r="AY5"/>
  <c r="AY6"/>
  <c r="AY7"/>
  <c r="AY8"/>
  <c r="AY9"/>
  <c r="AY4"/>
  <c r="AT5"/>
  <c r="AT6"/>
  <c r="AT7"/>
  <c r="AT8"/>
  <c r="AT9"/>
  <c r="AT4"/>
  <c r="AO5"/>
  <c r="AO6"/>
  <c r="AO7"/>
  <c r="AO8"/>
  <c r="AO9"/>
  <c r="AO4"/>
  <c r="AJ5"/>
  <c r="AJ6"/>
  <c r="AJ7"/>
  <c r="AJ8"/>
  <c r="AJ9"/>
  <c r="AJ4"/>
  <c r="AE5"/>
  <c r="AE6"/>
  <c r="AE7"/>
  <c r="AE8"/>
  <c r="AE9"/>
  <c r="AE4"/>
  <c r="Z5"/>
  <c r="Z6"/>
  <c r="Z7"/>
  <c r="Z8"/>
  <c r="Z9"/>
  <c r="Z4"/>
  <c r="U5"/>
  <c r="U6"/>
  <c r="U7"/>
  <c r="U8"/>
  <c r="U9"/>
  <c r="U4"/>
  <c r="P9"/>
  <c r="P8"/>
  <c r="P7"/>
  <c r="P5"/>
  <c r="P6"/>
  <c r="K9"/>
  <c r="K8"/>
  <c r="K7"/>
  <c r="K6"/>
  <c r="K5"/>
  <c r="E5" i="4"/>
  <c r="E6"/>
  <c r="E7"/>
  <c r="E8"/>
  <c r="E9"/>
  <c r="E10"/>
  <c r="E11"/>
  <c r="E4"/>
  <c r="E5" i="3"/>
  <c r="E6"/>
  <c r="E7"/>
  <c r="E8"/>
  <c r="E9"/>
  <c r="E4"/>
  <c r="G5" i="6"/>
  <c r="G6"/>
  <c r="G7"/>
  <c r="G8"/>
  <c r="G9"/>
  <c r="G10"/>
  <c r="G11"/>
  <c r="G4"/>
  <c r="G5" i="5"/>
  <c r="G6"/>
  <c r="G7"/>
  <c r="G8"/>
  <c r="G9"/>
  <c r="G4"/>
  <c r="G5" i="2"/>
  <c r="G6"/>
  <c r="G7"/>
  <c r="G8"/>
  <c r="G9"/>
  <c r="G10"/>
  <c r="G4"/>
  <c r="G5" i="4"/>
  <c r="G6"/>
  <c r="G7"/>
  <c r="G8"/>
  <c r="G9"/>
  <c r="G10"/>
  <c r="G11"/>
  <c r="G4"/>
  <c r="G5" i="3"/>
  <c r="G6"/>
  <c r="G7"/>
  <c r="G8"/>
  <c r="G9"/>
  <c r="G4"/>
  <c r="H14"/>
  <c r="D26"/>
  <c r="G26"/>
  <c r="AU6"/>
  <c r="J15" i="10"/>
  <c r="J14"/>
  <c r="J13"/>
  <c r="J12"/>
  <c r="J11"/>
  <c r="J10"/>
  <c r="J7"/>
  <c r="J4"/>
  <c r="J6"/>
  <c r="J5"/>
  <c r="L5" i="3"/>
  <c r="J9"/>
  <c r="I16" i="10"/>
  <c r="L10" i="2"/>
  <c r="Y10"/>
  <c r="AD10"/>
  <c r="AI10"/>
  <c r="AN10"/>
  <c r="AS10"/>
  <c r="BC10"/>
  <c r="BH10"/>
  <c r="BM10"/>
  <c r="J9" i="5"/>
  <c r="L9"/>
  <c r="O9"/>
  <c r="T9"/>
  <c r="V9"/>
  <c r="Y9"/>
  <c r="AA9"/>
  <c r="AD9"/>
  <c r="AF9"/>
  <c r="AI9"/>
  <c r="AK9"/>
  <c r="AN9"/>
  <c r="AP9"/>
  <c r="AS9"/>
  <c r="AU9"/>
  <c r="AX9"/>
  <c r="AZ9"/>
  <c r="BC9"/>
  <c r="BH9"/>
  <c r="BJ9"/>
  <c r="BM9"/>
  <c r="BO9"/>
  <c r="L9" i="3"/>
  <c r="O9"/>
  <c r="Q9"/>
  <c r="T9"/>
  <c r="V9"/>
  <c r="Y9"/>
  <c r="AA9"/>
  <c r="AD9"/>
  <c r="AF9"/>
  <c r="AI9"/>
  <c r="AK9"/>
  <c r="AN9"/>
  <c r="AP9"/>
  <c r="AS9"/>
  <c r="AU9"/>
  <c r="AX9"/>
  <c r="AZ9"/>
  <c r="BC9"/>
  <c r="BE9"/>
  <c r="BH9"/>
  <c r="BJ9"/>
  <c r="BM9"/>
  <c r="BO9"/>
  <c r="BM11" i="4"/>
  <c r="AD10"/>
  <c r="J6"/>
  <c r="J10"/>
  <c r="O6" i="6"/>
  <c r="O9"/>
  <c r="O10"/>
  <c r="O5"/>
  <c r="O7"/>
  <c r="O8"/>
  <c r="O11"/>
  <c r="O4"/>
  <c r="J5"/>
  <c r="J6"/>
  <c r="J9"/>
  <c r="J10"/>
  <c r="J7"/>
  <c r="J8"/>
  <c r="J11"/>
  <c r="J4"/>
  <c r="J5" i="3"/>
  <c r="Y9" i="6"/>
  <c r="BO4" i="3"/>
  <c r="J8" i="5"/>
  <c r="L8"/>
  <c r="O8"/>
  <c r="T8"/>
  <c r="V8"/>
  <c r="Y8"/>
  <c r="AA8"/>
  <c r="AD8"/>
  <c r="AF8"/>
  <c r="AI8"/>
  <c r="AK8"/>
  <c r="AN8"/>
  <c r="AP8"/>
  <c r="AS8"/>
  <c r="AU8"/>
  <c r="AX8"/>
  <c r="AZ8"/>
  <c r="BC8"/>
  <c r="BE8"/>
  <c r="BH8"/>
  <c r="BJ8"/>
  <c r="BM8"/>
  <c r="BO8"/>
  <c r="H26" i="6"/>
  <c r="H25"/>
  <c r="H24"/>
  <c r="H23"/>
  <c r="H22"/>
  <c r="H21"/>
  <c r="H20"/>
  <c r="H19"/>
  <c r="H18"/>
  <c r="H17"/>
  <c r="H16"/>
  <c r="H15"/>
  <c r="H26" i="5"/>
  <c r="H25"/>
  <c r="H24"/>
  <c r="H23"/>
  <c r="H22"/>
  <c r="H21"/>
  <c r="H20"/>
  <c r="H19"/>
  <c r="H18"/>
  <c r="H17"/>
  <c r="H16"/>
  <c r="H15"/>
  <c r="H26" i="2"/>
  <c r="H25"/>
  <c r="H24"/>
  <c r="H23"/>
  <c r="H22"/>
  <c r="H21"/>
  <c r="H20"/>
  <c r="H19"/>
  <c r="H18"/>
  <c r="H17"/>
  <c r="H16"/>
  <c r="H15"/>
  <c r="H16" i="4"/>
  <c r="H19"/>
  <c r="H15"/>
  <c r="H26"/>
  <c r="H25"/>
  <c r="H24"/>
  <c r="H23"/>
  <c r="H22"/>
  <c r="H21"/>
  <c r="H20"/>
  <c r="H18"/>
  <c r="H17"/>
  <c r="BO5" i="6"/>
  <c r="BO6"/>
  <c r="BO7"/>
  <c r="BO8"/>
  <c r="BO9"/>
  <c r="BO10"/>
  <c r="BO11"/>
  <c r="BO4"/>
  <c r="BJ5"/>
  <c r="BJ6"/>
  <c r="BJ7"/>
  <c r="BJ8"/>
  <c r="BJ9"/>
  <c r="BJ10"/>
  <c r="BJ11"/>
  <c r="BJ4"/>
  <c r="BE5"/>
  <c r="BE6"/>
  <c r="BE7"/>
  <c r="BE8"/>
  <c r="BE9"/>
  <c r="BE10"/>
  <c r="BE11"/>
  <c r="BE4"/>
  <c r="AZ5"/>
  <c r="AZ6"/>
  <c r="AZ7"/>
  <c r="AZ8"/>
  <c r="AZ9"/>
  <c r="AZ10"/>
  <c r="AZ11"/>
  <c r="AZ4"/>
  <c r="AU5"/>
  <c r="AU6"/>
  <c r="AU7"/>
  <c r="AU8"/>
  <c r="AU9"/>
  <c r="AU10"/>
  <c r="AU11"/>
  <c r="AU4"/>
  <c r="AN4"/>
  <c r="AI4"/>
  <c r="AP5"/>
  <c r="AP6"/>
  <c r="AP7"/>
  <c r="AP8"/>
  <c r="AP9"/>
  <c r="AP10"/>
  <c r="AP11"/>
  <c r="AP4"/>
  <c r="AK5"/>
  <c r="AK6"/>
  <c r="AK7"/>
  <c r="AK8"/>
  <c r="AK9"/>
  <c r="AK10"/>
  <c r="AK11"/>
  <c r="AK4"/>
  <c r="AF5"/>
  <c r="AF6"/>
  <c r="AF7"/>
  <c r="AF8"/>
  <c r="AF9"/>
  <c r="AF10"/>
  <c r="AF11"/>
  <c r="AF4"/>
  <c r="AA5"/>
  <c r="AA6"/>
  <c r="AA7"/>
  <c r="AA8"/>
  <c r="AA9"/>
  <c r="AA10"/>
  <c r="AA11"/>
  <c r="AA4"/>
  <c r="V5"/>
  <c r="V6"/>
  <c r="V7"/>
  <c r="V8"/>
  <c r="V9"/>
  <c r="V10"/>
  <c r="V11"/>
  <c r="Q5"/>
  <c r="Q6"/>
  <c r="Q7"/>
  <c r="Q8"/>
  <c r="Q9"/>
  <c r="Q10"/>
  <c r="Q11"/>
  <c r="Q4"/>
  <c r="L5"/>
  <c r="L6"/>
  <c r="L7"/>
  <c r="L8"/>
  <c r="L9"/>
  <c r="L10"/>
  <c r="L11"/>
  <c r="L4"/>
  <c r="BJ4" i="2"/>
  <c r="BE4"/>
  <c r="L5"/>
  <c r="L6"/>
  <c r="L7"/>
  <c r="L8"/>
  <c r="L9"/>
  <c r="BO5" i="4"/>
  <c r="BO6"/>
  <c r="BO7"/>
  <c r="BO8"/>
  <c r="BO9"/>
  <c r="BO10"/>
  <c r="BO11"/>
  <c r="BO4"/>
  <c r="BJ5"/>
  <c r="BJ6"/>
  <c r="BJ7"/>
  <c r="BJ8"/>
  <c r="BJ9"/>
  <c r="BJ10"/>
  <c r="BJ11"/>
  <c r="BJ4"/>
  <c r="BE5"/>
  <c r="BE6"/>
  <c r="BE7"/>
  <c r="BE8"/>
  <c r="BE9"/>
  <c r="BE10"/>
  <c r="BE11"/>
  <c r="BE4"/>
  <c r="BC4"/>
  <c r="AZ11"/>
  <c r="AZ5"/>
  <c r="AZ6"/>
  <c r="AZ7"/>
  <c r="AZ8"/>
  <c r="AZ9"/>
  <c r="AZ10"/>
  <c r="AZ4"/>
  <c r="AU5"/>
  <c r="AU6"/>
  <c r="AU7"/>
  <c r="AU8"/>
  <c r="AU9"/>
  <c r="AU10"/>
  <c r="AU11"/>
  <c r="AU4"/>
  <c r="AP5"/>
  <c r="AP6"/>
  <c r="AP7"/>
  <c r="AP8"/>
  <c r="AP9"/>
  <c r="AP10"/>
  <c r="AP11"/>
  <c r="AP4"/>
  <c r="AK5"/>
  <c r="AK6"/>
  <c r="AK7"/>
  <c r="AK8"/>
  <c r="AK9"/>
  <c r="AK10"/>
  <c r="AK11"/>
  <c r="AK4"/>
  <c r="AF5"/>
  <c r="AF6"/>
  <c r="AF7"/>
  <c r="AF8"/>
  <c r="AF9"/>
  <c r="AF10"/>
  <c r="AF11"/>
  <c r="AF4"/>
  <c r="AA11"/>
  <c r="AA5"/>
  <c r="AA6"/>
  <c r="AA7"/>
  <c r="AA8"/>
  <c r="AA9"/>
  <c r="AA10"/>
  <c r="AA4"/>
  <c r="V10"/>
  <c r="V11"/>
  <c r="V6"/>
  <c r="V5"/>
  <c r="T5"/>
  <c r="V7"/>
  <c r="V8"/>
  <c r="V9"/>
  <c r="V4"/>
  <c r="AF4" i="3"/>
  <c r="AD4"/>
  <c r="V4"/>
  <c r="T5"/>
  <c r="T4"/>
  <c r="O5"/>
  <c r="O4"/>
  <c r="Y4" i="4"/>
  <c r="Q5"/>
  <c r="Q6"/>
  <c r="Q7"/>
  <c r="Q8"/>
  <c r="Q9"/>
  <c r="Q10"/>
  <c r="Q11"/>
  <c r="L5"/>
  <c r="L6"/>
  <c r="L7"/>
  <c r="L8"/>
  <c r="L9"/>
  <c r="L10"/>
  <c r="L11"/>
  <c r="J5"/>
  <c r="J7"/>
  <c r="J8"/>
  <c r="J9"/>
  <c r="J11"/>
  <c r="BM11" i="6"/>
  <c r="BH11"/>
  <c r="BC11"/>
  <c r="AX11"/>
  <c r="AS11"/>
  <c r="AN11"/>
  <c r="AI11"/>
  <c r="AD11"/>
  <c r="Y11"/>
  <c r="T11"/>
  <c r="BM10"/>
  <c r="BH10"/>
  <c r="BC10"/>
  <c r="AX10"/>
  <c r="AS10"/>
  <c r="AN10"/>
  <c r="AI10"/>
  <c r="AD10"/>
  <c r="Y10"/>
  <c r="T10"/>
  <c r="BM9"/>
  <c r="BH9"/>
  <c r="BC9"/>
  <c r="AX9"/>
  <c r="AS9"/>
  <c r="AN9"/>
  <c r="AI9"/>
  <c r="AD9"/>
  <c r="T9"/>
  <c r="BM8"/>
  <c r="BH8"/>
  <c r="BC8"/>
  <c r="AX8"/>
  <c r="AS8"/>
  <c r="AN8"/>
  <c r="AI8"/>
  <c r="AD8"/>
  <c r="Y8"/>
  <c r="T8"/>
  <c r="BM7"/>
  <c r="BH7"/>
  <c r="BC7"/>
  <c r="AX7"/>
  <c r="AS7"/>
  <c r="AN7"/>
  <c r="AI7"/>
  <c r="AD7"/>
  <c r="Y7"/>
  <c r="T7"/>
  <c r="BM6"/>
  <c r="BH6"/>
  <c r="BC6"/>
  <c r="AX6"/>
  <c r="AS6"/>
  <c r="AN6"/>
  <c r="AI6"/>
  <c r="AD6"/>
  <c r="Y6"/>
  <c r="T6"/>
  <c r="BM5"/>
  <c r="BH5"/>
  <c r="BC5"/>
  <c r="AX5"/>
  <c r="AS5"/>
  <c r="AN5"/>
  <c r="AI5"/>
  <c r="AD5"/>
  <c r="Y5"/>
  <c r="T5"/>
  <c r="BM4"/>
  <c r="BH4"/>
  <c r="BC4"/>
  <c r="AX4"/>
  <c r="AS4"/>
  <c r="AD4"/>
  <c r="Y4"/>
  <c r="T4"/>
  <c r="BO7" i="5"/>
  <c r="BM7"/>
  <c r="BJ7"/>
  <c r="BH7"/>
  <c r="BE7"/>
  <c r="BC7"/>
  <c r="AZ7"/>
  <c r="AX7"/>
  <c r="AU7"/>
  <c r="AS7"/>
  <c r="AP7"/>
  <c r="AN7"/>
  <c r="AK7"/>
  <c r="AI7"/>
  <c r="AF7"/>
  <c r="AD7"/>
  <c r="AA7"/>
  <c r="Y7"/>
  <c r="V7"/>
  <c r="T7"/>
  <c r="O7"/>
  <c r="L7"/>
  <c r="J7"/>
  <c r="BO6"/>
  <c r="BM6"/>
  <c r="BJ6"/>
  <c r="BH6"/>
  <c r="BE6"/>
  <c r="BC6"/>
  <c r="AZ6"/>
  <c r="AX6"/>
  <c r="AU6"/>
  <c r="AS6"/>
  <c r="AP6"/>
  <c r="AN6"/>
  <c r="AK6"/>
  <c r="AI6"/>
  <c r="AF6"/>
  <c r="AD6"/>
  <c r="AA6"/>
  <c r="Y6"/>
  <c r="V6"/>
  <c r="T6"/>
  <c r="O6"/>
  <c r="L6"/>
  <c r="J6"/>
  <c r="BO5"/>
  <c r="BM5"/>
  <c r="BJ5"/>
  <c r="BH5"/>
  <c r="BE5"/>
  <c r="BC5"/>
  <c r="AZ5"/>
  <c r="AX5"/>
  <c r="AU5"/>
  <c r="AS5"/>
  <c r="AP5"/>
  <c r="AN5"/>
  <c r="AK5"/>
  <c r="AI5"/>
  <c r="AF5"/>
  <c r="AD5"/>
  <c r="AA5"/>
  <c r="Y5"/>
  <c r="V5"/>
  <c r="T5"/>
  <c r="O5"/>
  <c r="L5"/>
  <c r="J5"/>
  <c r="BO4"/>
  <c r="BM4"/>
  <c r="BJ4"/>
  <c r="BH4"/>
  <c r="BE4"/>
  <c r="BC4"/>
  <c r="AZ4"/>
  <c r="AX4"/>
  <c r="AU4"/>
  <c r="AS4"/>
  <c r="AP4"/>
  <c r="AN4"/>
  <c r="AK4"/>
  <c r="AI4"/>
  <c r="AD4"/>
  <c r="Y4"/>
  <c r="V4"/>
  <c r="T4"/>
  <c r="O4"/>
  <c r="L4"/>
  <c r="J4"/>
  <c r="BM9" i="2"/>
  <c r="BH9"/>
  <c r="BC9"/>
  <c r="AS9"/>
  <c r="AN9"/>
  <c r="AI9"/>
  <c r="AD9"/>
  <c r="Y9"/>
  <c r="BM8"/>
  <c r="BH8"/>
  <c r="BC8"/>
  <c r="AS8"/>
  <c r="AN8"/>
  <c r="AI8"/>
  <c r="AD8"/>
  <c r="Y8"/>
  <c r="BM7"/>
  <c r="BH7"/>
  <c r="BC7"/>
  <c r="AS7"/>
  <c r="AN7"/>
  <c r="AI7"/>
  <c r="AD7"/>
  <c r="Y7"/>
  <c r="BM6"/>
  <c r="BH6"/>
  <c r="BC6"/>
  <c r="AS6"/>
  <c r="AN6"/>
  <c r="AI6"/>
  <c r="AD6"/>
  <c r="Y6"/>
  <c r="BM5"/>
  <c r="BH5"/>
  <c r="BC5"/>
  <c r="AS5"/>
  <c r="AN5"/>
  <c r="AI5"/>
  <c r="AD5"/>
  <c r="Y5"/>
  <c r="BM4"/>
  <c r="BH4"/>
  <c r="BC4"/>
  <c r="AS4"/>
  <c r="AN4"/>
  <c r="AI4"/>
  <c r="Y4"/>
  <c r="O9" i="4"/>
  <c r="T9"/>
  <c r="Y9"/>
  <c r="AD9"/>
  <c r="AI9"/>
  <c r="AN9"/>
  <c r="AS9"/>
  <c r="AX9"/>
  <c r="BC9"/>
  <c r="BH9"/>
  <c r="BM9"/>
  <c r="O10"/>
  <c r="T10"/>
  <c r="Y10"/>
  <c r="AI10"/>
  <c r="AN10"/>
  <c r="AS10"/>
  <c r="AX10"/>
  <c r="BC10"/>
  <c r="BH10"/>
  <c r="BM10"/>
  <c r="O11"/>
  <c r="T11"/>
  <c r="Y11"/>
  <c r="AD11"/>
  <c r="AI11"/>
  <c r="AN11"/>
  <c r="AS11"/>
  <c r="AX11"/>
  <c r="BC11"/>
  <c r="BH11"/>
  <c r="BM8"/>
  <c r="BH8"/>
  <c r="BC8"/>
  <c r="AX8"/>
  <c r="AS8"/>
  <c r="AN8"/>
  <c r="AI8"/>
  <c r="AD8"/>
  <c r="Y8"/>
  <c r="T8"/>
  <c r="O8"/>
  <c r="BM7"/>
  <c r="BH7"/>
  <c r="BC7"/>
  <c r="AX7"/>
  <c r="AS7"/>
  <c r="AN7"/>
  <c r="AI7"/>
  <c r="AD7"/>
  <c r="Y7"/>
  <c r="T7"/>
  <c r="O7"/>
  <c r="BM6"/>
  <c r="BH6"/>
  <c r="BC6"/>
  <c r="AX6"/>
  <c r="AS6"/>
  <c r="AN6"/>
  <c r="AI6"/>
  <c r="AD6"/>
  <c r="Y6"/>
  <c r="T6"/>
  <c r="O6"/>
  <c r="BM5"/>
  <c r="BC5"/>
  <c r="AX5"/>
  <c r="AS5"/>
  <c r="AN5"/>
  <c r="AI5"/>
  <c r="AD5"/>
  <c r="Y5"/>
  <c r="O5"/>
  <c r="BM4"/>
  <c r="AX4"/>
  <c r="AS4"/>
  <c r="AI4"/>
  <c r="AD4"/>
  <c r="T4"/>
  <c r="H15" i="3"/>
  <c r="H16"/>
  <c r="H25"/>
  <c r="H24"/>
  <c r="H23"/>
  <c r="H22"/>
  <c r="H21"/>
  <c r="H20"/>
  <c r="H19"/>
  <c r="H18"/>
  <c r="H17"/>
  <c r="L6"/>
  <c r="L7"/>
  <c r="L8"/>
  <c r="BO5"/>
  <c r="BO6"/>
  <c r="BO7"/>
  <c r="BO8"/>
  <c r="BM5"/>
  <c r="BM6"/>
  <c r="BM7"/>
  <c r="BM8"/>
  <c r="BM4"/>
  <c r="BJ5"/>
  <c r="BJ6"/>
  <c r="BJ7"/>
  <c r="BJ8"/>
  <c r="BJ4"/>
  <c r="BH7"/>
  <c r="BH5"/>
  <c r="BH6"/>
  <c r="BH8"/>
  <c r="BH4"/>
  <c r="BE5"/>
  <c r="BE6"/>
  <c r="BE7"/>
  <c r="BE8"/>
  <c r="BE4"/>
  <c r="BC5"/>
  <c r="BC6"/>
  <c r="BC7"/>
  <c r="BC8"/>
  <c r="BC4"/>
  <c r="AZ5"/>
  <c r="AZ6"/>
  <c r="AZ7"/>
  <c r="AZ8"/>
  <c r="AZ4"/>
  <c r="AX5"/>
  <c r="AX6"/>
  <c r="AX7"/>
  <c r="AX8"/>
  <c r="AX4"/>
  <c r="AU5"/>
  <c r="AU7"/>
  <c r="AU8"/>
  <c r="AU4"/>
  <c r="AS5"/>
  <c r="AS6"/>
  <c r="AS7"/>
  <c r="AS8"/>
  <c r="AS4"/>
  <c r="AP4"/>
  <c r="AP5"/>
  <c r="AP6"/>
  <c r="AP7"/>
  <c r="AP8"/>
  <c r="AN5"/>
  <c r="AN6"/>
  <c r="AN7"/>
  <c r="AN8"/>
  <c r="AN4"/>
  <c r="AK5"/>
  <c r="AK6"/>
  <c r="AK7"/>
  <c r="AK8"/>
  <c r="AK4"/>
  <c r="AI7"/>
  <c r="AI5"/>
  <c r="AI6"/>
  <c r="AI8"/>
  <c r="AI4"/>
  <c r="AF5"/>
  <c r="AF6"/>
  <c r="AF7"/>
  <c r="AF8"/>
  <c r="AA5"/>
  <c r="AA6"/>
  <c r="AA7"/>
  <c r="AA8"/>
  <c r="AA4"/>
  <c r="V5"/>
  <c r="V6"/>
  <c r="V7"/>
  <c r="V8"/>
  <c r="Q5"/>
  <c r="Q6"/>
  <c r="Q7"/>
  <c r="Q8"/>
  <c r="AD5"/>
  <c r="AD6"/>
  <c r="AD7"/>
  <c r="AD8"/>
  <c r="Y5"/>
  <c r="Y6"/>
  <c r="Y7"/>
  <c r="Y8"/>
  <c r="Y4"/>
  <c r="T7"/>
  <c r="T6"/>
  <c r="T8"/>
  <c r="O6"/>
  <c r="O7"/>
  <c r="O8"/>
  <c r="J6"/>
  <c r="J7"/>
  <c r="J8"/>
  <c r="U12" i="7"/>
  <c r="G15" i="3"/>
  <c r="G16"/>
  <c r="G17"/>
  <c r="G18"/>
  <c r="G19"/>
  <c r="G20"/>
  <c r="G21"/>
  <c r="G22"/>
  <c r="G23"/>
  <c r="G24"/>
  <c r="G25"/>
  <c r="G14"/>
  <c r="G16" i="6"/>
  <c r="G17"/>
  <c r="G18"/>
  <c r="G19"/>
  <c r="G20"/>
  <c r="G21"/>
  <c r="G22"/>
  <c r="G23"/>
  <c r="G24"/>
  <c r="G25"/>
  <c r="G26"/>
  <c r="G15"/>
  <c r="G16" i="5"/>
  <c r="G17"/>
  <c r="G18"/>
  <c r="G19"/>
  <c r="G20"/>
  <c r="G21"/>
  <c r="G22"/>
  <c r="G23"/>
  <c r="G24"/>
  <c r="G25"/>
  <c r="G26"/>
  <c r="G15"/>
  <c r="G16" i="2"/>
  <c r="G17"/>
  <c r="G18"/>
  <c r="G19"/>
  <c r="G20"/>
  <c r="G21"/>
  <c r="G22"/>
  <c r="G23"/>
  <c r="G24"/>
  <c r="G25"/>
  <c r="G26"/>
  <c r="G15"/>
  <c r="G16" i="4"/>
  <c r="G17"/>
  <c r="G18"/>
  <c r="G19"/>
  <c r="G20"/>
  <c r="G21"/>
  <c r="G22"/>
  <c r="G23"/>
  <c r="G24"/>
  <c r="G25"/>
  <c r="G26"/>
  <c r="G15"/>
  <c r="F27" i="6"/>
  <c r="D27"/>
  <c r="F29"/>
  <c r="D27" i="5"/>
  <c r="F29"/>
  <c r="F27" i="2"/>
  <c r="G27" i="5"/>
  <c r="D27" i="2"/>
  <c r="G27" i="4"/>
  <c r="E27" i="6"/>
  <c r="C27"/>
  <c r="B27"/>
  <c r="E27" i="5"/>
  <c r="C27"/>
  <c r="B27"/>
  <c r="E27" i="4"/>
  <c r="C27"/>
  <c r="B27"/>
  <c r="E26" i="3"/>
  <c r="C26"/>
  <c r="B26"/>
  <c r="E27" i="2"/>
  <c r="C27"/>
  <c r="B27"/>
  <c r="G27" i="6"/>
  <c r="G27" i="2"/>
  <c r="U17" i="7"/>
  <c r="B20"/>
  <c r="F20"/>
  <c r="U16"/>
  <c r="T10"/>
  <c r="U15"/>
  <c r="T17"/>
  <c r="H20"/>
  <c r="T18"/>
  <c r="T16"/>
  <c r="T12"/>
  <c r="D20"/>
  <c r="U13"/>
  <c r="F26" i="3"/>
  <c r="F28"/>
  <c r="T11" i="7"/>
  <c r="T15"/>
  <c r="U18"/>
  <c r="T14"/>
  <c r="U14"/>
</calcChain>
</file>

<file path=xl/sharedStrings.xml><?xml version="1.0" encoding="utf-8"?>
<sst xmlns="http://schemas.openxmlformats.org/spreadsheetml/2006/main" count="1073" uniqueCount="223">
  <si>
    <t>AGENT</t>
  </si>
  <si>
    <t>2014 COMM</t>
  </si>
  <si>
    <t>2014 Budget</t>
  </si>
  <si>
    <t>Mark</t>
  </si>
  <si>
    <t>NBF</t>
  </si>
  <si>
    <t>Fletcher</t>
  </si>
  <si>
    <t>N/A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</si>
  <si>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</si>
  <si>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</si>
  <si>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</si>
  <si>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</si>
  <si>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</si>
  <si>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</si>
  <si>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</si>
  <si>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</si>
  <si>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</si>
  <si>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</si>
  <si>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</si>
  <si>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</si>
  <si>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F14</t>
  </si>
  <si>
    <t>F14 Sales</t>
  </si>
  <si>
    <t>F15</t>
  </si>
  <si>
    <t>F15 Sales</t>
  </si>
  <si>
    <t>Office Target</t>
  </si>
  <si>
    <t>JGS</t>
  </si>
  <si>
    <t>Jason</t>
  </si>
  <si>
    <t>Salan</t>
  </si>
  <si>
    <t>TLS</t>
  </si>
  <si>
    <t>Traci</t>
  </si>
  <si>
    <t>Stella</t>
  </si>
  <si>
    <t>SM</t>
  </si>
  <si>
    <t>Stephanie</t>
  </si>
  <si>
    <t>Michael</t>
  </si>
  <si>
    <t>MKW</t>
  </si>
  <si>
    <t>Maurie</t>
  </si>
  <si>
    <t>Walters</t>
  </si>
  <si>
    <t>RTW</t>
  </si>
  <si>
    <t>Robin</t>
  </si>
  <si>
    <t>Waterbury</t>
  </si>
  <si>
    <t>TGL</t>
  </si>
  <si>
    <t xml:space="preserve">Todd </t>
  </si>
  <si>
    <t>Lucas</t>
  </si>
  <si>
    <t>JJD</t>
  </si>
  <si>
    <t>Jeremy</t>
  </si>
  <si>
    <t>Desmier</t>
  </si>
  <si>
    <t>MWD</t>
  </si>
  <si>
    <t>Dehnert</t>
  </si>
  <si>
    <t>JL</t>
  </si>
  <si>
    <t>Jack</t>
  </si>
  <si>
    <t>Lim</t>
  </si>
  <si>
    <t>GJC</t>
  </si>
  <si>
    <t>Guy</t>
  </si>
  <si>
    <t>Coles</t>
  </si>
  <si>
    <t>DBK</t>
  </si>
  <si>
    <t>Daiman</t>
  </si>
  <si>
    <t>Kane</t>
  </si>
  <si>
    <t>TJH</t>
  </si>
  <si>
    <t>Tim</t>
  </si>
  <si>
    <t>Heavyside</t>
  </si>
  <si>
    <t>MNF</t>
  </si>
  <si>
    <t>TKL</t>
  </si>
  <si>
    <t>Thomas</t>
  </si>
  <si>
    <t>Lo</t>
  </si>
  <si>
    <t>GRL</t>
  </si>
  <si>
    <t>Gail</t>
  </si>
  <si>
    <t>Logan</t>
  </si>
  <si>
    <t>DPT</t>
  </si>
  <si>
    <t>David</t>
  </si>
  <si>
    <t>Taylor</t>
  </si>
  <si>
    <t>BEW</t>
  </si>
  <si>
    <t>Brooke</t>
  </si>
  <si>
    <t>Warwick</t>
  </si>
  <si>
    <t>SAZ</t>
  </si>
  <si>
    <t>Steven</t>
  </si>
  <si>
    <t>Zervas</t>
  </si>
  <si>
    <t>ASH</t>
  </si>
  <si>
    <t>Albert</t>
  </si>
  <si>
    <t>Hazelden</t>
  </si>
  <si>
    <t>RJW</t>
  </si>
  <si>
    <t>Reilly</t>
  </si>
  <si>
    <t>Waterfield</t>
  </si>
  <si>
    <t>JLP</t>
  </si>
  <si>
    <t>Jo</t>
  </si>
  <si>
    <t>Parker</t>
  </si>
  <si>
    <t>NJH</t>
  </si>
  <si>
    <t>Nicholas</t>
  </si>
  <si>
    <t>Holmes</t>
  </si>
  <si>
    <t>SLC</t>
  </si>
  <si>
    <t>Sam</t>
  </si>
  <si>
    <t>Camilleri</t>
  </si>
  <si>
    <t>BTW</t>
  </si>
  <si>
    <t>Ben</t>
  </si>
  <si>
    <t>Williams</t>
  </si>
  <si>
    <t>RAS</t>
  </si>
  <si>
    <t>Robert</t>
  </si>
  <si>
    <t>Sheahan</t>
  </si>
  <si>
    <t>GPK</t>
  </si>
  <si>
    <t>Graeme</t>
  </si>
  <si>
    <t>Keogh</t>
  </si>
  <si>
    <t>TN</t>
  </si>
  <si>
    <t>Troy</t>
  </si>
  <si>
    <t>Nelson</t>
  </si>
  <si>
    <t>MER</t>
  </si>
  <si>
    <t>Richardson</t>
  </si>
  <si>
    <t>CCF</t>
  </si>
  <si>
    <t>Cristina</t>
  </si>
  <si>
    <t>Fotia</t>
  </si>
  <si>
    <t>LDW</t>
  </si>
  <si>
    <t>Lachlan</t>
  </si>
  <si>
    <t>2015 Office BUDGET</t>
  </si>
  <si>
    <t>2015 TRAVEL TARGET</t>
  </si>
  <si>
    <t>FY14</t>
  </si>
  <si>
    <t>FY14 Sales</t>
  </si>
  <si>
    <t>FY15</t>
  </si>
  <si>
    <t>FY15 Sales</t>
  </si>
  <si>
    <t>2015 Office Target</t>
  </si>
  <si>
    <t xml:space="preserve">Difference </t>
  </si>
  <si>
    <t>Difference</t>
  </si>
  <si>
    <t>Balwyn North</t>
  </si>
  <si>
    <t>Canterbury</t>
  </si>
  <si>
    <t>Manningham</t>
  </si>
  <si>
    <t>Maroondah</t>
  </si>
  <si>
    <t xml:space="preserve">   </t>
  </si>
  <si>
    <t>AH</t>
  </si>
  <si>
    <t>Adam</t>
  </si>
  <si>
    <t>F&amp;P</t>
  </si>
  <si>
    <t>Hawthorn</t>
  </si>
  <si>
    <t xml:space="preserve">F15 </t>
  </si>
  <si>
    <t xml:space="preserve"> </t>
  </si>
  <si>
    <t>Actual</t>
  </si>
  <si>
    <t>Budget Target</t>
  </si>
  <si>
    <t>Total Achieved</t>
  </si>
  <si>
    <t>Target Budget</t>
  </si>
  <si>
    <t>AUG Expected</t>
  </si>
  <si>
    <t>AUG % Achieved</t>
  </si>
  <si>
    <t>YTD Expected</t>
  </si>
  <si>
    <t>YTD % Achieved</t>
  </si>
  <si>
    <t>SEP Expected</t>
  </si>
  <si>
    <t>SEP % Achieved</t>
  </si>
  <si>
    <t>OCT Expected</t>
  </si>
  <si>
    <t>OCT % Achieved</t>
  </si>
  <si>
    <t>NOV Expected</t>
  </si>
  <si>
    <t>NOV % Achieved</t>
  </si>
  <si>
    <t>DEC Expected</t>
  </si>
  <si>
    <t>DEC % Achieved</t>
  </si>
  <si>
    <t>JAN Expected</t>
  </si>
  <si>
    <t>JAN % Achieved</t>
  </si>
  <si>
    <t>FEB Expected</t>
  </si>
  <si>
    <t>FEB % Achieved</t>
  </si>
  <si>
    <t>MAR Expected</t>
  </si>
  <si>
    <t>MAR % Achieved</t>
  </si>
  <si>
    <t>APR Expected</t>
  </si>
  <si>
    <t>APR % Achieved</t>
  </si>
  <si>
    <t>MAY Expected</t>
  </si>
  <si>
    <t>MAY % Achieved</t>
  </si>
  <si>
    <t>JUN Expected</t>
  </si>
  <si>
    <t>JUN % Achieved</t>
  </si>
  <si>
    <t>JUL Expected</t>
  </si>
  <si>
    <t>JUL % Achieved</t>
  </si>
  <si>
    <t xml:space="preserve"> % budget achieved each month</t>
  </si>
  <si>
    <t>Budget</t>
  </si>
  <si>
    <t>LRS</t>
  </si>
  <si>
    <t>Luke</t>
  </si>
  <si>
    <t>Kelly</t>
  </si>
  <si>
    <t>KZS</t>
  </si>
  <si>
    <t xml:space="preserve">Nick </t>
  </si>
  <si>
    <t>Steve</t>
  </si>
  <si>
    <t xml:space="preserve">Rod </t>
  </si>
  <si>
    <t>SLS</t>
  </si>
  <si>
    <t>Sun*</t>
  </si>
  <si>
    <t>Schumann*</t>
  </si>
  <si>
    <t>Burton*</t>
  </si>
  <si>
    <t>Harris*</t>
  </si>
  <si>
    <t>Simms*</t>
  </si>
  <si>
    <t>Overall % of Office Target Achieved</t>
  </si>
  <si>
    <t>YTD % Target Achieved</t>
  </si>
  <si>
    <t>YTD % of each Office Budget Achieved</t>
  </si>
  <si>
    <t>RB</t>
  </si>
  <si>
    <t>Blackburn</t>
  </si>
  <si>
    <t>Agent</t>
  </si>
  <si>
    <t>2015 Budget</t>
  </si>
  <si>
    <t>2015 Travel</t>
  </si>
  <si>
    <t>2016 Budget</t>
  </si>
  <si>
    <t>2016 Travel</t>
  </si>
  <si>
    <t xml:space="preserve">Balwyn </t>
  </si>
  <si>
    <t>TOTAL</t>
  </si>
  <si>
    <t>%</t>
  </si>
  <si>
    <t>Cumulative YTD</t>
  </si>
  <si>
    <t/>
  </si>
  <si>
    <t>DKF</t>
  </si>
  <si>
    <t>FMM</t>
  </si>
  <si>
    <t>MFM</t>
  </si>
  <si>
    <t>NJT</t>
  </si>
  <si>
    <t xml:space="preserve">Karl </t>
  </si>
  <si>
    <t xml:space="preserve">Frank </t>
  </si>
  <si>
    <t xml:space="preserve">Michael </t>
  </si>
  <si>
    <t xml:space="preserve">Nigel </t>
  </si>
  <si>
    <t>Fitch*</t>
  </si>
  <si>
    <t>Millington*</t>
  </si>
  <si>
    <t>Milington*</t>
  </si>
  <si>
    <t>Terace*</t>
  </si>
  <si>
    <t>Glen Iris</t>
  </si>
  <si>
    <t>Glen Waverley</t>
  </si>
  <si>
    <t xml:space="preserve">Kelly </t>
  </si>
  <si>
    <t>Sandro</t>
  </si>
  <si>
    <t>SS</t>
  </si>
  <si>
    <t xml:space="preserve">Sandro </t>
  </si>
  <si>
    <t>Savio*</t>
  </si>
  <si>
    <t>*part year</t>
  </si>
  <si>
    <t xml:space="preserve">                                              </t>
  </si>
  <si>
    <t>HAWTHORN</t>
  </si>
  <si>
    <t>BJA</t>
  </si>
  <si>
    <t>Belinda</t>
  </si>
  <si>
    <t>MRS</t>
  </si>
  <si>
    <t>GAB</t>
  </si>
  <si>
    <t>George</t>
  </si>
  <si>
    <t>Bushby</t>
  </si>
  <si>
    <t>S?S</t>
  </si>
  <si>
    <t>Anderson*</t>
  </si>
  <si>
    <t>Salvati*</t>
  </si>
  <si>
    <t>Camilleri*</t>
  </si>
  <si>
    <t xml:space="preserve">*depicts agents who started/ended with Fletchers during the financial year. The office target field has been adjusted for the period they weren't/were at Fletchers. The Office Budget shows a FY budget, and for agents who started/ended with fletchers, this has been taken account in the target figures. </t>
  </si>
  <si>
    <t>Bushby*</t>
  </si>
</sst>
</file>

<file path=xl/styles.xml><?xml version="1.0" encoding="utf-8"?>
<styleSheet xmlns="http://schemas.openxmlformats.org/spreadsheetml/2006/main">
  <numFmts count="8">
    <numFmt numFmtId="44" formatCode="_-&quot;$&quot;* #,##0.00_-;\-&quot;$&quot;* #,##0.00_-;_-&quot;$&quot;* &quot;-&quot;??_-;_-@_-"/>
    <numFmt numFmtId="164" formatCode="&quot;$&quot;#,##0.00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_-&quot;$&quot;* #,##0_-;\-&quot;$&quot;* #,##0_-;_-&quot;$&quot;* &quot;-&quot;??_-;_-@_-"/>
    <numFmt numFmtId="170" formatCode="&quot;$&quot;#,##0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name val="Agfa Rotis Serif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Agfa Rotis Serif"/>
    </font>
    <font>
      <strike/>
      <sz val="1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9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2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34" borderId="0" applyNumberFormat="0" applyBorder="0" applyAlignment="0" applyProtection="0"/>
    <xf numFmtId="0" fontId="23" fillId="51" borderId="10" applyNumberFormat="0" applyAlignment="0" applyProtection="0"/>
    <xf numFmtId="0" fontId="24" fillId="52" borderId="11" applyNumberFormat="0" applyAlignment="0" applyProtection="0"/>
    <xf numFmtId="44" fontId="18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35" borderId="0" applyNumberFormat="0" applyBorder="0" applyAlignment="0" applyProtection="0"/>
    <xf numFmtId="0" fontId="27" fillId="0" borderId="12" applyNumberFormat="0" applyFill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29" fillId="0" borderId="0" applyNumberFormat="0" applyFill="0" applyBorder="0" applyAlignment="0" applyProtection="0"/>
    <xf numFmtId="0" fontId="30" fillId="38" borderId="10" applyNumberFormat="0" applyAlignment="0" applyProtection="0"/>
    <xf numFmtId="0" fontId="31" fillId="0" borderId="15" applyNumberFormat="0" applyFill="0" applyAlignment="0" applyProtection="0"/>
    <xf numFmtId="0" fontId="32" fillId="53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8" borderId="8" applyNumberFormat="0" applyFont="0" applyAlignment="0" applyProtection="0"/>
    <xf numFmtId="0" fontId="20" fillId="54" borderId="16" applyNumberFormat="0" applyFont="0" applyAlignment="0" applyProtection="0"/>
    <xf numFmtId="0" fontId="33" fillId="51" borderId="17" applyNumberFormat="0" applyAlignment="0" applyProtection="0"/>
    <xf numFmtId="9" fontId="2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8" applyNumberFormat="0" applyFill="0" applyAlignment="0" applyProtection="0"/>
    <xf numFmtId="0" fontId="36" fillId="0" borderId="0" applyNumberForma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1" fillId="8" borderId="8" applyNumberFormat="0" applyFont="0" applyAlignment="0" applyProtection="0"/>
  </cellStyleXfs>
  <cellXfs count="425">
    <xf numFmtId="0" fontId="0" fillId="0" borderId="0" xfId="0"/>
    <xf numFmtId="44" fontId="0" fillId="0" borderId="0" xfId="0" applyNumberFormat="1"/>
    <xf numFmtId="44" fontId="19" fillId="55" borderId="0" xfId="70" applyFont="1" applyFill="1" applyBorder="1" applyAlignment="1">
      <alignment wrapText="1"/>
    </xf>
    <xf numFmtId="0" fontId="0" fillId="0" borderId="0" xfId="0"/>
    <xf numFmtId="44" fontId="0" fillId="0" borderId="34" xfId="1" applyFont="1" applyBorder="1"/>
    <xf numFmtId="168" fontId="41" fillId="60" borderId="30" xfId="123" applyNumberFormat="1" applyFont="1" applyFill="1" applyBorder="1" applyAlignment="1"/>
    <xf numFmtId="168" fontId="41" fillId="60" borderId="34" xfId="123" applyNumberFormat="1" applyFont="1" applyFill="1" applyBorder="1" applyAlignment="1"/>
    <xf numFmtId="0" fontId="0" fillId="0" borderId="43" xfId="0" applyBorder="1"/>
    <xf numFmtId="0" fontId="16" fillId="0" borderId="28" xfId="0" applyFont="1" applyBorder="1"/>
    <xf numFmtId="0" fontId="0" fillId="0" borderId="29" xfId="0" applyBorder="1"/>
    <xf numFmtId="44" fontId="0" fillId="0" borderId="35" xfId="1" applyFont="1" applyBorder="1"/>
    <xf numFmtId="0" fontId="0" fillId="0" borderId="36" xfId="0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16" fillId="0" borderId="42" xfId="0" applyFont="1" applyBorder="1" applyAlignment="1">
      <alignment horizontal="center"/>
    </xf>
    <xf numFmtId="44" fontId="0" fillId="56" borderId="35" xfId="1" applyFont="1" applyFill="1" applyBorder="1"/>
    <xf numFmtId="44" fontId="0" fillId="0" borderId="38" xfId="0" applyNumberFormat="1" applyBorder="1"/>
    <xf numFmtId="44" fontId="0" fillId="0" borderId="33" xfId="0" applyNumberFormat="1" applyBorder="1"/>
    <xf numFmtId="44" fontId="0" fillId="0" borderId="32" xfId="1" applyFont="1" applyBorder="1"/>
    <xf numFmtId="165" fontId="41" fillId="60" borderId="37" xfId="124" applyNumberFormat="1" applyFont="1" applyFill="1" applyBorder="1" applyAlignment="1"/>
    <xf numFmtId="3" fontId="41" fillId="60" borderId="38" xfId="98" applyNumberFormat="1" applyFont="1" applyFill="1" applyBorder="1" applyAlignment="1">
      <alignment horizontal="center"/>
    </xf>
    <xf numFmtId="1" fontId="41" fillId="60" borderId="38" xfId="98" applyNumberFormat="1" applyFont="1" applyFill="1" applyBorder="1" applyAlignment="1">
      <alignment horizontal="center"/>
    </xf>
    <xf numFmtId="168" fontId="41" fillId="60" borderId="37" xfId="123" applyNumberFormat="1" applyFont="1" applyFill="1" applyBorder="1" applyAlignment="1"/>
    <xf numFmtId="1" fontId="41" fillId="60" borderId="31" xfId="98" applyNumberFormat="1" applyFont="1" applyFill="1" applyBorder="1" applyAlignment="1">
      <alignment horizontal="center"/>
    </xf>
    <xf numFmtId="0" fontId="0" fillId="0" borderId="44" xfId="0" applyBorder="1" applyAlignment="1">
      <alignment horizontal="center"/>
    </xf>
    <xf numFmtId="44" fontId="0" fillId="0" borderId="41" xfId="1" applyFont="1" applyBorder="1"/>
    <xf numFmtId="0" fontId="0" fillId="0" borderId="42" xfId="0" applyBorder="1" applyAlignment="1">
      <alignment horizontal="center"/>
    </xf>
    <xf numFmtId="164" fontId="19" fillId="55" borderId="0" xfId="0" applyNumberFormat="1" applyFont="1" applyFill="1" applyBorder="1"/>
    <xf numFmtId="0" fontId="19" fillId="55" borderId="0" xfId="0" applyFont="1" applyFill="1" applyBorder="1" applyAlignment="1">
      <alignment wrapText="1"/>
    </xf>
    <xf numFmtId="0" fontId="16" fillId="0" borderId="0" xfId="0" applyFont="1"/>
    <xf numFmtId="0" fontId="0" fillId="0" borderId="0" xfId="0"/>
    <xf numFmtId="1" fontId="41" fillId="60" borderId="33" xfId="98" applyNumberFormat="1" applyFont="1" applyFill="1" applyBorder="1" applyAlignment="1">
      <alignment horizontal="center"/>
    </xf>
    <xf numFmtId="0" fontId="0" fillId="0" borderId="0" xfId="0"/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164" fontId="19" fillId="55" borderId="21" xfId="0" applyNumberFormat="1" applyFont="1" applyFill="1" applyBorder="1"/>
    <xf numFmtId="44" fontId="19" fillId="57" borderId="21" xfId="70" applyFont="1" applyFill="1" applyBorder="1"/>
    <xf numFmtId="44" fontId="38" fillId="59" borderId="21" xfId="70" applyFont="1" applyFill="1" applyBorder="1"/>
    <xf numFmtId="0" fontId="0" fillId="0" borderId="0" xfId="0"/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0" fontId="0" fillId="0" borderId="0" xfId="0"/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0" fontId="0" fillId="0" borderId="0" xfId="0"/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0" fontId="0" fillId="0" borderId="0" xfId="0"/>
    <xf numFmtId="0" fontId="19" fillId="55" borderId="24" xfId="0" applyFont="1" applyFill="1" applyBorder="1" applyAlignment="1">
      <alignment wrapText="1"/>
    </xf>
    <xf numFmtId="0" fontId="19" fillId="55" borderId="25" xfId="0" applyFont="1" applyFill="1" applyBorder="1" applyAlignment="1">
      <alignment wrapText="1"/>
    </xf>
    <xf numFmtId="44" fontId="19" fillId="55" borderId="25" xfId="70" applyFont="1" applyFill="1" applyBorder="1" applyAlignment="1">
      <alignment wrapText="1"/>
    </xf>
    <xf numFmtId="0" fontId="0" fillId="0" borderId="0" xfId="0"/>
    <xf numFmtId="0" fontId="19" fillId="55" borderId="21" xfId="0" applyFont="1" applyFill="1" applyBorder="1" applyAlignment="1">
      <alignment wrapText="1"/>
    </xf>
    <xf numFmtId="0" fontId="0" fillId="0" borderId="0" xfId="0"/>
    <xf numFmtId="165" fontId="41" fillId="60" borderId="37" xfId="124" applyNumberFormat="1" applyFont="1" applyFill="1" applyBorder="1" applyAlignment="1"/>
    <xf numFmtId="3" fontId="41" fillId="60" borderId="38" xfId="98" applyNumberFormat="1" applyFont="1" applyFill="1" applyBorder="1" applyAlignment="1">
      <alignment horizontal="center"/>
    </xf>
    <xf numFmtId="1" fontId="41" fillId="60" borderId="38" xfId="98" applyNumberFormat="1" applyFont="1" applyFill="1" applyBorder="1" applyAlignment="1">
      <alignment horizontal="center"/>
    </xf>
    <xf numFmtId="168" fontId="41" fillId="60" borderId="37" xfId="123" applyNumberFormat="1" applyFont="1" applyFill="1" applyBorder="1" applyAlignment="1"/>
    <xf numFmtId="0" fontId="0" fillId="0" borderId="0" xfId="0" applyAlignment="1">
      <alignment horizontal="right"/>
    </xf>
    <xf numFmtId="0" fontId="0" fillId="0" borderId="0" xfId="0"/>
    <xf numFmtId="44" fontId="19" fillId="57" borderId="21" xfId="70" applyFont="1" applyFill="1" applyBorder="1"/>
    <xf numFmtId="0" fontId="19" fillId="55" borderId="21" xfId="0" applyFont="1" applyFill="1" applyBorder="1" applyAlignment="1">
      <alignment wrapText="1"/>
    </xf>
    <xf numFmtId="44" fontId="19" fillId="55" borderId="21" xfId="70" applyFont="1" applyFill="1" applyBorder="1" applyAlignment="1">
      <alignment wrapText="1"/>
    </xf>
    <xf numFmtId="44" fontId="19" fillId="59" borderId="21" xfId="70" applyFont="1" applyFill="1" applyBorder="1"/>
    <xf numFmtId="168" fontId="41" fillId="60" borderId="37" xfId="123" applyNumberFormat="1" applyFont="1" applyFill="1" applyBorder="1" applyAlignment="1"/>
    <xf numFmtId="1" fontId="41" fillId="60" borderId="38" xfId="98" applyNumberFormat="1" applyFont="1" applyFill="1" applyBorder="1" applyAlignment="1">
      <alignment horizontal="center"/>
    </xf>
    <xf numFmtId="3" fontId="41" fillId="60" borderId="38" xfId="98" applyNumberFormat="1" applyFont="1" applyFill="1" applyBorder="1" applyAlignment="1">
      <alignment horizontal="center"/>
    </xf>
    <xf numFmtId="168" fontId="41" fillId="60" borderId="37" xfId="123" applyNumberFormat="1" applyFont="1" applyFill="1" applyBorder="1"/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0" fontId="0" fillId="0" borderId="0" xfId="0"/>
    <xf numFmtId="165" fontId="41" fillId="60" borderId="39" xfId="98" applyNumberFormat="1" applyFont="1" applyFill="1" applyBorder="1" applyAlignment="1"/>
    <xf numFmtId="1" fontId="41" fillId="60" borderId="40" xfId="98" applyNumberFormat="1" applyFont="1" applyFill="1" applyBorder="1" applyAlignment="1">
      <alignment horizontal="center"/>
    </xf>
    <xf numFmtId="3" fontId="41" fillId="60" borderId="40" xfId="98" applyNumberFormat="1" applyFont="1" applyFill="1" applyBorder="1" applyAlignment="1">
      <alignment horizontal="center"/>
    </xf>
    <xf numFmtId="168" fontId="41" fillId="60" borderId="39" xfId="123" applyNumberFormat="1" applyFont="1" applyFill="1" applyBorder="1" applyAlignment="1"/>
    <xf numFmtId="1" fontId="41" fillId="60" borderId="38" xfId="98" applyNumberFormat="1" applyFont="1" applyFill="1" applyBorder="1" applyAlignment="1">
      <alignment horizontal="center"/>
    </xf>
    <xf numFmtId="0" fontId="0" fillId="0" borderId="0" xfId="0"/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44" fontId="19" fillId="57" borderId="21" xfId="70" applyFont="1" applyFill="1" applyBorder="1"/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0" fontId="0" fillId="0" borderId="0" xfId="0"/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0" fontId="0" fillId="0" borderId="0" xfId="0"/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0" fontId="0" fillId="0" borderId="0" xfId="0"/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0" fontId="0" fillId="0" borderId="0" xfId="0"/>
    <xf numFmtId="0" fontId="0" fillId="0" borderId="0" xfId="0" applyBorder="1"/>
    <xf numFmtId="9" fontId="0" fillId="0" borderId="0" xfId="2" applyFont="1" applyBorder="1"/>
    <xf numFmtId="44" fontId="0" fillId="0" borderId="41" xfId="2" applyNumberFormat="1" applyFont="1" applyBorder="1" applyAlignment="1">
      <alignment horizontal="center"/>
    </xf>
    <xf numFmtId="9" fontId="0" fillId="0" borderId="27" xfId="2" applyFont="1" applyBorder="1" applyAlignment="1">
      <alignment horizontal="center" vertical="center"/>
    </xf>
    <xf numFmtId="44" fontId="0" fillId="0" borderId="31" xfId="0" applyNumberFormat="1" applyBorder="1"/>
    <xf numFmtId="44" fontId="0" fillId="56" borderId="30" xfId="1" applyFont="1" applyFill="1" applyBorder="1"/>
    <xf numFmtId="0" fontId="0" fillId="0" borderId="0" xfId="0"/>
    <xf numFmtId="0" fontId="42" fillId="0" borderId="0" xfId="0" applyFont="1"/>
    <xf numFmtId="0" fontId="16" fillId="0" borderId="27" xfId="0" applyFont="1" applyBorder="1" applyAlignment="1">
      <alignment horizontal="center" vertical="center" wrapText="1"/>
    </xf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44" fontId="19" fillId="57" borderId="21" xfId="70" applyFont="1" applyFill="1" applyBorder="1"/>
    <xf numFmtId="44" fontId="19" fillId="59" borderId="21" xfId="70" applyFont="1" applyFill="1" applyBorder="1"/>
    <xf numFmtId="44" fontId="38" fillId="59" borderId="21" xfId="70" applyFont="1" applyFill="1" applyBorder="1"/>
    <xf numFmtId="164" fontId="19" fillId="55" borderId="21" xfId="0" applyNumberFormat="1" applyFont="1" applyFill="1" applyBorder="1"/>
    <xf numFmtId="0" fontId="0" fillId="0" borderId="43" xfId="0" applyBorder="1"/>
    <xf numFmtId="44" fontId="0" fillId="0" borderId="35" xfId="1" applyFont="1" applyBorder="1"/>
    <xf numFmtId="0" fontId="16" fillId="0" borderId="41" xfId="0" applyFont="1" applyBorder="1" applyAlignment="1">
      <alignment horizontal="center"/>
    </xf>
    <xf numFmtId="0" fontId="16" fillId="0" borderId="42" xfId="0" applyFont="1" applyBorder="1" applyAlignment="1">
      <alignment horizontal="center"/>
    </xf>
    <xf numFmtId="44" fontId="0" fillId="0" borderId="36" xfId="0" applyNumberFormat="1" applyBorder="1"/>
    <xf numFmtId="44" fontId="0" fillId="56" borderId="37" xfId="1" applyFont="1" applyFill="1" applyBorder="1"/>
    <xf numFmtId="44" fontId="0" fillId="56" borderId="34" xfId="1" applyFont="1" applyFill="1" applyBorder="1"/>
    <xf numFmtId="44" fontId="0" fillId="0" borderId="41" xfId="1" applyFont="1" applyBorder="1"/>
    <xf numFmtId="0" fontId="0" fillId="0" borderId="42" xfId="0" applyBorder="1" applyAlignment="1">
      <alignment horizontal="center"/>
    </xf>
    <xf numFmtId="9" fontId="0" fillId="0" borderId="27" xfId="2" applyFont="1" applyBorder="1" applyAlignment="1">
      <alignment horizontal="center" vertical="center"/>
    </xf>
    <xf numFmtId="0" fontId="16" fillId="0" borderId="45" xfId="0" applyFont="1" applyBorder="1" applyAlignment="1">
      <alignment horizontal="center"/>
    </xf>
    <xf numFmtId="0" fontId="16" fillId="0" borderId="46" xfId="0" applyFont="1" applyBorder="1" applyAlignment="1">
      <alignment horizontal="center"/>
    </xf>
    <xf numFmtId="44" fontId="0" fillId="0" borderId="42" xfId="0" applyNumberFormat="1" applyBorder="1"/>
    <xf numFmtId="44" fontId="0" fillId="56" borderId="48" xfId="1" applyFont="1" applyFill="1" applyBorder="1"/>
    <xf numFmtId="164" fontId="19" fillId="55" borderId="21" xfId="0" applyNumberFormat="1" applyFont="1" applyFill="1" applyBorder="1" applyAlignment="1">
      <alignment horizontal="center"/>
    </xf>
    <xf numFmtId="0" fontId="43" fillId="0" borderId="0" xfId="0" applyFont="1"/>
    <xf numFmtId="10" fontId="0" fillId="0" borderId="0" xfId="2" applyNumberFormat="1" applyFont="1"/>
    <xf numFmtId="0" fontId="42" fillId="0" borderId="0" xfId="0" applyFont="1" applyAlignment="1">
      <alignment horizontal="left"/>
    </xf>
    <xf numFmtId="0" fontId="0" fillId="0" borderId="0" xfId="0"/>
    <xf numFmtId="44" fontId="37" fillId="58" borderId="20" xfId="70" applyFont="1" applyFill="1" applyBorder="1" applyAlignment="1">
      <alignment horizontal="center" vertical="center" wrapText="1"/>
    </xf>
    <xf numFmtId="0" fontId="37" fillId="58" borderId="21" xfId="0" applyFont="1" applyFill="1" applyBorder="1" applyAlignment="1">
      <alignment horizontal="center" vertical="center"/>
    </xf>
    <xf numFmtId="44" fontId="37" fillId="58" borderId="21" xfId="70" applyFont="1" applyFill="1" applyBorder="1" applyAlignment="1">
      <alignment horizontal="center" vertical="center"/>
    </xf>
    <xf numFmtId="44" fontId="39" fillId="58" borderId="21" xfId="70" applyFont="1" applyFill="1" applyBorder="1" applyAlignment="1">
      <alignment horizontal="center" vertical="center"/>
    </xf>
    <xf numFmtId="44" fontId="0" fillId="0" borderId="49" xfId="0" applyNumberFormat="1" applyBorder="1"/>
    <xf numFmtId="168" fontId="41" fillId="60" borderId="51" xfId="123" applyNumberFormat="1" applyFont="1" applyFill="1" applyBorder="1"/>
    <xf numFmtId="3" fontId="41" fillId="60" borderId="52" xfId="98" applyNumberFormat="1" applyFont="1" applyFill="1" applyBorder="1" applyAlignment="1">
      <alignment horizontal="center"/>
    </xf>
    <xf numFmtId="44" fontId="0" fillId="0" borderId="50" xfId="0" applyNumberFormat="1" applyBorder="1"/>
    <xf numFmtId="44" fontId="19" fillId="55" borderId="21" xfId="70" applyFont="1" applyFill="1" applyBorder="1" applyAlignment="1">
      <alignment horizontal="center" wrapText="1"/>
    </xf>
    <xf numFmtId="44" fontId="0" fillId="0" borderId="53" xfId="0" applyNumberFormat="1" applyBorder="1"/>
    <xf numFmtId="0" fontId="16" fillId="0" borderId="54" xfId="0" applyFont="1" applyBorder="1"/>
    <xf numFmtId="0" fontId="16" fillId="0" borderId="55" xfId="0" applyFont="1" applyBorder="1"/>
    <xf numFmtId="0" fontId="0" fillId="0" borderId="56" xfId="0" applyBorder="1"/>
    <xf numFmtId="0" fontId="16" fillId="0" borderId="58" xfId="0" applyFont="1" applyBorder="1"/>
    <xf numFmtId="44" fontId="0" fillId="0" borderId="47" xfId="0" applyNumberFormat="1" applyBorder="1"/>
    <xf numFmtId="44" fontId="0" fillId="0" borderId="61" xfId="0" applyNumberFormat="1" applyBorder="1"/>
    <xf numFmtId="9" fontId="0" fillId="0" borderId="0" xfId="2" applyFont="1" applyBorder="1" applyAlignment="1">
      <alignment horizontal="center" vertical="center"/>
    </xf>
    <xf numFmtId="44" fontId="0" fillId="56" borderId="50" xfId="0" applyNumberFormat="1" applyFill="1" applyBorder="1"/>
    <xf numFmtId="0" fontId="45" fillId="57" borderId="27" xfId="0" applyFont="1" applyFill="1" applyBorder="1" applyAlignment="1">
      <alignment horizontal="center" vertical="center" wrapText="1"/>
    </xf>
    <xf numFmtId="0" fontId="16" fillId="0" borderId="56" xfId="0" applyFont="1" applyBorder="1" applyAlignment="1">
      <alignment horizontal="center" vertical="center"/>
    </xf>
    <xf numFmtId="0" fontId="44" fillId="0" borderId="64" xfId="0" applyFont="1" applyFill="1" applyBorder="1" applyAlignment="1">
      <alignment horizontal="left" vertical="center" wrapText="1"/>
    </xf>
    <xf numFmtId="9" fontId="0" fillId="0" borderId="62" xfId="2" applyFont="1" applyBorder="1" applyAlignment="1">
      <alignment horizontal="center" vertical="center"/>
    </xf>
    <xf numFmtId="44" fontId="38" fillId="59" borderId="50" xfId="70" applyFont="1" applyFill="1" applyBorder="1"/>
    <xf numFmtId="9" fontId="0" fillId="0" borderId="38" xfId="2" applyFont="1" applyBorder="1"/>
    <xf numFmtId="0" fontId="0" fillId="57" borderId="27" xfId="0" applyFill="1" applyBorder="1" applyAlignment="1">
      <alignment horizontal="center" vertical="center"/>
    </xf>
    <xf numFmtId="0" fontId="39" fillId="58" borderId="21" xfId="0" applyFont="1" applyFill="1" applyBorder="1" applyAlignment="1">
      <alignment horizontal="center" vertical="center" wrapText="1"/>
    </xf>
    <xf numFmtId="0" fontId="38" fillId="0" borderId="0" xfId="0" applyFont="1"/>
    <xf numFmtId="44" fontId="38" fillId="56" borderId="50" xfId="0" applyNumberFormat="1" applyFont="1" applyFill="1" applyBorder="1"/>
    <xf numFmtId="9" fontId="38" fillId="56" borderId="50" xfId="2" applyFont="1" applyFill="1" applyBorder="1"/>
    <xf numFmtId="44" fontId="38" fillId="56" borderId="21" xfId="0" applyNumberFormat="1" applyFont="1" applyFill="1" applyBorder="1"/>
    <xf numFmtId="9" fontId="38" fillId="56" borderId="21" xfId="2" applyFont="1" applyFill="1" applyBorder="1"/>
    <xf numFmtId="44" fontId="38" fillId="0" borderId="21" xfId="0" applyNumberFormat="1" applyFont="1" applyBorder="1"/>
    <xf numFmtId="44" fontId="38" fillId="0" borderId="0" xfId="0" applyNumberFormat="1" applyFont="1" applyBorder="1"/>
    <xf numFmtId="44" fontId="38" fillId="0" borderId="0" xfId="0" applyNumberFormat="1" applyFont="1"/>
    <xf numFmtId="169" fontId="38" fillId="56" borderId="50" xfId="0" applyNumberFormat="1" applyFont="1" applyFill="1" applyBorder="1"/>
    <xf numFmtId="169" fontId="38" fillId="56" borderId="21" xfId="0" applyNumberFormat="1" applyFont="1" applyFill="1" applyBorder="1"/>
    <xf numFmtId="170" fontId="19" fillId="55" borderId="21" xfId="0" applyNumberFormat="1" applyFont="1" applyFill="1" applyBorder="1"/>
    <xf numFmtId="169" fontId="19" fillId="57" borderId="21" xfId="70" applyNumberFormat="1" applyFont="1" applyFill="1" applyBorder="1"/>
    <xf numFmtId="169" fontId="38" fillId="59" borderId="21" xfId="70" applyNumberFormat="1" applyFont="1" applyFill="1" applyBorder="1"/>
    <xf numFmtId="0" fontId="46" fillId="0" borderId="0" xfId="0" applyFont="1"/>
    <xf numFmtId="0" fontId="39" fillId="62" borderId="21" xfId="0" applyFont="1" applyFill="1" applyBorder="1" applyAlignment="1">
      <alignment horizontal="center" vertical="center"/>
    </xf>
    <xf numFmtId="44" fontId="39" fillId="62" borderId="21" xfId="70" applyFont="1" applyFill="1" applyBorder="1" applyAlignment="1">
      <alignment horizontal="center" vertical="center"/>
    </xf>
    <xf numFmtId="0" fontId="39" fillId="62" borderId="67" xfId="0" applyFont="1" applyFill="1" applyBorder="1" applyAlignment="1">
      <alignment horizontal="center" vertical="center"/>
    </xf>
    <xf numFmtId="0" fontId="47" fillId="0" borderId="43" xfId="0" applyFont="1" applyBorder="1"/>
    <xf numFmtId="0" fontId="48" fillId="0" borderId="41" xfId="0" applyFont="1" applyBorder="1" applyAlignment="1">
      <alignment horizontal="center"/>
    </xf>
    <xf numFmtId="0" fontId="48" fillId="0" borderId="42" xfId="0" applyFont="1" applyBorder="1" applyAlignment="1">
      <alignment horizontal="center"/>
    </xf>
    <xf numFmtId="0" fontId="48" fillId="0" borderId="27" xfId="0" applyFont="1" applyFill="1" applyBorder="1" applyAlignment="1">
      <alignment horizontal="center"/>
    </xf>
    <xf numFmtId="0" fontId="48" fillId="0" borderId="28" xfId="0" applyFont="1" applyBorder="1"/>
    <xf numFmtId="168" fontId="49" fillId="60" borderId="37" xfId="123" applyNumberFormat="1" applyFont="1" applyFill="1" applyBorder="1" applyAlignment="1"/>
    <xf numFmtId="1" fontId="49" fillId="60" borderId="38" xfId="98" applyNumberFormat="1" applyFont="1" applyFill="1" applyBorder="1" applyAlignment="1">
      <alignment horizontal="center"/>
    </xf>
    <xf numFmtId="44" fontId="47" fillId="0" borderId="50" xfId="0" applyNumberFormat="1" applyFont="1" applyFill="1" applyBorder="1"/>
    <xf numFmtId="44" fontId="47" fillId="0" borderId="70" xfId="0" applyNumberFormat="1" applyFont="1" applyBorder="1"/>
    <xf numFmtId="9" fontId="47" fillId="0" borderId="72" xfId="2" applyFont="1" applyBorder="1"/>
    <xf numFmtId="44" fontId="47" fillId="0" borderId="47" xfId="0" applyNumberFormat="1" applyFont="1" applyBorder="1"/>
    <xf numFmtId="9" fontId="47" fillId="0" borderId="28" xfId="2" applyFont="1" applyBorder="1"/>
    <xf numFmtId="165" fontId="49" fillId="60" borderId="37" xfId="124" applyNumberFormat="1" applyFont="1" applyFill="1" applyBorder="1" applyAlignment="1"/>
    <xf numFmtId="3" fontId="49" fillId="60" borderId="38" xfId="98" applyNumberFormat="1" applyFont="1" applyFill="1" applyBorder="1" applyAlignment="1">
      <alignment horizontal="center"/>
    </xf>
    <xf numFmtId="44" fontId="47" fillId="0" borderId="44" xfId="0" applyNumberFormat="1" applyFont="1" applyBorder="1"/>
    <xf numFmtId="9" fontId="47" fillId="0" borderId="73" xfId="2" applyFont="1" applyBorder="1"/>
    <xf numFmtId="0" fontId="47" fillId="0" borderId="29" xfId="0" applyFont="1" applyBorder="1"/>
    <xf numFmtId="44" fontId="47" fillId="0" borderId="41" xfId="1" applyFont="1" applyBorder="1"/>
    <xf numFmtId="0" fontId="47" fillId="0" borderId="42" xfId="0" applyFont="1" applyBorder="1" applyAlignment="1">
      <alignment horizontal="center"/>
    </xf>
    <xf numFmtId="10" fontId="47" fillId="0" borderId="27" xfId="0" applyNumberFormat="1" applyFont="1" applyBorder="1"/>
    <xf numFmtId="164" fontId="19" fillId="55" borderId="26" xfId="0" applyNumberFormat="1" applyFont="1" applyFill="1" applyBorder="1" applyAlignment="1">
      <alignment horizontal="center"/>
    </xf>
    <xf numFmtId="0" fontId="39" fillId="63" borderId="67" xfId="0" applyFont="1" applyFill="1" applyBorder="1" applyAlignment="1">
      <alignment horizontal="center" vertical="center"/>
    </xf>
    <xf numFmtId="0" fontId="39" fillId="63" borderId="21" xfId="0" applyFont="1" applyFill="1" applyBorder="1" applyAlignment="1">
      <alignment horizontal="center" vertical="center"/>
    </xf>
    <xf numFmtId="44" fontId="38" fillId="61" borderId="21" xfId="1" applyNumberFormat="1" applyFont="1" applyFill="1" applyBorder="1" applyAlignment="1">
      <alignment wrapText="1"/>
    </xf>
    <xf numFmtId="44" fontId="38" fillId="0" borderId="21" xfId="1" applyNumberFormat="1" applyFont="1" applyBorder="1"/>
    <xf numFmtId="44" fontId="38" fillId="59" borderId="40" xfId="70" applyFont="1" applyFill="1" applyBorder="1"/>
    <xf numFmtId="44" fontId="39" fillId="62" borderId="26" xfId="70" applyFont="1" applyFill="1" applyBorder="1" applyAlignment="1">
      <alignment horizontal="center" vertical="center"/>
    </xf>
    <xf numFmtId="44" fontId="38" fillId="60" borderId="21" xfId="70" applyNumberFormat="1" applyFont="1" applyFill="1" applyBorder="1"/>
    <xf numFmtId="44" fontId="38" fillId="56" borderId="39" xfId="1" applyNumberFormat="1" applyFont="1" applyFill="1" applyBorder="1" applyAlignment="1">
      <alignment wrapText="1"/>
    </xf>
    <xf numFmtId="44" fontId="38" fillId="56" borderId="21" xfId="1" applyNumberFormat="1" applyFont="1" applyFill="1" applyBorder="1" applyAlignment="1">
      <alignment wrapText="1"/>
    </xf>
    <xf numFmtId="44" fontId="38" fillId="61" borderId="68" xfId="1" applyNumberFormat="1" applyFont="1" applyFill="1" applyBorder="1" applyAlignment="1">
      <alignment wrapText="1"/>
    </xf>
    <xf numFmtId="44" fontId="38" fillId="56" borderId="50" xfId="1" applyNumberFormat="1" applyFont="1" applyFill="1" applyBorder="1" applyAlignment="1">
      <alignment wrapText="1"/>
    </xf>
    <xf numFmtId="44" fontId="38" fillId="0" borderId="50" xfId="1" applyNumberFormat="1" applyFont="1" applyBorder="1"/>
    <xf numFmtId="44" fontId="38" fillId="56" borderId="50" xfId="1" applyNumberFormat="1" applyFont="1" applyFill="1" applyBorder="1"/>
    <xf numFmtId="44" fontId="38" fillId="0" borderId="50" xfId="0" applyNumberFormat="1" applyFont="1" applyBorder="1"/>
    <xf numFmtId="44" fontId="38" fillId="61" borderId="69" xfId="1" applyNumberFormat="1" applyFont="1" applyFill="1" applyBorder="1" applyAlignment="1">
      <alignment wrapText="1"/>
    </xf>
    <xf numFmtId="44" fontId="38" fillId="0" borderId="67" xfId="1" applyNumberFormat="1" applyFont="1" applyBorder="1"/>
    <xf numFmtId="44" fontId="38" fillId="60" borderId="21" xfId="70" applyNumberFormat="1" applyFont="1" applyFill="1" applyBorder="1" applyAlignment="1">
      <alignment horizontal="right"/>
    </xf>
    <xf numFmtId="44" fontId="38" fillId="61" borderId="74" xfId="1" applyNumberFormat="1" applyFont="1" applyFill="1" applyBorder="1" applyAlignment="1">
      <alignment wrapText="1"/>
    </xf>
    <xf numFmtId="44" fontId="38" fillId="61" borderId="75" xfId="1" applyNumberFormat="1" applyFont="1" applyFill="1" applyBorder="1" applyAlignment="1">
      <alignment wrapText="1"/>
    </xf>
    <xf numFmtId="44" fontId="38" fillId="0" borderId="26" xfId="1" applyNumberFormat="1" applyFont="1" applyBorder="1"/>
    <xf numFmtId="44" fontId="38" fillId="61" borderId="76" xfId="1" applyNumberFormat="1" applyFont="1" applyFill="1" applyBorder="1" applyAlignment="1">
      <alignment wrapText="1"/>
    </xf>
    <xf numFmtId="44" fontId="38" fillId="0" borderId="26" xfId="0" applyNumberFormat="1" applyFont="1" applyBorder="1"/>
    <xf numFmtId="9" fontId="0" fillId="0" borderId="0" xfId="2" applyFont="1"/>
    <xf numFmtId="9" fontId="39" fillId="58" borderId="21" xfId="2" applyFont="1" applyFill="1" applyBorder="1" applyAlignment="1">
      <alignment horizontal="center" vertical="center" wrapText="1"/>
    </xf>
    <xf numFmtId="9" fontId="38" fillId="56" borderId="21" xfId="2" applyFont="1" applyFill="1" applyBorder="1" applyAlignment="1">
      <alignment wrapText="1"/>
    </xf>
    <xf numFmtId="9" fontId="38" fillId="0" borderId="0" xfId="2" applyFont="1"/>
    <xf numFmtId="9" fontId="38" fillId="56" borderId="50" xfId="2" applyFont="1" applyFill="1" applyBorder="1" applyAlignment="1">
      <alignment wrapText="1"/>
    </xf>
    <xf numFmtId="9" fontId="43" fillId="0" borderId="0" xfId="2" applyFont="1"/>
    <xf numFmtId="9" fontId="38" fillId="56" borderId="26" xfId="2" applyFont="1" applyFill="1" applyBorder="1" applyAlignment="1">
      <alignment wrapText="1"/>
    </xf>
    <xf numFmtId="9" fontId="38" fillId="56" borderId="66" xfId="2" applyFont="1" applyFill="1" applyBorder="1" applyAlignment="1">
      <alignment wrapText="1"/>
    </xf>
    <xf numFmtId="9" fontId="38" fillId="56" borderId="66" xfId="2" applyFont="1" applyFill="1" applyBorder="1"/>
    <xf numFmtId="9" fontId="38" fillId="56" borderId="26" xfId="2" applyFont="1" applyFill="1" applyBorder="1"/>
    <xf numFmtId="9" fontId="0" fillId="60" borderId="0" xfId="2" applyFont="1" applyFill="1"/>
    <xf numFmtId="44" fontId="38" fillId="61" borderId="26" xfId="1" applyNumberFormat="1" applyFont="1" applyFill="1" applyBorder="1" applyAlignment="1">
      <alignment wrapText="1"/>
    </xf>
    <xf numFmtId="44" fontId="38" fillId="0" borderId="77" xfId="1" applyNumberFormat="1" applyFont="1" applyBorder="1"/>
    <xf numFmtId="44" fontId="19" fillId="55" borderId="21" xfId="1" applyFont="1" applyFill="1" applyBorder="1" applyAlignment="1">
      <alignment wrapText="1"/>
    </xf>
    <xf numFmtId="170" fontId="19" fillId="55" borderId="21" xfId="0" applyNumberFormat="1" applyFont="1" applyFill="1" applyBorder="1" applyAlignment="1">
      <alignment horizontal="center"/>
    </xf>
    <xf numFmtId="44" fontId="41" fillId="60" borderId="37" xfId="1" applyFont="1" applyFill="1" applyBorder="1" applyAlignment="1"/>
    <xf numFmtId="0" fontId="19" fillId="55" borderId="40" xfId="0" applyFont="1" applyFill="1" applyBorder="1" applyAlignment="1">
      <alignment wrapText="1"/>
    </xf>
    <xf numFmtId="0" fontId="19" fillId="55" borderId="78" xfId="0" applyFont="1" applyFill="1" applyBorder="1" applyAlignment="1">
      <alignment wrapText="1"/>
    </xf>
    <xf numFmtId="0" fontId="19" fillId="55" borderId="50" xfId="0" applyFont="1" applyFill="1" applyBorder="1" applyAlignment="1">
      <alignment wrapText="1"/>
    </xf>
    <xf numFmtId="0" fontId="16" fillId="0" borderId="27" xfId="0" applyFont="1" applyBorder="1" applyAlignment="1">
      <alignment horizontal="center"/>
    </xf>
    <xf numFmtId="0" fontId="16" fillId="0" borderId="27" xfId="0" applyFont="1" applyFill="1" applyBorder="1" applyAlignment="1">
      <alignment horizontal="center"/>
    </xf>
    <xf numFmtId="44" fontId="38" fillId="0" borderId="40" xfId="70" applyFont="1" applyFill="1" applyBorder="1" applyAlignment="1">
      <alignment horizontal="center"/>
    </xf>
    <xf numFmtId="0" fontId="16" fillId="56" borderId="27" xfId="0" applyFont="1" applyFill="1" applyBorder="1" applyAlignment="1">
      <alignment horizontal="center"/>
    </xf>
    <xf numFmtId="44" fontId="19" fillId="56" borderId="21" xfId="70" applyFont="1" applyFill="1" applyBorder="1" applyAlignment="1">
      <alignment horizontal="center"/>
    </xf>
    <xf numFmtId="10" fontId="0" fillId="0" borderId="0" xfId="0" applyNumberFormat="1"/>
    <xf numFmtId="0" fontId="48" fillId="0" borderId="54" xfId="0" applyFont="1" applyBorder="1"/>
    <xf numFmtId="168" fontId="49" fillId="60" borderId="21" xfId="123" applyNumberFormat="1" applyFont="1" applyFill="1" applyBorder="1" applyAlignment="1"/>
    <xf numFmtId="168" fontId="41" fillId="60" borderId="21" xfId="123" applyNumberFormat="1" applyFont="1" applyFill="1" applyBorder="1" applyAlignment="1"/>
    <xf numFmtId="168" fontId="41" fillId="60" borderId="21" xfId="123" applyNumberFormat="1" applyFont="1" applyFill="1" applyBorder="1"/>
    <xf numFmtId="168" fontId="41" fillId="60" borderId="40" xfId="123" applyNumberFormat="1" applyFont="1" applyFill="1" applyBorder="1" applyAlignment="1"/>
    <xf numFmtId="0" fontId="47" fillId="0" borderId="27" xfId="0" applyFont="1" applyBorder="1"/>
    <xf numFmtId="0" fontId="48" fillId="0" borderId="56" xfId="0" applyFont="1" applyFill="1" applyBorder="1" applyAlignment="1">
      <alignment horizontal="center"/>
    </xf>
    <xf numFmtId="0" fontId="47" fillId="0" borderId="56" xfId="0" applyFont="1" applyBorder="1" applyAlignment="1">
      <alignment horizontal="center"/>
    </xf>
    <xf numFmtId="0" fontId="47" fillId="0" borderId="27" xfId="0" applyFont="1" applyBorder="1" applyAlignment="1">
      <alignment horizontal="center"/>
    </xf>
    <xf numFmtId="10" fontId="0" fillId="0" borderId="21" xfId="0" applyNumberFormat="1" applyBorder="1"/>
    <xf numFmtId="0" fontId="48" fillId="56" borderId="58" xfId="0" applyFont="1" applyFill="1" applyBorder="1"/>
    <xf numFmtId="168" fontId="49" fillId="56" borderId="50" xfId="123" applyNumberFormat="1" applyFont="1" applyFill="1" applyBorder="1" applyAlignment="1"/>
    <xf numFmtId="168" fontId="41" fillId="56" borderId="50" xfId="123" applyNumberFormat="1" applyFont="1" applyFill="1" applyBorder="1" applyAlignment="1"/>
    <xf numFmtId="10" fontId="0" fillId="56" borderId="50" xfId="0" applyNumberFormat="1" applyFill="1" applyBorder="1"/>
    <xf numFmtId="0" fontId="48" fillId="56" borderId="54" xfId="0" applyFont="1" applyFill="1" applyBorder="1"/>
    <xf numFmtId="168" fontId="49" fillId="56" borderId="21" xfId="123" applyNumberFormat="1" applyFont="1" applyFill="1" applyBorder="1" applyAlignment="1"/>
    <xf numFmtId="168" fontId="41" fillId="56" borderId="40" xfId="123" applyNumberFormat="1" applyFont="1" applyFill="1" applyBorder="1" applyAlignment="1"/>
    <xf numFmtId="168" fontId="41" fillId="56" borderId="21" xfId="123" applyNumberFormat="1" applyFont="1" applyFill="1" applyBorder="1" applyAlignment="1"/>
    <xf numFmtId="168" fontId="41" fillId="56" borderId="39" xfId="123" applyNumberFormat="1" applyFont="1" applyFill="1" applyBorder="1" applyAlignment="1"/>
    <xf numFmtId="10" fontId="0" fillId="56" borderId="21" xfId="0" applyNumberFormat="1" applyFill="1" applyBorder="1"/>
    <xf numFmtId="165" fontId="49" fillId="56" borderId="21" xfId="124" applyNumberFormat="1" applyFont="1" applyFill="1" applyBorder="1" applyAlignment="1"/>
    <xf numFmtId="165" fontId="41" fillId="56" borderId="40" xfId="124" applyNumberFormat="1" applyFont="1" applyFill="1" applyBorder="1" applyAlignment="1"/>
    <xf numFmtId="165" fontId="41" fillId="56" borderId="21" xfId="124" applyNumberFormat="1" applyFont="1" applyFill="1" applyBorder="1" applyAlignment="1"/>
    <xf numFmtId="165" fontId="41" fillId="56" borderId="39" xfId="124" applyNumberFormat="1" applyFont="1" applyFill="1" applyBorder="1" applyAlignment="1"/>
    <xf numFmtId="44" fontId="41" fillId="56" borderId="21" xfId="1" applyFont="1" applyFill="1" applyBorder="1" applyAlignment="1"/>
    <xf numFmtId="165" fontId="41" fillId="56" borderId="21" xfId="98" applyNumberFormat="1" applyFont="1" applyFill="1" applyBorder="1" applyAlignment="1"/>
    <xf numFmtId="0" fontId="47" fillId="0" borderId="47" xfId="0" applyFont="1" applyBorder="1" applyAlignment="1">
      <alignment horizontal="center"/>
    </xf>
    <xf numFmtId="44" fontId="47" fillId="56" borderId="21" xfId="1" applyFont="1" applyFill="1" applyBorder="1"/>
    <xf numFmtId="0" fontId="48" fillId="0" borderId="60" xfId="0" applyFont="1" applyBorder="1" applyAlignment="1">
      <alignment horizontal="center"/>
    </xf>
    <xf numFmtId="44" fontId="47" fillId="56" borderId="50" xfId="1" applyFont="1" applyFill="1" applyBorder="1"/>
    <xf numFmtId="0" fontId="48" fillId="0" borderId="27" xfId="0" applyFont="1" applyBorder="1" applyAlignment="1">
      <alignment horizontal="center"/>
    </xf>
    <xf numFmtId="44" fontId="47" fillId="0" borderId="79" xfId="0" applyNumberFormat="1" applyFont="1" applyBorder="1"/>
    <xf numFmtId="44" fontId="47" fillId="56" borderId="26" xfId="1" applyFont="1" applyFill="1" applyBorder="1"/>
    <xf numFmtId="44" fontId="47" fillId="0" borderId="27" xfId="1" applyFont="1" applyBorder="1"/>
    <xf numFmtId="0" fontId="38" fillId="0" borderId="0" xfId="0" quotePrefix="1" applyFont="1"/>
    <xf numFmtId="44" fontId="0" fillId="56" borderId="35" xfId="0" applyNumberFormat="1" applyFill="1" applyBorder="1"/>
    <xf numFmtId="44" fontId="0" fillId="56" borderId="80" xfId="0" applyNumberFormat="1" applyFill="1" applyBorder="1"/>
    <xf numFmtId="44" fontId="38" fillId="56" borderId="21" xfId="1" applyFont="1" applyFill="1" applyBorder="1" applyAlignment="1">
      <alignment wrapText="1"/>
    </xf>
    <xf numFmtId="44" fontId="19" fillId="55" borderId="20" xfId="70" applyFont="1" applyFill="1" applyBorder="1" applyAlignment="1">
      <alignment horizontal="center" wrapText="1"/>
    </xf>
    <xf numFmtId="44" fontId="19" fillId="55" borderId="25" xfId="70" applyNumberFormat="1" applyFont="1" applyFill="1" applyBorder="1" applyAlignment="1">
      <alignment horizontal="center" wrapText="1"/>
    </xf>
    <xf numFmtId="164" fontId="38" fillId="0" borderId="21" xfId="1" applyNumberFormat="1" applyFont="1" applyBorder="1" applyAlignment="1">
      <alignment horizontal="center"/>
    </xf>
    <xf numFmtId="44" fontId="0" fillId="0" borderId="79" xfId="0" applyNumberFormat="1" applyFont="1" applyBorder="1"/>
    <xf numFmtId="0" fontId="16" fillId="0" borderId="56" xfId="0" applyFont="1" applyBorder="1"/>
    <xf numFmtId="0" fontId="0" fillId="57" borderId="60" xfId="0" applyFill="1" applyBorder="1" applyAlignment="1">
      <alignment horizontal="center" vertical="center"/>
    </xf>
    <xf numFmtId="44" fontId="0" fillId="0" borderId="21" xfId="0" applyNumberFormat="1" applyBorder="1"/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44" fontId="0" fillId="56" borderId="21" xfId="0" applyNumberFormat="1" applyFill="1" applyBorder="1"/>
    <xf numFmtId="0" fontId="38" fillId="57" borderId="27" xfId="0" applyFont="1" applyFill="1" applyBorder="1" applyAlignment="1">
      <alignment horizontal="center" vertical="center"/>
    </xf>
    <xf numFmtId="44" fontId="0" fillId="56" borderId="30" xfId="0" applyNumberFormat="1" applyFill="1" applyBorder="1"/>
    <xf numFmtId="44" fontId="0" fillId="0" borderId="85" xfId="0" applyNumberFormat="1" applyBorder="1"/>
    <xf numFmtId="44" fontId="0" fillId="56" borderId="85" xfId="0" applyNumberFormat="1" applyFill="1" applyBorder="1"/>
    <xf numFmtId="44" fontId="0" fillId="0" borderId="70" xfId="0" applyNumberFormat="1" applyBorder="1"/>
    <xf numFmtId="44" fontId="0" fillId="56" borderId="32" xfId="0" applyNumberFormat="1" applyFill="1" applyBorder="1"/>
    <xf numFmtId="44" fontId="0" fillId="0" borderId="80" xfId="0" applyNumberFormat="1" applyBorder="1"/>
    <xf numFmtId="44" fontId="0" fillId="0" borderId="44" xfId="0" applyNumberFormat="1" applyBorder="1"/>
    <xf numFmtId="44" fontId="0" fillId="0" borderId="79" xfId="0" applyNumberFormat="1" applyBorder="1"/>
    <xf numFmtId="44" fontId="0" fillId="56" borderId="71" xfId="0" applyNumberFormat="1" applyFill="1" applyBorder="1"/>
    <xf numFmtId="0" fontId="0" fillId="56" borderId="84" xfId="0" applyFill="1" applyBorder="1" applyAlignment="1">
      <alignment horizontal="center" vertical="center"/>
    </xf>
    <xf numFmtId="44" fontId="0" fillId="56" borderId="80" xfId="0" applyNumberFormat="1" applyFont="1" applyFill="1" applyBorder="1"/>
    <xf numFmtId="0" fontId="0" fillId="56" borderId="83" xfId="0" applyFill="1" applyBorder="1" applyAlignment="1">
      <alignment horizontal="center" vertical="center"/>
    </xf>
    <xf numFmtId="44" fontId="16" fillId="56" borderId="80" xfId="0" applyNumberFormat="1" applyFont="1" applyFill="1" applyBorder="1"/>
    <xf numFmtId="44" fontId="0" fillId="0" borderId="80" xfId="0" applyNumberFormat="1" applyFont="1" applyBorder="1"/>
    <xf numFmtId="44" fontId="0" fillId="0" borderId="44" xfId="0" applyNumberFormat="1" applyFont="1" applyBorder="1"/>
    <xf numFmtId="44" fontId="0" fillId="0" borderId="82" xfId="0" applyNumberFormat="1" applyFont="1" applyBorder="1"/>
    <xf numFmtId="0" fontId="0" fillId="0" borderId="0" xfId="0" quotePrefix="1"/>
    <xf numFmtId="0" fontId="38" fillId="0" borderId="21" xfId="0" applyFont="1" applyBorder="1"/>
    <xf numFmtId="164" fontId="19" fillId="55" borderId="50" xfId="0" applyNumberFormat="1" applyFont="1" applyFill="1" applyBorder="1" applyAlignment="1">
      <alignment horizontal="center"/>
    </xf>
    <xf numFmtId="44" fontId="38" fillId="0" borderId="50" xfId="70" applyFont="1" applyFill="1" applyBorder="1" applyAlignment="1">
      <alignment horizontal="center"/>
    </xf>
    <xf numFmtId="0" fontId="0" fillId="56" borderId="50" xfId="0" applyFill="1" applyBorder="1" applyAlignment="1">
      <alignment horizontal="center"/>
    </xf>
    <xf numFmtId="0" fontId="0" fillId="0" borderId="50" xfId="0" applyBorder="1" applyAlignment="1">
      <alignment horizontal="center"/>
    </xf>
    <xf numFmtId="44" fontId="38" fillId="0" borderId="21" xfId="70" applyFont="1" applyFill="1" applyBorder="1" applyAlignment="1">
      <alignment horizontal="center"/>
    </xf>
    <xf numFmtId="0" fontId="0" fillId="56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44" fontId="19" fillId="0" borderId="21" xfId="70" applyFont="1" applyFill="1" applyBorder="1" applyAlignment="1">
      <alignment horizontal="center"/>
    </xf>
    <xf numFmtId="44" fontId="19" fillId="56" borderId="26" xfId="70" applyFont="1" applyFill="1" applyBorder="1" applyAlignment="1">
      <alignment horizontal="center"/>
    </xf>
    <xf numFmtId="44" fontId="19" fillId="0" borderId="26" xfId="70" applyFont="1" applyFill="1" applyBorder="1" applyAlignment="1">
      <alignment horizontal="center"/>
    </xf>
    <xf numFmtId="169" fontId="19" fillId="56" borderId="21" xfId="70" applyNumberFormat="1" applyFont="1" applyFill="1" applyBorder="1" applyAlignment="1">
      <alignment horizontal="center"/>
    </xf>
    <xf numFmtId="169" fontId="38" fillId="0" borderId="21" xfId="70" applyNumberFormat="1" applyFont="1" applyFill="1" applyBorder="1" applyAlignment="1">
      <alignment horizontal="center"/>
    </xf>
    <xf numFmtId="44" fontId="19" fillId="56" borderId="26" xfId="70" applyNumberFormat="1" applyFont="1" applyFill="1" applyBorder="1" applyAlignment="1">
      <alignment horizontal="center"/>
    </xf>
    <xf numFmtId="44" fontId="40" fillId="0" borderId="21" xfId="70" applyFont="1" applyFill="1" applyBorder="1" applyAlignment="1">
      <alignment horizontal="center"/>
    </xf>
    <xf numFmtId="44" fontId="19" fillId="55" borderId="21" xfId="1" applyFont="1" applyFill="1" applyBorder="1" applyAlignment="1">
      <alignment horizontal="center"/>
    </xf>
    <xf numFmtId="44" fontId="19" fillId="56" borderId="21" xfId="70" applyNumberFormat="1" applyFont="1" applyFill="1" applyBorder="1" applyAlignment="1">
      <alignment horizontal="center"/>
    </xf>
    <xf numFmtId="44" fontId="19" fillId="0" borderId="40" xfId="70" applyFont="1" applyFill="1" applyBorder="1" applyAlignment="1">
      <alignment horizontal="center"/>
    </xf>
    <xf numFmtId="44" fontId="38" fillId="0" borderId="52" xfId="70" applyFont="1" applyFill="1" applyBorder="1" applyAlignment="1">
      <alignment horizontal="center"/>
    </xf>
    <xf numFmtId="0" fontId="0" fillId="56" borderId="21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38" fillId="56" borderId="21" xfId="0" applyFont="1" applyFill="1" applyBorder="1" applyAlignment="1">
      <alignment horizontal="center"/>
    </xf>
    <xf numFmtId="0" fontId="38" fillId="0" borderId="21" xfId="0" applyFont="1" applyFill="1" applyBorder="1" applyAlignment="1">
      <alignment horizontal="center"/>
    </xf>
    <xf numFmtId="0" fontId="38" fillId="0" borderId="2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44" fontId="50" fillId="0" borderId="26" xfId="70" applyFont="1" applyFill="1" applyBorder="1" applyAlignment="1">
      <alignment horizontal="center"/>
    </xf>
    <xf numFmtId="0" fontId="51" fillId="56" borderId="21" xfId="0" applyFont="1" applyFill="1" applyBorder="1" applyAlignment="1">
      <alignment horizontal="center"/>
    </xf>
    <xf numFmtId="0" fontId="51" fillId="0" borderId="21" xfId="0" applyFont="1" applyBorder="1" applyAlignment="1">
      <alignment horizontal="center"/>
    </xf>
    <xf numFmtId="170" fontId="19" fillId="55" borderId="21" xfId="0" applyNumberFormat="1" applyFont="1" applyFill="1" applyBorder="1" applyAlignment="1">
      <alignment horizontal="right"/>
    </xf>
    <xf numFmtId="164" fontId="19" fillId="55" borderId="21" xfId="0" applyNumberFormat="1" applyFont="1" applyFill="1" applyBorder="1" applyAlignment="1">
      <alignment horizontal="right"/>
    </xf>
    <xf numFmtId="0" fontId="16" fillId="0" borderId="42" xfId="0" applyFont="1" applyBorder="1" applyAlignment="1">
      <alignment horizontal="center"/>
    </xf>
    <xf numFmtId="168" fontId="41" fillId="60" borderId="35" xfId="123" applyNumberFormat="1" applyFont="1" applyFill="1" applyBorder="1" applyAlignment="1"/>
    <xf numFmtId="1" fontId="41" fillId="60" borderId="36" xfId="98" applyNumberFormat="1" applyFont="1" applyFill="1" applyBorder="1" applyAlignment="1">
      <alignment horizontal="center"/>
    </xf>
    <xf numFmtId="0" fontId="0" fillId="0" borderId="47" xfId="0" applyBorder="1" applyAlignment="1">
      <alignment horizontal="center"/>
    </xf>
    <xf numFmtId="44" fontId="0" fillId="0" borderId="86" xfId="0" applyNumberFormat="1" applyBorder="1"/>
    <xf numFmtId="1" fontId="0" fillId="0" borderId="42" xfId="0" applyNumberFormat="1" applyBorder="1" applyAlignment="1">
      <alignment horizontal="center"/>
    </xf>
    <xf numFmtId="44" fontId="19" fillId="56" borderId="21" xfId="70" applyFont="1" applyFill="1" applyBorder="1"/>
    <xf numFmtId="44" fontId="19" fillId="56" borderId="21" xfId="70" applyNumberFormat="1" applyFont="1" applyFill="1" applyBorder="1"/>
    <xf numFmtId="44" fontId="19" fillId="59" borderId="21" xfId="70" applyFont="1" applyFill="1" applyBorder="1" applyAlignment="1">
      <alignment horizontal="right"/>
    </xf>
    <xf numFmtId="0" fontId="0" fillId="0" borderId="63" xfId="0" applyBorder="1" applyAlignment="1">
      <alignment horizontal="center" vertical="center"/>
    </xf>
    <xf numFmtId="44" fontId="0" fillId="0" borderId="42" xfId="0" applyNumberFormat="1" applyFont="1" applyBorder="1"/>
    <xf numFmtId="44" fontId="0" fillId="0" borderId="48" xfId="1" applyFont="1" applyBorder="1"/>
    <xf numFmtId="0" fontId="0" fillId="0" borderId="53" xfId="0" applyBorder="1" applyAlignment="1">
      <alignment horizontal="center"/>
    </xf>
    <xf numFmtId="44" fontId="0" fillId="0" borderId="87" xfId="1" applyFont="1" applyBorder="1"/>
    <xf numFmtId="0" fontId="0" fillId="0" borderId="88" xfId="0" applyBorder="1" applyAlignment="1">
      <alignment horizontal="center"/>
    </xf>
    <xf numFmtId="168" fontId="49" fillId="60" borderId="48" xfId="123" applyNumberFormat="1" applyFont="1" applyFill="1" applyBorder="1" applyAlignment="1"/>
    <xf numFmtId="1" fontId="49" fillId="60" borderId="86" xfId="98" applyNumberFormat="1" applyFont="1" applyFill="1" applyBorder="1" applyAlignment="1">
      <alignment horizontal="center"/>
    </xf>
    <xf numFmtId="168" fontId="41" fillId="60" borderId="48" xfId="123" applyNumberFormat="1" applyFont="1" applyFill="1" applyBorder="1" applyAlignment="1"/>
    <xf numFmtId="1" fontId="41" fillId="60" borderId="86" xfId="98" applyNumberFormat="1" applyFont="1" applyFill="1" applyBorder="1" applyAlignment="1">
      <alignment horizontal="center"/>
    </xf>
    <xf numFmtId="164" fontId="19" fillId="55" borderId="26" xfId="0" applyNumberFormat="1" applyFont="1" applyFill="1" applyBorder="1"/>
    <xf numFmtId="44" fontId="19" fillId="56" borderId="26" xfId="70" applyNumberFormat="1" applyFont="1" applyFill="1" applyBorder="1"/>
    <xf numFmtId="44" fontId="38" fillId="0" borderId="26" xfId="70" applyFont="1" applyFill="1" applyBorder="1" applyAlignment="1">
      <alignment horizontal="center"/>
    </xf>
    <xf numFmtId="0" fontId="38" fillId="56" borderId="26" xfId="0" applyFont="1" applyFill="1" applyBorder="1" applyAlignment="1">
      <alignment horizontal="center"/>
    </xf>
    <xf numFmtId="0" fontId="38" fillId="0" borderId="26" xfId="0" applyFont="1" applyBorder="1" applyAlignment="1">
      <alignment horizontal="center"/>
    </xf>
    <xf numFmtId="10" fontId="16" fillId="56" borderId="50" xfId="2" applyNumberFormat="1" applyFont="1" applyFill="1" applyBorder="1"/>
    <xf numFmtId="10" fontId="16" fillId="0" borderId="21" xfId="2" applyNumberFormat="1" applyFont="1" applyBorder="1"/>
    <xf numFmtId="10" fontId="16" fillId="56" borderId="21" xfId="2" applyNumberFormat="1" applyFont="1" applyFill="1" applyBorder="1"/>
    <xf numFmtId="9" fontId="16" fillId="0" borderId="21" xfId="2" applyFont="1" applyBorder="1"/>
    <xf numFmtId="168" fontId="38" fillId="56" borderId="50" xfId="0" applyNumberFormat="1" applyFont="1" applyFill="1" applyBorder="1"/>
    <xf numFmtId="168" fontId="38" fillId="0" borderId="21" xfId="0" applyNumberFormat="1" applyFont="1" applyBorder="1"/>
    <xf numFmtId="168" fontId="38" fillId="56" borderId="21" xfId="0" applyNumberFormat="1" applyFont="1" applyFill="1" applyBorder="1"/>
    <xf numFmtId="168" fontId="38" fillId="0" borderId="50" xfId="0" applyNumberFormat="1" applyFont="1" applyBorder="1"/>
    <xf numFmtId="44" fontId="0" fillId="0" borderId="0" xfId="2" applyNumberFormat="1" applyFont="1"/>
    <xf numFmtId="44" fontId="38" fillId="59" borderId="21" xfId="70" applyFont="1" applyFill="1" applyBorder="1" applyAlignment="1">
      <alignment horizontal="center"/>
    </xf>
    <xf numFmtId="169" fontId="38" fillId="59" borderId="21" xfId="70" applyNumberFormat="1" applyFont="1" applyFill="1" applyBorder="1" applyAlignment="1">
      <alignment horizontal="center"/>
    </xf>
    <xf numFmtId="44" fontId="19" fillId="59" borderId="21" xfId="70" applyFont="1" applyFill="1" applyBorder="1" applyAlignment="1">
      <alignment horizontal="center"/>
    </xf>
    <xf numFmtId="44" fontId="38" fillId="59" borderId="40" xfId="70" applyFont="1" applyFill="1" applyBorder="1" applyAlignment="1">
      <alignment horizontal="center"/>
    </xf>
    <xf numFmtId="0" fontId="0" fillId="56" borderId="41" xfId="0" applyFill="1" applyBorder="1" applyAlignment="1">
      <alignment horizontal="center" vertical="center"/>
    </xf>
    <xf numFmtId="44" fontId="0" fillId="56" borderId="56" xfId="0" applyNumberFormat="1" applyFont="1" applyFill="1" applyBorder="1"/>
    <xf numFmtId="44" fontId="0" fillId="56" borderId="89" xfId="0" applyNumberFormat="1" applyFill="1" applyBorder="1"/>
    <xf numFmtId="0" fontId="0" fillId="0" borderId="82" xfId="0" applyBorder="1"/>
    <xf numFmtId="9" fontId="0" fillId="0" borderId="31" xfId="2" applyFont="1" applyBorder="1"/>
    <xf numFmtId="9" fontId="0" fillId="0" borderId="33" xfId="2" applyFont="1" applyBorder="1"/>
    <xf numFmtId="44" fontId="0" fillId="56" borderId="70" xfId="0" applyNumberFormat="1" applyFill="1" applyBorder="1"/>
    <xf numFmtId="44" fontId="0" fillId="56" borderId="47" xfId="0" applyNumberFormat="1" applyFill="1" applyBorder="1"/>
    <xf numFmtId="44" fontId="0" fillId="56" borderId="44" xfId="0" applyNumberFormat="1" applyFill="1" applyBorder="1"/>
    <xf numFmtId="9" fontId="0" fillId="0" borderId="30" xfId="2" applyFont="1" applyBorder="1"/>
    <xf numFmtId="9" fontId="0" fillId="0" borderId="37" xfId="2" applyFont="1" applyBorder="1"/>
    <xf numFmtId="9" fontId="0" fillId="0" borderId="34" xfId="2" applyFont="1" applyBorder="1"/>
    <xf numFmtId="44" fontId="0" fillId="0" borderId="32" xfId="0" applyNumberFormat="1" applyBorder="1"/>
    <xf numFmtId="0" fontId="16" fillId="0" borderId="56" xfId="0" applyFont="1" applyBorder="1" applyAlignment="1">
      <alignment horizontal="center"/>
    </xf>
    <xf numFmtId="0" fontId="16" fillId="0" borderId="60" xfId="0" applyFont="1" applyBorder="1" applyAlignment="1">
      <alignment horizontal="center"/>
    </xf>
    <xf numFmtId="44" fontId="0" fillId="0" borderId="56" xfId="0" applyNumberFormat="1" applyBorder="1" applyAlignment="1">
      <alignment horizontal="center" vertical="center"/>
    </xf>
    <xf numFmtId="44" fontId="0" fillId="0" borderId="60" xfId="0" applyNumberFormat="1" applyBorder="1" applyAlignment="1">
      <alignment horizontal="center" vertical="center"/>
    </xf>
    <xf numFmtId="0" fontId="16" fillId="0" borderId="59" xfId="0" applyFont="1" applyBorder="1" applyAlignment="1">
      <alignment horizontal="center"/>
    </xf>
    <xf numFmtId="44" fontId="0" fillId="0" borderId="64" xfId="0" applyNumberFormat="1" applyBorder="1" applyAlignment="1">
      <alignment horizontal="center" vertical="center"/>
    </xf>
    <xf numFmtId="44" fontId="0" fillId="0" borderId="89" xfId="0" applyNumberFormat="1" applyBorder="1" applyAlignment="1">
      <alignment horizontal="center" vertical="center"/>
    </xf>
    <xf numFmtId="44" fontId="0" fillId="0" borderId="44" xfId="0" applyNumberFormat="1" applyBorder="1" applyAlignment="1">
      <alignment horizontal="center" vertical="center"/>
    </xf>
    <xf numFmtId="44" fontId="0" fillId="0" borderId="79" xfId="0" applyNumberFormat="1" applyBorder="1" applyAlignment="1">
      <alignment horizontal="center" vertical="center"/>
    </xf>
    <xf numFmtId="0" fontId="16" fillId="0" borderId="49" xfId="0" applyFont="1" applyBorder="1" applyAlignment="1">
      <alignment horizontal="center"/>
    </xf>
    <xf numFmtId="0" fontId="16" fillId="57" borderId="81" xfId="0" applyFont="1" applyFill="1" applyBorder="1" applyAlignment="1">
      <alignment horizontal="center"/>
    </xf>
    <xf numFmtId="0" fontId="16" fillId="57" borderId="65" xfId="0" applyFont="1" applyFill="1" applyBorder="1" applyAlignment="1">
      <alignment horizontal="center"/>
    </xf>
    <xf numFmtId="44" fontId="0" fillId="0" borderId="59" xfId="0" applyNumberFormat="1" applyBorder="1" applyAlignment="1">
      <alignment horizontal="center" vertical="center"/>
    </xf>
    <xf numFmtId="44" fontId="0" fillId="0" borderId="42" xfId="0" applyNumberFormat="1" applyBorder="1" applyAlignment="1">
      <alignment horizontal="center" vertical="center"/>
    </xf>
    <xf numFmtId="44" fontId="0" fillId="0" borderId="80" xfId="0" applyNumberFormat="1" applyBorder="1" applyAlignment="1">
      <alignment horizontal="center" vertical="center"/>
    </xf>
    <xf numFmtId="0" fontId="16" fillId="0" borderId="57" xfId="0" applyFont="1" applyBorder="1" applyAlignment="1">
      <alignment horizontal="center"/>
    </xf>
    <xf numFmtId="0" fontId="16" fillId="0" borderId="42" xfId="0" applyFont="1" applyBorder="1" applyAlignment="1">
      <alignment horizontal="center"/>
    </xf>
    <xf numFmtId="44" fontId="0" fillId="0" borderId="80" xfId="1" applyFont="1" applyBorder="1" applyAlignment="1">
      <alignment horizontal="center" vertical="center"/>
    </xf>
    <xf numFmtId="44" fontId="0" fillId="0" borderId="82" xfId="1" applyFont="1" applyBorder="1" applyAlignment="1">
      <alignment horizontal="center" vertical="center"/>
    </xf>
    <xf numFmtId="0" fontId="37" fillId="58" borderId="20" xfId="0" applyFont="1" applyFill="1" applyBorder="1" applyAlignment="1">
      <alignment horizontal="center" vertical="center" wrapText="1"/>
    </xf>
    <xf numFmtId="0" fontId="37" fillId="58" borderId="22" xfId="0" applyFont="1" applyFill="1" applyBorder="1" applyAlignment="1">
      <alignment horizontal="center" vertical="center" wrapText="1"/>
    </xf>
    <xf numFmtId="0" fontId="37" fillId="58" borderId="23" xfId="0" applyFont="1" applyFill="1" applyBorder="1" applyAlignment="1">
      <alignment horizontal="center" vertical="center" wrapText="1"/>
    </xf>
    <xf numFmtId="0" fontId="16" fillId="0" borderId="56" xfId="0" applyFont="1" applyBorder="1" applyAlignment="1">
      <alignment horizontal="center" wrapText="1"/>
    </xf>
    <xf numFmtId="0" fontId="16" fillId="0" borderId="60" xfId="0" applyFont="1" applyBorder="1" applyAlignment="1">
      <alignment horizontal="center" wrapText="1"/>
    </xf>
    <xf numFmtId="0" fontId="16" fillId="0" borderId="63" xfId="0" applyFont="1" applyBorder="1" applyAlignment="1">
      <alignment horizontal="center" wrapText="1"/>
    </xf>
  </cellXfs>
  <cellStyles count="126">
    <cellStyle name="20% - Accent1" xfId="20" builtinId="30" customBuiltin="1"/>
    <cellStyle name="20% - Accent1 2" xfId="43"/>
    <cellStyle name="20% - Accent2" xfId="24" builtinId="34" customBuiltin="1"/>
    <cellStyle name="20% - Accent2 2" xfId="44"/>
    <cellStyle name="20% - Accent3" xfId="28" builtinId="38" customBuiltin="1"/>
    <cellStyle name="20% - Accent3 2" xfId="45"/>
    <cellStyle name="20% - Accent4" xfId="32" builtinId="42" customBuiltin="1"/>
    <cellStyle name="20% - Accent4 2" xfId="46"/>
    <cellStyle name="20% - Accent5" xfId="36" builtinId="46" customBuiltin="1"/>
    <cellStyle name="20% - Accent5 2" xfId="47"/>
    <cellStyle name="20% - Accent6" xfId="40" builtinId="50" customBuiltin="1"/>
    <cellStyle name="20% - Accent6 2" xfId="48"/>
    <cellStyle name="40% - Accent1" xfId="21" builtinId="31" customBuiltin="1"/>
    <cellStyle name="40% - Accent1 2" xfId="49"/>
    <cellStyle name="40% - Accent2" xfId="25" builtinId="35" customBuiltin="1"/>
    <cellStyle name="40% - Accent2 2" xfId="50"/>
    <cellStyle name="40% - Accent3" xfId="29" builtinId="39" customBuiltin="1"/>
    <cellStyle name="40% - Accent3 2" xfId="51"/>
    <cellStyle name="40% - Accent4" xfId="33" builtinId="43" customBuiltin="1"/>
    <cellStyle name="40% - Accent4 2" xfId="52"/>
    <cellStyle name="40% - Accent5" xfId="37" builtinId="47" customBuiltin="1"/>
    <cellStyle name="40% - Accent5 2" xfId="53"/>
    <cellStyle name="40% - Accent6" xfId="41" builtinId="51" customBuiltin="1"/>
    <cellStyle name="40% - Accent6 2" xfId="54"/>
    <cellStyle name="60% - Accent1" xfId="22" builtinId="32" customBuiltin="1"/>
    <cellStyle name="60% - Accent1 2" xfId="55"/>
    <cellStyle name="60% - Accent2" xfId="26" builtinId="36" customBuiltin="1"/>
    <cellStyle name="60% - Accent2 2" xfId="56"/>
    <cellStyle name="60% - Accent3" xfId="30" builtinId="40" customBuiltin="1"/>
    <cellStyle name="60% - Accent3 2" xfId="57"/>
    <cellStyle name="60% - Accent4" xfId="34" builtinId="44" customBuiltin="1"/>
    <cellStyle name="60% - Accent4 2" xfId="58"/>
    <cellStyle name="60% - Accent5" xfId="38" builtinId="48" customBuiltin="1"/>
    <cellStyle name="60% - Accent5 2" xfId="59"/>
    <cellStyle name="60% - Accent6" xfId="42" builtinId="52" customBuiltin="1"/>
    <cellStyle name="60% - Accent6 2" xfId="60"/>
    <cellStyle name="Accent1" xfId="19" builtinId="29" customBuiltin="1"/>
    <cellStyle name="Accent1 2" xfId="61"/>
    <cellStyle name="Accent2" xfId="23" builtinId="33" customBuiltin="1"/>
    <cellStyle name="Accent2 2" xfId="62"/>
    <cellStyle name="Accent3" xfId="27" builtinId="37" customBuiltin="1"/>
    <cellStyle name="Accent3 2" xfId="63"/>
    <cellStyle name="Accent4" xfId="31" builtinId="41" customBuiltin="1"/>
    <cellStyle name="Accent4 2" xfId="64"/>
    <cellStyle name="Accent5" xfId="35" builtinId="45" customBuiltin="1"/>
    <cellStyle name="Accent5 2" xfId="65"/>
    <cellStyle name="Accent6" xfId="39" builtinId="49" customBuiltin="1"/>
    <cellStyle name="Accent6 2" xfId="66"/>
    <cellStyle name="Bad" xfId="9" builtinId="27" customBuiltin="1"/>
    <cellStyle name="Bad 2" xfId="67"/>
    <cellStyle name="Calculation" xfId="13" builtinId="22" customBuiltin="1"/>
    <cellStyle name="Calculation 2" xfId="68"/>
    <cellStyle name="Check Cell" xfId="15" builtinId="23" customBuiltin="1"/>
    <cellStyle name="Check Cell 2" xfId="69"/>
    <cellStyle name="Comma 2" xfId="124"/>
    <cellStyle name="Currency" xfId="1" builtinId="4"/>
    <cellStyle name="Currency 10" xfId="71"/>
    <cellStyle name="Currency 11" xfId="72"/>
    <cellStyle name="Currency 12" xfId="73"/>
    <cellStyle name="Currency 13" xfId="74"/>
    <cellStyle name="Currency 14" xfId="70"/>
    <cellStyle name="Currency 15" xfId="123"/>
    <cellStyle name="Currency 2" xfId="75"/>
    <cellStyle name="Currency 2 2" xfId="76"/>
    <cellStyle name="Currency 2 3" xfId="77"/>
    <cellStyle name="Currency 2 4" xfId="78"/>
    <cellStyle name="Currency 2 5" xfId="79"/>
    <cellStyle name="Currency 2 6" xfId="80"/>
    <cellStyle name="Currency 2 7" xfId="81"/>
    <cellStyle name="Currency 3" xfId="82"/>
    <cellStyle name="Currency 4" xfId="83"/>
    <cellStyle name="Currency 5" xfId="84"/>
    <cellStyle name="Currency 6" xfId="85"/>
    <cellStyle name="Currency 7" xfId="86"/>
    <cellStyle name="Currency 8" xfId="87"/>
    <cellStyle name="Currency 9" xfId="88"/>
    <cellStyle name="Explanatory Text" xfId="17" builtinId="53" customBuiltin="1"/>
    <cellStyle name="Explanatory Text 2" xfId="89"/>
    <cellStyle name="Good" xfId="8" builtinId="26" customBuiltin="1"/>
    <cellStyle name="Good 2" xfId="90"/>
    <cellStyle name="Heading 1" xfId="4" builtinId="16" customBuiltin="1"/>
    <cellStyle name="Heading 1 2" xfId="91"/>
    <cellStyle name="Heading 2" xfId="5" builtinId="17" customBuiltin="1"/>
    <cellStyle name="Heading 2 2" xfId="92"/>
    <cellStyle name="Heading 3" xfId="6" builtinId="18" customBuiltin="1"/>
    <cellStyle name="Heading 3 2" xfId="93"/>
    <cellStyle name="Heading 4" xfId="7" builtinId="19" customBuiltin="1"/>
    <cellStyle name="Heading 4 2" xfId="94"/>
    <cellStyle name="Input" xfId="11" builtinId="20" customBuiltin="1"/>
    <cellStyle name="Input 2" xfId="95"/>
    <cellStyle name="Linked Cell" xfId="14" builtinId="24" customBuiltin="1"/>
    <cellStyle name="Linked Cell 2" xfId="96"/>
    <cellStyle name="Neutral" xfId="10" builtinId="28" customBuiltin="1"/>
    <cellStyle name="Neutral 2" xfId="97"/>
    <cellStyle name="Normal" xfId="0" builtinId="0"/>
    <cellStyle name="Normal 10" xfId="98"/>
    <cellStyle name="Normal 11" xfId="99"/>
    <cellStyle name="Normal 12" xfId="100"/>
    <cellStyle name="Normal 2" xfId="101"/>
    <cellStyle name="Normal 2 2" xfId="102"/>
    <cellStyle name="Normal 2 3" xfId="103"/>
    <cellStyle name="Normal 2 4" xfId="104"/>
    <cellStyle name="Normal 2 5" xfId="105"/>
    <cellStyle name="Normal 2 6" xfId="106"/>
    <cellStyle name="Normal 2 7" xfId="107"/>
    <cellStyle name="Normal 2 8" xfId="108"/>
    <cellStyle name="Normal 3" xfId="109"/>
    <cellStyle name="Normal 4" xfId="110"/>
    <cellStyle name="Normal 5" xfId="111"/>
    <cellStyle name="Normal 6" xfId="112"/>
    <cellStyle name="Normal 7" xfId="113"/>
    <cellStyle name="Normal 8" xfId="114"/>
    <cellStyle name="Normal 9" xfId="115"/>
    <cellStyle name="Note" xfId="125" builtinId="10" customBuiltin="1"/>
    <cellStyle name="Note 2" xfId="117"/>
    <cellStyle name="Note 3" xfId="116"/>
    <cellStyle name="Output" xfId="12" builtinId="21" customBuiltin="1"/>
    <cellStyle name="Output 2" xfId="118"/>
    <cellStyle name="Percent" xfId="2" builtinId="5"/>
    <cellStyle name="Percent 2" xfId="119"/>
    <cellStyle name="Title" xfId="3" builtinId="15" customBuiltin="1"/>
    <cellStyle name="Title 2" xfId="120"/>
    <cellStyle name="Total" xfId="18" builtinId="25" customBuiltin="1"/>
    <cellStyle name="Total 2" xfId="121"/>
    <cellStyle name="Warning Text" xfId="16" builtinId="11" customBuiltin="1"/>
    <cellStyle name="Warning Text 2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6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L24" sqref="L24"/>
    </sheetView>
  </sheetViews>
  <sheetFormatPr defaultRowHeight="15"/>
  <cols>
    <col min="1" max="1" width="13.28515625" style="141" customWidth="1"/>
    <col min="2" max="5" width="14.28515625" bestFit="1" customWidth="1"/>
    <col min="6" max="6" width="15.28515625" bestFit="1" customWidth="1"/>
    <col min="7" max="7" width="14.28515625" bestFit="1" customWidth="1"/>
    <col min="8" max="8" width="12.5703125" bestFit="1" customWidth="1"/>
    <col min="9" max="9" width="14.28515625" style="141" bestFit="1" customWidth="1"/>
    <col min="10" max="10" width="12.5703125" bestFit="1" customWidth="1"/>
    <col min="11" max="11" width="14.28515625" style="141" bestFit="1" customWidth="1"/>
    <col min="12" max="17" width="14.28515625" style="141" customWidth="1"/>
    <col min="18" max="18" width="14.28515625" bestFit="1" customWidth="1"/>
    <col min="19" max="19" width="15" style="141" customWidth="1"/>
    <col min="20" max="20" width="15" customWidth="1"/>
    <col min="21" max="21" width="14.5703125" customWidth="1"/>
  </cols>
  <sheetData>
    <row r="1" spans="1:25" ht="21">
      <c r="A1" s="114" t="s">
        <v>125</v>
      </c>
    </row>
    <row r="2" spans="1:25" ht="15.75" thickBot="1"/>
    <row r="3" spans="1:25" ht="15.75" thickBot="1">
      <c r="B3" s="400" t="s">
        <v>118</v>
      </c>
      <c r="C3" s="401"/>
      <c r="D3" s="400" t="s">
        <v>119</v>
      </c>
      <c r="E3" s="404"/>
      <c r="F3" s="409" t="s">
        <v>120</v>
      </c>
      <c r="G3" s="404"/>
      <c r="H3" s="409" t="s">
        <v>121</v>
      </c>
      <c r="I3" s="404"/>
      <c r="J3" s="409" t="s">
        <v>178</v>
      </c>
      <c r="K3" s="401"/>
      <c r="L3" s="415" t="s">
        <v>201</v>
      </c>
      <c r="M3" s="415"/>
      <c r="N3" s="415" t="s">
        <v>202</v>
      </c>
      <c r="O3" s="409"/>
      <c r="P3" s="415" t="s">
        <v>126</v>
      </c>
      <c r="Q3" s="416"/>
      <c r="R3" s="410" t="s">
        <v>125</v>
      </c>
      <c r="S3" s="411"/>
      <c r="U3" s="141"/>
      <c r="W3" s="141"/>
      <c r="Y3" s="141"/>
    </row>
    <row r="4" spans="1:25" ht="15.75" thickBot="1">
      <c r="A4" s="295" t="s">
        <v>132</v>
      </c>
      <c r="B4" s="402">
        <f>'Balwyn Nth'!F10</f>
        <v>3600000</v>
      </c>
      <c r="C4" s="403"/>
      <c r="D4" s="405">
        <f>Canterbury!F12</f>
        <v>5025000</v>
      </c>
      <c r="E4" s="406"/>
      <c r="F4" s="407">
        <f>Manningham!F11</f>
        <v>4075000</v>
      </c>
      <c r="G4" s="406"/>
      <c r="H4" s="407">
        <f>Maroondah!F10</f>
        <v>1750000</v>
      </c>
      <c r="I4" s="406"/>
      <c r="J4" s="407">
        <f>Blackburn!F12</f>
        <v>3650000</v>
      </c>
      <c r="K4" s="408"/>
      <c r="L4" s="414">
        <f>'Glen Iris'!F10</f>
        <v>0</v>
      </c>
      <c r="M4" s="414"/>
      <c r="N4" s="414">
        <f>'Glen Waverley'!F10</f>
        <v>400000</v>
      </c>
      <c r="O4" s="407"/>
      <c r="P4" s="417">
        <f>Hawthorn!F7</f>
        <v>1300000</v>
      </c>
      <c r="Q4" s="418"/>
      <c r="R4" s="412">
        <f>SUM(B4:Q4)</f>
        <v>19800000</v>
      </c>
      <c r="S4" s="413"/>
      <c r="U4" s="141"/>
      <c r="W4" s="141"/>
      <c r="Y4" s="141"/>
    </row>
    <row r="5" spans="1:25" ht="15.75" thickBot="1"/>
    <row r="6" spans="1:25" ht="21.75" customHeight="1" thickBot="1">
      <c r="A6" s="161" t="s">
        <v>127</v>
      </c>
      <c r="B6" s="313" t="s">
        <v>129</v>
      </c>
      <c r="C6" s="299" t="s">
        <v>130</v>
      </c>
      <c r="D6" s="311" t="s">
        <v>129</v>
      </c>
      <c r="E6" s="299" t="s">
        <v>130</v>
      </c>
      <c r="F6" s="313" t="s">
        <v>129</v>
      </c>
      <c r="G6" s="299" t="s">
        <v>130</v>
      </c>
      <c r="H6" s="313" t="s">
        <v>129</v>
      </c>
      <c r="I6" s="299" t="s">
        <v>130</v>
      </c>
      <c r="J6" s="311" t="s">
        <v>129</v>
      </c>
      <c r="K6" s="298" t="s">
        <v>130</v>
      </c>
      <c r="L6" s="311" t="s">
        <v>129</v>
      </c>
      <c r="M6" s="299" t="s">
        <v>160</v>
      </c>
      <c r="N6" s="311" t="s">
        <v>129</v>
      </c>
      <c r="O6" s="298" t="s">
        <v>160</v>
      </c>
      <c r="P6" s="387" t="s">
        <v>129</v>
      </c>
      <c r="Q6" s="359" t="s">
        <v>160</v>
      </c>
      <c r="R6" s="296" t="s">
        <v>131</v>
      </c>
      <c r="S6" s="166" t="s">
        <v>160</v>
      </c>
      <c r="T6" s="160" t="s">
        <v>159</v>
      </c>
      <c r="U6" s="301" t="s">
        <v>136</v>
      </c>
    </row>
    <row r="7" spans="1:25">
      <c r="A7" s="155" t="s">
        <v>7</v>
      </c>
      <c r="B7" s="302">
        <f>'Balwyn Nth'!D14</f>
        <v>0</v>
      </c>
      <c r="C7" s="303">
        <f>'Balwyn Nth'!F14</f>
        <v>188299.59722994672</v>
      </c>
      <c r="D7" s="304">
        <f>Canterbury!D15</f>
        <v>0</v>
      </c>
      <c r="E7" s="303">
        <f>Canterbury!F15</f>
        <v>262834.85446680064</v>
      </c>
      <c r="F7" s="304">
        <f>Manningham!D15</f>
        <v>0</v>
      </c>
      <c r="G7" s="303">
        <f>Manningham!F15</f>
        <v>197453.04987306913</v>
      </c>
      <c r="H7" s="304">
        <f>Maroondah!D15</f>
        <v>0</v>
      </c>
      <c r="I7" s="305">
        <f>Maroondah!F15</f>
        <v>65381.804593731504</v>
      </c>
      <c r="J7" s="304">
        <f>Blackburn!D15</f>
        <v>0</v>
      </c>
      <c r="K7" s="303">
        <f>Blackburn!F15</f>
        <v>169992.69194370191</v>
      </c>
      <c r="L7" s="304">
        <f>'Glen Iris'!D15</f>
        <v>0</v>
      </c>
      <c r="M7" s="303">
        <f>'Glen Iris'!F15</f>
        <v>0</v>
      </c>
      <c r="N7" s="304">
        <f>'Glen Waverley'!D15</f>
        <v>0</v>
      </c>
      <c r="O7" s="305">
        <f>'Glen Waverley'!F15</f>
        <v>0</v>
      </c>
      <c r="P7" s="159">
        <f>Hawthorn!D13</f>
        <v>0</v>
      </c>
      <c r="Q7" s="156">
        <f>Hawthorn!F13</f>
        <v>67997.076777480761</v>
      </c>
      <c r="R7" s="302">
        <f>SUM(B7,D7,F7,H7,J7,L7,N7,P7)</f>
        <v>0</v>
      </c>
      <c r="S7" s="393">
        <f>SUM(C7,E7,G7,I7,K7,M7,O7,Q7)</f>
        <v>951959.07488473074</v>
      </c>
      <c r="T7" s="396" t="str">
        <f>IF(R7=0,"",R7/S7)</f>
        <v/>
      </c>
      <c r="U7" s="391" t="str">
        <f>IF(R7=0,"",SUM(R7)/SUM(S7))</f>
        <v/>
      </c>
    </row>
    <row r="8" spans="1:25">
      <c r="A8" s="152" t="s">
        <v>8</v>
      </c>
      <c r="B8" s="288">
        <f>'Balwyn Nth'!D15</f>
        <v>0</v>
      </c>
      <c r="C8" s="149">
        <f>'Balwyn Nth'!F15</f>
        <v>220923.46696209116</v>
      </c>
      <c r="D8" s="159">
        <f>Canterbury!D16</f>
        <v>0</v>
      </c>
      <c r="E8" s="149">
        <f>Canterbury!F16</f>
        <v>308372.33930125227</v>
      </c>
      <c r="F8" s="159">
        <f>Manningham!D16</f>
        <v>0</v>
      </c>
      <c r="G8" s="149">
        <f>Manningham!F16</f>
        <v>231662.80216163726</v>
      </c>
      <c r="H8" s="159">
        <f>Maroondah!D16</f>
        <v>0</v>
      </c>
      <c r="I8" s="156">
        <f>Maroondah!F16</f>
        <v>76709.537139614986</v>
      </c>
      <c r="J8" s="159">
        <f>Blackburn!D16</f>
        <v>0</v>
      </c>
      <c r="K8" s="297">
        <f>Blackburn!F16</f>
        <v>199444.79656299896</v>
      </c>
      <c r="L8" s="159">
        <f>'Glen Iris'!D16</f>
        <v>0</v>
      </c>
      <c r="M8" s="149">
        <f>'Glen Iris'!F16</f>
        <v>0</v>
      </c>
      <c r="N8" s="300">
        <f>'Glen Waverley'!D16</f>
        <v>0</v>
      </c>
      <c r="O8" s="156">
        <f>'Glen Waverley'!F16</f>
        <v>0</v>
      </c>
      <c r="P8" s="159">
        <f>Hawthorn!D14</f>
        <v>0</v>
      </c>
      <c r="Q8" s="156">
        <f>Hawthorn!F14</f>
        <v>79777.918625199585</v>
      </c>
      <c r="R8" s="288">
        <f t="shared" ref="R8:R18" si="0">SUM(B8,D8,F8,H8,J8,L8,N8,P8)</f>
        <v>0</v>
      </c>
      <c r="S8" s="394">
        <f t="shared" ref="S8:S17" si="1">SUM(C8,E8,G8,I8,K8,M8,O8,Q8)</f>
        <v>1116890.8607527944</v>
      </c>
      <c r="T8" s="397" t="str">
        <f>IF(R8=0,"",R8/S8)</f>
        <v/>
      </c>
      <c r="U8" s="165" t="str">
        <f>IF(R8=0,"",SUM(R7:R8)/SUM(S7:S8))</f>
        <v/>
      </c>
    </row>
    <row r="9" spans="1:25">
      <c r="A9" s="152" t="s">
        <v>9</v>
      </c>
      <c r="B9" s="288">
        <f>'Balwyn Nth'!D16</f>
        <v>0</v>
      </c>
      <c r="C9" s="149">
        <f>'Balwyn Nth'!F16</f>
        <v>411119.79493711767</v>
      </c>
      <c r="D9" s="159">
        <f>Canterbury!D17</f>
        <v>0</v>
      </c>
      <c r="E9" s="149">
        <f>Canterbury!F17</f>
        <v>573854.71376639337</v>
      </c>
      <c r="F9" s="159">
        <f>Manningham!D17</f>
        <v>0</v>
      </c>
      <c r="G9" s="149">
        <f>Manningham!F17</f>
        <v>431104.78496878315</v>
      </c>
      <c r="H9" s="159">
        <f>Maroondah!D17</f>
        <v>0</v>
      </c>
      <c r="I9" s="156">
        <f>Maroondah!F17</f>
        <v>142749.92879761031</v>
      </c>
      <c r="J9" s="159">
        <f>Blackburn!D17</f>
        <v>0</v>
      </c>
      <c r="K9" s="297">
        <f>Blackburn!F17</f>
        <v>371149.81487378676</v>
      </c>
      <c r="L9" s="159">
        <f>'Glen Iris'!D17</f>
        <v>0</v>
      </c>
      <c r="M9" s="149">
        <f>'Glen Iris'!F17</f>
        <v>0</v>
      </c>
      <c r="N9" s="300">
        <f>'Glen Waverley'!D17</f>
        <v>0</v>
      </c>
      <c r="O9" s="156">
        <f>'Glen Waverley'!F17</f>
        <v>0</v>
      </c>
      <c r="P9" s="159">
        <f>Hawthorn!D15</f>
        <v>0</v>
      </c>
      <c r="Q9" s="156">
        <f>Hawthorn!F15</f>
        <v>148459.92594951473</v>
      </c>
      <c r="R9" s="288">
        <f t="shared" si="0"/>
        <v>0</v>
      </c>
      <c r="S9" s="394">
        <f>SUM(C9,E9,G9,I9,K9,M9,O9,Q9)</f>
        <v>2078438.9632932059</v>
      </c>
      <c r="T9" s="397" t="str">
        <f>IF(R9=0,"",R9/S9)</f>
        <v/>
      </c>
      <c r="U9" s="165" t="str">
        <f>IF(R9=0,"",SUM(R7:R9)/SUM(S7:S9))</f>
        <v/>
      </c>
    </row>
    <row r="10" spans="1:25">
      <c r="A10" s="152" t="s">
        <v>10</v>
      </c>
      <c r="B10" s="288">
        <f>'Balwyn Nth'!D17</f>
        <v>0</v>
      </c>
      <c r="C10" s="149">
        <f>'Balwyn Nth'!F17</f>
        <v>345401.53101957333</v>
      </c>
      <c r="D10" s="159">
        <f>Canterbury!D18</f>
        <v>0</v>
      </c>
      <c r="E10" s="149">
        <f>Canterbury!F18</f>
        <v>482122.97038148786</v>
      </c>
      <c r="F10" s="159">
        <f>Manningham!D18</f>
        <v>0</v>
      </c>
      <c r="G10" s="149">
        <f>Manningham!F18</f>
        <v>362191.88322191377</v>
      </c>
      <c r="H10" s="159">
        <f>Maroondah!D18</f>
        <v>0</v>
      </c>
      <c r="I10" s="156">
        <f>Maroondah!F18</f>
        <v>119931.08715957409</v>
      </c>
      <c r="J10" s="159">
        <f>Blackburn!D18</f>
        <v>0</v>
      </c>
      <c r="K10" s="297">
        <f>Blackburn!F18</f>
        <v>350198.77450595633</v>
      </c>
      <c r="L10" s="159">
        <f>'Glen Iris'!D18</f>
        <v>0</v>
      </c>
      <c r="M10" s="149">
        <f>'Glen Iris'!F18</f>
        <v>0</v>
      </c>
      <c r="N10" s="300">
        <f>'Glen Waverley'!D18</f>
        <v>0</v>
      </c>
      <c r="O10" s="156">
        <f>'Glen Waverley'!F18</f>
        <v>38377.947891063704</v>
      </c>
      <c r="P10" s="159">
        <f>Hawthorn!D16</f>
        <v>0</v>
      </c>
      <c r="Q10" s="156">
        <f>Hawthorn!F16</f>
        <v>124728.33064595703</v>
      </c>
      <c r="R10" s="288">
        <f t="shared" si="0"/>
        <v>0</v>
      </c>
      <c r="S10" s="394">
        <f>SUM(C10,E10,G10,I10,K10,M10,O10,Q10)</f>
        <v>1822952.5248255262</v>
      </c>
      <c r="T10" s="397" t="str">
        <f t="shared" ref="T10:T18" si="2">IF(R10=0,"",R10/S10)</f>
        <v/>
      </c>
      <c r="U10" s="165" t="str">
        <f>IF(R10=0,"",SUM(R7:R10)/SUM(S7:S10))</f>
        <v/>
      </c>
    </row>
    <row r="11" spans="1:25">
      <c r="A11" s="152" t="s">
        <v>11</v>
      </c>
      <c r="B11" s="288">
        <f>'Balwyn Nth'!D18</f>
        <v>0</v>
      </c>
      <c r="C11" s="149">
        <f>'Balwyn Nth'!F18</f>
        <v>311643.1044690432</v>
      </c>
      <c r="D11" s="159">
        <f>Canterbury!D19</f>
        <v>0</v>
      </c>
      <c r="E11" s="149">
        <f>Canterbury!F19</f>
        <v>435001.8333213728</v>
      </c>
      <c r="F11" s="159">
        <f>Manningham!D19</f>
        <v>0</v>
      </c>
      <c r="G11" s="149">
        <f>Manningham!F19</f>
        <v>326792.42204739957</v>
      </c>
      <c r="H11" s="159">
        <f>Maroondah!D19</f>
        <v>0</v>
      </c>
      <c r="I11" s="156">
        <f>Maroondah!F19</f>
        <v>108209.41127397335</v>
      </c>
      <c r="J11" s="159">
        <f>Blackburn!D19</f>
        <v>0</v>
      </c>
      <c r="K11" s="297">
        <f>Blackburn!F19</f>
        <v>315971.48092000216</v>
      </c>
      <c r="L11" s="159">
        <f>'Glen Iris'!D19</f>
        <v>0</v>
      </c>
      <c r="M11" s="149">
        <f>'Glen Iris'!F19</f>
        <v>0</v>
      </c>
      <c r="N11" s="300">
        <f>'Glen Waverley'!D19</f>
        <v>0</v>
      </c>
      <c r="O11" s="156">
        <f>'Glen Waverley'!F19</f>
        <v>34627.011607671469</v>
      </c>
      <c r="P11" s="159">
        <f>Hawthorn!D17</f>
        <v>0</v>
      </c>
      <c r="Q11" s="156">
        <f>Hawthorn!F17</f>
        <v>112537.78772493229</v>
      </c>
      <c r="R11" s="288">
        <f t="shared" si="0"/>
        <v>0</v>
      </c>
      <c r="S11" s="394">
        <f t="shared" si="1"/>
        <v>1644783.0513643946</v>
      </c>
      <c r="T11" s="397" t="str">
        <f t="shared" si="2"/>
        <v/>
      </c>
      <c r="U11" s="165" t="str">
        <f>IF(R11=0,"",SUM(R7:R11)/SUM(S7:S11))</f>
        <v/>
      </c>
    </row>
    <row r="12" spans="1:25">
      <c r="A12" s="152" t="s">
        <v>12</v>
      </c>
      <c r="B12" s="288">
        <f>'Balwyn Nth'!D19</f>
        <v>0</v>
      </c>
      <c r="C12" s="149">
        <f>'Balwyn Nth'!F19</f>
        <v>448414.59749905812</v>
      </c>
      <c r="D12" s="159">
        <f>Canterbury!D20</f>
        <v>0</v>
      </c>
      <c r="E12" s="149">
        <f>Canterbury!F20</f>
        <v>625912.04234243522</v>
      </c>
      <c r="F12" s="159">
        <f>Manningham!D20</f>
        <v>0</v>
      </c>
      <c r="G12" s="149">
        <f>Manningham!F20</f>
        <v>470212.52932192897</v>
      </c>
      <c r="H12" s="159">
        <f>Maroondah!D20</f>
        <v>0</v>
      </c>
      <c r="I12" s="156">
        <f>Maroondah!F20</f>
        <v>193067.39614542783</v>
      </c>
      <c r="J12" s="159">
        <f>Blackburn!D20</f>
        <v>0</v>
      </c>
      <c r="K12" s="297">
        <f>Blackburn!F20</f>
        <v>454642.57801987842</v>
      </c>
      <c r="L12" s="159">
        <f>'Glen Iris'!D20</f>
        <v>0</v>
      </c>
      <c r="M12" s="149">
        <f>'Glen Iris'!F20</f>
        <v>0</v>
      </c>
      <c r="N12" s="300">
        <f>'Glen Waverley'!D20</f>
        <v>0</v>
      </c>
      <c r="O12" s="156">
        <f>'Glen Waverley'!F20</f>
        <v>49823.844166562012</v>
      </c>
      <c r="P12" s="159">
        <f>Hawthorn!D18</f>
        <v>0</v>
      </c>
      <c r="Q12" s="156">
        <f>Hawthorn!F18</f>
        <v>161927.49354132655</v>
      </c>
      <c r="R12" s="288">
        <f t="shared" si="0"/>
        <v>0</v>
      </c>
      <c r="S12" s="394">
        <f>SUM(C12,E12,G12,I12,K12,M12,O12,Q12)</f>
        <v>2404000.481036617</v>
      </c>
      <c r="T12" s="397" t="str">
        <f t="shared" si="2"/>
        <v/>
      </c>
      <c r="U12" s="165" t="str">
        <f>IF(R12=0,"",SUM(R7:R12)/SUM(S7:S12))</f>
        <v/>
      </c>
    </row>
    <row r="13" spans="1:25">
      <c r="A13" s="152" t="s">
        <v>13</v>
      </c>
      <c r="B13" s="288">
        <f>'Balwyn Nth'!D20</f>
        <v>0</v>
      </c>
      <c r="C13" s="149">
        <f>'Balwyn Nth'!F20</f>
        <v>67407.106110622728</v>
      </c>
      <c r="D13" s="159">
        <f>Canterbury!D21</f>
        <v>0</v>
      </c>
      <c r="E13" s="149">
        <f>Canterbury!F21</f>
        <v>94089.085612744209</v>
      </c>
      <c r="F13" s="159">
        <f>Manningham!D21</f>
        <v>0</v>
      </c>
      <c r="G13" s="149">
        <f>Manningham!F21</f>
        <v>70683.840435444654</v>
      </c>
      <c r="H13" s="159">
        <f>Maroondah!D21</f>
        <v>0</v>
      </c>
      <c r="I13" s="156">
        <f>Maroondah!F21</f>
        <v>24341.454984391541</v>
      </c>
      <c r="J13" s="159">
        <f>Blackburn!D21</f>
        <v>0</v>
      </c>
      <c r="K13" s="297">
        <f>Blackburn!F21</f>
        <v>68343.315917714703</v>
      </c>
      <c r="L13" s="159">
        <f>'Glen Iris'!D21</f>
        <v>0</v>
      </c>
      <c r="M13" s="149">
        <f>'Glen Iris'!F21</f>
        <v>0</v>
      </c>
      <c r="N13" s="300">
        <f>'Glen Waverley'!D21</f>
        <v>0</v>
      </c>
      <c r="O13" s="156">
        <f>'Glen Waverley'!F21</f>
        <v>7489.6784567358582</v>
      </c>
      <c r="P13" s="159">
        <f>Hawthorn!D19</f>
        <v>0</v>
      </c>
      <c r="Q13" s="156">
        <f>Hawthorn!F19</f>
        <v>0</v>
      </c>
      <c r="R13" s="288">
        <f t="shared" si="0"/>
        <v>0</v>
      </c>
      <c r="S13" s="394">
        <f t="shared" si="1"/>
        <v>332354.48151765368</v>
      </c>
      <c r="T13" s="397" t="str">
        <f>IF(R13=0,"",R13/S13)</f>
        <v/>
      </c>
      <c r="U13" s="165" t="str">
        <f>IF(R13=0,"",SUM(R7:R13)/SUM(S7:S13))</f>
        <v/>
      </c>
    </row>
    <row r="14" spans="1:25">
      <c r="A14" s="152" t="s">
        <v>14</v>
      </c>
      <c r="B14" s="288">
        <f>'Balwyn Nth'!D21</f>
        <v>0</v>
      </c>
      <c r="C14" s="149">
        <f>'Balwyn Nth'!F21</f>
        <v>228706.16848167352</v>
      </c>
      <c r="D14" s="159">
        <f>Canterbury!D22</f>
        <v>0</v>
      </c>
      <c r="E14" s="149">
        <f>Canterbury!F22</f>
        <v>319235.6935056693</v>
      </c>
      <c r="F14" s="159">
        <f>Manningham!D22</f>
        <v>0</v>
      </c>
      <c r="G14" s="149">
        <f>Manningham!F22</f>
        <v>258882.67682300543</v>
      </c>
      <c r="H14" s="159">
        <f>Maroondah!D22</f>
        <v>0</v>
      </c>
      <c r="I14" s="156">
        <f>Maroondah!F22</f>
        <v>95294.236867363958</v>
      </c>
      <c r="J14" s="159">
        <f>Blackburn!D22</f>
        <v>0</v>
      </c>
      <c r="K14" s="297">
        <f>Blackburn!F22</f>
        <v>231882.643043919</v>
      </c>
      <c r="L14" s="159">
        <f>'Glen Iris'!D22</f>
        <v>0</v>
      </c>
      <c r="M14" s="149">
        <f>'Glen Iris'!F22</f>
        <v>0</v>
      </c>
      <c r="N14" s="300">
        <f>'Glen Waverley'!D22</f>
        <v>0</v>
      </c>
      <c r="O14" s="156">
        <f>'Glen Waverley'!F22</f>
        <v>25411.796497963722</v>
      </c>
      <c r="P14" s="159">
        <f>Hawthorn!D20</f>
        <v>0</v>
      </c>
      <c r="Q14" s="156">
        <f>Hawthorn!F20</f>
        <v>0</v>
      </c>
      <c r="R14" s="288">
        <f t="shared" si="0"/>
        <v>0</v>
      </c>
      <c r="S14" s="394">
        <f>SUM(C14,E14,G14,I14,K14,M14,O14,Q14)</f>
        <v>1159413.215219595</v>
      </c>
      <c r="T14" s="397" t="str">
        <f t="shared" si="2"/>
        <v/>
      </c>
      <c r="U14" s="165" t="str">
        <f>IF(R14=0,"",SUM(R7:R14)/SUM(S7:S14))</f>
        <v/>
      </c>
    </row>
    <row r="15" spans="1:25">
      <c r="A15" s="152" t="s">
        <v>15</v>
      </c>
      <c r="B15" s="288">
        <f>'Balwyn Nth'!D22</f>
        <v>0</v>
      </c>
      <c r="C15" s="149">
        <f>'Balwyn Nth'!F22</f>
        <v>444952.64760759968</v>
      </c>
      <c r="D15" s="159">
        <f>Canterbury!D23</f>
        <v>0</v>
      </c>
      <c r="E15" s="149">
        <f>Canterbury!F23</f>
        <v>621079.73728560796</v>
      </c>
      <c r="F15" s="159">
        <f>Manningham!D23</f>
        <v>0</v>
      </c>
      <c r="G15" s="149">
        <f>Manningham!F23</f>
        <v>503661.67750026908</v>
      </c>
      <c r="H15" s="159">
        <f>Maroondah!D23</f>
        <v>0</v>
      </c>
      <c r="I15" s="156">
        <f>Maroondah!F23</f>
        <v>185396.93650316654</v>
      </c>
      <c r="J15" s="159">
        <f>Blackburn!D23</f>
        <v>0</v>
      </c>
      <c r="K15" s="297">
        <f>Blackburn!F23</f>
        <v>451132.54549103859</v>
      </c>
      <c r="L15" s="159">
        <f>'Glen Iris'!D23</f>
        <v>0</v>
      </c>
      <c r="M15" s="149">
        <f>'Glen Iris'!F23</f>
        <v>0</v>
      </c>
      <c r="N15" s="300">
        <f>'Glen Waverley'!D23</f>
        <v>0</v>
      </c>
      <c r="O15" s="156">
        <f>'Glen Waverley'!F23</f>
        <v>49439.183067511076</v>
      </c>
      <c r="P15" s="159">
        <f>Hawthorn!D21</f>
        <v>0</v>
      </c>
      <c r="Q15" s="156">
        <f>Hawthorn!F21</f>
        <v>0</v>
      </c>
      <c r="R15" s="288">
        <f t="shared" si="0"/>
        <v>0</v>
      </c>
      <c r="S15" s="394">
        <f t="shared" si="1"/>
        <v>2255662.7274551932</v>
      </c>
      <c r="T15" s="397" t="str">
        <f t="shared" si="2"/>
        <v/>
      </c>
      <c r="U15" s="165" t="str">
        <f>IF(R15=0,"",SUM(R7:R15)/SUM(S7:S15))</f>
        <v/>
      </c>
      <c r="Y15" s="141" t="s">
        <v>128</v>
      </c>
    </row>
    <row r="16" spans="1:25">
      <c r="A16" s="152" t="s">
        <v>16</v>
      </c>
      <c r="B16" s="288">
        <f>'Balwyn Nth'!D23</f>
        <v>0</v>
      </c>
      <c r="C16" s="149">
        <f>'Balwyn Nth'!F23</f>
        <v>288572.26874360867</v>
      </c>
      <c r="D16" s="159">
        <f>Canterbury!D24</f>
        <v>0</v>
      </c>
      <c r="E16" s="149">
        <f>Canterbury!F24</f>
        <v>402798.79178795364</v>
      </c>
      <c r="F16" s="159">
        <f>Manningham!D24</f>
        <v>0</v>
      </c>
      <c r="G16" s="149">
        <f>Manningham!F24</f>
        <v>326647.77642505697</v>
      </c>
      <c r="H16" s="159">
        <f>Maroondah!D24</f>
        <v>0</v>
      </c>
      <c r="I16" s="156">
        <f>Maroondah!F24</f>
        <v>120238.44530983694</v>
      </c>
      <c r="J16" s="159">
        <f>Blackburn!D24</f>
        <v>0</v>
      </c>
      <c r="K16" s="297">
        <f>Blackburn!F24</f>
        <v>292580.21692060324</v>
      </c>
      <c r="L16" s="159">
        <f>'Glen Iris'!D24</f>
        <v>0</v>
      </c>
      <c r="M16" s="149">
        <f>'Glen Iris'!F24</f>
        <v>0</v>
      </c>
      <c r="N16" s="300">
        <f>'Glen Waverley'!D24</f>
        <v>0</v>
      </c>
      <c r="O16" s="156">
        <f>'Glen Waverley'!F24</f>
        <v>32063.585415956513</v>
      </c>
      <c r="P16" s="159">
        <f>Hawthorn!D22</f>
        <v>0</v>
      </c>
      <c r="Q16" s="156">
        <f>Hawthorn!F22</f>
        <v>0</v>
      </c>
      <c r="R16" s="288">
        <f t="shared" si="0"/>
        <v>0</v>
      </c>
      <c r="S16" s="394">
        <f t="shared" si="1"/>
        <v>1462901.084603016</v>
      </c>
      <c r="T16" s="397" t="str">
        <f t="shared" si="2"/>
        <v/>
      </c>
      <c r="U16" s="165" t="str">
        <f>IF(R16=0,"",SUM(R7:R16)/SUM(S7:S16))</f>
        <v/>
      </c>
    </row>
    <row r="17" spans="1:21">
      <c r="A17" s="152" t="s">
        <v>17</v>
      </c>
      <c r="B17" s="288">
        <f>'Balwyn Nth'!D24</f>
        <v>0</v>
      </c>
      <c r="C17" s="149">
        <f>'Balwyn Nth'!F24</f>
        <v>268003.15981628664</v>
      </c>
      <c r="D17" s="159">
        <f>Canterbury!D25</f>
        <v>0</v>
      </c>
      <c r="E17" s="149">
        <f>Canterbury!F25</f>
        <v>374087.74391023332</v>
      </c>
      <c r="F17" s="159">
        <f>Manningham!D25</f>
        <v>0</v>
      </c>
      <c r="G17" s="149">
        <f>Manningham!F25</f>
        <v>303364.68784760212</v>
      </c>
      <c r="H17" s="159">
        <f>Maroondah!D25</f>
        <v>0</v>
      </c>
      <c r="I17" s="156">
        <f>Maroondah!F25</f>
        <v>111667.98325678609</v>
      </c>
      <c r="J17" s="159">
        <f>Blackburn!D25</f>
        <v>0</v>
      </c>
      <c r="K17" s="157">
        <f>Blackburn!F25</f>
        <v>271725.42592484615</v>
      </c>
      <c r="L17" s="159">
        <f>'Glen Iris'!D25</f>
        <v>0</v>
      </c>
      <c r="M17" s="149">
        <f>'Glen Iris'!F25</f>
        <v>0</v>
      </c>
      <c r="N17" s="300">
        <f>'Glen Waverley'!D25</f>
        <v>0</v>
      </c>
      <c r="O17" s="156">
        <f>'Glen Waverley'!F25</f>
        <v>29778.128868476288</v>
      </c>
      <c r="P17" s="159">
        <f>Hawthorn!D23</f>
        <v>0</v>
      </c>
      <c r="Q17" s="156">
        <f>Hawthorn!F23</f>
        <v>0</v>
      </c>
      <c r="R17" s="288">
        <f t="shared" si="0"/>
        <v>0</v>
      </c>
      <c r="S17" s="394">
        <f t="shared" si="1"/>
        <v>1358627.1296242308</v>
      </c>
      <c r="T17" s="397" t="str">
        <f t="shared" si="2"/>
        <v/>
      </c>
      <c r="U17" s="165" t="str">
        <f>IF(R17=0,"",SUM(R7:R17)/SUM(S7:S17))</f>
        <v/>
      </c>
    </row>
    <row r="18" spans="1:21" ht="15.75" thickBot="1">
      <c r="A18" s="153" t="s">
        <v>18</v>
      </c>
      <c r="B18" s="306">
        <f>'Balwyn Nth'!D25</f>
        <v>0</v>
      </c>
      <c r="C18" s="307">
        <f>'Balwyn Nth'!F25</f>
        <v>376556.55712337862</v>
      </c>
      <c r="D18" s="289">
        <f>Canterbury!D26</f>
        <v>0</v>
      </c>
      <c r="E18" s="307">
        <f>Canterbury!F26</f>
        <v>525610.19431804935</v>
      </c>
      <c r="F18" s="289">
        <f>Manningham!D26</f>
        <v>0</v>
      </c>
      <c r="G18" s="307">
        <f>Manningham!F26</f>
        <v>426241.10285493551</v>
      </c>
      <c r="H18" s="289">
        <f>Maroondah!D26</f>
        <v>0</v>
      </c>
      <c r="I18" s="308">
        <f>Maroondah!F26</f>
        <v>156898.5654680744</v>
      </c>
      <c r="J18" s="289">
        <f>Blackburn!D26</f>
        <v>0</v>
      </c>
      <c r="K18" s="309">
        <f>Blackburn!F26</f>
        <v>381786.50930564769</v>
      </c>
      <c r="L18" s="289">
        <f>'Glen Iris'!D26</f>
        <v>0</v>
      </c>
      <c r="M18" s="307">
        <f>'Glen Iris'!F26</f>
        <v>0</v>
      </c>
      <c r="N18" s="310">
        <f>'Glen Waverley'!D26</f>
        <v>0</v>
      </c>
      <c r="O18" s="308">
        <f>'Glen Waverley'!F26</f>
        <v>41839.617458153174</v>
      </c>
      <c r="P18" s="159">
        <f>Hawthorn!D24</f>
        <v>0</v>
      </c>
      <c r="Q18" s="156">
        <f>Hawthorn!F24</f>
        <v>0</v>
      </c>
      <c r="R18" s="306">
        <f t="shared" si="0"/>
        <v>0</v>
      </c>
      <c r="S18" s="395">
        <f>SUM(C18,E18,G18,I18,K18,M18,O18,Q18)</f>
        <v>1908932.5465282386</v>
      </c>
      <c r="T18" s="398" t="str">
        <f t="shared" si="2"/>
        <v/>
      </c>
      <c r="U18" s="392" t="str">
        <f>IF(R18=0,"",SUM(R7:R18)/SUM(S7:S18))</f>
        <v/>
      </c>
    </row>
    <row r="19" spans="1:21" ht="15.75" thickBot="1">
      <c r="A19" s="154"/>
      <c r="B19" s="314">
        <f t="shared" ref="B19:J19" si="3">SUM(B7:B18)</f>
        <v>0</v>
      </c>
      <c r="C19" s="315">
        <f>SUM(C7:C18)</f>
        <v>3600000</v>
      </c>
      <c r="D19" s="314">
        <f t="shared" si="3"/>
        <v>0</v>
      </c>
      <c r="E19" s="315">
        <f>SUM(E7:E18)</f>
        <v>5025000</v>
      </c>
      <c r="F19" s="314">
        <f t="shared" si="3"/>
        <v>0</v>
      </c>
      <c r="G19" s="315">
        <f>SUM(G7:G18)</f>
        <v>3908899.2334810453</v>
      </c>
      <c r="H19" s="314">
        <f t="shared" si="3"/>
        <v>0</v>
      </c>
      <c r="I19" s="316">
        <f>SUM(I7:I18)</f>
        <v>1399886.7874995517</v>
      </c>
      <c r="J19" s="314">
        <f t="shared" si="3"/>
        <v>0</v>
      </c>
      <c r="K19" s="294">
        <f t="shared" ref="K19:Q19" si="4">SUM(K7:K18)</f>
        <v>3558850.7934300937</v>
      </c>
      <c r="L19" s="312">
        <f t="shared" si="4"/>
        <v>0</v>
      </c>
      <c r="M19" s="315">
        <f t="shared" si="4"/>
        <v>0</v>
      </c>
      <c r="N19" s="312">
        <f t="shared" si="4"/>
        <v>0</v>
      </c>
      <c r="O19" s="317">
        <f t="shared" si="4"/>
        <v>308850.79343009379</v>
      </c>
      <c r="P19" s="388">
        <f t="shared" si="4"/>
        <v>0</v>
      </c>
      <c r="Q19" s="360">
        <f t="shared" si="4"/>
        <v>695428.53326441091</v>
      </c>
      <c r="R19" s="389">
        <f t="shared" ref="R19" si="5">SUM(B19,D19,F19,H19,J19)</f>
        <v>0</v>
      </c>
      <c r="S19" s="395">
        <f>SUM(C19,E19,G19,I19,K19,M19,O19)</f>
        <v>17801487.607840784</v>
      </c>
      <c r="T19" s="399"/>
      <c r="U19" s="390"/>
    </row>
    <row r="20" spans="1:21" ht="34.5" thickBot="1">
      <c r="A20" s="162" t="s">
        <v>176</v>
      </c>
      <c r="B20" s="163">
        <f>B19/B4</f>
        <v>0</v>
      </c>
      <c r="C20" s="158"/>
      <c r="D20" s="163">
        <f>D19/D4</f>
        <v>0</v>
      </c>
      <c r="E20" s="158"/>
      <c r="F20" s="163">
        <f>F19/F4</f>
        <v>0</v>
      </c>
      <c r="G20" s="158"/>
      <c r="H20" s="163">
        <f>H19/H4</f>
        <v>0</v>
      </c>
      <c r="I20" s="158"/>
      <c r="J20" s="163">
        <f>J19/J4</f>
        <v>0</v>
      </c>
      <c r="K20" s="158"/>
      <c r="L20" s="163" t="e">
        <f>L19/L4</f>
        <v>#DIV/0!</v>
      </c>
      <c r="M20" s="158"/>
      <c r="N20" s="163">
        <f>N19/N4</f>
        <v>0</v>
      </c>
      <c r="O20" s="158"/>
      <c r="P20" s="163">
        <f>P19/P4</f>
        <v>0</v>
      </c>
      <c r="Q20" s="158"/>
    </row>
    <row r="21" spans="1:21">
      <c r="K21"/>
      <c r="S21"/>
    </row>
    <row r="22" spans="1:21" ht="47.25" customHeight="1">
      <c r="K22"/>
      <c r="S22"/>
    </row>
    <row r="23" spans="1:21">
      <c r="K23"/>
      <c r="S23"/>
    </row>
    <row r="24" spans="1:21">
      <c r="K24"/>
      <c r="S24"/>
    </row>
    <row r="25" spans="1:21">
      <c r="K25"/>
      <c r="S25"/>
    </row>
    <row r="26" spans="1:21">
      <c r="K26"/>
      <c r="S26"/>
    </row>
  </sheetData>
  <mergeCells count="18">
    <mergeCell ref="R3:S3"/>
    <mergeCell ref="R4:S4"/>
    <mergeCell ref="F4:G4"/>
    <mergeCell ref="F3:G3"/>
    <mergeCell ref="H4:I4"/>
    <mergeCell ref="H3:I3"/>
    <mergeCell ref="L4:M4"/>
    <mergeCell ref="L3:M3"/>
    <mergeCell ref="N3:O3"/>
    <mergeCell ref="N4:O4"/>
    <mergeCell ref="P3:Q3"/>
    <mergeCell ref="P4:Q4"/>
    <mergeCell ref="B3:C3"/>
    <mergeCell ref="B4:C4"/>
    <mergeCell ref="D3:E3"/>
    <mergeCell ref="D4:E4"/>
    <mergeCell ref="J4:K4"/>
    <mergeCell ref="J3:K3"/>
  </mergeCells>
  <pageMargins left="0.7" right="0.7" top="0.75" bottom="0.75" header="0.3" footer="0.3"/>
  <pageSetup paperSize="9" scale="47" orientation="landscape" r:id="rId1"/>
  <ignoredErrors>
    <ignoredError sqref="T1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H67"/>
  <sheetViews>
    <sheetView workbookViewId="0">
      <pane ySplit="1" topLeftCell="A14" activePane="bottomLeft" state="frozen"/>
      <selection pane="bottomLeft" activeCell="E45" sqref="E45"/>
    </sheetView>
  </sheetViews>
  <sheetFormatPr defaultRowHeight="15"/>
  <cols>
    <col min="3" max="3" width="12" customWidth="1"/>
    <col min="4" max="4" width="11.7109375" style="343" bestFit="1" customWidth="1"/>
    <col min="5" max="6" width="13.5703125" style="344" bestFit="1" customWidth="1"/>
    <col min="7" max="7" width="11.7109375" style="343" bestFit="1" customWidth="1"/>
    <col min="8" max="8" width="10.85546875" style="343" bestFit="1" customWidth="1"/>
  </cols>
  <sheetData>
    <row r="1" spans="1:8" ht="15.75" thickBot="1">
      <c r="A1" s="422" t="s">
        <v>179</v>
      </c>
      <c r="B1" s="423"/>
      <c r="C1" s="424"/>
      <c r="D1" s="247" t="s">
        <v>2</v>
      </c>
      <c r="E1" s="250" t="s">
        <v>180</v>
      </c>
      <c r="F1" s="248" t="s">
        <v>181</v>
      </c>
      <c r="G1" s="250" t="s">
        <v>182</v>
      </c>
      <c r="H1" s="248" t="s">
        <v>183</v>
      </c>
    </row>
    <row r="2" spans="1:8">
      <c r="A2" s="245" t="s">
        <v>42</v>
      </c>
      <c r="B2" s="246" t="s">
        <v>43</v>
      </c>
      <c r="C2" s="246" t="s">
        <v>44</v>
      </c>
      <c r="D2" s="320">
        <v>750000</v>
      </c>
      <c r="E2" s="251">
        <v>950000</v>
      </c>
      <c r="F2" s="321">
        <v>1100000</v>
      </c>
      <c r="G2" s="322"/>
      <c r="H2" s="323"/>
    </row>
    <row r="3" spans="1:8">
      <c r="A3" s="118" t="s">
        <v>53</v>
      </c>
      <c r="B3" s="64" t="s">
        <v>54</v>
      </c>
      <c r="C3" s="64" t="s">
        <v>55</v>
      </c>
      <c r="D3" s="137">
        <v>700000</v>
      </c>
      <c r="E3" s="251">
        <v>1200000</v>
      </c>
      <c r="F3" s="324">
        <v>1300000</v>
      </c>
      <c r="G3" s="325"/>
      <c r="H3" s="326"/>
    </row>
    <row r="4" spans="1:8">
      <c r="A4" s="118" t="s">
        <v>45</v>
      </c>
      <c r="B4" s="64" t="s">
        <v>32</v>
      </c>
      <c r="C4" s="64" t="s">
        <v>46</v>
      </c>
      <c r="D4" s="137">
        <v>300000</v>
      </c>
      <c r="E4" s="251">
        <v>300000</v>
      </c>
      <c r="F4" s="327">
        <v>400000</v>
      </c>
      <c r="G4" s="325"/>
      <c r="H4" s="326"/>
    </row>
    <row r="5" spans="1:8">
      <c r="A5" s="118" t="s">
        <v>47</v>
      </c>
      <c r="B5" s="64" t="s">
        <v>48</v>
      </c>
      <c r="C5" s="64" t="s">
        <v>49</v>
      </c>
      <c r="D5" s="137" t="s">
        <v>6</v>
      </c>
      <c r="E5" s="251">
        <v>200000</v>
      </c>
      <c r="F5" s="327">
        <v>250000</v>
      </c>
      <c r="G5" s="325"/>
      <c r="H5" s="326"/>
    </row>
    <row r="6" spans="1:8">
      <c r="A6" s="52" t="s">
        <v>50</v>
      </c>
      <c r="B6" s="64" t="s">
        <v>51</v>
      </c>
      <c r="C6" s="64" t="s">
        <v>52</v>
      </c>
      <c r="D6" s="205">
        <v>300000</v>
      </c>
      <c r="E6" s="328">
        <v>300000</v>
      </c>
      <c r="F6" s="329">
        <v>380000</v>
      </c>
      <c r="G6" s="325"/>
      <c r="H6" s="326"/>
    </row>
    <row r="7" spans="1:8">
      <c r="A7" s="244" t="s">
        <v>4</v>
      </c>
      <c r="B7" s="64" t="s">
        <v>165</v>
      </c>
      <c r="C7" s="64" t="s">
        <v>5</v>
      </c>
      <c r="D7" s="137">
        <v>475000</v>
      </c>
      <c r="E7" s="251">
        <v>650000</v>
      </c>
      <c r="F7" s="327">
        <v>725000</v>
      </c>
      <c r="G7" s="325"/>
      <c r="H7" s="326"/>
    </row>
    <row r="8" spans="1:8">
      <c r="A8" s="118" t="s">
        <v>56</v>
      </c>
      <c r="B8" s="64" t="s">
        <v>57</v>
      </c>
      <c r="C8" s="64" t="s">
        <v>58</v>
      </c>
      <c r="D8" s="242">
        <v>1500000</v>
      </c>
      <c r="E8" s="330">
        <v>2000000</v>
      </c>
      <c r="F8" s="331">
        <v>2020000</v>
      </c>
      <c r="G8" s="325"/>
      <c r="H8" s="326"/>
    </row>
    <row r="9" spans="1:8">
      <c r="A9" s="118" t="s">
        <v>59</v>
      </c>
      <c r="B9" s="64" t="s">
        <v>3</v>
      </c>
      <c r="C9" s="64" t="s">
        <v>5</v>
      </c>
      <c r="D9" s="242">
        <v>375000</v>
      </c>
      <c r="E9" s="330">
        <v>550000</v>
      </c>
      <c r="F9" s="331">
        <v>600000</v>
      </c>
      <c r="G9" s="325"/>
      <c r="H9" s="326"/>
    </row>
    <row r="10" spans="1:8">
      <c r="A10" s="118" t="s">
        <v>60</v>
      </c>
      <c r="B10" s="64" t="s">
        <v>61</v>
      </c>
      <c r="C10" s="64" t="s">
        <v>62</v>
      </c>
      <c r="D10" s="242">
        <v>300000</v>
      </c>
      <c r="E10" s="330">
        <v>300000</v>
      </c>
      <c r="F10" s="331">
        <v>400000</v>
      </c>
      <c r="G10" s="325"/>
      <c r="H10" s="326"/>
    </row>
    <row r="11" spans="1:8">
      <c r="A11" s="118" t="s">
        <v>63</v>
      </c>
      <c r="B11" s="64" t="s">
        <v>64</v>
      </c>
      <c r="C11" s="64" t="s">
        <v>65</v>
      </c>
      <c r="D11" s="242">
        <v>300000</v>
      </c>
      <c r="E11" s="330">
        <v>650000</v>
      </c>
      <c r="F11" s="331">
        <v>730000</v>
      </c>
      <c r="G11" s="325"/>
      <c r="H11" s="326"/>
    </row>
    <row r="12" spans="1:8">
      <c r="A12" s="118" t="s">
        <v>66</v>
      </c>
      <c r="B12" s="64" t="s">
        <v>67</v>
      </c>
      <c r="C12" s="64" t="s">
        <v>68</v>
      </c>
      <c r="D12" s="242">
        <v>600000</v>
      </c>
      <c r="E12" s="330">
        <v>700000</v>
      </c>
      <c r="F12" s="331">
        <v>770000</v>
      </c>
      <c r="G12" s="325"/>
      <c r="H12" s="326"/>
    </row>
    <row r="13" spans="1:8">
      <c r="A13" s="118" t="s">
        <v>69</v>
      </c>
      <c r="B13" s="64" t="s">
        <v>70</v>
      </c>
      <c r="C13" s="64" t="s">
        <v>71</v>
      </c>
      <c r="D13" s="242">
        <v>200000</v>
      </c>
      <c r="E13" s="330">
        <v>300000</v>
      </c>
      <c r="F13" s="331">
        <v>350000</v>
      </c>
      <c r="G13" s="325"/>
      <c r="H13" s="326"/>
    </row>
    <row r="14" spans="1:8">
      <c r="A14" s="244" t="s">
        <v>72</v>
      </c>
      <c r="B14" s="64" t="s">
        <v>73</v>
      </c>
      <c r="C14" s="64" t="s">
        <v>74</v>
      </c>
      <c r="D14" s="242">
        <v>200000</v>
      </c>
      <c r="E14" s="330">
        <v>325000</v>
      </c>
      <c r="F14" s="331">
        <v>350000</v>
      </c>
      <c r="G14" s="325"/>
      <c r="H14" s="326"/>
    </row>
    <row r="15" spans="1:8">
      <c r="A15" s="244" t="s">
        <v>75</v>
      </c>
      <c r="B15" s="64" t="s">
        <v>76</v>
      </c>
      <c r="C15" s="64" t="s">
        <v>77</v>
      </c>
      <c r="D15" s="242" t="s">
        <v>6</v>
      </c>
      <c r="E15" s="330">
        <v>200000</v>
      </c>
      <c r="F15" s="331" t="s">
        <v>6</v>
      </c>
      <c r="G15" s="325"/>
      <c r="H15" s="326"/>
    </row>
    <row r="16" spans="1:8">
      <c r="A16" s="244" t="s">
        <v>164</v>
      </c>
      <c r="B16" s="64" t="s">
        <v>163</v>
      </c>
      <c r="C16" s="64" t="s">
        <v>169</v>
      </c>
      <c r="D16" s="242" t="s">
        <v>6</v>
      </c>
      <c r="E16" s="330">
        <v>400000</v>
      </c>
      <c r="F16" s="331" t="s">
        <v>6</v>
      </c>
      <c r="G16" s="325"/>
      <c r="H16" s="326"/>
    </row>
    <row r="17" spans="1:8">
      <c r="A17" s="118" t="s">
        <v>24</v>
      </c>
      <c r="B17" s="64" t="s">
        <v>25</v>
      </c>
      <c r="C17" s="64" t="s">
        <v>26</v>
      </c>
      <c r="D17" s="137">
        <v>850000</v>
      </c>
      <c r="E17" s="251">
        <v>1200000</v>
      </c>
      <c r="F17" s="324">
        <v>1300000</v>
      </c>
      <c r="G17" s="325"/>
      <c r="H17" s="326"/>
    </row>
    <row r="18" spans="1:8">
      <c r="A18" s="118" t="s">
        <v>27</v>
      </c>
      <c r="B18" s="64" t="s">
        <v>28</v>
      </c>
      <c r="C18" s="64" t="s">
        <v>29</v>
      </c>
      <c r="D18" s="137">
        <v>450000</v>
      </c>
      <c r="E18" s="251">
        <v>1000000</v>
      </c>
      <c r="F18" s="324">
        <v>1100000</v>
      </c>
      <c r="G18" s="325"/>
      <c r="H18" s="326"/>
    </row>
    <row r="19" spans="1:8">
      <c r="A19" s="118" t="s">
        <v>30</v>
      </c>
      <c r="B19" s="64" t="s">
        <v>31</v>
      </c>
      <c r="C19" s="64" t="s">
        <v>32</v>
      </c>
      <c r="D19" s="137">
        <v>300000</v>
      </c>
      <c r="E19" s="251">
        <v>400000</v>
      </c>
      <c r="F19" s="324">
        <v>475000</v>
      </c>
      <c r="G19" s="325"/>
      <c r="H19" s="326"/>
    </row>
    <row r="20" spans="1:8">
      <c r="A20" s="118" t="s">
        <v>33</v>
      </c>
      <c r="B20" s="64" t="s">
        <v>34</v>
      </c>
      <c r="C20" s="64" t="s">
        <v>35</v>
      </c>
      <c r="D20" s="137">
        <v>300000</v>
      </c>
      <c r="E20" s="251">
        <v>325000</v>
      </c>
      <c r="F20" s="324">
        <v>400000</v>
      </c>
      <c r="G20" s="325"/>
      <c r="H20" s="326"/>
    </row>
    <row r="21" spans="1:8">
      <c r="A21" s="52" t="s">
        <v>36</v>
      </c>
      <c r="B21" s="64" t="s">
        <v>37</v>
      </c>
      <c r="C21" s="64" t="s">
        <v>38</v>
      </c>
      <c r="D21" s="205">
        <v>200000</v>
      </c>
      <c r="E21" s="332">
        <v>650000</v>
      </c>
      <c r="F21" s="333">
        <v>650000</v>
      </c>
      <c r="G21" s="325"/>
      <c r="H21" s="326"/>
    </row>
    <row r="22" spans="1:8">
      <c r="A22" s="244" t="s">
        <v>39</v>
      </c>
      <c r="B22" s="64" t="s">
        <v>40</v>
      </c>
      <c r="C22" s="64" t="s">
        <v>41</v>
      </c>
      <c r="D22" s="334">
        <v>0</v>
      </c>
      <c r="E22" s="251">
        <v>200000</v>
      </c>
      <c r="F22" s="324" t="s">
        <v>6</v>
      </c>
      <c r="G22" s="325"/>
      <c r="H22" s="326"/>
    </row>
    <row r="23" spans="1:8">
      <c r="A23" s="244" t="s">
        <v>168</v>
      </c>
      <c r="B23" s="64" t="s">
        <v>166</v>
      </c>
      <c r="C23" s="64" t="s">
        <v>170</v>
      </c>
      <c r="D23" s="334">
        <v>0</v>
      </c>
      <c r="E23" s="251">
        <v>300000</v>
      </c>
      <c r="F23" s="324" t="s">
        <v>6</v>
      </c>
      <c r="G23" s="325"/>
      <c r="H23" s="326"/>
    </row>
    <row r="24" spans="1:8">
      <c r="A24" s="118" t="s">
        <v>78</v>
      </c>
      <c r="B24" s="64" t="s">
        <v>79</v>
      </c>
      <c r="C24" s="64" t="s">
        <v>80</v>
      </c>
      <c r="D24" s="137" t="s">
        <v>6</v>
      </c>
      <c r="E24" s="251">
        <v>600000</v>
      </c>
      <c r="F24" s="327">
        <v>670000</v>
      </c>
      <c r="G24" s="325"/>
      <c r="H24" s="326"/>
    </row>
    <row r="25" spans="1:8">
      <c r="A25" s="118" t="s">
        <v>81</v>
      </c>
      <c r="B25" s="64" t="s">
        <v>82</v>
      </c>
      <c r="C25" s="64" t="s">
        <v>83</v>
      </c>
      <c r="D25" s="137" t="s">
        <v>6</v>
      </c>
      <c r="E25" s="251">
        <v>150000</v>
      </c>
      <c r="F25" s="324" t="s">
        <v>6</v>
      </c>
      <c r="G25" s="325"/>
      <c r="H25" s="326"/>
    </row>
    <row r="26" spans="1:8">
      <c r="A26" s="118" t="s">
        <v>84</v>
      </c>
      <c r="B26" s="64" t="s">
        <v>85</v>
      </c>
      <c r="C26" s="64" t="s">
        <v>86</v>
      </c>
      <c r="D26" s="137" t="s">
        <v>6</v>
      </c>
      <c r="E26" s="251">
        <v>250000</v>
      </c>
      <c r="F26" s="324">
        <v>250000</v>
      </c>
      <c r="G26" s="325"/>
      <c r="H26" s="326"/>
    </row>
    <row r="27" spans="1:8">
      <c r="A27" s="52" t="s">
        <v>87</v>
      </c>
      <c r="B27" s="64" t="s">
        <v>88</v>
      </c>
      <c r="C27" s="64" t="s">
        <v>89</v>
      </c>
      <c r="D27" s="205" t="s">
        <v>6</v>
      </c>
      <c r="E27" s="332">
        <v>250000</v>
      </c>
      <c r="F27" s="345" t="s">
        <v>6</v>
      </c>
      <c r="G27" s="346"/>
      <c r="H27" s="347"/>
    </row>
    <row r="28" spans="1:8">
      <c r="A28" s="244" t="s">
        <v>161</v>
      </c>
      <c r="B28" s="64" t="s">
        <v>162</v>
      </c>
      <c r="C28" s="64" t="s">
        <v>173</v>
      </c>
      <c r="D28" s="137" t="s">
        <v>6</v>
      </c>
      <c r="E28" s="335">
        <v>300000</v>
      </c>
      <c r="F28" s="324" t="s">
        <v>6</v>
      </c>
      <c r="G28" s="325"/>
      <c r="H28" s="326"/>
    </row>
    <row r="29" spans="1:8">
      <c r="A29" s="244" t="s">
        <v>177</v>
      </c>
      <c r="B29" s="64" t="s">
        <v>167</v>
      </c>
      <c r="C29" s="64" t="s">
        <v>171</v>
      </c>
      <c r="D29" s="137" t="s">
        <v>6</v>
      </c>
      <c r="E29" s="335">
        <v>200000</v>
      </c>
      <c r="F29" s="324" t="s">
        <v>6</v>
      </c>
      <c r="G29" s="325"/>
      <c r="H29" s="326"/>
    </row>
    <row r="30" spans="1:8">
      <c r="A30" s="118" t="s">
        <v>90</v>
      </c>
      <c r="B30" s="64" t="s">
        <v>91</v>
      </c>
      <c r="C30" s="64" t="s">
        <v>92</v>
      </c>
      <c r="D30" s="137">
        <v>500000</v>
      </c>
      <c r="E30" s="251">
        <v>650000</v>
      </c>
      <c r="F30" s="249">
        <v>700000</v>
      </c>
      <c r="G30" s="325"/>
      <c r="H30" s="326"/>
    </row>
    <row r="31" spans="1:8">
      <c r="A31" s="118" t="s">
        <v>93</v>
      </c>
      <c r="B31" s="64" t="s">
        <v>94</v>
      </c>
      <c r="C31" s="64" t="s">
        <v>95</v>
      </c>
      <c r="D31" s="137">
        <v>500000</v>
      </c>
      <c r="E31" s="251">
        <v>850000</v>
      </c>
      <c r="F31" s="249">
        <v>1010000</v>
      </c>
      <c r="G31" s="325"/>
      <c r="H31" s="326"/>
    </row>
    <row r="32" spans="1:8">
      <c r="A32" s="118" t="s">
        <v>96</v>
      </c>
      <c r="B32" s="64" t="s">
        <v>97</v>
      </c>
      <c r="C32" s="64" t="s">
        <v>98</v>
      </c>
      <c r="D32" s="137">
        <v>300000</v>
      </c>
      <c r="E32" s="251">
        <v>300000</v>
      </c>
      <c r="F32" s="249">
        <v>400000</v>
      </c>
      <c r="G32" s="325"/>
      <c r="H32" s="326"/>
    </row>
    <row r="33" spans="1:8">
      <c r="A33" s="118" t="s">
        <v>99</v>
      </c>
      <c r="B33" s="64" t="s">
        <v>100</v>
      </c>
      <c r="C33" s="64" t="s">
        <v>101</v>
      </c>
      <c r="D33" s="137">
        <v>300000</v>
      </c>
      <c r="E33" s="251">
        <v>350000</v>
      </c>
      <c r="F33" s="249">
        <v>400000</v>
      </c>
      <c r="G33" s="325"/>
      <c r="H33" s="326"/>
    </row>
    <row r="34" spans="1:8">
      <c r="A34" s="118" t="s">
        <v>102</v>
      </c>
      <c r="B34" s="64" t="s">
        <v>32</v>
      </c>
      <c r="C34" s="64" t="s">
        <v>103</v>
      </c>
      <c r="D34" s="137">
        <v>400000</v>
      </c>
      <c r="E34" s="251">
        <v>600000</v>
      </c>
      <c r="F34" s="249">
        <v>650000</v>
      </c>
      <c r="G34" s="325"/>
      <c r="H34" s="326"/>
    </row>
    <row r="35" spans="1:8">
      <c r="A35" s="118" t="s">
        <v>104</v>
      </c>
      <c r="B35" s="64" t="s">
        <v>105</v>
      </c>
      <c r="C35" s="64" t="s">
        <v>106</v>
      </c>
      <c r="D35" s="137" t="s">
        <v>6</v>
      </c>
      <c r="E35" s="335">
        <v>250000</v>
      </c>
      <c r="F35" s="336">
        <v>250000</v>
      </c>
      <c r="G35" s="325"/>
      <c r="H35" s="326"/>
    </row>
    <row r="36" spans="1:8">
      <c r="A36" s="52" t="s">
        <v>107</v>
      </c>
      <c r="B36" s="64" t="s">
        <v>108</v>
      </c>
      <c r="C36" s="64" t="s">
        <v>92</v>
      </c>
      <c r="D36" s="205">
        <v>200000</v>
      </c>
      <c r="E36" s="328">
        <v>250000</v>
      </c>
      <c r="F36" s="337">
        <v>250000</v>
      </c>
      <c r="G36" s="325"/>
      <c r="H36" s="326"/>
    </row>
    <row r="37" spans="1:8">
      <c r="A37" s="244" t="s">
        <v>123</v>
      </c>
      <c r="B37" s="64" t="s">
        <v>124</v>
      </c>
      <c r="C37" s="64" t="s">
        <v>172</v>
      </c>
      <c r="D37" s="137" t="s">
        <v>6</v>
      </c>
      <c r="E37" s="251">
        <v>400000</v>
      </c>
      <c r="F37" s="249" t="s">
        <v>6</v>
      </c>
      <c r="G37" s="325"/>
      <c r="H37" s="326"/>
    </row>
    <row r="38" spans="1:8">
      <c r="A38" s="64" t="s">
        <v>189</v>
      </c>
      <c r="B38" s="64" t="s">
        <v>193</v>
      </c>
      <c r="C38" s="64" t="s">
        <v>197</v>
      </c>
      <c r="D38" s="293" t="s">
        <v>6</v>
      </c>
      <c r="E38" s="338"/>
      <c r="F38" s="339"/>
      <c r="G38" s="325"/>
      <c r="H38" s="326"/>
    </row>
    <row r="39" spans="1:8">
      <c r="A39" s="64" t="s">
        <v>190</v>
      </c>
      <c r="B39" s="64" t="s">
        <v>194</v>
      </c>
      <c r="C39" s="64" t="s">
        <v>198</v>
      </c>
      <c r="D39" s="293" t="s">
        <v>6</v>
      </c>
      <c r="E39" s="338"/>
      <c r="F39" s="339"/>
      <c r="G39" s="325"/>
      <c r="H39" s="326"/>
    </row>
    <row r="40" spans="1:8">
      <c r="A40" s="64" t="s">
        <v>191</v>
      </c>
      <c r="B40" s="64" t="s">
        <v>195</v>
      </c>
      <c r="C40" s="64" t="s">
        <v>199</v>
      </c>
      <c r="D40" s="293" t="s">
        <v>6</v>
      </c>
      <c r="E40" s="340"/>
      <c r="F40" s="341"/>
      <c r="G40" s="340"/>
      <c r="H40" s="342"/>
    </row>
    <row r="41" spans="1:8">
      <c r="A41" s="64" t="s">
        <v>192</v>
      </c>
      <c r="B41" s="64" t="s">
        <v>196</v>
      </c>
      <c r="C41" s="64" t="s">
        <v>200</v>
      </c>
      <c r="D41" s="293" t="s">
        <v>6</v>
      </c>
      <c r="E41" s="340"/>
      <c r="F41" s="341"/>
      <c r="G41" s="340"/>
      <c r="H41" s="342"/>
    </row>
    <row r="42" spans="1:8" s="141" customFormat="1">
      <c r="A42" s="64" t="s">
        <v>217</v>
      </c>
      <c r="B42" s="319" t="s">
        <v>206</v>
      </c>
      <c r="C42" s="319" t="s">
        <v>207</v>
      </c>
      <c r="D42" s="342" t="s">
        <v>6</v>
      </c>
      <c r="E42" s="340"/>
      <c r="F42" s="341" t="s">
        <v>6</v>
      </c>
      <c r="G42" s="340"/>
      <c r="H42" s="342"/>
    </row>
    <row r="43" spans="1:8" s="141" customFormat="1">
      <c r="A43" s="116" t="s">
        <v>211</v>
      </c>
      <c r="B43" s="118" t="s">
        <v>212</v>
      </c>
      <c r="C43" s="118" t="s">
        <v>218</v>
      </c>
      <c r="D43" s="122">
        <v>400000</v>
      </c>
      <c r="E43" s="356">
        <v>400000</v>
      </c>
      <c r="F43" s="327">
        <v>440000</v>
      </c>
      <c r="G43" s="340"/>
      <c r="H43" s="342"/>
    </row>
    <row r="44" spans="1:8" s="141" customFormat="1">
      <c r="A44" s="116" t="s">
        <v>213</v>
      </c>
      <c r="B44" s="118" t="s">
        <v>3</v>
      </c>
      <c r="C44" s="118" t="s">
        <v>219</v>
      </c>
      <c r="D44" s="122">
        <v>400000</v>
      </c>
      <c r="E44" s="356">
        <v>700000</v>
      </c>
      <c r="F44" s="324">
        <v>800000</v>
      </c>
      <c r="G44" s="340"/>
      <c r="H44" s="342"/>
    </row>
    <row r="45" spans="1:8" s="141" customFormat="1">
      <c r="A45" s="51" t="s">
        <v>214</v>
      </c>
      <c r="B45" s="52" t="s">
        <v>215</v>
      </c>
      <c r="C45" s="52" t="s">
        <v>216</v>
      </c>
      <c r="D45" s="369">
        <v>0</v>
      </c>
      <c r="E45" s="370">
        <v>200000</v>
      </c>
      <c r="F45" s="371" t="s">
        <v>6</v>
      </c>
      <c r="G45" s="372"/>
      <c r="H45" s="373"/>
    </row>
    <row r="46" spans="1:8" s="141" customFormat="1">
      <c r="A46" s="64"/>
      <c r="B46" s="64"/>
      <c r="C46" s="64"/>
      <c r="D46" s="122"/>
      <c r="E46" s="357"/>
      <c r="F46" s="324"/>
      <c r="G46" s="340"/>
      <c r="H46" s="342"/>
    </row>
    <row r="47" spans="1:8" s="141" customFormat="1">
      <c r="A47" s="64"/>
      <c r="B47" s="64"/>
      <c r="C47" s="64"/>
      <c r="D47" s="122"/>
      <c r="E47" s="357"/>
      <c r="F47" s="324"/>
      <c r="G47" s="340"/>
      <c r="H47" s="342"/>
    </row>
    <row r="48" spans="1:8" s="141" customFormat="1">
      <c r="A48" s="64"/>
      <c r="B48" s="64"/>
      <c r="C48" s="64"/>
      <c r="D48" s="122"/>
      <c r="E48" s="357"/>
      <c r="F48" s="324"/>
      <c r="G48" s="340"/>
      <c r="H48" s="342"/>
    </row>
    <row r="49" spans="1:8" s="141" customFormat="1">
      <c r="A49" s="319"/>
      <c r="B49" s="319"/>
      <c r="C49" s="319"/>
      <c r="D49" s="342"/>
      <c r="E49" s="340"/>
      <c r="F49" s="341"/>
      <c r="G49" s="340"/>
      <c r="H49" s="342"/>
    </row>
    <row r="50" spans="1:8" s="141" customFormat="1">
      <c r="A50" s="319"/>
      <c r="B50" s="319"/>
      <c r="C50" s="319"/>
      <c r="D50" s="342"/>
      <c r="E50" s="340"/>
      <c r="F50" s="341"/>
      <c r="G50" s="340"/>
      <c r="H50" s="342"/>
    </row>
    <row r="51" spans="1:8" s="141" customFormat="1">
      <c r="A51"/>
      <c r="B51"/>
      <c r="C51"/>
      <c r="D51" s="343"/>
      <c r="E51" s="344"/>
      <c r="F51" s="344"/>
      <c r="G51" s="343"/>
      <c r="H51" s="343"/>
    </row>
    <row r="52" spans="1:8" s="141" customFormat="1">
      <c r="A52" s="141" t="s">
        <v>208</v>
      </c>
      <c r="B52"/>
      <c r="C52"/>
      <c r="D52" s="343"/>
      <c r="E52" s="344"/>
      <c r="F52" s="344"/>
      <c r="G52" s="343"/>
      <c r="H52" s="343"/>
    </row>
    <row r="54" spans="1:8">
      <c r="D54"/>
      <c r="E54"/>
      <c r="F54" s="343"/>
      <c r="G54"/>
      <c r="H54"/>
    </row>
    <row r="55" spans="1:8">
      <c r="D55"/>
      <c r="E55"/>
      <c r="F55" s="343"/>
      <c r="G55"/>
      <c r="H55"/>
    </row>
    <row r="56" spans="1:8">
      <c r="D56"/>
      <c r="E56"/>
      <c r="F56" s="343"/>
      <c r="G56"/>
      <c r="H56"/>
    </row>
    <row r="57" spans="1:8">
      <c r="D57"/>
      <c r="E57"/>
      <c r="F57" s="343"/>
      <c r="G57"/>
      <c r="H57"/>
    </row>
    <row r="58" spans="1:8">
      <c r="D58"/>
      <c r="E58"/>
      <c r="F58" s="343"/>
      <c r="G58"/>
      <c r="H58"/>
    </row>
    <row r="59" spans="1:8">
      <c r="D59"/>
      <c r="E59"/>
      <c r="F59" s="343"/>
      <c r="G59"/>
      <c r="H59"/>
    </row>
    <row r="60" spans="1:8">
      <c r="D60"/>
      <c r="E60"/>
      <c r="F60" s="343"/>
      <c r="G60"/>
      <c r="H60"/>
    </row>
    <row r="61" spans="1:8">
      <c r="D61"/>
      <c r="E61"/>
      <c r="F61" s="343"/>
      <c r="G61"/>
      <c r="H61"/>
    </row>
    <row r="62" spans="1:8">
      <c r="D62"/>
      <c r="E62"/>
      <c r="F62" s="343"/>
      <c r="G62"/>
      <c r="H62"/>
    </row>
    <row r="63" spans="1:8">
      <c r="D63"/>
      <c r="E63"/>
      <c r="F63" s="343"/>
      <c r="G63"/>
      <c r="H63"/>
    </row>
    <row r="64" spans="1:8">
      <c r="D64"/>
      <c r="E64"/>
      <c r="F64" s="343"/>
      <c r="G64"/>
      <c r="H64"/>
    </row>
    <row r="65" spans="4:8">
      <c r="D65"/>
      <c r="E65"/>
      <c r="F65" s="343"/>
      <c r="G65"/>
      <c r="H65"/>
    </row>
    <row r="66" spans="4:8">
      <c r="D66"/>
      <c r="E66"/>
      <c r="F66" s="343"/>
      <c r="G66"/>
      <c r="H66"/>
    </row>
    <row r="67" spans="4:8">
      <c r="D67"/>
      <c r="E67"/>
      <c r="F67" s="343"/>
      <c r="G67"/>
      <c r="H67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H27" sqref="H27"/>
    </sheetView>
  </sheetViews>
  <sheetFormatPr defaultRowHeight="15"/>
  <cols>
    <col min="3" max="4" width="9.5703125" bestFit="1" customWidth="1"/>
    <col min="5" max="5" width="11.28515625" bestFit="1" customWidth="1"/>
    <col min="6" max="6" width="10" bestFit="1" customWidth="1"/>
    <col min="7" max="7" width="9.5703125" bestFit="1" customWidth="1"/>
    <col min="8" max="8" width="12.5703125" bestFit="1" customWidth="1"/>
    <col min="10" max="10" width="12.28515625" bestFit="1" customWidth="1"/>
  </cols>
  <sheetData>
    <row r="1" spans="1:10" ht="15.75" thickBot="1"/>
    <row r="2" spans="1:10" ht="15.75" thickBot="1">
      <c r="B2" s="260" t="s">
        <v>184</v>
      </c>
      <c r="C2" s="261" t="s">
        <v>119</v>
      </c>
      <c r="D2" s="261" t="s">
        <v>126</v>
      </c>
      <c r="E2" s="261" t="s">
        <v>120</v>
      </c>
      <c r="F2" s="261" t="s">
        <v>121</v>
      </c>
      <c r="G2" s="261" t="s">
        <v>178</v>
      </c>
    </row>
    <row r="3" spans="1:10" ht="15.75" thickBot="1">
      <c r="A3" s="258"/>
      <c r="B3" s="186" t="s">
        <v>19</v>
      </c>
      <c r="C3" s="186" t="s">
        <v>19</v>
      </c>
      <c r="D3" s="186" t="s">
        <v>19</v>
      </c>
      <c r="E3" s="186" t="s">
        <v>19</v>
      </c>
      <c r="F3" s="186" t="s">
        <v>19</v>
      </c>
      <c r="G3" s="186" t="s">
        <v>19</v>
      </c>
      <c r="H3" s="259" t="s">
        <v>185</v>
      </c>
      <c r="I3" s="188" t="s">
        <v>186</v>
      </c>
      <c r="J3" s="188" t="s">
        <v>187</v>
      </c>
    </row>
    <row r="4" spans="1:10">
      <c r="A4" s="263" t="s">
        <v>7</v>
      </c>
      <c r="B4" s="264">
        <v>184714</v>
      </c>
      <c r="C4" s="265">
        <v>200190</v>
      </c>
      <c r="D4" s="265">
        <v>96177</v>
      </c>
      <c r="E4" s="265">
        <v>178344</v>
      </c>
      <c r="F4" s="265">
        <v>0</v>
      </c>
      <c r="G4" s="265">
        <v>86931</v>
      </c>
      <c r="H4" s="378">
        <f>SUM(B4:G4)</f>
        <v>746356</v>
      </c>
      <c r="I4" s="374">
        <f>H4/$H$16</f>
        <v>5.23054436749852E-2</v>
      </c>
      <c r="J4" s="266">
        <f>I4</f>
        <v>5.23054436749852E-2</v>
      </c>
    </row>
    <row r="5" spans="1:10">
      <c r="A5" s="253" t="s">
        <v>8</v>
      </c>
      <c r="B5" s="254">
        <v>144568</v>
      </c>
      <c r="C5" s="257">
        <v>366293</v>
      </c>
      <c r="D5" s="255">
        <v>50373</v>
      </c>
      <c r="E5" s="84">
        <v>183670</v>
      </c>
      <c r="F5" s="255">
        <v>0</v>
      </c>
      <c r="G5" s="255">
        <v>130762</v>
      </c>
      <c r="H5" s="379">
        <f t="shared" ref="H5:H15" si="0">SUM(B5:G5)</f>
        <v>875666</v>
      </c>
      <c r="I5" s="375">
        <f t="shared" ref="I5:I15" si="1">H5/$H$16</f>
        <v>6.136762971169199E-2</v>
      </c>
      <c r="J5" s="262">
        <f>I5+I4</f>
        <v>0.11367307338667719</v>
      </c>
    </row>
    <row r="6" spans="1:10">
      <c r="A6" s="267" t="s">
        <v>9</v>
      </c>
      <c r="B6" s="268">
        <v>199648</v>
      </c>
      <c r="C6" s="269">
        <v>429444</v>
      </c>
      <c r="D6" s="270">
        <v>229775</v>
      </c>
      <c r="E6" s="271">
        <v>471907</v>
      </c>
      <c r="F6" s="270">
        <v>0</v>
      </c>
      <c r="G6" s="270">
        <v>298766</v>
      </c>
      <c r="H6" s="380">
        <f t="shared" si="0"/>
        <v>1629540</v>
      </c>
      <c r="I6" s="376">
        <f t="shared" si="1"/>
        <v>0.11419994303808824</v>
      </c>
      <c r="J6" s="272">
        <f>SUM(I4:I6)</f>
        <v>0.22787301642476543</v>
      </c>
    </row>
    <row r="7" spans="1:10">
      <c r="A7" s="253" t="s">
        <v>10</v>
      </c>
      <c r="B7" s="254">
        <v>176642</v>
      </c>
      <c r="C7" s="257">
        <v>516130</v>
      </c>
      <c r="D7" s="255">
        <v>124055</v>
      </c>
      <c r="E7" s="84">
        <v>296604</v>
      </c>
      <c r="F7" s="255">
        <v>0</v>
      </c>
      <c r="G7" s="255">
        <v>255624</v>
      </c>
      <c r="H7" s="379">
        <f t="shared" si="0"/>
        <v>1369055</v>
      </c>
      <c r="I7" s="375">
        <f t="shared" si="1"/>
        <v>9.5944869727659268E-2</v>
      </c>
      <c r="J7" s="262">
        <f>SUM(I4:I7)</f>
        <v>0.32381788615242468</v>
      </c>
    </row>
    <row r="8" spans="1:10">
      <c r="A8" s="267" t="s">
        <v>11</v>
      </c>
      <c r="B8" s="273">
        <v>266145</v>
      </c>
      <c r="C8" s="274">
        <v>323952</v>
      </c>
      <c r="D8" s="275">
        <v>122682</v>
      </c>
      <c r="E8" s="276">
        <v>356843</v>
      </c>
      <c r="F8" s="277">
        <v>0</v>
      </c>
      <c r="G8" s="278">
        <v>165626</v>
      </c>
      <c r="H8" s="380">
        <f t="shared" si="0"/>
        <v>1235248</v>
      </c>
      <c r="I8" s="376">
        <f t="shared" si="1"/>
        <v>8.6567529019178677E-2</v>
      </c>
      <c r="J8" s="272">
        <f>SUM(I4:I8)</f>
        <v>0.41038541517160337</v>
      </c>
    </row>
    <row r="9" spans="1:10">
      <c r="A9" s="253" t="s">
        <v>12</v>
      </c>
      <c r="B9" s="254">
        <v>291664</v>
      </c>
      <c r="C9" s="257">
        <v>641009</v>
      </c>
      <c r="D9" s="255">
        <v>182723</v>
      </c>
      <c r="E9" s="84">
        <v>370189</v>
      </c>
      <c r="F9" s="255">
        <v>0</v>
      </c>
      <c r="G9" s="255">
        <v>291779</v>
      </c>
      <c r="H9" s="379">
        <f t="shared" si="0"/>
        <v>1777364</v>
      </c>
      <c r="I9" s="375">
        <f t="shared" si="1"/>
        <v>0.12455961041640504</v>
      </c>
      <c r="J9" s="262">
        <f>SUM(I4:I9)</f>
        <v>0.53494502558800838</v>
      </c>
    </row>
    <row r="10" spans="1:10">
      <c r="A10" s="267" t="s">
        <v>13</v>
      </c>
      <c r="B10" s="268">
        <v>0</v>
      </c>
      <c r="C10" s="270">
        <v>90014</v>
      </c>
      <c r="D10" s="270">
        <v>30636</v>
      </c>
      <c r="E10" s="270">
        <v>123134</v>
      </c>
      <c r="F10" s="270">
        <v>0</v>
      </c>
      <c r="G10" s="270">
        <v>23395</v>
      </c>
      <c r="H10" s="380">
        <f t="shared" si="0"/>
        <v>267179</v>
      </c>
      <c r="I10" s="376">
        <f t="shared" si="1"/>
        <v>1.8724196141839646E-2</v>
      </c>
      <c r="J10" s="272">
        <f>SUM(I4:I10)</f>
        <v>0.553669221729848</v>
      </c>
    </row>
    <row r="11" spans="1:10">
      <c r="A11" s="253" t="s">
        <v>14</v>
      </c>
      <c r="B11" s="254">
        <v>237324</v>
      </c>
      <c r="C11" s="255">
        <v>253705</v>
      </c>
      <c r="D11" s="255">
        <v>80814</v>
      </c>
      <c r="E11" s="255">
        <v>158702</v>
      </c>
      <c r="F11" s="255">
        <v>101905</v>
      </c>
      <c r="G11" s="255">
        <v>74064</v>
      </c>
      <c r="H11" s="379">
        <f t="shared" si="0"/>
        <v>906514</v>
      </c>
      <c r="I11" s="375">
        <f t="shared" si="1"/>
        <v>6.3529491244909309E-2</v>
      </c>
      <c r="J11" s="262">
        <f>SUM(I4:I11)</f>
        <v>0.61719871297475737</v>
      </c>
    </row>
    <row r="12" spans="1:10">
      <c r="A12" s="267" t="s">
        <v>15</v>
      </c>
      <c r="B12" s="268">
        <v>262623</v>
      </c>
      <c r="C12" s="270">
        <v>490393</v>
      </c>
      <c r="D12" s="270">
        <v>214969</v>
      </c>
      <c r="E12" s="270">
        <v>344799</v>
      </c>
      <c r="F12" s="270">
        <v>134000</v>
      </c>
      <c r="G12" s="270">
        <v>316858</v>
      </c>
      <c r="H12" s="380">
        <f t="shared" si="0"/>
        <v>1763642</v>
      </c>
      <c r="I12" s="376">
        <f t="shared" si="1"/>
        <v>0.12359795766877769</v>
      </c>
      <c r="J12" s="272">
        <f>SUM(I4:I12)</f>
        <v>0.74079667064353505</v>
      </c>
    </row>
    <row r="13" spans="1:10">
      <c r="A13" s="253" t="s">
        <v>16</v>
      </c>
      <c r="B13" s="254">
        <v>147976</v>
      </c>
      <c r="C13" s="255">
        <v>415694</v>
      </c>
      <c r="D13" s="255">
        <v>125138</v>
      </c>
      <c r="E13" s="255">
        <v>174463</v>
      </c>
      <c r="F13" s="255">
        <v>49880</v>
      </c>
      <c r="G13" s="255">
        <v>230652</v>
      </c>
      <c r="H13" s="379">
        <f t="shared" si="0"/>
        <v>1143803</v>
      </c>
      <c r="I13" s="375">
        <f t="shared" si="1"/>
        <v>8.0158963539891284E-2</v>
      </c>
      <c r="J13" s="262">
        <f>SUM(I4:I13)</f>
        <v>0.82095563418342632</v>
      </c>
    </row>
    <row r="14" spans="1:10">
      <c r="A14" s="267" t="s">
        <v>17</v>
      </c>
      <c r="B14" s="268">
        <v>154546</v>
      </c>
      <c r="C14" s="270">
        <v>292075</v>
      </c>
      <c r="D14" s="270">
        <v>142805</v>
      </c>
      <c r="E14" s="270">
        <v>201828</v>
      </c>
      <c r="F14" s="270">
        <v>63791</v>
      </c>
      <c r="G14" s="270">
        <v>207229</v>
      </c>
      <c r="H14" s="380">
        <f t="shared" si="0"/>
        <v>1062274</v>
      </c>
      <c r="I14" s="376">
        <f t="shared" si="1"/>
        <v>7.4445322171190723E-2</v>
      </c>
      <c r="J14" s="272">
        <f>SUM(I4:I14)</f>
        <v>0.89540095635461703</v>
      </c>
    </row>
    <row r="15" spans="1:10">
      <c r="A15" s="253" t="s">
        <v>18</v>
      </c>
      <c r="B15" s="254">
        <v>274680</v>
      </c>
      <c r="C15" s="255">
        <v>444686</v>
      </c>
      <c r="D15" s="255">
        <v>160588</v>
      </c>
      <c r="E15" s="255">
        <v>344245</v>
      </c>
      <c r="F15" s="256">
        <v>70534</v>
      </c>
      <c r="G15" s="256">
        <v>197810</v>
      </c>
      <c r="H15" s="379">
        <f t="shared" si="0"/>
        <v>1492543</v>
      </c>
      <c r="I15" s="375">
        <f t="shared" si="1"/>
        <v>0.10459904364538294</v>
      </c>
      <c r="J15" s="262">
        <f>SUM(I4:I15)</f>
        <v>1</v>
      </c>
    </row>
    <row r="16" spans="1:10">
      <c r="H16" s="381">
        <f>SUM(H4:H15)</f>
        <v>14269184</v>
      </c>
      <c r="I16" s="377">
        <f>SUM(I4:I15)</f>
        <v>1</v>
      </c>
    </row>
    <row r="22" spans="13:13">
      <c r="M22" s="141"/>
    </row>
    <row r="24" spans="13:13">
      <c r="M24" s="141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S51"/>
  <sheetViews>
    <sheetView zoomScaleNormal="100" workbookViewId="0">
      <pane xSplit="3" ySplit="3" topLeftCell="D5" activePane="bottomRight" state="frozen"/>
      <selection pane="topRight" activeCell="D1" sqref="D1"/>
      <selection pane="bottomLeft" activeCell="A4" sqref="A4"/>
      <selection pane="bottomRight" activeCell="K29" sqref="K29"/>
    </sheetView>
  </sheetViews>
  <sheetFormatPr defaultRowHeight="15" outlineLevelCol="2"/>
  <cols>
    <col min="1" max="1" width="7.5703125" style="54" customWidth="1"/>
    <col min="2" max="2" width="14.5703125" style="54" bestFit="1" customWidth="1"/>
    <col min="3" max="3" width="9" style="54" customWidth="1"/>
    <col min="4" max="4" width="13.5703125" style="54" bestFit="1" customWidth="1"/>
    <col min="5" max="5" width="12" style="54" customWidth="1"/>
    <col min="6" max="6" width="16.85546875" style="54" customWidth="1"/>
    <col min="7" max="7" width="18.140625" style="54" customWidth="1"/>
    <col min="8" max="8" width="23.85546875" bestFit="1" customWidth="1"/>
    <col min="9" max="9" width="13.85546875" style="141" customWidth="1" outlineLevel="1"/>
    <col min="10" max="10" width="11.85546875" style="228" customWidth="1" outlineLevel="1"/>
    <col min="11" max="11" width="11.85546875" style="141" customWidth="1" outlineLevel="1"/>
    <col min="12" max="12" width="11.85546875" style="228" customWidth="1" outlineLevel="1"/>
    <col min="13" max="13" width="11.7109375" customWidth="1"/>
    <col min="14" max="14" width="13" style="141" customWidth="1" outlineLevel="1"/>
    <col min="15" max="15" width="11.7109375" style="228" customWidth="1" outlineLevel="1"/>
    <col min="16" max="16" width="11.7109375" style="141" customWidth="1" outlineLevel="1"/>
    <col min="17" max="17" width="11.7109375" style="228" customWidth="1" outlineLevel="1"/>
    <col min="18" max="18" width="11.7109375" customWidth="1"/>
    <col min="19" max="19" width="12.28515625" style="141" customWidth="1" outlineLevel="1"/>
    <col min="20" max="20" width="11.7109375" style="228" customWidth="1" outlineLevel="1"/>
    <col min="21" max="21" width="13" style="141" customWidth="1" outlineLevel="1"/>
    <col min="22" max="22" width="11.7109375" style="228" customWidth="1" outlineLevel="1"/>
    <col min="23" max="23" width="11.7109375" customWidth="1"/>
    <col min="24" max="24" width="20.5703125" style="141" customWidth="1" outlineLevel="1"/>
    <col min="25" max="25" width="11.7109375" style="228" customWidth="1" outlineLevel="1"/>
    <col min="26" max="26" width="13" style="141" customWidth="1" outlineLevel="1"/>
    <col min="27" max="27" width="11.7109375" style="228" customWidth="1" outlineLevel="1"/>
    <col min="28" max="28" width="11.7109375" customWidth="1"/>
    <col min="29" max="29" width="12.5703125" style="141" hidden="1" customWidth="1" outlineLevel="1"/>
    <col min="30" max="30" width="11.7109375" style="228" hidden="1" customWidth="1" outlineLevel="1"/>
    <col min="31" max="31" width="12.7109375" style="141" hidden="1" customWidth="1" outlineLevel="1"/>
    <col min="32" max="32" width="11.7109375" style="228" hidden="1" customWidth="1" outlineLevel="1"/>
    <col min="33" max="33" width="11.7109375" customWidth="1" collapsed="1"/>
    <col min="34" max="34" width="13.42578125" style="141" hidden="1" customWidth="1" outlineLevel="1"/>
    <col min="35" max="35" width="11.7109375" style="228" hidden="1" customWidth="1" outlineLevel="1"/>
    <col min="36" max="36" width="12.5703125" style="141" hidden="1" customWidth="1" outlineLevel="1"/>
    <col min="37" max="37" width="11.7109375" style="228" hidden="1" customWidth="1" outlineLevel="1"/>
    <col min="38" max="38" width="11.7109375" customWidth="1" collapsed="1"/>
    <col min="39" max="39" width="11.7109375" style="141" hidden="1" customWidth="1" outlineLevel="1"/>
    <col min="40" max="40" width="11.7109375" style="228" hidden="1" customWidth="1" outlineLevel="1"/>
    <col min="41" max="41" width="13.140625" style="141" hidden="1" customWidth="1" outlineLevel="1"/>
    <col min="42" max="42" width="11.7109375" style="228" hidden="1" customWidth="1" outlineLevel="1"/>
    <col min="43" max="43" width="11.7109375" customWidth="1" collapsed="1"/>
    <col min="44" max="44" width="12.28515625" style="141" hidden="1" customWidth="1" outlineLevel="1"/>
    <col min="45" max="45" width="11.7109375" style="228" hidden="1" customWidth="1" outlineLevel="1"/>
    <col min="46" max="46" width="12.85546875" style="141" hidden="1" customWidth="1" outlineLevel="1"/>
    <col min="47" max="47" width="11.7109375" style="228" hidden="1" customWidth="1" outlineLevel="1"/>
    <col min="48" max="48" width="11.7109375" customWidth="1" collapsed="1"/>
    <col min="49" max="49" width="12.42578125" style="141" hidden="1" customWidth="1" outlineLevel="2"/>
    <col min="50" max="50" width="11.7109375" style="228" hidden="1" customWidth="1" outlineLevel="2"/>
    <col min="51" max="51" width="12.7109375" style="141" hidden="1" customWidth="1" outlineLevel="2"/>
    <col min="52" max="52" width="11.7109375" style="228" hidden="1" customWidth="1" outlineLevel="2"/>
    <col min="53" max="53" width="11.7109375" customWidth="1" collapsed="1"/>
    <col min="54" max="54" width="11.7109375" style="141" hidden="1" customWidth="1" outlineLevel="1"/>
    <col min="55" max="55" width="11.7109375" style="228" hidden="1" customWidth="1" outlineLevel="1"/>
    <col min="56" max="56" width="13.28515625" style="141" hidden="1" customWidth="1" outlineLevel="1"/>
    <col min="57" max="57" width="11.7109375" style="228" hidden="1" customWidth="1" outlineLevel="1"/>
    <col min="58" max="58" width="11.7109375" customWidth="1" collapsed="1"/>
    <col min="59" max="59" width="11.7109375" style="141" hidden="1" customWidth="1" outlineLevel="1"/>
    <col min="60" max="60" width="11.7109375" style="228" hidden="1" customWidth="1" outlineLevel="1"/>
    <col min="61" max="61" width="14.42578125" style="141" hidden="1" customWidth="1" outlineLevel="1"/>
    <col min="62" max="62" width="11.7109375" style="228" hidden="1" customWidth="1" outlineLevel="1"/>
    <col min="63" max="63" width="11.7109375" customWidth="1" collapsed="1"/>
    <col min="64" max="64" width="13.85546875" style="141" hidden="1" customWidth="1" outlineLevel="1"/>
    <col min="65" max="65" width="11.7109375" style="228" hidden="1" customWidth="1" outlineLevel="1"/>
    <col min="66" max="66" width="15.7109375" style="141" hidden="1" customWidth="1" outlineLevel="1"/>
    <col min="67" max="67" width="11.7109375" style="228" hidden="1" customWidth="1" outlineLevel="1"/>
    <col min="68" max="68" width="9.140625" collapsed="1"/>
    <col min="72" max="16384" width="9.140625" style="54"/>
  </cols>
  <sheetData>
    <row r="1" spans="1:67" ht="21">
      <c r="A1" s="114" t="s">
        <v>118</v>
      </c>
    </row>
    <row r="2" spans="1:67" s="141" customFormat="1" ht="15" customHeight="1">
      <c r="A2" s="114"/>
      <c r="J2" s="228"/>
      <c r="L2" s="228"/>
      <c r="O2" s="228"/>
      <c r="Q2" s="228"/>
      <c r="T2" s="228"/>
      <c r="V2" s="228"/>
      <c r="Y2" s="228"/>
      <c r="AA2" s="228"/>
      <c r="AD2" s="228"/>
      <c r="AF2" s="228"/>
      <c r="AI2" s="228"/>
      <c r="AK2" s="228"/>
      <c r="AN2" s="228"/>
      <c r="AP2" s="228"/>
      <c r="AS2" s="228"/>
      <c r="AU2" s="228"/>
      <c r="AX2" s="228"/>
      <c r="AZ2" s="228"/>
      <c r="BC2" s="228"/>
      <c r="BE2" s="228"/>
      <c r="BH2" s="228"/>
      <c r="BJ2" s="228"/>
      <c r="BM2" s="228"/>
      <c r="BO2" s="228"/>
    </row>
    <row r="3" spans="1:67" s="168" customFormat="1" ht="25.5">
      <c r="A3" s="419" t="s">
        <v>0</v>
      </c>
      <c r="B3" s="420"/>
      <c r="C3" s="421"/>
      <c r="D3" s="142" t="s">
        <v>1</v>
      </c>
      <c r="E3" s="143" t="s">
        <v>2</v>
      </c>
      <c r="F3" s="144" t="s">
        <v>109</v>
      </c>
      <c r="G3" s="145" t="s">
        <v>110</v>
      </c>
      <c r="H3" s="182" t="s">
        <v>7</v>
      </c>
      <c r="I3" s="167" t="s">
        <v>157</v>
      </c>
      <c r="J3" s="229" t="s">
        <v>158</v>
      </c>
      <c r="K3" s="167" t="s">
        <v>135</v>
      </c>
      <c r="L3" s="229" t="s">
        <v>136</v>
      </c>
      <c r="M3" s="184" t="s">
        <v>8</v>
      </c>
      <c r="N3" s="167" t="s">
        <v>133</v>
      </c>
      <c r="O3" s="229" t="s">
        <v>134</v>
      </c>
      <c r="P3" s="167" t="s">
        <v>135</v>
      </c>
      <c r="Q3" s="229" t="s">
        <v>136</v>
      </c>
      <c r="R3" s="182" t="s">
        <v>9</v>
      </c>
      <c r="S3" s="167" t="s">
        <v>137</v>
      </c>
      <c r="T3" s="229" t="s">
        <v>138</v>
      </c>
      <c r="U3" s="167" t="s">
        <v>135</v>
      </c>
      <c r="V3" s="229" t="s">
        <v>136</v>
      </c>
      <c r="W3" s="182" t="s">
        <v>10</v>
      </c>
      <c r="X3" s="167" t="s">
        <v>139</v>
      </c>
      <c r="Y3" s="229" t="s">
        <v>140</v>
      </c>
      <c r="Z3" s="167" t="s">
        <v>135</v>
      </c>
      <c r="AA3" s="229" t="s">
        <v>136</v>
      </c>
      <c r="AB3" s="182" t="s">
        <v>11</v>
      </c>
      <c r="AC3" s="167" t="s">
        <v>141</v>
      </c>
      <c r="AD3" s="229" t="s">
        <v>142</v>
      </c>
      <c r="AE3" s="167" t="s">
        <v>135</v>
      </c>
      <c r="AF3" s="229" t="s">
        <v>136</v>
      </c>
      <c r="AG3" s="182" t="s">
        <v>12</v>
      </c>
      <c r="AH3" s="167" t="s">
        <v>143</v>
      </c>
      <c r="AI3" s="229" t="s">
        <v>144</v>
      </c>
      <c r="AJ3" s="167" t="s">
        <v>135</v>
      </c>
      <c r="AK3" s="229" t="s">
        <v>136</v>
      </c>
      <c r="AL3" s="182" t="s">
        <v>13</v>
      </c>
      <c r="AM3" s="167" t="s">
        <v>145</v>
      </c>
      <c r="AN3" s="229" t="s">
        <v>146</v>
      </c>
      <c r="AO3" s="167" t="s">
        <v>135</v>
      </c>
      <c r="AP3" s="229" t="s">
        <v>136</v>
      </c>
      <c r="AQ3" s="182" t="s">
        <v>14</v>
      </c>
      <c r="AR3" s="167" t="s">
        <v>147</v>
      </c>
      <c r="AS3" s="229" t="s">
        <v>148</v>
      </c>
      <c r="AT3" s="167" t="s">
        <v>135</v>
      </c>
      <c r="AU3" s="229" t="s">
        <v>136</v>
      </c>
      <c r="AV3" s="182" t="s">
        <v>15</v>
      </c>
      <c r="AW3" s="167" t="s">
        <v>149</v>
      </c>
      <c r="AX3" s="229" t="s">
        <v>150</v>
      </c>
      <c r="AY3" s="167" t="s">
        <v>135</v>
      </c>
      <c r="AZ3" s="229" t="s">
        <v>136</v>
      </c>
      <c r="BA3" s="182" t="s">
        <v>16</v>
      </c>
      <c r="BB3" s="167" t="s">
        <v>151</v>
      </c>
      <c r="BC3" s="229" t="s">
        <v>152</v>
      </c>
      <c r="BD3" s="167" t="s">
        <v>135</v>
      </c>
      <c r="BE3" s="229" t="s">
        <v>136</v>
      </c>
      <c r="BF3" s="182" t="s">
        <v>17</v>
      </c>
      <c r="BG3" s="167" t="s">
        <v>153</v>
      </c>
      <c r="BH3" s="229" t="s">
        <v>154</v>
      </c>
      <c r="BI3" s="167" t="s">
        <v>135</v>
      </c>
      <c r="BJ3" s="229" t="s">
        <v>136</v>
      </c>
      <c r="BK3" s="182" t="s">
        <v>18</v>
      </c>
      <c r="BL3" s="167" t="s">
        <v>155</v>
      </c>
      <c r="BM3" s="229" t="s">
        <v>156</v>
      </c>
      <c r="BN3" s="167" t="s">
        <v>135</v>
      </c>
      <c r="BO3" s="229" t="s">
        <v>136</v>
      </c>
    </row>
    <row r="4" spans="1:67" s="168" customFormat="1" ht="12.75">
      <c r="A4" s="116" t="s">
        <v>42</v>
      </c>
      <c r="B4" s="118" t="s">
        <v>43</v>
      </c>
      <c r="C4" s="118" t="s">
        <v>44</v>
      </c>
      <c r="D4" s="117"/>
      <c r="E4" s="122">
        <f>'Agent Budget &amp; Travel'!D2</f>
        <v>750000</v>
      </c>
      <c r="F4" s="119">
        <f>'Agent Budget &amp; Travel'!E2</f>
        <v>950000</v>
      </c>
      <c r="G4" s="164">
        <f>'Agent Budget &amp; Travel'!F2</f>
        <v>1100000</v>
      </c>
      <c r="H4" s="208"/>
      <c r="I4" s="214">
        <f>F4*'Office Budget'!$I$4</f>
        <v>49690.171491235938</v>
      </c>
      <c r="J4" s="230">
        <f>H4/I4</f>
        <v>0</v>
      </c>
      <c r="K4" s="214">
        <f>I4</f>
        <v>49690.171491235938</v>
      </c>
      <c r="L4" s="230">
        <f>H4/K4</f>
        <v>0</v>
      </c>
      <c r="M4" s="215"/>
      <c r="N4" s="214">
        <f>F4*'Office Budget'!$I$5</f>
        <v>58299.248226107389</v>
      </c>
      <c r="O4" s="232">
        <f>M4/N4</f>
        <v>0</v>
      </c>
      <c r="P4" s="216">
        <f>SUM(I4,N4)</f>
        <v>107989.41971734332</v>
      </c>
      <c r="Q4" s="232">
        <f>SUM(H4,M4)/P4</f>
        <v>0</v>
      </c>
      <c r="R4" s="217"/>
      <c r="S4" s="169">
        <f>F4*'Office Budget'!$I$6</f>
        <v>108489.94588618382</v>
      </c>
      <c r="T4" s="170">
        <f>R4/S4</f>
        <v>0</v>
      </c>
      <c r="U4" s="218">
        <f>SUM(I4,N4,S4)</f>
        <v>216479.36560352714</v>
      </c>
      <c r="V4" s="170">
        <f>SUM(H4,M4,R4)/U4</f>
        <v>0</v>
      </c>
      <c r="W4" s="219"/>
      <c r="X4" s="169">
        <f>F4*'Office Budget'!$I$7</f>
        <v>91147.626241276303</v>
      </c>
      <c r="Y4" s="170">
        <f>W4/X4</f>
        <v>0</v>
      </c>
      <c r="Z4" s="218">
        <f>SUM(I4,N4,S4,X4)</f>
        <v>307626.99184480344</v>
      </c>
      <c r="AA4" s="170">
        <f>SUM(H4,M4,R4,W4)/Z4</f>
        <v>0</v>
      </c>
      <c r="AB4" s="219"/>
      <c r="AC4" s="169">
        <f>F4*'Office Budget'!$I$8</f>
        <v>82239.152568219739</v>
      </c>
      <c r="AD4" s="170">
        <f>AB4/AC4</f>
        <v>0</v>
      </c>
      <c r="AE4" s="218">
        <f>SUM(I4,N4,S4,X4,AC4)</f>
        <v>389866.1444130232</v>
      </c>
      <c r="AF4" s="170">
        <f>SUM(H4,M4,R4,W4,AB4)/AE4</f>
        <v>0</v>
      </c>
      <c r="AG4" s="219"/>
      <c r="AH4" s="169">
        <f>F4*'Office Budget'!$I$9</f>
        <v>118331.62989558479</v>
      </c>
      <c r="AI4" s="170">
        <f>AG4/AH4</f>
        <v>0</v>
      </c>
      <c r="AJ4" s="169">
        <f>SUM(I4,N4,S4,X4,AC4,AH4)</f>
        <v>508197.77430860797</v>
      </c>
      <c r="AK4" s="170">
        <f>SUM(H4,M4,R4,W4,AB4,AG4)/AJ4</f>
        <v>0</v>
      </c>
      <c r="AL4" s="219"/>
      <c r="AM4" s="169">
        <f>F4*'Office Budget'!$I$10</f>
        <v>17787.986334747664</v>
      </c>
      <c r="AN4" s="170">
        <f>AL4/AM4</f>
        <v>0</v>
      </c>
      <c r="AO4" s="169">
        <f>SUM(I4,N4,S4,X4,AC4,AH4,AM4)</f>
        <v>525985.76064335566</v>
      </c>
      <c r="AP4" s="170">
        <f>SUM(H4,M4,R4,W4,AB4,AG4,AL4)/AO4</f>
        <v>0</v>
      </c>
      <c r="AQ4" s="219"/>
      <c r="AR4" s="169">
        <f>F4*'Office Budget'!$I$11</f>
        <v>60353.016682663845</v>
      </c>
      <c r="AS4" s="170">
        <f>AQ4/AR4</f>
        <v>0</v>
      </c>
      <c r="AT4" s="169">
        <f>SUM(I4,N4,S4,X4,AC4,AH4,AM4,AR4)</f>
        <v>586338.77732601948</v>
      </c>
      <c r="AU4" s="170">
        <f>SUM(H4,M4,R4,W4,AB4,AG4,AL4,AQ4)/AT4</f>
        <v>0</v>
      </c>
      <c r="AV4" s="219"/>
      <c r="AW4" s="169">
        <f>F4*'Office Budget'!$I$12</f>
        <v>117418.0597853388</v>
      </c>
      <c r="AX4" s="170">
        <f>AV4/AW4</f>
        <v>0</v>
      </c>
      <c r="AY4" s="169">
        <f>SUM(I4,N4,S4,X4,AC4,AH4,AM4,AR4,AW4)</f>
        <v>703756.8371113583</v>
      </c>
      <c r="AZ4" s="170">
        <f>SUM(H4,M4,R4,W4,AB4,AG4,AL4,AQ4,AV4)/AY4</f>
        <v>0</v>
      </c>
      <c r="BA4" s="219"/>
      <c r="BB4" s="169">
        <f>F4*'Office Budget'!$I$13</f>
        <v>76151.015362896724</v>
      </c>
      <c r="BC4" s="170">
        <f>BA4/BB4</f>
        <v>0</v>
      </c>
      <c r="BD4" s="169">
        <f>SUM(I4,N4,S4,X4,AC4,AH4,AM4,AR4,AW4,BB4)</f>
        <v>779907.85247425502</v>
      </c>
      <c r="BE4" s="170">
        <f>SUM(H4,M4,R4,W4,AB4,AG4,AL4,AQ4,AV4,BA4)/BD4</f>
        <v>0</v>
      </c>
      <c r="BF4" s="219"/>
      <c r="BG4" s="169">
        <f>F4*'Office Budget'!$I$14</f>
        <v>70723.056062631193</v>
      </c>
      <c r="BH4" s="170">
        <f>BF4/BG4</f>
        <v>0</v>
      </c>
      <c r="BI4" s="169">
        <f>SUM(I4,N4,S4,X4,AC4,AH4,AM4,AR4,AW4,BB4,BG4)</f>
        <v>850630.90853688621</v>
      </c>
      <c r="BJ4" s="170">
        <f>SUM(H4,M4,R4,W4,AB4,AG4,AL4,AQ4,AV4,BA4,BF4)/BI4</f>
        <v>0</v>
      </c>
      <c r="BK4" s="219"/>
      <c r="BL4" s="176">
        <f>F4*'Office Budget'!$I$15</f>
        <v>99369.0914631138</v>
      </c>
      <c r="BM4" s="170">
        <f>BK4/BL4</f>
        <v>0</v>
      </c>
      <c r="BN4" s="177">
        <f>SUM(I4,N4,S4,X4,AC4,AH4,AM4,AR4,AW4,BB4,BG4,BL4)</f>
        <v>950000</v>
      </c>
      <c r="BO4" s="172">
        <f>SUM(H4,M4,R4,W4,AB4,AG4,AL4,AQ4,AV4,BA4,BF4,BK4)/BN4</f>
        <v>0</v>
      </c>
    </row>
    <row r="5" spans="1:67" s="168" customFormat="1" ht="12.75">
      <c r="A5" s="116" t="s">
        <v>53</v>
      </c>
      <c r="B5" s="118" t="s">
        <v>54</v>
      </c>
      <c r="C5" s="118" t="s">
        <v>55</v>
      </c>
      <c r="D5" s="117"/>
      <c r="E5" s="122">
        <f>'Agent Budget &amp; Travel'!D3</f>
        <v>700000</v>
      </c>
      <c r="F5" s="119">
        <f>'Agent Budget &amp; Travel'!E3</f>
        <v>1200000</v>
      </c>
      <c r="G5" s="164">
        <f>'Agent Budget &amp; Travel'!F3</f>
        <v>1300000</v>
      </c>
      <c r="H5" s="208"/>
      <c r="I5" s="214">
        <f>F5*'Office Budget'!$I$4</f>
        <v>62766.532409982239</v>
      </c>
      <c r="J5" s="230">
        <f>H5/I5</f>
        <v>0</v>
      </c>
      <c r="K5" s="214">
        <f>I5</f>
        <v>62766.532409982239</v>
      </c>
      <c r="L5" s="230">
        <f>H5/K5</f>
        <v>0</v>
      </c>
      <c r="M5" s="220"/>
      <c r="N5" s="214">
        <f>F5*'Office Budget'!$I$5</f>
        <v>73641.155654030386</v>
      </c>
      <c r="O5" s="232">
        <f>M5/N5</f>
        <v>0</v>
      </c>
      <c r="P5" s="216">
        <f>SUM(I5,N5)</f>
        <v>136407.68806401262</v>
      </c>
      <c r="Q5" s="232">
        <f>SUM(H5,M5)/P5</f>
        <v>0</v>
      </c>
      <c r="R5" s="209"/>
      <c r="S5" s="169">
        <f>F5*'Office Budget'!$I$6</f>
        <v>137039.93164570589</v>
      </c>
      <c r="T5" s="170">
        <f>R5/S5</f>
        <v>0</v>
      </c>
      <c r="U5" s="218">
        <f t="shared" ref="U5:U9" si="0">SUM(I5,N5,S5)</f>
        <v>273447.61970971851</v>
      </c>
      <c r="V5" s="170">
        <f t="shared" ref="V5:V9" si="1">SUM(H5,M5,R5)/U5</f>
        <v>0</v>
      </c>
      <c r="W5" s="173"/>
      <c r="X5" s="169">
        <f>F5*'Office Budget'!$I$7</f>
        <v>115133.84367319112</v>
      </c>
      <c r="Y5" s="170">
        <f t="shared" ref="Y5:Y9" si="2">W5/X5</f>
        <v>0</v>
      </c>
      <c r="Z5" s="218">
        <f t="shared" ref="Z5:Z9" si="3">SUM(I5,N5,S5,X5)</f>
        <v>388581.46338290966</v>
      </c>
      <c r="AA5" s="170">
        <f t="shared" ref="AA5:AA9" si="4">SUM(H5,M5,R5,W5)/Z5</f>
        <v>0</v>
      </c>
      <c r="AB5" s="173"/>
      <c r="AC5" s="169">
        <f>F5*'Office Budget'!$I$8</f>
        <v>103881.03482301442</v>
      </c>
      <c r="AD5" s="170">
        <f t="shared" ref="AD5:AD9" si="5">AB5/AC5</f>
        <v>0</v>
      </c>
      <c r="AE5" s="218">
        <f t="shared" ref="AE5:AE9" si="6">SUM(I5,N5,S5,X5,AC5)</f>
        <v>492462.49820592406</v>
      </c>
      <c r="AF5" s="170">
        <f t="shared" ref="AF5:AF9" si="7">SUM(H5,M5,R5,W5,AB5)/AE5</f>
        <v>0</v>
      </c>
      <c r="AG5" s="173"/>
      <c r="AH5" s="169">
        <f>F5*'Office Budget'!$I$9</f>
        <v>149471.53249968606</v>
      </c>
      <c r="AI5" s="170">
        <f t="shared" ref="AI5:AI9" si="8">AG5/AH5</f>
        <v>0</v>
      </c>
      <c r="AJ5" s="169">
        <f t="shared" ref="AJ5:AJ9" si="9">SUM(I5,N5,S5,X5,AC5,AH5)</f>
        <v>641934.03070561006</v>
      </c>
      <c r="AK5" s="170">
        <f t="shared" ref="AK5:AK9" si="10">SUM(H5,M5,R5,W5,AB5,AG5)/AJ5</f>
        <v>0</v>
      </c>
      <c r="AL5" s="173"/>
      <c r="AM5" s="169">
        <f>F5*'Office Budget'!$I$10</f>
        <v>22469.035370207577</v>
      </c>
      <c r="AN5" s="170">
        <f t="shared" ref="AN5:AN9" si="11">AL5/AM5</f>
        <v>0</v>
      </c>
      <c r="AO5" s="169">
        <f t="shared" ref="AO5:AO9" si="12">SUM(I5,N5,S5,X5,AC5,AH5,AM5)</f>
        <v>664403.06607581768</v>
      </c>
      <c r="AP5" s="170">
        <f t="shared" ref="AP5:AP9" si="13">SUM(H5,M5,R5,W5,AB5,AG5,AL5)/AO5</f>
        <v>0</v>
      </c>
      <c r="AQ5" s="173"/>
      <c r="AR5" s="169">
        <f>F5*'Office Budget'!$I$11</f>
        <v>76235.389493891169</v>
      </c>
      <c r="AS5" s="170">
        <f t="shared" ref="AS5:AS9" si="14">AQ5/AR5</f>
        <v>0</v>
      </c>
      <c r="AT5" s="169">
        <f t="shared" ref="AT5:AT9" si="15">SUM(I5,N5,S5,X5,AC5,AH5,AM5,AR5)</f>
        <v>740638.45556970884</v>
      </c>
      <c r="AU5" s="170">
        <f t="shared" ref="AU5:AU9" si="16">SUM(H5,M5,R5,W5,AB5,AG5,AL5,AQ5)/AT5</f>
        <v>0</v>
      </c>
      <c r="AV5" s="173"/>
      <c r="AW5" s="169">
        <f>F5*'Office Budget'!$I$12</f>
        <v>148317.54920253324</v>
      </c>
      <c r="AX5" s="170">
        <f t="shared" ref="AX5:AX9" si="17">AV5/AW5</f>
        <v>0</v>
      </c>
      <c r="AY5" s="169">
        <f t="shared" ref="AY5:AY9" si="18">SUM(I5,N5,S5,X5,AC5,AH5,AM5,AR5,AW5)</f>
        <v>888956.00477224204</v>
      </c>
      <c r="AZ5" s="170">
        <f t="shared" ref="AZ5:AZ9" si="19">SUM(H5,M5,R5,W5,AB5,AG5,AL5,AQ5,AV5)/AY5</f>
        <v>0</v>
      </c>
      <c r="BA5" s="173"/>
      <c r="BB5" s="169">
        <f>F5*'Office Budget'!$I$13</f>
        <v>96190.756247869547</v>
      </c>
      <c r="BC5" s="170">
        <f t="shared" ref="BC5:BC9" si="20">BA5/BB5</f>
        <v>0</v>
      </c>
      <c r="BD5" s="169">
        <f t="shared" ref="BD5:BD9" si="21">SUM(I5,N5,S5,X5,AC5,AH5,AM5,AR5,AW5,BB5)</f>
        <v>985146.76102011162</v>
      </c>
      <c r="BE5" s="170">
        <f t="shared" ref="BE5:BE9" si="22">SUM(H5,M5,R5,W5,AB5,AG5,AL5,AQ5,AV5,BA5)/BD5</f>
        <v>0</v>
      </c>
      <c r="BF5" s="173"/>
      <c r="BG5" s="169">
        <f>F5*'Office Budget'!$I$14</f>
        <v>89334.386605428866</v>
      </c>
      <c r="BH5" s="170">
        <f t="shared" ref="BH5:BH9" si="23">BF5/BG5</f>
        <v>0</v>
      </c>
      <c r="BI5" s="169">
        <f t="shared" ref="BI5:BI9" si="24">SUM(I5,N5,S5,X5,AC5,AH5,AM5,AR5,AW5,BB5,BG5)</f>
        <v>1074481.1476255404</v>
      </c>
      <c r="BJ5" s="170">
        <f t="shared" ref="BJ5:BJ9" si="25">SUM(H5,M5,R5,W5,AB5,AG5,AL5,AQ5,AV5,BA5,BF5)/BI5</f>
        <v>0</v>
      </c>
      <c r="BK5" s="173"/>
      <c r="BL5" s="176">
        <f>F5*'Office Budget'!$I$15</f>
        <v>125518.85237445953</v>
      </c>
      <c r="BM5" s="170">
        <f t="shared" ref="BM5:BM9" si="26">BK5/BL5</f>
        <v>0</v>
      </c>
      <c r="BN5" s="177">
        <f t="shared" ref="BN5:BN9" si="27">SUM(I5,N5,S5,X5,AC5,AH5,AM5,AR5,AW5,BB5,BG5,BL5)</f>
        <v>1200000</v>
      </c>
      <c r="BO5" s="172">
        <f t="shared" ref="BO5:BO9" si="28">SUM(H5,M5,R5,W5,AB5,AG5,AL5,AQ5,AV5,BA5,BF5,BK5)/BN5</f>
        <v>0</v>
      </c>
    </row>
    <row r="6" spans="1:67" s="168" customFormat="1" ht="12.75">
      <c r="A6" s="116" t="s">
        <v>45</v>
      </c>
      <c r="B6" s="118" t="s">
        <v>32</v>
      </c>
      <c r="C6" s="118" t="s">
        <v>46</v>
      </c>
      <c r="D6" s="117"/>
      <c r="E6" s="122">
        <f>'Agent Budget &amp; Travel'!D4</f>
        <v>300000</v>
      </c>
      <c r="F6" s="119">
        <f>'Agent Budget &amp; Travel'!E4</f>
        <v>300000</v>
      </c>
      <c r="G6" s="164">
        <f>'Agent Budget &amp; Travel'!F4</f>
        <v>400000</v>
      </c>
      <c r="H6" s="209"/>
      <c r="I6" s="214">
        <f>F6*'Office Budget'!$I$4</f>
        <v>15691.63310249556</v>
      </c>
      <c r="J6" s="230">
        <f t="shared" ref="J6:J9" si="29">H6/I6</f>
        <v>0</v>
      </c>
      <c r="K6" s="214">
        <f>-I6</f>
        <v>-15691.63310249556</v>
      </c>
      <c r="L6" s="230">
        <f t="shared" ref="L6:L9" si="30">H6/K6</f>
        <v>0</v>
      </c>
      <c r="M6" s="220"/>
      <c r="N6" s="214">
        <f>F6*'Office Budget'!$I$5</f>
        <v>18410.288913507597</v>
      </c>
      <c r="O6" s="232">
        <f t="shared" ref="O6:O9" si="31">M6/N6</f>
        <v>0</v>
      </c>
      <c r="P6" s="216">
        <f t="shared" ref="P6" si="32">SUM(I6,N6)</f>
        <v>34101.922016003155</v>
      </c>
      <c r="Q6" s="232">
        <f t="shared" ref="Q6:Q9" si="33">SUM(H6,M6)/P6</f>
        <v>0</v>
      </c>
      <c r="R6" s="209"/>
      <c r="S6" s="169">
        <f>F6*'Office Budget'!$I$6</f>
        <v>34259.982911426472</v>
      </c>
      <c r="T6" s="170">
        <f t="shared" ref="T6:T9" si="34">R6/S6</f>
        <v>0</v>
      </c>
      <c r="U6" s="218">
        <f t="shared" si="0"/>
        <v>68361.904927429627</v>
      </c>
      <c r="V6" s="170">
        <f t="shared" si="1"/>
        <v>0</v>
      </c>
      <c r="W6" s="173"/>
      <c r="X6" s="169">
        <f>F6*'Office Budget'!$I$7</f>
        <v>28783.46091829778</v>
      </c>
      <c r="Y6" s="170">
        <f t="shared" si="2"/>
        <v>0</v>
      </c>
      <c r="Z6" s="218">
        <f t="shared" si="3"/>
        <v>97145.365845727414</v>
      </c>
      <c r="AA6" s="170">
        <f t="shared" si="4"/>
        <v>0</v>
      </c>
      <c r="AB6" s="173"/>
      <c r="AC6" s="169">
        <f>F6*'Office Budget'!$I$8</f>
        <v>25970.258705753604</v>
      </c>
      <c r="AD6" s="170">
        <f t="shared" si="5"/>
        <v>0</v>
      </c>
      <c r="AE6" s="218">
        <f t="shared" si="6"/>
        <v>123115.62455148101</v>
      </c>
      <c r="AF6" s="170">
        <f t="shared" si="7"/>
        <v>0</v>
      </c>
      <c r="AG6" s="173"/>
      <c r="AH6" s="169">
        <f>F6*'Office Budget'!$I$9</f>
        <v>37367.883124921515</v>
      </c>
      <c r="AI6" s="170">
        <f t="shared" si="8"/>
        <v>0</v>
      </c>
      <c r="AJ6" s="169">
        <f t="shared" si="9"/>
        <v>160483.50767640251</v>
      </c>
      <c r="AK6" s="170">
        <f t="shared" si="10"/>
        <v>0</v>
      </c>
      <c r="AL6" s="173"/>
      <c r="AM6" s="169">
        <f>F6*'Office Budget'!$I$10</f>
        <v>5617.2588425518943</v>
      </c>
      <c r="AN6" s="170">
        <f t="shared" si="11"/>
        <v>0</v>
      </c>
      <c r="AO6" s="169">
        <f t="shared" si="12"/>
        <v>166100.76651895442</v>
      </c>
      <c r="AP6" s="170">
        <f t="shared" si="13"/>
        <v>0</v>
      </c>
      <c r="AQ6" s="173"/>
      <c r="AR6" s="169">
        <f>F6*'Office Budget'!$I$11</f>
        <v>19058.847373472792</v>
      </c>
      <c r="AS6" s="170">
        <f t="shared" si="14"/>
        <v>0</v>
      </c>
      <c r="AT6" s="169">
        <f t="shared" si="15"/>
        <v>185159.61389242721</v>
      </c>
      <c r="AU6" s="170">
        <f t="shared" si="16"/>
        <v>0</v>
      </c>
      <c r="AV6" s="173"/>
      <c r="AW6" s="169">
        <f>F6*'Office Budget'!$I$12</f>
        <v>37079.387300633309</v>
      </c>
      <c r="AX6" s="170">
        <f t="shared" si="17"/>
        <v>0</v>
      </c>
      <c r="AY6" s="169">
        <f t="shared" si="18"/>
        <v>222239.00119306051</v>
      </c>
      <c r="AZ6" s="170">
        <f t="shared" si="19"/>
        <v>0</v>
      </c>
      <c r="BA6" s="173"/>
      <c r="BB6" s="169">
        <f>F6*'Office Budget'!$I$13</f>
        <v>24047.689061967387</v>
      </c>
      <c r="BC6" s="170">
        <f t="shared" si="20"/>
        <v>0</v>
      </c>
      <c r="BD6" s="169">
        <f t="shared" si="21"/>
        <v>246286.6902550279</v>
      </c>
      <c r="BE6" s="170">
        <f t="shared" si="22"/>
        <v>0</v>
      </c>
      <c r="BF6" s="173"/>
      <c r="BG6" s="169">
        <f>F6*'Office Budget'!$I$14</f>
        <v>22333.596651357217</v>
      </c>
      <c r="BH6" s="170">
        <f t="shared" si="23"/>
        <v>0</v>
      </c>
      <c r="BI6" s="169">
        <f t="shared" si="24"/>
        <v>268620.2869063851</v>
      </c>
      <c r="BJ6" s="170">
        <f t="shared" si="25"/>
        <v>0</v>
      </c>
      <c r="BK6" s="173"/>
      <c r="BL6" s="176">
        <f>F6*'Office Budget'!$I$15</f>
        <v>31379.713093614882</v>
      </c>
      <c r="BM6" s="170">
        <f t="shared" si="26"/>
        <v>0</v>
      </c>
      <c r="BN6" s="177">
        <f t="shared" si="27"/>
        <v>300000</v>
      </c>
      <c r="BO6" s="172">
        <f t="shared" si="28"/>
        <v>0</v>
      </c>
    </row>
    <row r="7" spans="1:67" s="168" customFormat="1" ht="12.75">
      <c r="A7" s="116" t="s">
        <v>47</v>
      </c>
      <c r="B7" s="118" t="s">
        <v>48</v>
      </c>
      <c r="C7" s="118" t="s">
        <v>49</v>
      </c>
      <c r="D7" s="117"/>
      <c r="E7" s="349" t="str">
        <f>'Agent Budget &amp; Travel'!D5</f>
        <v>N/A</v>
      </c>
      <c r="F7" s="119">
        <f>'Agent Budget &amp; Travel'!E5</f>
        <v>200000</v>
      </c>
      <c r="G7" s="164">
        <f>'Agent Budget &amp; Travel'!F5</f>
        <v>250000</v>
      </c>
      <c r="H7" s="209"/>
      <c r="I7" s="214">
        <f>F7*'Office Budget'!$I$4</f>
        <v>10461.08873499704</v>
      </c>
      <c r="J7" s="230">
        <f t="shared" si="29"/>
        <v>0</v>
      </c>
      <c r="K7" s="214">
        <f>-I7</f>
        <v>-10461.08873499704</v>
      </c>
      <c r="L7" s="230">
        <f t="shared" si="30"/>
        <v>0</v>
      </c>
      <c r="M7" s="220"/>
      <c r="N7" s="214">
        <f>F7*'Office Budget'!$I$5</f>
        <v>12273.525942338398</v>
      </c>
      <c r="O7" s="232">
        <f t="shared" si="31"/>
        <v>0</v>
      </c>
      <c r="P7" s="216">
        <f>SUM(I7,N7)</f>
        <v>22734.614677335438</v>
      </c>
      <c r="Q7" s="232">
        <f t="shared" si="33"/>
        <v>0</v>
      </c>
      <c r="R7" s="209"/>
      <c r="S7" s="169">
        <f>F7*'Office Budget'!$I$6</f>
        <v>22839.988607617648</v>
      </c>
      <c r="T7" s="170">
        <f t="shared" si="34"/>
        <v>0</v>
      </c>
      <c r="U7" s="218">
        <f t="shared" si="0"/>
        <v>45574.603284953089</v>
      </c>
      <c r="V7" s="170">
        <f t="shared" si="1"/>
        <v>0</v>
      </c>
      <c r="W7" s="173"/>
      <c r="X7" s="169">
        <f>F7*'Office Budget'!$I$7</f>
        <v>19188.973945531852</v>
      </c>
      <c r="Y7" s="170">
        <f t="shared" si="2"/>
        <v>0</v>
      </c>
      <c r="Z7" s="218">
        <f t="shared" si="3"/>
        <v>64763.577230484938</v>
      </c>
      <c r="AA7" s="170">
        <f t="shared" si="4"/>
        <v>0</v>
      </c>
      <c r="AB7" s="173"/>
      <c r="AC7" s="169">
        <f>F7*'Office Budget'!$I$8</f>
        <v>17313.505803835735</v>
      </c>
      <c r="AD7" s="170">
        <f t="shared" si="5"/>
        <v>0</v>
      </c>
      <c r="AE7" s="218">
        <f t="shared" si="6"/>
        <v>82077.083034320676</v>
      </c>
      <c r="AF7" s="170">
        <f t="shared" si="7"/>
        <v>0</v>
      </c>
      <c r="AG7" s="173"/>
      <c r="AH7" s="169">
        <f>F7*'Office Budget'!$I$9</f>
        <v>24911.922083281006</v>
      </c>
      <c r="AI7" s="170">
        <f t="shared" si="8"/>
        <v>0</v>
      </c>
      <c r="AJ7" s="169">
        <f t="shared" si="9"/>
        <v>106989.00511760169</v>
      </c>
      <c r="AK7" s="170">
        <f t="shared" si="10"/>
        <v>0</v>
      </c>
      <c r="AL7" s="173"/>
      <c r="AM7" s="169">
        <f>F7*'Office Budget'!$I$10</f>
        <v>3744.8392283679291</v>
      </c>
      <c r="AN7" s="170">
        <f t="shared" si="11"/>
        <v>0</v>
      </c>
      <c r="AO7" s="169">
        <f t="shared" si="12"/>
        <v>110733.84434596961</v>
      </c>
      <c r="AP7" s="170">
        <f t="shared" si="13"/>
        <v>0</v>
      </c>
      <c r="AQ7" s="173"/>
      <c r="AR7" s="169">
        <f>F7*'Office Budget'!$I$11</f>
        <v>12705.898248981861</v>
      </c>
      <c r="AS7" s="170">
        <f t="shared" si="14"/>
        <v>0</v>
      </c>
      <c r="AT7" s="169">
        <f t="shared" si="15"/>
        <v>123439.74259495147</v>
      </c>
      <c r="AU7" s="170">
        <f t="shared" si="16"/>
        <v>0</v>
      </c>
      <c r="AV7" s="173"/>
      <c r="AW7" s="169">
        <f>F7*'Office Budget'!$I$12</f>
        <v>24719.591533755538</v>
      </c>
      <c r="AX7" s="170">
        <f t="shared" si="17"/>
        <v>0</v>
      </c>
      <c r="AY7" s="169">
        <f t="shared" si="18"/>
        <v>148159.33412870701</v>
      </c>
      <c r="AZ7" s="170">
        <f t="shared" si="19"/>
        <v>0</v>
      </c>
      <c r="BA7" s="173"/>
      <c r="BB7" s="169">
        <f>F7*'Office Budget'!$I$13</f>
        <v>16031.792707978257</v>
      </c>
      <c r="BC7" s="170">
        <f t="shared" si="20"/>
        <v>0</v>
      </c>
      <c r="BD7" s="169">
        <f t="shared" si="21"/>
        <v>164191.12683668526</v>
      </c>
      <c r="BE7" s="170">
        <f t="shared" si="22"/>
        <v>0</v>
      </c>
      <c r="BF7" s="173"/>
      <c r="BG7" s="169">
        <f>F7*'Office Budget'!$I$14</f>
        <v>14889.064434238144</v>
      </c>
      <c r="BH7" s="170">
        <f t="shared" si="23"/>
        <v>0</v>
      </c>
      <c r="BI7" s="169">
        <f t="shared" si="24"/>
        <v>179080.19127092342</v>
      </c>
      <c r="BJ7" s="170">
        <f t="shared" si="25"/>
        <v>0</v>
      </c>
      <c r="BK7" s="173"/>
      <c r="BL7" s="176">
        <f>F7*'Office Budget'!$I$15</f>
        <v>20919.808729076587</v>
      </c>
      <c r="BM7" s="170">
        <f t="shared" si="26"/>
        <v>0</v>
      </c>
      <c r="BN7" s="177">
        <f t="shared" si="27"/>
        <v>200000</v>
      </c>
      <c r="BO7" s="172">
        <f t="shared" si="28"/>
        <v>0</v>
      </c>
    </row>
    <row r="8" spans="1:67" s="168" customFormat="1" ht="12.75">
      <c r="A8" s="51" t="s">
        <v>50</v>
      </c>
      <c r="B8" s="52" t="s">
        <v>51</v>
      </c>
      <c r="C8" s="52" t="s">
        <v>52</v>
      </c>
      <c r="D8" s="53"/>
      <c r="E8" s="122">
        <f>'Agent Budget &amp; Travel'!D6</f>
        <v>300000</v>
      </c>
      <c r="F8" s="119">
        <f>'Agent Budget &amp; Travel'!E6</f>
        <v>300000</v>
      </c>
      <c r="G8" s="164">
        <f>'Agent Budget &amp; Travel'!F6</f>
        <v>380000</v>
      </c>
      <c r="H8" s="239"/>
      <c r="I8" s="214">
        <f>F8*'Office Budget'!$I$4</f>
        <v>15691.63310249556</v>
      </c>
      <c r="J8" s="234">
        <f t="shared" si="29"/>
        <v>0</v>
      </c>
      <c r="K8" s="214">
        <f>-I8</f>
        <v>-15691.63310249556</v>
      </c>
      <c r="L8" s="234">
        <f t="shared" si="30"/>
        <v>0</v>
      </c>
      <c r="M8" s="240"/>
      <c r="N8" s="214">
        <f>F8*'Office Budget'!$I$5</f>
        <v>18410.288913507597</v>
      </c>
      <c r="O8" s="235">
        <f t="shared" si="31"/>
        <v>0</v>
      </c>
      <c r="P8" s="216">
        <f>SUM(I8,N8)</f>
        <v>34101.922016003155</v>
      </c>
      <c r="Q8" s="235">
        <f t="shared" si="33"/>
        <v>0</v>
      </c>
      <c r="R8" s="225"/>
      <c r="S8" s="169">
        <f>F8*'Office Budget'!$I$6</f>
        <v>34259.982911426472</v>
      </c>
      <c r="T8" s="236">
        <f t="shared" si="34"/>
        <v>0</v>
      </c>
      <c r="U8" s="218">
        <f t="shared" si="0"/>
        <v>68361.904927429627</v>
      </c>
      <c r="V8" s="236">
        <f t="shared" si="1"/>
        <v>0</v>
      </c>
      <c r="W8" s="227"/>
      <c r="X8" s="169">
        <f>F8*'Office Budget'!$I$7</f>
        <v>28783.46091829778</v>
      </c>
      <c r="Y8" s="236">
        <f t="shared" si="2"/>
        <v>0</v>
      </c>
      <c r="Z8" s="218">
        <f t="shared" si="3"/>
        <v>97145.365845727414</v>
      </c>
      <c r="AA8" s="236">
        <f t="shared" si="4"/>
        <v>0</v>
      </c>
      <c r="AB8" s="227"/>
      <c r="AC8" s="169">
        <f>F8*'Office Budget'!$I$8</f>
        <v>25970.258705753604</v>
      </c>
      <c r="AD8" s="236">
        <f t="shared" si="5"/>
        <v>0</v>
      </c>
      <c r="AE8" s="218">
        <f t="shared" si="6"/>
        <v>123115.62455148101</v>
      </c>
      <c r="AF8" s="236">
        <f t="shared" si="7"/>
        <v>0</v>
      </c>
      <c r="AG8" s="227"/>
      <c r="AH8" s="169">
        <f>F8*'Office Budget'!$I$9</f>
        <v>37367.883124921515</v>
      </c>
      <c r="AI8" s="236">
        <f t="shared" si="8"/>
        <v>0</v>
      </c>
      <c r="AJ8" s="169">
        <f t="shared" si="9"/>
        <v>160483.50767640251</v>
      </c>
      <c r="AK8" s="236">
        <f t="shared" si="10"/>
        <v>0</v>
      </c>
      <c r="AL8" s="227"/>
      <c r="AM8" s="169">
        <f>F8*'Office Budget'!$I$10</f>
        <v>5617.2588425518943</v>
      </c>
      <c r="AN8" s="236">
        <f t="shared" si="11"/>
        <v>0</v>
      </c>
      <c r="AO8" s="169">
        <f t="shared" si="12"/>
        <v>166100.76651895442</v>
      </c>
      <c r="AP8" s="236">
        <f t="shared" si="13"/>
        <v>0</v>
      </c>
      <c r="AQ8" s="227"/>
      <c r="AR8" s="169">
        <f>F8*'Office Budget'!$I$11</f>
        <v>19058.847373472792</v>
      </c>
      <c r="AS8" s="236">
        <f t="shared" si="14"/>
        <v>0</v>
      </c>
      <c r="AT8" s="169">
        <f t="shared" si="15"/>
        <v>185159.61389242721</v>
      </c>
      <c r="AU8" s="236">
        <f t="shared" si="16"/>
        <v>0</v>
      </c>
      <c r="AV8" s="227"/>
      <c r="AW8" s="169">
        <f>F8*'Office Budget'!$I$12</f>
        <v>37079.387300633309</v>
      </c>
      <c r="AX8" s="236">
        <f t="shared" si="17"/>
        <v>0</v>
      </c>
      <c r="AY8" s="169">
        <f t="shared" si="18"/>
        <v>222239.00119306051</v>
      </c>
      <c r="AZ8" s="236">
        <f t="shared" si="19"/>
        <v>0</v>
      </c>
      <c r="BA8" s="227"/>
      <c r="BB8" s="169">
        <f>F8*'Office Budget'!$I$13</f>
        <v>24047.689061967387</v>
      </c>
      <c r="BC8" s="236">
        <f t="shared" si="20"/>
        <v>0</v>
      </c>
      <c r="BD8" s="169">
        <f t="shared" si="21"/>
        <v>246286.6902550279</v>
      </c>
      <c r="BE8" s="236">
        <f t="shared" si="22"/>
        <v>0</v>
      </c>
      <c r="BF8" s="227"/>
      <c r="BG8" s="169">
        <f>F8*'Office Budget'!$I$14</f>
        <v>22333.596651357217</v>
      </c>
      <c r="BH8" s="236">
        <f t="shared" si="23"/>
        <v>0</v>
      </c>
      <c r="BI8" s="169">
        <f t="shared" si="24"/>
        <v>268620.2869063851</v>
      </c>
      <c r="BJ8" s="236">
        <f t="shared" si="25"/>
        <v>0</v>
      </c>
      <c r="BK8" s="227"/>
      <c r="BL8" s="176">
        <f>F8*'Office Budget'!$I$15</f>
        <v>31379.713093614882</v>
      </c>
      <c r="BM8" s="170">
        <f t="shared" si="26"/>
        <v>0</v>
      </c>
      <c r="BN8" s="177">
        <f t="shared" si="27"/>
        <v>300000</v>
      </c>
      <c r="BO8" s="172">
        <f t="shared" si="28"/>
        <v>0</v>
      </c>
    </row>
    <row r="9" spans="1:67" s="168" customFormat="1" ht="12.75">
      <c r="A9" s="64" t="s">
        <v>4</v>
      </c>
      <c r="B9" s="64" t="s">
        <v>165</v>
      </c>
      <c r="C9" s="64" t="s">
        <v>5</v>
      </c>
      <c r="D9" s="117"/>
      <c r="E9" s="122">
        <f>'Agent Budget &amp; Travel'!D7</f>
        <v>475000</v>
      </c>
      <c r="F9" s="119">
        <f>'Agent Budget &amp; Travel'!E7</f>
        <v>650000</v>
      </c>
      <c r="G9" s="164">
        <f>'Agent Budget &amp; Travel'!F7</f>
        <v>725000</v>
      </c>
      <c r="H9" s="208"/>
      <c r="I9" s="214">
        <f>F9*'Office Budget'!$I$4</f>
        <v>33998.53838874038</v>
      </c>
      <c r="J9" s="230">
        <f t="shared" si="29"/>
        <v>0</v>
      </c>
      <c r="K9" s="214">
        <f>-I9</f>
        <v>-33998.53838874038</v>
      </c>
      <c r="L9" s="230">
        <f t="shared" si="30"/>
        <v>0</v>
      </c>
      <c r="M9" s="209"/>
      <c r="N9" s="214">
        <f>F9*'Office Budget'!$I$5</f>
        <v>39888.959312599793</v>
      </c>
      <c r="O9" s="230">
        <f t="shared" si="31"/>
        <v>0</v>
      </c>
      <c r="P9" s="216">
        <f>SUM(I9,N9)</f>
        <v>73887.49770134018</v>
      </c>
      <c r="Q9" s="230">
        <f t="shared" si="33"/>
        <v>0</v>
      </c>
      <c r="R9" s="209"/>
      <c r="S9" s="169">
        <f>F9*'Office Budget'!$I$6</f>
        <v>74229.962974757349</v>
      </c>
      <c r="T9" s="172">
        <f t="shared" si="34"/>
        <v>0</v>
      </c>
      <c r="U9" s="218">
        <f t="shared" si="0"/>
        <v>148117.46067609754</v>
      </c>
      <c r="V9" s="172">
        <f t="shared" si="1"/>
        <v>0</v>
      </c>
      <c r="W9" s="173"/>
      <c r="X9" s="169">
        <f>F9*'Office Budget'!$I$7</f>
        <v>62364.165322978522</v>
      </c>
      <c r="Y9" s="172">
        <f t="shared" si="2"/>
        <v>0</v>
      </c>
      <c r="Z9" s="218">
        <f t="shared" si="3"/>
        <v>210481.62599907606</v>
      </c>
      <c r="AA9" s="172">
        <f t="shared" si="4"/>
        <v>0</v>
      </c>
      <c r="AB9" s="173"/>
      <c r="AC9" s="169">
        <f>F9*'Office Budget'!$I$8</f>
        <v>56268.893862466139</v>
      </c>
      <c r="AD9" s="172">
        <f t="shared" si="5"/>
        <v>0</v>
      </c>
      <c r="AE9" s="218">
        <f t="shared" si="6"/>
        <v>266750.51986154221</v>
      </c>
      <c r="AF9" s="172">
        <f t="shared" si="7"/>
        <v>0</v>
      </c>
      <c r="AG9" s="173"/>
      <c r="AH9" s="169">
        <f>F9*'Office Budget'!$I$9</f>
        <v>80963.746770663274</v>
      </c>
      <c r="AI9" s="172">
        <f t="shared" si="8"/>
        <v>0</v>
      </c>
      <c r="AJ9" s="169">
        <f t="shared" si="9"/>
        <v>347714.26663220546</v>
      </c>
      <c r="AK9" s="172">
        <f t="shared" si="10"/>
        <v>0</v>
      </c>
      <c r="AL9" s="173"/>
      <c r="AM9" s="169">
        <f>F9*'Office Budget'!$I$10</f>
        <v>12170.727492195771</v>
      </c>
      <c r="AN9" s="172">
        <f t="shared" si="11"/>
        <v>0</v>
      </c>
      <c r="AO9" s="169">
        <f t="shared" si="12"/>
        <v>359884.99412440124</v>
      </c>
      <c r="AP9" s="172">
        <f t="shared" si="13"/>
        <v>0</v>
      </c>
      <c r="AQ9" s="173"/>
      <c r="AR9" s="169">
        <f>F9*'Office Budget'!$I$11</f>
        <v>41294.169309191049</v>
      </c>
      <c r="AS9" s="172">
        <f t="shared" si="14"/>
        <v>0</v>
      </c>
      <c r="AT9" s="169">
        <f t="shared" si="15"/>
        <v>401179.1634335923</v>
      </c>
      <c r="AU9" s="172">
        <f t="shared" si="16"/>
        <v>0</v>
      </c>
      <c r="AV9" s="173"/>
      <c r="AW9" s="169">
        <f>F9*'Office Budget'!$I$12</f>
        <v>80338.672484705501</v>
      </c>
      <c r="AX9" s="172">
        <f t="shared" si="17"/>
        <v>0</v>
      </c>
      <c r="AY9" s="169">
        <f t="shared" si="18"/>
        <v>481517.83591829782</v>
      </c>
      <c r="AZ9" s="172">
        <f t="shared" si="19"/>
        <v>0</v>
      </c>
      <c r="BA9" s="173"/>
      <c r="BB9" s="169">
        <f>F9*'Office Budget'!$I$13</f>
        <v>52103.326300929337</v>
      </c>
      <c r="BC9" s="172">
        <f t="shared" si="20"/>
        <v>0</v>
      </c>
      <c r="BD9" s="169">
        <f t="shared" si="21"/>
        <v>533621.16221922718</v>
      </c>
      <c r="BE9" s="172">
        <f t="shared" si="22"/>
        <v>0</v>
      </c>
      <c r="BF9" s="173"/>
      <c r="BG9" s="169">
        <f>F9*'Office Budget'!$I$14</f>
        <v>48389.459411273972</v>
      </c>
      <c r="BH9" s="172">
        <f t="shared" si="23"/>
        <v>0</v>
      </c>
      <c r="BI9" s="169">
        <f t="shared" si="24"/>
        <v>582010.62163050112</v>
      </c>
      <c r="BJ9" s="172">
        <f t="shared" si="25"/>
        <v>0</v>
      </c>
      <c r="BK9" s="173"/>
      <c r="BL9" s="176">
        <f>F9*'Office Budget'!$I$15</f>
        <v>67989.378369498911</v>
      </c>
      <c r="BM9" s="172">
        <f t="shared" si="26"/>
        <v>0</v>
      </c>
      <c r="BN9" s="177">
        <f t="shared" si="27"/>
        <v>650000</v>
      </c>
      <c r="BO9" s="172">
        <f t="shared" si="28"/>
        <v>0</v>
      </c>
    </row>
    <row r="10" spans="1:67" s="168" customFormat="1" ht="12.75">
      <c r="F10" s="219">
        <f>SUM(F4:F9)</f>
        <v>3600000</v>
      </c>
      <c r="G10" s="174"/>
      <c r="I10" s="175"/>
      <c r="J10" s="231"/>
      <c r="K10" s="175"/>
      <c r="L10" s="231"/>
      <c r="M10" s="175"/>
      <c r="N10" s="175"/>
      <c r="O10" s="231"/>
      <c r="P10" s="175"/>
      <c r="Q10" s="231"/>
      <c r="R10" s="175"/>
      <c r="S10" s="175"/>
      <c r="T10" s="231"/>
      <c r="U10" s="175"/>
      <c r="V10" s="231"/>
      <c r="Y10" s="231"/>
      <c r="AA10" s="231"/>
      <c r="AD10" s="231"/>
      <c r="AF10" s="231"/>
      <c r="AI10" s="231"/>
      <c r="AK10" s="231"/>
      <c r="AN10" s="231"/>
      <c r="AP10" s="231"/>
      <c r="AS10" s="231"/>
      <c r="AU10" s="231"/>
      <c r="AX10" s="231"/>
      <c r="AZ10" s="231"/>
      <c r="BC10" s="231"/>
      <c r="BE10" s="231"/>
      <c r="BH10" s="231"/>
      <c r="BJ10" s="231"/>
      <c r="BM10" s="231"/>
      <c r="BO10" s="231"/>
    </row>
    <row r="11" spans="1:67" s="168" customFormat="1" ht="12.75">
      <c r="F11" s="174"/>
      <c r="G11" s="174"/>
      <c r="I11" s="175"/>
      <c r="J11" s="231"/>
      <c r="K11" s="175"/>
      <c r="L11" s="231"/>
      <c r="M11" s="175"/>
      <c r="N11" s="175"/>
      <c r="O11" s="231"/>
      <c r="P11" s="175"/>
      <c r="Q11" s="231"/>
      <c r="R11" s="175"/>
      <c r="S11" s="175"/>
      <c r="T11" s="231"/>
      <c r="U11" s="175"/>
      <c r="V11" s="231"/>
      <c r="Y11" s="231"/>
      <c r="AA11" s="231"/>
      <c r="AD11" s="231"/>
      <c r="AF11" s="231"/>
      <c r="AI11" s="231"/>
      <c r="AK11" s="231"/>
      <c r="AN11" s="231"/>
      <c r="AP11" s="231"/>
      <c r="AS11" s="231"/>
      <c r="AU11" s="231"/>
      <c r="AX11" s="231"/>
      <c r="AZ11" s="231"/>
      <c r="BC11" s="231"/>
      <c r="BE11" s="231"/>
      <c r="BH11" s="231"/>
      <c r="BJ11" s="231"/>
      <c r="BM11" s="231"/>
      <c r="BO11" s="231"/>
    </row>
    <row r="12" spans="1:67" s="168" customFormat="1" ht="13.5" thickBot="1">
      <c r="J12" s="231"/>
      <c r="L12" s="231"/>
      <c r="N12" s="175"/>
      <c r="O12" s="231"/>
      <c r="Q12" s="231"/>
      <c r="T12" s="231"/>
      <c r="V12" s="231"/>
      <c r="Y12" s="231"/>
      <c r="AA12" s="231"/>
      <c r="AD12" s="231"/>
      <c r="AF12" s="231"/>
      <c r="AI12" s="231"/>
      <c r="AK12" s="231"/>
      <c r="AN12" s="231"/>
      <c r="AP12" s="231"/>
      <c r="AS12" s="231"/>
      <c r="AU12" s="231"/>
      <c r="AX12" s="231"/>
      <c r="AZ12" s="231"/>
      <c r="BC12" s="231"/>
      <c r="BE12" s="231"/>
      <c r="BH12" s="231"/>
      <c r="BJ12" s="231"/>
      <c r="BM12" s="231"/>
      <c r="BO12" s="231"/>
    </row>
    <row r="13" spans="1:67" s="168" customFormat="1" ht="13.5" thickBot="1">
      <c r="A13" s="185"/>
      <c r="B13" s="186" t="s">
        <v>19</v>
      </c>
      <c r="C13" s="187" t="s">
        <v>20</v>
      </c>
      <c r="D13" s="186" t="s">
        <v>21</v>
      </c>
      <c r="E13" s="187" t="s">
        <v>22</v>
      </c>
      <c r="F13" s="283" t="s">
        <v>23</v>
      </c>
      <c r="G13" s="281" t="s">
        <v>117</v>
      </c>
      <c r="H13" s="188" t="s">
        <v>175</v>
      </c>
      <c r="J13" s="231"/>
      <c r="L13" s="231"/>
      <c r="O13" s="231"/>
      <c r="Q13" s="231"/>
      <c r="T13" s="231"/>
      <c r="V13" s="231"/>
      <c r="Y13" s="231"/>
      <c r="AA13" s="231"/>
      <c r="AD13" s="231"/>
      <c r="AF13" s="231"/>
      <c r="AI13" s="231"/>
      <c r="AK13" s="231"/>
      <c r="AN13" s="231"/>
      <c r="AP13" s="231"/>
      <c r="AS13" s="231"/>
      <c r="AU13" s="231"/>
      <c r="AX13" s="231"/>
      <c r="AZ13" s="231"/>
      <c r="BC13" s="231"/>
      <c r="BE13" s="231"/>
      <c r="BH13" s="231"/>
      <c r="BJ13" s="231"/>
      <c r="BM13" s="231"/>
      <c r="BO13" s="231"/>
    </row>
    <row r="14" spans="1:67" s="168" customFormat="1" ht="13.5">
      <c r="A14" s="189" t="s">
        <v>7</v>
      </c>
      <c r="B14" s="190"/>
      <c r="C14" s="191"/>
      <c r="D14" s="192"/>
      <c r="E14" s="279"/>
      <c r="F14" s="282">
        <f>SUM(I4:I9)</f>
        <v>188299.59722994672</v>
      </c>
      <c r="G14" s="193" t="str">
        <f>IF(D14=0,"",D14-F14)</f>
        <v/>
      </c>
      <c r="H14" s="194" t="str">
        <f>IF(D14=0,"",D14/F14)</f>
        <v/>
      </c>
      <c r="I14" s="231"/>
      <c r="J14" s="231"/>
      <c r="K14" s="175"/>
      <c r="L14" s="231"/>
      <c r="O14" s="231"/>
      <c r="Q14" s="231"/>
      <c r="T14" s="231"/>
      <c r="V14" s="231"/>
      <c r="Y14" s="231"/>
      <c r="AA14" s="231"/>
      <c r="AD14" s="231"/>
      <c r="AF14" s="231"/>
      <c r="AI14" s="231"/>
      <c r="AK14" s="231"/>
      <c r="AN14" s="231"/>
      <c r="AP14" s="231"/>
      <c r="AS14" s="231"/>
      <c r="AU14" s="231"/>
      <c r="AX14" s="231"/>
      <c r="AZ14" s="231"/>
      <c r="BC14" s="231"/>
      <c r="BE14" s="231"/>
      <c r="BH14" s="231"/>
      <c r="BJ14" s="231"/>
      <c r="BM14" s="231"/>
      <c r="BO14" s="231"/>
    </row>
    <row r="15" spans="1:67" s="168" customFormat="1" ht="13.5">
      <c r="A15" s="189" t="s">
        <v>8</v>
      </c>
      <c r="B15" s="190"/>
      <c r="C15" s="191"/>
      <c r="D15" s="192"/>
      <c r="E15" s="279"/>
      <c r="F15" s="280">
        <f>SUM(N4:N9)</f>
        <v>220923.46696209116</v>
      </c>
      <c r="G15" s="195" t="str">
        <f t="shared" ref="G15:G25" si="35">IF(D15=0,"",D15-F15)</f>
        <v/>
      </c>
      <c r="H15" s="196" t="str">
        <f>IF(D15=0,"",SUM(D14:D15)/SUM(F14:F15))</f>
        <v/>
      </c>
      <c r="I15" s="231"/>
      <c r="J15" s="231"/>
      <c r="K15" s="175"/>
      <c r="L15" s="231"/>
      <c r="O15" s="231"/>
      <c r="Q15" s="231"/>
      <c r="T15" s="231"/>
      <c r="V15" s="231"/>
      <c r="Y15" s="231"/>
      <c r="AA15" s="231"/>
      <c r="AD15" s="231"/>
      <c r="AF15" s="231"/>
      <c r="AI15" s="231"/>
      <c r="AK15" s="231"/>
      <c r="AN15" s="231"/>
      <c r="AP15" s="231"/>
      <c r="AS15" s="231"/>
      <c r="AU15" s="231"/>
      <c r="AX15" s="231"/>
      <c r="AZ15" s="231"/>
      <c r="BC15" s="231"/>
      <c r="BE15" s="231"/>
      <c r="BH15" s="231"/>
      <c r="BJ15" s="231"/>
      <c r="BM15" s="231"/>
      <c r="BO15" s="231"/>
    </row>
    <row r="16" spans="1:67" s="168" customFormat="1" ht="13.5">
      <c r="A16" s="189" t="s">
        <v>9</v>
      </c>
      <c r="B16" s="190"/>
      <c r="C16" s="191"/>
      <c r="D16" s="192"/>
      <c r="E16" s="279"/>
      <c r="F16" s="280">
        <f>SUM(S4:S9)</f>
        <v>411119.79493711767</v>
      </c>
      <c r="G16" s="195" t="str">
        <f t="shared" si="35"/>
        <v/>
      </c>
      <c r="H16" s="196" t="str">
        <f>IF(D16=0,"",SUM(D14:D16)/SUM(F14:F16))</f>
        <v/>
      </c>
      <c r="I16" s="231"/>
      <c r="J16" s="231"/>
      <c r="K16" s="175"/>
      <c r="L16" s="231"/>
      <c r="O16" s="231"/>
      <c r="Q16" s="231"/>
      <c r="T16" s="231"/>
      <c r="V16" s="231"/>
      <c r="Y16" s="231"/>
      <c r="AA16" s="231"/>
      <c r="AD16" s="231"/>
      <c r="AF16" s="231"/>
      <c r="AI16" s="231"/>
      <c r="AK16" s="231"/>
      <c r="AN16" s="231"/>
      <c r="AP16" s="231"/>
      <c r="AS16" s="231"/>
      <c r="AU16" s="231"/>
      <c r="AX16" s="231"/>
      <c r="AZ16" s="231"/>
      <c r="BC16" s="231"/>
      <c r="BE16" s="231"/>
      <c r="BH16" s="231"/>
      <c r="BJ16" s="231"/>
      <c r="BM16" s="231"/>
      <c r="BO16" s="231"/>
    </row>
    <row r="17" spans="1:67" s="168" customFormat="1" ht="13.5">
      <c r="A17" s="189" t="s">
        <v>10</v>
      </c>
      <c r="B17" s="190"/>
      <c r="C17" s="191"/>
      <c r="D17" s="192"/>
      <c r="E17" s="279"/>
      <c r="F17" s="280">
        <f>SUM(X4:X9)</f>
        <v>345401.53101957333</v>
      </c>
      <c r="G17" s="195" t="str">
        <f t="shared" si="35"/>
        <v/>
      </c>
      <c r="H17" s="196" t="str">
        <f>IF(D17=0,"",SUM(D14:D17)/SUM(F14:F17))</f>
        <v/>
      </c>
      <c r="I17" s="231"/>
      <c r="J17" s="231"/>
      <c r="K17" s="175"/>
      <c r="L17" s="231"/>
      <c r="O17" s="231"/>
      <c r="Q17" s="231"/>
      <c r="T17" s="231"/>
      <c r="V17" s="231"/>
      <c r="Y17" s="231"/>
      <c r="AA17" s="231"/>
      <c r="AD17" s="231"/>
      <c r="AF17" s="231"/>
      <c r="AI17" s="231"/>
      <c r="AK17" s="231"/>
      <c r="AN17" s="231"/>
      <c r="AP17" s="231"/>
      <c r="AS17" s="231"/>
      <c r="AU17" s="231"/>
      <c r="AX17" s="231"/>
      <c r="AZ17" s="231"/>
      <c r="BC17" s="231"/>
      <c r="BE17" s="231"/>
      <c r="BH17" s="231"/>
      <c r="BJ17" s="231"/>
      <c r="BM17" s="231"/>
      <c r="BO17" s="231"/>
    </row>
    <row r="18" spans="1:67" s="168" customFormat="1" ht="13.5">
      <c r="A18" s="189" t="s">
        <v>11</v>
      </c>
      <c r="B18" s="197"/>
      <c r="C18" s="191"/>
      <c r="D18" s="192"/>
      <c r="E18" s="279"/>
      <c r="F18" s="280">
        <f>SUM(AC4:AC9)</f>
        <v>311643.1044690432</v>
      </c>
      <c r="G18" s="195" t="str">
        <f t="shared" si="35"/>
        <v/>
      </c>
      <c r="H18" s="196" t="str">
        <f>IF(D18=0,"",SUM(D14:D18)/SUM(F14:F18))</f>
        <v/>
      </c>
      <c r="I18" s="231"/>
      <c r="J18" s="231"/>
      <c r="K18" s="175"/>
      <c r="L18" s="231"/>
      <c r="O18" s="231"/>
      <c r="Q18" s="231"/>
      <c r="T18" s="231"/>
      <c r="V18" s="231"/>
      <c r="Y18" s="231"/>
      <c r="AA18" s="231"/>
      <c r="AD18" s="231"/>
      <c r="AF18" s="231"/>
      <c r="AI18" s="231"/>
      <c r="AK18" s="231"/>
      <c r="AN18" s="231"/>
      <c r="AP18" s="231"/>
      <c r="AS18" s="231"/>
      <c r="AU18" s="231"/>
      <c r="AX18" s="231"/>
      <c r="AZ18" s="231"/>
      <c r="BC18" s="231"/>
      <c r="BE18" s="231"/>
      <c r="BH18" s="231"/>
      <c r="BJ18" s="231"/>
      <c r="BM18" s="231"/>
      <c r="BO18" s="231"/>
    </row>
    <row r="19" spans="1:67" s="168" customFormat="1" ht="13.5">
      <c r="A19" s="189" t="s">
        <v>12</v>
      </c>
      <c r="B19" s="190"/>
      <c r="C19" s="191"/>
      <c r="D19" s="192"/>
      <c r="E19" s="279"/>
      <c r="F19" s="280">
        <f>SUM(AH4:AH9)</f>
        <v>448414.59749905812</v>
      </c>
      <c r="G19" s="195" t="str">
        <f t="shared" si="35"/>
        <v/>
      </c>
      <c r="H19" s="196" t="str">
        <f>IF(D19=0,"",SUM(D14:D19)/SUM(F14:F19))</f>
        <v/>
      </c>
      <c r="I19" s="231"/>
      <c r="J19" s="231"/>
      <c r="K19" s="175"/>
      <c r="L19" s="231"/>
      <c r="O19" s="231"/>
      <c r="Q19" s="231"/>
      <c r="T19" s="231"/>
      <c r="V19" s="231"/>
      <c r="Y19" s="231"/>
      <c r="AA19" s="231"/>
      <c r="AD19" s="231"/>
      <c r="AF19" s="231"/>
      <c r="AI19" s="231"/>
      <c r="AK19" s="231"/>
      <c r="AN19" s="231"/>
      <c r="AP19" s="231"/>
      <c r="AS19" s="231"/>
      <c r="AU19" s="231"/>
      <c r="AX19" s="231"/>
      <c r="AZ19" s="231"/>
      <c r="BC19" s="231"/>
      <c r="BE19" s="231"/>
      <c r="BH19" s="231"/>
      <c r="BJ19" s="231"/>
      <c r="BM19" s="231"/>
      <c r="BO19" s="231"/>
    </row>
    <row r="20" spans="1:67" s="168" customFormat="1" ht="13.5">
      <c r="A20" s="189" t="s">
        <v>13</v>
      </c>
      <c r="B20" s="190"/>
      <c r="C20" s="191"/>
      <c r="D20" s="192"/>
      <c r="E20" s="279"/>
      <c r="F20" s="280">
        <f>SUM(AM4:AM9)</f>
        <v>67407.106110622728</v>
      </c>
      <c r="G20" s="195" t="str">
        <f t="shared" si="35"/>
        <v/>
      </c>
      <c r="H20" s="196" t="str">
        <f>IF(D20=0,"",SUM(D14:D20)/SUM(F14:F20))</f>
        <v/>
      </c>
      <c r="I20" s="231"/>
      <c r="J20" s="231"/>
      <c r="K20" s="175"/>
      <c r="L20" s="231"/>
      <c r="O20" s="231"/>
      <c r="Q20" s="231"/>
      <c r="T20" s="231"/>
      <c r="V20" s="231"/>
      <c r="Y20" s="231"/>
      <c r="AA20" s="231"/>
      <c r="AD20" s="231"/>
      <c r="AF20" s="231"/>
      <c r="AI20" s="231"/>
      <c r="AK20" s="231"/>
      <c r="AN20" s="231"/>
      <c r="AP20" s="231"/>
      <c r="AS20" s="231"/>
      <c r="AU20" s="231"/>
      <c r="AX20" s="231"/>
      <c r="AZ20" s="231"/>
      <c r="BC20" s="231"/>
      <c r="BE20" s="231"/>
      <c r="BH20" s="231"/>
      <c r="BJ20" s="231"/>
      <c r="BM20" s="231"/>
      <c r="BO20" s="231"/>
    </row>
    <row r="21" spans="1:67" s="168" customFormat="1" ht="13.5">
      <c r="A21" s="189" t="s">
        <v>14</v>
      </c>
      <c r="B21" s="190"/>
      <c r="C21" s="191"/>
      <c r="D21" s="192"/>
      <c r="E21" s="279"/>
      <c r="F21" s="280">
        <f>SUM(AR4:AR9)</f>
        <v>228706.16848167352</v>
      </c>
      <c r="G21" s="195" t="str">
        <f t="shared" si="35"/>
        <v/>
      </c>
      <c r="H21" s="196" t="str">
        <f>IF(D21=0,"",SUM(D14:D21)/SUM(F14:F21))</f>
        <v/>
      </c>
      <c r="I21" s="231"/>
      <c r="J21" s="231"/>
      <c r="K21" s="175"/>
      <c r="L21" s="231"/>
      <c r="O21" s="231"/>
      <c r="Q21" s="231"/>
      <c r="T21" s="231"/>
      <c r="V21" s="231"/>
      <c r="Y21" s="231"/>
      <c r="AA21" s="231"/>
      <c r="AD21" s="231"/>
      <c r="AF21" s="231"/>
      <c r="AI21" s="231"/>
      <c r="AK21" s="231"/>
      <c r="AN21" s="231"/>
      <c r="AP21" s="231"/>
      <c r="AS21" s="231"/>
      <c r="AU21" s="231"/>
      <c r="AX21" s="231"/>
      <c r="AZ21" s="231"/>
      <c r="BC21" s="231"/>
      <c r="BE21" s="231"/>
      <c r="BH21" s="231"/>
      <c r="BJ21" s="231"/>
      <c r="BM21" s="231"/>
      <c r="BO21" s="231"/>
    </row>
    <row r="22" spans="1:67" s="168" customFormat="1" ht="13.5">
      <c r="A22" s="189" t="s">
        <v>15</v>
      </c>
      <c r="B22" s="190"/>
      <c r="C22" s="191"/>
      <c r="D22" s="192"/>
      <c r="E22" s="279"/>
      <c r="F22" s="280">
        <f>SUM(AW4:AW9)</f>
        <v>444952.64760759968</v>
      </c>
      <c r="G22" s="195" t="str">
        <f t="shared" si="35"/>
        <v/>
      </c>
      <c r="H22" s="196" t="str">
        <f>IF(D22=0,"",SUM(D14:D22)/SUM(F14:F22))</f>
        <v/>
      </c>
      <c r="I22" s="231"/>
      <c r="J22" s="231"/>
      <c r="K22" s="175"/>
      <c r="L22" s="231"/>
      <c r="O22" s="231"/>
      <c r="Q22" s="231"/>
      <c r="T22" s="231"/>
      <c r="V22" s="231"/>
      <c r="Y22" s="231"/>
      <c r="AA22" s="231"/>
      <c r="AD22" s="231"/>
      <c r="AF22" s="231"/>
      <c r="AI22" s="231"/>
      <c r="AK22" s="231"/>
      <c r="AN22" s="231"/>
      <c r="AP22" s="231"/>
      <c r="AS22" s="231"/>
      <c r="AU22" s="231"/>
      <c r="AX22" s="231"/>
      <c r="AZ22" s="231"/>
      <c r="BC22" s="231"/>
      <c r="BE22" s="231"/>
      <c r="BH22" s="231"/>
      <c r="BJ22" s="231"/>
      <c r="BM22" s="231"/>
      <c r="BO22" s="231"/>
    </row>
    <row r="23" spans="1:67" s="168" customFormat="1" ht="13.5">
      <c r="A23" s="189" t="s">
        <v>16</v>
      </c>
      <c r="B23" s="190"/>
      <c r="C23" s="191"/>
      <c r="D23" s="192"/>
      <c r="E23" s="279"/>
      <c r="F23" s="280">
        <f>SUM(BB4:BB9)</f>
        <v>288572.26874360867</v>
      </c>
      <c r="G23" s="195" t="str">
        <f t="shared" si="35"/>
        <v/>
      </c>
      <c r="H23" s="196" t="str">
        <f>IF(D23=0,"",SUM(D14:D23)/SUM(F14:F23))</f>
        <v/>
      </c>
      <c r="I23" s="231"/>
      <c r="J23" s="231"/>
      <c r="K23" s="175"/>
      <c r="L23" s="231"/>
      <c r="O23" s="231"/>
      <c r="Q23" s="231"/>
      <c r="T23" s="231"/>
      <c r="V23" s="231"/>
      <c r="Y23" s="231"/>
      <c r="AA23" s="231"/>
      <c r="AD23" s="231"/>
      <c r="AF23" s="231"/>
      <c r="AI23" s="231"/>
      <c r="AK23" s="231"/>
      <c r="AN23" s="231"/>
      <c r="AP23" s="231"/>
      <c r="AS23" s="231"/>
      <c r="AU23" s="231"/>
      <c r="AX23" s="231"/>
      <c r="AZ23" s="231"/>
      <c r="BC23" s="231"/>
      <c r="BE23" s="231"/>
      <c r="BH23" s="231"/>
      <c r="BJ23" s="231"/>
      <c r="BM23" s="231"/>
      <c r="BO23" s="231"/>
    </row>
    <row r="24" spans="1:67" s="168" customFormat="1" ht="13.5">
      <c r="A24" s="189" t="s">
        <v>17</v>
      </c>
      <c r="B24" s="190"/>
      <c r="C24" s="198"/>
      <c r="D24" s="192"/>
      <c r="E24" s="279"/>
      <c r="F24" s="280">
        <f>SUM(BG4:BG9)</f>
        <v>268003.15981628664</v>
      </c>
      <c r="G24" s="195" t="str">
        <f t="shared" si="35"/>
        <v/>
      </c>
      <c r="H24" s="196" t="str">
        <f>IF(D24=0,"",SUM(D14:D24)/SUM(F14:F24))</f>
        <v/>
      </c>
      <c r="I24" s="231"/>
      <c r="J24" s="231"/>
      <c r="K24" s="175"/>
      <c r="L24" s="231"/>
      <c r="O24" s="231"/>
      <c r="Q24" s="231"/>
      <c r="T24" s="231"/>
      <c r="V24" s="231"/>
      <c r="Y24" s="231"/>
      <c r="AA24" s="231"/>
      <c r="AD24" s="231"/>
      <c r="AF24" s="231"/>
      <c r="AI24" s="231"/>
      <c r="AK24" s="231"/>
      <c r="AN24" s="231"/>
      <c r="AP24" s="231"/>
      <c r="AS24" s="231"/>
      <c r="AU24" s="231"/>
      <c r="AX24" s="231"/>
      <c r="AZ24" s="231"/>
      <c r="BC24" s="231"/>
      <c r="BE24" s="231"/>
      <c r="BH24" s="231"/>
      <c r="BJ24" s="231"/>
      <c r="BM24" s="231"/>
      <c r="BO24" s="231"/>
    </row>
    <row r="25" spans="1:67" s="168" customFormat="1" ht="14.25" thickBot="1">
      <c r="A25" s="189" t="s">
        <v>18</v>
      </c>
      <c r="B25" s="365"/>
      <c r="C25" s="366"/>
      <c r="D25" s="192"/>
      <c r="E25" s="279"/>
      <c r="F25" s="285">
        <f>SUM(BL4:BL9)</f>
        <v>376556.55712337862</v>
      </c>
      <c r="G25" s="199" t="str">
        <f t="shared" si="35"/>
        <v/>
      </c>
      <c r="H25" s="200" t="str">
        <f>IF(D25=0,"",SUM(D14:D25)/SUM(F14:F25))</f>
        <v/>
      </c>
      <c r="I25" s="231"/>
      <c r="J25" s="231"/>
      <c r="K25" s="175"/>
      <c r="L25" s="231"/>
      <c r="O25" s="231"/>
      <c r="Q25" s="231"/>
      <c r="T25" s="231"/>
      <c r="V25" s="231"/>
      <c r="Y25" s="231"/>
      <c r="AA25" s="231"/>
      <c r="AD25" s="231"/>
      <c r="AF25" s="231"/>
      <c r="AI25" s="231"/>
      <c r="AK25" s="231"/>
      <c r="AN25" s="231"/>
      <c r="AP25" s="231"/>
      <c r="AS25" s="231"/>
      <c r="AU25" s="231"/>
      <c r="AX25" s="231"/>
      <c r="AZ25" s="231"/>
      <c r="BC25" s="231"/>
      <c r="BE25" s="231"/>
      <c r="BH25" s="231"/>
      <c r="BJ25" s="231"/>
      <c r="BM25" s="231"/>
      <c r="BO25" s="231"/>
    </row>
    <row r="26" spans="1:67" s="168" customFormat="1" ht="13.5" thickBot="1">
      <c r="A26" s="201"/>
      <c r="B26" s="202">
        <f>SUM(B14:B25)</f>
        <v>0</v>
      </c>
      <c r="C26" s="203">
        <f>SUM(C14:C25)</f>
        <v>0</v>
      </c>
      <c r="D26" s="202">
        <f>SUM(D14:D25)</f>
        <v>0</v>
      </c>
      <c r="E26" s="203">
        <f>SUM(E14:E25)</f>
        <v>0</v>
      </c>
      <c r="F26" s="286">
        <f>SUM(F14:F25)</f>
        <v>3600000</v>
      </c>
      <c r="G26" s="284" t="str">
        <f>IF(D26=0,"",D26-F26)</f>
        <v/>
      </c>
      <c r="H26" s="204"/>
      <c r="I26" s="175"/>
      <c r="J26" s="231"/>
      <c r="K26" s="175"/>
      <c r="L26" s="231"/>
      <c r="O26" s="231"/>
      <c r="Q26" s="231"/>
      <c r="T26" s="231"/>
      <c r="V26" s="231"/>
      <c r="Y26" s="231"/>
      <c r="AA26" s="231"/>
      <c r="AD26" s="231"/>
      <c r="AF26" s="231"/>
      <c r="AI26" s="231"/>
      <c r="AK26" s="231"/>
      <c r="AN26" s="231"/>
      <c r="AP26" s="231"/>
      <c r="AS26" s="231"/>
      <c r="AU26" s="231"/>
      <c r="AX26" s="231"/>
      <c r="AZ26" s="231"/>
      <c r="BC26" s="231"/>
      <c r="BE26" s="231"/>
      <c r="BH26" s="231"/>
      <c r="BJ26" s="231"/>
      <c r="BM26" s="231"/>
      <c r="BO26" s="231"/>
    </row>
    <row r="27" spans="1:67" s="168" customFormat="1" ht="13.5" thickBot="1">
      <c r="J27" s="231"/>
      <c r="L27" s="231"/>
      <c r="O27" s="231"/>
      <c r="Q27" s="231"/>
      <c r="T27" s="231"/>
      <c r="V27" s="231"/>
      <c r="Y27" s="231"/>
      <c r="AA27" s="231"/>
      <c r="AD27" s="231"/>
      <c r="AF27" s="231"/>
      <c r="AI27" s="231"/>
      <c r="AK27" s="231"/>
      <c r="AN27" s="231"/>
      <c r="AP27" s="231"/>
      <c r="AS27" s="231"/>
      <c r="AU27" s="231"/>
      <c r="AX27" s="231"/>
      <c r="AZ27" s="231"/>
      <c r="BC27" s="231"/>
      <c r="BE27" s="231"/>
      <c r="BH27" s="231"/>
      <c r="BJ27" s="231"/>
      <c r="BM27" s="231"/>
      <c r="BO27" s="231"/>
    </row>
    <row r="28" spans="1:67" s="168" customFormat="1" ht="60.75" thickBot="1">
      <c r="A28"/>
      <c r="B28"/>
      <c r="C28"/>
      <c r="D28"/>
      <c r="E28" s="115" t="s">
        <v>174</v>
      </c>
      <c r="F28" s="132">
        <f>D26/F26</f>
        <v>0</v>
      </c>
      <c r="J28" s="231"/>
      <c r="L28" s="231"/>
      <c r="O28" s="231"/>
      <c r="Q28" s="231"/>
      <c r="T28" s="231"/>
      <c r="V28" s="231"/>
      <c r="Y28" s="231"/>
      <c r="AA28" s="231"/>
      <c r="AD28" s="231"/>
      <c r="AF28" s="231"/>
      <c r="AI28" s="231"/>
      <c r="AK28" s="231"/>
      <c r="AN28" s="231"/>
      <c r="AP28" s="231"/>
      <c r="AS28" s="231"/>
      <c r="AU28" s="231"/>
      <c r="AX28" s="231"/>
      <c r="AZ28" s="231"/>
      <c r="BC28" s="231"/>
      <c r="BE28" s="231"/>
      <c r="BH28" s="231"/>
      <c r="BJ28" s="231"/>
      <c r="BM28" s="231"/>
      <c r="BO28" s="231"/>
    </row>
    <row r="29" spans="1:67" s="168" customFormat="1">
      <c r="A29"/>
      <c r="B29"/>
      <c r="C29"/>
      <c r="D29"/>
      <c r="J29" s="231"/>
      <c r="L29" s="231"/>
      <c r="O29" s="231"/>
      <c r="Q29" s="231"/>
      <c r="T29" s="231"/>
      <c r="V29" s="231"/>
      <c r="Y29" s="231"/>
      <c r="AA29" s="231"/>
      <c r="AD29" s="231"/>
      <c r="AF29" s="231"/>
      <c r="AI29" s="231"/>
      <c r="AK29" s="231"/>
      <c r="AN29" s="231"/>
      <c r="AP29" s="231"/>
      <c r="AS29" s="231"/>
      <c r="AU29" s="231"/>
      <c r="AX29" s="231"/>
      <c r="AZ29" s="231"/>
      <c r="BC29" s="231"/>
      <c r="BE29" s="231"/>
      <c r="BH29" s="231"/>
      <c r="BJ29" s="231"/>
      <c r="BM29" s="231"/>
      <c r="BO29" s="231"/>
    </row>
    <row r="30" spans="1:67" s="168" customFormat="1">
      <c r="A30" s="141" t="s">
        <v>221</v>
      </c>
      <c r="B30"/>
      <c r="C30"/>
      <c r="D30" s="141"/>
      <c r="J30" s="231"/>
      <c r="L30" s="231"/>
      <c r="O30" s="231"/>
      <c r="Q30" s="231"/>
      <c r="T30" s="231"/>
      <c r="V30" s="231"/>
      <c r="Y30" s="231"/>
      <c r="AA30" s="231"/>
      <c r="AD30" s="231"/>
      <c r="AF30" s="231"/>
      <c r="AI30" s="231"/>
      <c r="AK30" s="231"/>
      <c r="AN30" s="231"/>
      <c r="AP30" s="231"/>
      <c r="AS30" s="231"/>
      <c r="AU30" s="231"/>
      <c r="AX30" s="231"/>
      <c r="AZ30" s="231"/>
      <c r="BC30" s="231"/>
      <c r="BE30" s="231"/>
      <c r="BH30" s="231"/>
      <c r="BJ30" s="231"/>
      <c r="BM30" s="231"/>
      <c r="BO30" s="231"/>
    </row>
    <row r="31" spans="1:67" s="168" customFormat="1">
      <c r="A31"/>
      <c r="B31"/>
      <c r="C31"/>
      <c r="D31"/>
      <c r="J31" s="231"/>
      <c r="L31" s="231"/>
      <c r="O31" s="231"/>
      <c r="Q31" s="231"/>
      <c r="T31" s="231"/>
      <c r="V31" s="231"/>
      <c r="Y31" s="231"/>
      <c r="AA31" s="231"/>
      <c r="AD31" s="231"/>
      <c r="AF31" s="231"/>
      <c r="AI31" s="231"/>
      <c r="AK31" s="231"/>
      <c r="AN31" s="231"/>
      <c r="AP31" s="231"/>
      <c r="AS31" s="231"/>
      <c r="AU31" s="231"/>
      <c r="AX31" s="231"/>
      <c r="AZ31" s="231"/>
      <c r="BC31" s="231"/>
      <c r="BE31" s="231"/>
      <c r="BH31" s="231"/>
      <c r="BJ31" s="231"/>
      <c r="BM31" s="231"/>
      <c r="BO31" s="231"/>
    </row>
    <row r="32" spans="1:67" s="168" customFormat="1">
      <c r="A32"/>
      <c r="B32"/>
      <c r="C32"/>
      <c r="D32"/>
      <c r="J32" s="231"/>
      <c r="L32" s="231"/>
      <c r="O32" s="231"/>
      <c r="Q32" s="231"/>
      <c r="T32" s="231"/>
      <c r="V32" s="231"/>
      <c r="Y32" s="231"/>
      <c r="AA32" s="231"/>
      <c r="AD32" s="231"/>
      <c r="AF32" s="231"/>
      <c r="AI32" s="231"/>
      <c r="AK32" s="231"/>
      <c r="AN32" s="231"/>
      <c r="AP32" s="231"/>
      <c r="AS32" s="231"/>
      <c r="AU32" s="231"/>
      <c r="AX32" s="231"/>
      <c r="AZ32" s="231"/>
      <c r="BC32" s="231"/>
      <c r="BE32" s="231"/>
      <c r="BH32" s="231"/>
      <c r="BJ32" s="231"/>
      <c r="BM32" s="231"/>
      <c r="BO32" s="231"/>
    </row>
    <row r="33" spans="1:67" s="168" customFormat="1">
      <c r="A33"/>
      <c r="B33"/>
      <c r="C33"/>
      <c r="D33"/>
      <c r="J33" s="231"/>
      <c r="L33" s="231"/>
      <c r="O33" s="231"/>
      <c r="Q33" s="231"/>
      <c r="T33" s="231"/>
      <c r="V33" s="231"/>
      <c r="Y33" s="231"/>
      <c r="AA33" s="231"/>
      <c r="AD33" s="231"/>
      <c r="AF33" s="231"/>
      <c r="AI33" s="231"/>
      <c r="AK33" s="231"/>
      <c r="AN33" s="231"/>
      <c r="AP33" s="231"/>
      <c r="AS33" s="231"/>
      <c r="AU33" s="231"/>
      <c r="AX33" s="231"/>
      <c r="AZ33" s="231"/>
      <c r="BC33" s="231"/>
      <c r="BE33" s="231"/>
      <c r="BH33" s="231"/>
      <c r="BJ33" s="231"/>
      <c r="BM33" s="231"/>
      <c r="BO33" s="231"/>
    </row>
    <row r="34" spans="1:67" s="168" customFormat="1">
      <c r="A34"/>
      <c r="B34"/>
      <c r="C34"/>
      <c r="D34"/>
      <c r="J34" s="231"/>
      <c r="L34" s="231"/>
      <c r="O34" s="231"/>
      <c r="Q34" s="231"/>
      <c r="T34" s="231"/>
      <c r="V34" s="231"/>
      <c r="Y34" s="231"/>
      <c r="AA34" s="231"/>
      <c r="AD34" s="231"/>
      <c r="AF34" s="231"/>
      <c r="AI34" s="231"/>
      <c r="AK34" s="231"/>
      <c r="AN34" s="231"/>
      <c r="AP34" s="231"/>
      <c r="AS34" s="231"/>
      <c r="AU34" s="231"/>
      <c r="AX34" s="231"/>
      <c r="AZ34" s="231"/>
      <c r="BC34" s="231"/>
      <c r="BE34" s="231"/>
      <c r="BH34" s="231"/>
      <c r="BJ34" s="231"/>
      <c r="BM34" s="231"/>
      <c r="BO34" s="231"/>
    </row>
    <row r="35" spans="1:67" s="168" customFormat="1">
      <c r="A35"/>
      <c r="B35"/>
      <c r="C35"/>
      <c r="D35"/>
      <c r="J35" s="231"/>
      <c r="L35" s="231"/>
      <c r="O35" s="231"/>
      <c r="Q35" s="231"/>
      <c r="T35" s="231"/>
      <c r="V35" s="231"/>
      <c r="Y35" s="231"/>
      <c r="AA35" s="231"/>
      <c r="AD35" s="231"/>
      <c r="AF35" s="231"/>
      <c r="AI35" s="231"/>
      <c r="AK35" s="231"/>
      <c r="AN35" s="231"/>
      <c r="AP35" s="231"/>
      <c r="AS35" s="231"/>
      <c r="AU35" s="231"/>
      <c r="AX35" s="231"/>
      <c r="AZ35" s="231"/>
      <c r="BC35" s="231"/>
      <c r="BE35" s="231"/>
      <c r="BH35" s="231"/>
      <c r="BJ35" s="231"/>
      <c r="BM35" s="231"/>
      <c r="BO35" s="231"/>
    </row>
    <row r="36" spans="1:67" s="168" customFormat="1">
      <c r="A36"/>
      <c r="B36"/>
      <c r="C36"/>
      <c r="D36"/>
      <c r="H36" s="287" t="s">
        <v>188</v>
      </c>
      <c r="J36" s="231"/>
      <c r="L36" s="231"/>
      <c r="O36" s="231"/>
      <c r="Q36" s="231"/>
      <c r="T36" s="231"/>
      <c r="V36" s="231"/>
      <c r="Y36" s="231"/>
      <c r="AA36" s="231"/>
      <c r="AD36" s="231"/>
      <c r="AF36" s="231"/>
      <c r="AI36" s="231"/>
      <c r="AK36" s="231"/>
      <c r="AN36" s="231"/>
      <c r="AP36" s="231"/>
      <c r="AS36" s="231"/>
      <c r="AU36" s="231"/>
      <c r="AX36" s="231"/>
      <c r="AZ36" s="231"/>
      <c r="BC36" s="231"/>
      <c r="BE36" s="231"/>
      <c r="BH36" s="231"/>
      <c r="BJ36" s="231"/>
      <c r="BM36" s="231"/>
      <c r="BO36" s="231"/>
    </row>
    <row r="37" spans="1:67" s="168" customFormat="1">
      <c r="A37"/>
      <c r="B37"/>
      <c r="C37"/>
      <c r="D37"/>
      <c r="J37" s="231"/>
      <c r="L37" s="231"/>
      <c r="O37" s="231"/>
      <c r="Q37" s="231"/>
      <c r="T37" s="231"/>
      <c r="V37" s="231"/>
      <c r="Y37" s="231"/>
      <c r="AA37" s="231"/>
      <c r="AD37" s="231"/>
      <c r="AF37" s="231"/>
      <c r="AI37" s="231"/>
      <c r="AK37" s="231"/>
      <c r="AN37" s="231"/>
      <c r="AP37" s="231"/>
      <c r="AS37" s="231"/>
      <c r="AU37" s="231"/>
      <c r="AX37" s="231"/>
      <c r="AZ37" s="231"/>
      <c r="BC37" s="231"/>
      <c r="BE37" s="231"/>
      <c r="BH37" s="231"/>
      <c r="BJ37" s="231"/>
      <c r="BM37" s="231"/>
      <c r="BO37" s="231"/>
    </row>
    <row r="38" spans="1:67" s="168" customFormat="1">
      <c r="A38"/>
      <c r="B38"/>
      <c r="C38"/>
      <c r="D38"/>
      <c r="J38" s="231"/>
      <c r="L38" s="231"/>
      <c r="O38" s="231"/>
      <c r="Q38" s="231"/>
      <c r="T38" s="231"/>
      <c r="V38" s="231"/>
      <c r="Y38" s="231"/>
      <c r="AA38" s="231"/>
      <c r="AD38" s="231"/>
      <c r="AF38" s="231"/>
      <c r="AI38" s="231"/>
      <c r="AK38" s="231"/>
      <c r="AN38" s="231"/>
      <c r="AP38" s="231"/>
      <c r="AS38" s="231"/>
      <c r="AU38" s="231"/>
      <c r="AX38" s="231"/>
      <c r="AZ38" s="231"/>
      <c r="BC38" s="231"/>
      <c r="BE38" s="231"/>
      <c r="BH38" s="231"/>
      <c r="BJ38" s="231"/>
      <c r="BM38" s="231"/>
      <c r="BO38" s="231"/>
    </row>
    <row r="39" spans="1:67" s="168" customFormat="1">
      <c r="A39"/>
      <c r="B39"/>
      <c r="C39"/>
      <c r="D39"/>
      <c r="J39" s="231"/>
      <c r="L39" s="231"/>
      <c r="O39" s="231"/>
      <c r="Q39" s="231"/>
      <c r="T39" s="231"/>
      <c r="V39" s="231"/>
      <c r="Y39" s="231"/>
      <c r="AA39" s="231"/>
      <c r="AD39" s="231"/>
      <c r="AF39" s="231"/>
      <c r="AI39" s="231"/>
      <c r="AK39" s="231"/>
      <c r="AN39" s="231"/>
      <c r="AP39" s="231"/>
      <c r="AS39" s="231"/>
      <c r="AU39" s="231"/>
      <c r="AX39" s="231"/>
      <c r="AZ39" s="231"/>
      <c r="BC39" s="231"/>
      <c r="BE39" s="231"/>
      <c r="BH39" s="231"/>
      <c r="BJ39" s="231"/>
      <c r="BM39" s="231"/>
      <c r="BO39" s="231"/>
    </row>
    <row r="40" spans="1:67" s="168" customFormat="1">
      <c r="A40"/>
      <c r="B40"/>
      <c r="C40"/>
      <c r="D40"/>
      <c r="J40" s="231"/>
      <c r="L40" s="231"/>
      <c r="O40" s="231"/>
      <c r="Q40" s="231"/>
      <c r="T40" s="231"/>
      <c r="V40" s="231"/>
      <c r="Y40" s="231"/>
      <c r="AA40" s="231"/>
      <c r="AD40" s="231"/>
      <c r="AF40" s="231"/>
      <c r="AI40" s="231"/>
      <c r="AK40" s="231"/>
      <c r="AN40" s="231"/>
      <c r="AP40" s="231"/>
      <c r="AS40" s="231"/>
      <c r="AU40" s="231"/>
      <c r="AX40" s="231"/>
      <c r="AZ40" s="231"/>
      <c r="BC40" s="231"/>
      <c r="BE40" s="231"/>
      <c r="BH40" s="231"/>
      <c r="BJ40" s="231"/>
      <c r="BM40" s="231"/>
      <c r="BO40" s="231"/>
    </row>
    <row r="41" spans="1:67" s="168" customFormat="1">
      <c r="A41"/>
      <c r="B41"/>
      <c r="C41"/>
      <c r="D41"/>
      <c r="J41" s="231"/>
      <c r="L41" s="231"/>
      <c r="O41" s="231"/>
      <c r="Q41" s="231"/>
      <c r="T41" s="231"/>
      <c r="V41" s="231"/>
      <c r="Y41" s="231"/>
      <c r="AA41" s="231"/>
      <c r="AD41" s="231"/>
      <c r="AF41" s="231"/>
      <c r="AI41" s="231"/>
      <c r="AK41" s="231"/>
      <c r="AN41" s="231"/>
      <c r="AP41" s="231"/>
      <c r="AS41" s="231"/>
      <c r="AU41" s="231"/>
      <c r="AX41" s="231"/>
      <c r="AZ41" s="231"/>
      <c r="BC41" s="231"/>
      <c r="BE41" s="231"/>
      <c r="BH41" s="231"/>
      <c r="BJ41" s="231"/>
      <c r="BM41" s="231"/>
      <c r="BO41" s="231"/>
    </row>
    <row r="42" spans="1:67" s="168" customFormat="1">
      <c r="A42"/>
      <c r="B42"/>
      <c r="C42"/>
      <c r="D42"/>
      <c r="J42" s="231"/>
      <c r="L42" s="231"/>
      <c r="O42" s="231"/>
      <c r="Q42" s="231"/>
      <c r="T42" s="231"/>
      <c r="V42" s="231"/>
      <c r="Y42" s="231"/>
      <c r="AA42" s="231"/>
      <c r="AD42" s="231"/>
      <c r="AF42" s="231"/>
      <c r="AI42" s="231"/>
      <c r="AK42" s="231"/>
      <c r="AN42" s="231"/>
      <c r="AP42" s="231"/>
      <c r="AS42" s="231"/>
      <c r="AU42" s="231"/>
      <c r="AX42" s="231"/>
      <c r="AZ42" s="231"/>
      <c r="BC42" s="231"/>
      <c r="BE42" s="231"/>
      <c r="BH42" s="231"/>
      <c r="BJ42" s="231"/>
      <c r="BM42" s="231"/>
      <c r="BO42" s="231"/>
    </row>
    <row r="43" spans="1:67" s="168" customFormat="1">
      <c r="A43"/>
      <c r="B43"/>
      <c r="C43"/>
      <c r="D43"/>
      <c r="J43" s="231"/>
      <c r="L43" s="231"/>
      <c r="O43" s="231"/>
      <c r="Q43" s="231"/>
      <c r="T43" s="231"/>
      <c r="V43" s="231"/>
      <c r="Y43" s="231"/>
      <c r="AA43" s="231"/>
      <c r="AD43" s="231"/>
      <c r="AF43" s="231"/>
      <c r="AI43" s="231"/>
      <c r="AK43" s="231"/>
      <c r="AN43" s="231"/>
      <c r="AP43" s="231"/>
      <c r="AS43" s="231"/>
      <c r="AU43" s="231"/>
      <c r="AX43" s="231"/>
      <c r="AZ43" s="231"/>
      <c r="BC43" s="231"/>
      <c r="BE43" s="231"/>
      <c r="BH43" s="231"/>
      <c r="BJ43" s="231"/>
      <c r="BM43" s="231"/>
      <c r="BO43" s="231"/>
    </row>
    <row r="44" spans="1:67" s="168" customFormat="1">
      <c r="A44"/>
      <c r="B44"/>
      <c r="C44"/>
      <c r="D44"/>
      <c r="J44" s="231"/>
      <c r="L44" s="231"/>
      <c r="O44" s="231"/>
      <c r="Q44" s="231"/>
      <c r="T44" s="231"/>
      <c r="V44" s="231"/>
      <c r="Y44" s="231"/>
      <c r="AA44" s="231"/>
      <c r="AD44" s="231"/>
      <c r="AF44" s="231"/>
      <c r="AI44" s="231"/>
      <c r="AK44" s="231"/>
      <c r="AN44" s="231"/>
      <c r="AP44" s="231"/>
      <c r="AS44" s="231"/>
      <c r="AU44" s="231"/>
      <c r="AX44" s="231"/>
      <c r="AZ44" s="231"/>
      <c r="BC44" s="231"/>
      <c r="BE44" s="231"/>
      <c r="BH44" s="231"/>
      <c r="BJ44" s="231"/>
      <c r="BM44" s="231"/>
      <c r="BO44" s="231"/>
    </row>
    <row r="45" spans="1:67" s="168" customFormat="1" ht="12.75">
      <c r="J45" s="231"/>
      <c r="L45" s="231"/>
      <c r="O45" s="231"/>
      <c r="Q45" s="231"/>
      <c r="T45" s="231"/>
      <c r="V45" s="231"/>
      <c r="Y45" s="231"/>
      <c r="AA45" s="231"/>
      <c r="AD45" s="231"/>
      <c r="AF45" s="231"/>
      <c r="AI45" s="231"/>
      <c r="AK45" s="231"/>
      <c r="AN45" s="231"/>
      <c r="AP45" s="231"/>
      <c r="AS45" s="231"/>
      <c r="AU45" s="231"/>
      <c r="AX45" s="231"/>
      <c r="AZ45" s="231"/>
      <c r="BC45" s="231"/>
      <c r="BE45" s="231"/>
      <c r="BH45" s="231"/>
      <c r="BJ45" s="231"/>
      <c r="BM45" s="231"/>
      <c r="BO45" s="231"/>
    </row>
    <row r="46" spans="1:67" s="168" customFormat="1" ht="12.75">
      <c r="J46" s="231"/>
      <c r="L46" s="231"/>
      <c r="O46" s="231"/>
      <c r="Q46" s="231"/>
      <c r="T46" s="231"/>
      <c r="V46" s="231"/>
      <c r="Y46" s="231"/>
      <c r="AA46" s="231"/>
      <c r="AD46" s="231"/>
      <c r="AF46" s="231"/>
      <c r="AI46" s="231"/>
      <c r="AK46" s="231"/>
      <c r="AN46" s="231"/>
      <c r="AP46" s="231"/>
      <c r="AS46" s="231"/>
      <c r="AU46" s="231"/>
      <c r="AX46" s="231"/>
      <c r="AZ46" s="231"/>
      <c r="BC46" s="231"/>
      <c r="BE46" s="231"/>
      <c r="BH46" s="231"/>
      <c r="BJ46" s="231"/>
      <c r="BM46" s="231"/>
      <c r="BO46" s="231"/>
    </row>
    <row r="47" spans="1:67" s="168" customFormat="1" ht="12.75">
      <c r="J47" s="231"/>
      <c r="L47" s="231"/>
      <c r="O47" s="231"/>
      <c r="Q47" s="231"/>
      <c r="T47" s="231"/>
      <c r="V47" s="231"/>
      <c r="Y47" s="231"/>
      <c r="AA47" s="231"/>
      <c r="AD47" s="231"/>
      <c r="AF47" s="231"/>
      <c r="AI47" s="231"/>
      <c r="AK47" s="231"/>
      <c r="AN47" s="231"/>
      <c r="AP47" s="231"/>
      <c r="AS47" s="231"/>
      <c r="AU47" s="231"/>
      <c r="AX47" s="231"/>
      <c r="AZ47" s="231"/>
      <c r="BC47" s="231"/>
      <c r="BE47" s="231"/>
      <c r="BH47" s="231"/>
      <c r="BJ47" s="231"/>
      <c r="BM47" s="231"/>
      <c r="BO47" s="231"/>
    </row>
    <row r="48" spans="1:67" s="168" customFormat="1" ht="12.75">
      <c r="J48" s="231"/>
      <c r="L48" s="231"/>
      <c r="O48" s="231"/>
      <c r="Q48" s="231"/>
      <c r="T48" s="231"/>
      <c r="V48" s="231"/>
      <c r="Y48" s="231"/>
      <c r="AA48" s="231"/>
      <c r="AD48" s="231"/>
      <c r="AF48" s="231"/>
      <c r="AI48" s="231"/>
      <c r="AK48" s="231"/>
      <c r="AN48" s="231"/>
      <c r="AP48" s="231"/>
      <c r="AS48" s="231"/>
      <c r="AU48" s="231"/>
      <c r="AX48" s="231"/>
      <c r="AZ48" s="231"/>
      <c r="BC48" s="231"/>
      <c r="BE48" s="231"/>
      <c r="BH48" s="231"/>
      <c r="BJ48" s="231"/>
      <c r="BM48" s="231"/>
      <c r="BO48" s="231"/>
    </row>
    <row r="49" spans="10:67" s="168" customFormat="1" ht="12.75">
      <c r="J49" s="231"/>
      <c r="L49" s="231"/>
      <c r="O49" s="231"/>
      <c r="Q49" s="231"/>
      <c r="T49" s="231"/>
      <c r="V49" s="231"/>
      <c r="Y49" s="231"/>
      <c r="AA49" s="231"/>
      <c r="AD49" s="231"/>
      <c r="AF49" s="231"/>
      <c r="AI49" s="231"/>
      <c r="AK49" s="231"/>
      <c r="AN49" s="231"/>
      <c r="AP49" s="231"/>
      <c r="AS49" s="231"/>
      <c r="AU49" s="231"/>
      <c r="AX49" s="231"/>
      <c r="AZ49" s="231"/>
      <c r="BC49" s="231"/>
      <c r="BE49" s="231"/>
      <c r="BH49" s="231"/>
      <c r="BJ49" s="231"/>
      <c r="BM49" s="231"/>
      <c r="BO49" s="231"/>
    </row>
    <row r="50" spans="10:67" s="168" customFormat="1" ht="12.75">
      <c r="J50" s="231"/>
      <c r="L50" s="231"/>
      <c r="O50" s="231"/>
      <c r="Q50" s="231"/>
      <c r="T50" s="231"/>
      <c r="V50" s="231"/>
      <c r="Y50" s="231"/>
      <c r="AA50" s="231"/>
      <c r="AD50" s="231"/>
      <c r="AF50" s="231"/>
      <c r="AI50" s="231"/>
      <c r="AK50" s="231"/>
      <c r="AN50" s="231"/>
      <c r="AP50" s="231"/>
      <c r="AS50" s="231"/>
      <c r="AU50" s="231"/>
      <c r="AX50" s="231"/>
      <c r="AZ50" s="231"/>
      <c r="BC50" s="231"/>
      <c r="BE50" s="231"/>
      <c r="BH50" s="231"/>
      <c r="BJ50" s="231"/>
      <c r="BM50" s="231"/>
      <c r="BO50" s="231"/>
    </row>
    <row r="51" spans="10:67" s="168" customFormat="1" ht="12.75">
      <c r="J51" s="231"/>
      <c r="L51" s="231"/>
      <c r="O51" s="231"/>
      <c r="Q51" s="231"/>
      <c r="T51" s="231"/>
      <c r="V51" s="231"/>
      <c r="Y51" s="231"/>
      <c r="AA51" s="231"/>
      <c r="AD51" s="231"/>
      <c r="AF51" s="231"/>
      <c r="AI51" s="231"/>
      <c r="AK51" s="231"/>
      <c r="AN51" s="231"/>
      <c r="AP51" s="231"/>
      <c r="AS51" s="231"/>
      <c r="AU51" s="231"/>
      <c r="AX51" s="231"/>
      <c r="AZ51" s="231"/>
      <c r="BC51" s="231"/>
      <c r="BE51" s="231"/>
      <c r="BH51" s="231"/>
      <c r="BJ51" s="231"/>
      <c r="BM51" s="231"/>
      <c r="BO51" s="231"/>
    </row>
  </sheetData>
  <mergeCells count="1">
    <mergeCell ref="A3:C3"/>
  </mergeCells>
  <pageMargins left="0.7" right="0.7" top="0.75" bottom="0.75" header="0.3" footer="0.3"/>
  <pageSetup paperSize="9" scale="79" orientation="landscape" r:id="rId1"/>
  <ignoredErrors>
    <ignoredError sqref="H16:H24 H1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O31"/>
  <sheetViews>
    <sheetView workbookViewId="0">
      <selection activeCell="A31" sqref="A31"/>
    </sheetView>
  </sheetViews>
  <sheetFormatPr defaultRowHeight="15" outlineLevelCol="1"/>
  <cols>
    <col min="1" max="1" width="10.5703125" style="56" customWidth="1"/>
    <col min="2" max="2" width="14.28515625" style="56" bestFit="1" customWidth="1"/>
    <col min="3" max="3" width="9.42578125" style="56" customWidth="1"/>
    <col min="4" max="4" width="13.28515625" style="56" customWidth="1"/>
    <col min="5" max="5" width="14.28515625" style="56" customWidth="1"/>
    <col min="6" max="6" width="18" style="56" customWidth="1"/>
    <col min="7" max="7" width="19.85546875" style="56" customWidth="1"/>
    <col min="8" max="8" width="17.7109375" style="141" bestFit="1" customWidth="1"/>
    <col min="9" max="9" width="15.140625" hidden="1" customWidth="1" outlineLevel="1"/>
    <col min="10" max="10" width="13.42578125" style="228" hidden="1" customWidth="1" outlineLevel="1"/>
    <col min="11" max="11" width="11.85546875" hidden="1" customWidth="1" outlineLevel="1"/>
    <col min="12" max="12" width="9.28515625" style="228" hidden="1" customWidth="1" outlineLevel="1"/>
    <col min="13" max="13" width="10.85546875" bestFit="1" customWidth="1" collapsed="1"/>
    <col min="14" max="14" width="11.7109375" hidden="1" customWidth="1" outlineLevel="1"/>
    <col min="15" max="15" width="9.28515625" style="228" hidden="1" customWidth="1" outlineLevel="1"/>
    <col min="16" max="16" width="11.85546875" hidden="1" customWidth="1" outlineLevel="1"/>
    <col min="17" max="17" width="9.28515625" style="228" hidden="1" customWidth="1" outlineLevel="1"/>
    <col min="18" max="18" width="11.7109375" style="56" bestFit="1" customWidth="1" collapsed="1"/>
    <col min="19" max="19" width="12.7109375" style="56" hidden="1" customWidth="1" outlineLevel="1"/>
    <col min="20" max="20" width="9.28515625" style="228" hidden="1" customWidth="1" outlineLevel="1"/>
    <col min="21" max="21" width="12.7109375" style="56" hidden="1" customWidth="1" outlineLevel="1"/>
    <col min="22" max="22" width="9.28515625" style="228" hidden="1" customWidth="1" outlineLevel="1"/>
    <col min="23" max="23" width="9.140625" style="56" collapsed="1"/>
    <col min="24" max="24" width="12.7109375" style="56" hidden="1" customWidth="1" outlineLevel="1"/>
    <col min="25" max="25" width="9.28515625" style="228" hidden="1" customWidth="1" outlineLevel="1"/>
    <col min="26" max="26" width="12" style="56" hidden="1" customWidth="1" outlineLevel="1"/>
    <col min="27" max="27" width="9.28515625" style="228" hidden="1" customWidth="1" outlineLevel="1"/>
    <col min="28" max="28" width="9.140625" style="56" collapsed="1"/>
    <col min="29" max="29" width="12" style="56" hidden="1" customWidth="1" outlineLevel="1"/>
    <col min="30" max="30" width="9.28515625" style="228" hidden="1" customWidth="1" outlineLevel="1"/>
    <col min="31" max="31" width="12" style="56" hidden="1" customWidth="1" outlineLevel="1"/>
    <col min="32" max="32" width="9.28515625" style="228" hidden="1" customWidth="1" outlineLevel="1"/>
    <col min="33" max="33" width="9.140625" style="56" collapsed="1"/>
    <col min="34" max="34" width="12" style="56" hidden="1" customWidth="1" outlineLevel="1"/>
    <col min="35" max="35" width="9.28515625" style="228" hidden="1" customWidth="1" outlineLevel="1"/>
    <col min="36" max="36" width="13.5703125" style="56" hidden="1" customWidth="1" outlineLevel="1"/>
    <col min="37" max="37" width="9.28515625" style="228" hidden="1" customWidth="1" outlineLevel="1"/>
    <col min="38" max="38" width="9.140625" style="56" collapsed="1"/>
    <col min="39" max="39" width="11" style="56" hidden="1" customWidth="1" outlineLevel="1"/>
    <col min="40" max="40" width="9.28515625" style="228" hidden="1" customWidth="1" outlineLevel="1"/>
    <col min="41" max="41" width="13.5703125" style="56" hidden="1" customWidth="1" outlineLevel="1"/>
    <col min="42" max="42" width="9.28515625" style="228" hidden="1" customWidth="1" outlineLevel="1"/>
    <col min="43" max="43" width="9.140625" style="56" collapsed="1"/>
    <col min="44" max="44" width="12" style="56" hidden="1" customWidth="1" outlineLevel="1"/>
    <col min="45" max="45" width="9.28515625" style="228" hidden="1" customWidth="1" outlineLevel="1"/>
    <col min="46" max="46" width="13.5703125" style="56" hidden="1" customWidth="1" outlineLevel="1"/>
    <col min="47" max="47" width="9.28515625" style="228" hidden="1" customWidth="1" outlineLevel="1"/>
    <col min="48" max="48" width="9.140625" style="56" collapsed="1"/>
    <col min="49" max="49" width="12" style="56" hidden="1" customWidth="1" outlineLevel="1"/>
    <col min="50" max="50" width="9.28515625" style="228" hidden="1" customWidth="1" outlineLevel="1"/>
    <col min="51" max="51" width="13.5703125" style="56" hidden="1" customWidth="1" outlineLevel="1"/>
    <col min="52" max="52" width="9.28515625" style="228" hidden="1" customWidth="1" outlineLevel="1"/>
    <col min="53" max="53" width="9.140625" style="56" collapsed="1"/>
    <col min="54" max="54" width="12" style="56" hidden="1" customWidth="1" outlineLevel="1"/>
    <col min="55" max="55" width="9.28515625" style="228" hidden="1" customWidth="1" outlineLevel="1"/>
    <col min="56" max="56" width="13.5703125" style="56" hidden="1" customWidth="1" outlineLevel="1"/>
    <col min="57" max="57" width="9.28515625" style="228" hidden="1" customWidth="1" outlineLevel="1"/>
    <col min="58" max="58" width="9.140625" style="56" collapsed="1"/>
    <col min="59" max="59" width="12" style="56" hidden="1" customWidth="1" outlineLevel="1"/>
    <col min="60" max="60" width="9.28515625" style="228" hidden="1" customWidth="1" outlineLevel="1"/>
    <col min="61" max="61" width="13.5703125" style="56" hidden="1" customWidth="1" outlineLevel="1"/>
    <col min="62" max="62" width="9.28515625" style="228" hidden="1" customWidth="1" outlineLevel="1"/>
    <col min="63" max="63" width="9.140625" style="56" collapsed="1"/>
    <col min="64" max="64" width="12" style="56" hidden="1" customWidth="1" outlineLevel="1"/>
    <col min="65" max="65" width="9.28515625" style="56" hidden="1" customWidth="1" outlineLevel="1"/>
    <col min="66" max="66" width="13.5703125" style="56" hidden="1" customWidth="1" outlineLevel="1"/>
    <col min="67" max="67" width="9.28515625" style="56" hidden="1" customWidth="1" outlineLevel="1"/>
    <col min="68" max="68" width="9.140625" style="56" collapsed="1"/>
    <col min="69" max="16384" width="9.140625" style="56"/>
  </cols>
  <sheetData>
    <row r="1" spans="1:171" ht="21">
      <c r="A1" s="114" t="s">
        <v>119</v>
      </c>
      <c r="I1" s="141"/>
      <c r="K1" s="141"/>
      <c r="M1" s="141"/>
      <c r="N1" s="141"/>
      <c r="P1" s="141"/>
      <c r="R1" s="141"/>
      <c r="S1" s="141"/>
      <c r="U1" s="141"/>
      <c r="W1" s="141"/>
      <c r="X1" s="141"/>
      <c r="Z1" s="141"/>
      <c r="AB1" s="141"/>
      <c r="AC1" s="141"/>
      <c r="AE1" s="141"/>
      <c r="AG1" s="141"/>
      <c r="AH1" s="141"/>
      <c r="AJ1" s="141"/>
      <c r="AL1" s="141"/>
      <c r="AM1" s="141"/>
      <c r="AO1" s="141"/>
      <c r="AQ1" s="141"/>
      <c r="AR1" s="141"/>
      <c r="AT1" s="141"/>
      <c r="AV1" s="141"/>
      <c r="AW1" s="141"/>
      <c r="AY1" s="141"/>
      <c r="BA1" s="141"/>
      <c r="BB1" s="141"/>
      <c r="BD1" s="141"/>
      <c r="BF1" s="141"/>
      <c r="BG1" s="141"/>
      <c r="BI1" s="141"/>
      <c r="BK1" s="141"/>
      <c r="BL1" s="141"/>
      <c r="BM1" s="141"/>
      <c r="BN1" s="141"/>
      <c r="BO1" s="141"/>
    </row>
    <row r="2" spans="1:171" s="141" customFormat="1" ht="15" customHeight="1">
      <c r="A2" s="114"/>
      <c r="J2" s="228"/>
      <c r="L2" s="228"/>
      <c r="O2" s="228"/>
      <c r="Q2" s="228"/>
      <c r="T2" s="228"/>
      <c r="V2" s="228"/>
      <c r="Y2" s="228"/>
      <c r="AA2" s="228"/>
      <c r="AD2" s="228"/>
      <c r="AF2" s="228"/>
      <c r="AI2" s="228"/>
      <c r="AK2" s="228"/>
      <c r="AN2" s="228"/>
      <c r="AP2" s="228"/>
      <c r="AS2" s="228"/>
      <c r="AU2" s="228"/>
      <c r="AX2" s="228"/>
      <c r="AZ2" s="228"/>
      <c r="BC2" s="228"/>
      <c r="BE2" s="228"/>
      <c r="BH2" s="228"/>
      <c r="BJ2" s="228"/>
    </row>
    <row r="3" spans="1:171" s="168" customFormat="1" ht="25.5">
      <c r="A3" s="419" t="s">
        <v>0</v>
      </c>
      <c r="B3" s="420"/>
      <c r="C3" s="421"/>
      <c r="D3" s="142" t="s">
        <v>1</v>
      </c>
      <c r="E3" s="143" t="s">
        <v>2</v>
      </c>
      <c r="F3" s="144" t="s">
        <v>109</v>
      </c>
      <c r="G3" s="145" t="s">
        <v>110</v>
      </c>
      <c r="H3" s="183" t="s">
        <v>7</v>
      </c>
      <c r="I3" s="167" t="s">
        <v>157</v>
      </c>
      <c r="J3" s="229" t="s">
        <v>158</v>
      </c>
      <c r="K3" s="167" t="s">
        <v>135</v>
      </c>
      <c r="L3" s="229" t="s">
        <v>136</v>
      </c>
      <c r="M3" s="206" t="s">
        <v>8</v>
      </c>
      <c r="N3" s="167" t="s">
        <v>133</v>
      </c>
      <c r="O3" s="229" t="s">
        <v>134</v>
      </c>
      <c r="P3" s="167" t="s">
        <v>135</v>
      </c>
      <c r="Q3" s="229" t="s">
        <v>136</v>
      </c>
      <c r="R3" s="207" t="s">
        <v>9</v>
      </c>
      <c r="S3" s="167" t="s">
        <v>137</v>
      </c>
      <c r="T3" s="229" t="s">
        <v>138</v>
      </c>
      <c r="U3" s="167" t="s">
        <v>135</v>
      </c>
      <c r="V3" s="229" t="s">
        <v>136</v>
      </c>
      <c r="W3" s="182" t="s">
        <v>10</v>
      </c>
      <c r="X3" s="167" t="s">
        <v>139</v>
      </c>
      <c r="Y3" s="229" t="s">
        <v>140</v>
      </c>
      <c r="Z3" s="167" t="s">
        <v>135</v>
      </c>
      <c r="AA3" s="229" t="s">
        <v>136</v>
      </c>
      <c r="AB3" s="182" t="s">
        <v>11</v>
      </c>
      <c r="AC3" s="167" t="s">
        <v>141</v>
      </c>
      <c r="AD3" s="229" t="s">
        <v>142</v>
      </c>
      <c r="AE3" s="167" t="s">
        <v>135</v>
      </c>
      <c r="AF3" s="229" t="s">
        <v>136</v>
      </c>
      <c r="AG3" s="182" t="s">
        <v>12</v>
      </c>
      <c r="AH3" s="167" t="s">
        <v>143</v>
      </c>
      <c r="AI3" s="229" t="s">
        <v>144</v>
      </c>
      <c r="AJ3" s="167" t="s">
        <v>135</v>
      </c>
      <c r="AK3" s="229" t="s">
        <v>136</v>
      </c>
      <c r="AL3" s="182" t="s">
        <v>13</v>
      </c>
      <c r="AM3" s="167" t="s">
        <v>145</v>
      </c>
      <c r="AN3" s="229" t="s">
        <v>146</v>
      </c>
      <c r="AO3" s="167" t="s">
        <v>135</v>
      </c>
      <c r="AP3" s="229" t="s">
        <v>136</v>
      </c>
      <c r="AQ3" s="182" t="s">
        <v>14</v>
      </c>
      <c r="AR3" s="167" t="s">
        <v>147</v>
      </c>
      <c r="AS3" s="229" t="s">
        <v>148</v>
      </c>
      <c r="AT3" s="167" t="s">
        <v>135</v>
      </c>
      <c r="AU3" s="229" t="s">
        <v>136</v>
      </c>
      <c r="AV3" s="182" t="s">
        <v>15</v>
      </c>
      <c r="AW3" s="167" t="s">
        <v>149</v>
      </c>
      <c r="AX3" s="229" t="s">
        <v>150</v>
      </c>
      <c r="AY3" s="167" t="s">
        <v>135</v>
      </c>
      <c r="AZ3" s="229" t="s">
        <v>136</v>
      </c>
      <c r="BA3" s="182" t="s">
        <v>16</v>
      </c>
      <c r="BB3" s="167" t="s">
        <v>151</v>
      </c>
      <c r="BC3" s="229" t="s">
        <v>152</v>
      </c>
      <c r="BD3" s="167" t="s">
        <v>135</v>
      </c>
      <c r="BE3" s="229" t="s">
        <v>136</v>
      </c>
      <c r="BF3" s="182" t="s">
        <v>17</v>
      </c>
      <c r="BG3" s="167" t="s">
        <v>153</v>
      </c>
      <c r="BH3" s="229" t="s">
        <v>154</v>
      </c>
      <c r="BI3" s="167" t="s">
        <v>135</v>
      </c>
      <c r="BJ3" s="229" t="s">
        <v>136</v>
      </c>
      <c r="BK3" s="182" t="s">
        <v>18</v>
      </c>
      <c r="BL3" s="167" t="s">
        <v>155</v>
      </c>
      <c r="BM3" s="167" t="s">
        <v>156</v>
      </c>
      <c r="BN3" s="167" t="s">
        <v>135</v>
      </c>
      <c r="BO3" s="167" t="s">
        <v>136</v>
      </c>
    </row>
    <row r="4" spans="1:171" s="168" customFormat="1" ht="12.75">
      <c r="A4" s="116" t="s">
        <v>56</v>
      </c>
      <c r="B4" s="118" t="s">
        <v>57</v>
      </c>
      <c r="C4" s="118" t="s">
        <v>58</v>
      </c>
      <c r="D4" s="117"/>
      <c r="E4" s="178">
        <f>'Agent Budget &amp; Travel'!D8</f>
        <v>1500000</v>
      </c>
      <c r="F4" s="179">
        <f>'Agent Budget &amp; Travel'!E8</f>
        <v>2000000</v>
      </c>
      <c r="G4" s="180">
        <f>'Agent Budget &amp; Travel'!F8</f>
        <v>2020000</v>
      </c>
      <c r="H4" s="212"/>
      <c r="I4" s="213">
        <f>F4*'Office Budget'!$I$4</f>
        <v>104610.88734997041</v>
      </c>
      <c r="J4" s="230">
        <f>H4/I4</f>
        <v>0</v>
      </c>
      <c r="K4" s="214">
        <f>I4</f>
        <v>104610.88734997041</v>
      </c>
      <c r="L4" s="230">
        <f>H4/K4</f>
        <v>0</v>
      </c>
      <c r="M4" s="215"/>
      <c r="N4" s="214">
        <f>F4*'Office Budget'!$I$5</f>
        <v>122735.25942338398</v>
      </c>
      <c r="O4" s="232">
        <f>M4/N4</f>
        <v>0</v>
      </c>
      <c r="P4" s="216">
        <f>SUM(I4,N4)</f>
        <v>227346.14677335438</v>
      </c>
      <c r="Q4" s="232">
        <f>SUM(H4,M4)/P4</f>
        <v>0</v>
      </c>
      <c r="R4" s="217"/>
      <c r="S4" s="169">
        <f>F4*'Office Budget'!$I$6</f>
        <v>228399.88607617648</v>
      </c>
      <c r="T4" s="170">
        <f>R4/S4</f>
        <v>0</v>
      </c>
      <c r="U4" s="218">
        <f>SUM(I4,N4,S4)</f>
        <v>455746.03284953086</v>
      </c>
      <c r="V4" s="170">
        <f>SUM(H4,M4,R4)/U4</f>
        <v>0</v>
      </c>
      <c r="W4" s="219"/>
      <c r="X4" s="169">
        <f>F4*'Office Budget'!$I$7</f>
        <v>191889.73945531854</v>
      </c>
      <c r="Y4" s="170">
        <f>W4/X4</f>
        <v>0</v>
      </c>
      <c r="Z4" s="218">
        <f>SUM(I4,N4,S4,X4)</f>
        <v>647635.77230484947</v>
      </c>
      <c r="AA4" s="170">
        <f>SUM(H4,M4,R4,W4)/Z4</f>
        <v>0</v>
      </c>
      <c r="AB4" s="219"/>
      <c r="AC4" s="169">
        <f>F4*'Office Budget'!$I$8</f>
        <v>173135.05803835735</v>
      </c>
      <c r="AD4" s="170">
        <f>AB4/AC4</f>
        <v>0</v>
      </c>
      <c r="AE4" s="218">
        <f>SUM(I4,N4,S4,X4,AC4)</f>
        <v>820770.83034320688</v>
      </c>
      <c r="AF4" s="170">
        <f>SUM(H4,M4,R4,W4,AB4)/AE4</f>
        <v>0</v>
      </c>
      <c r="AG4" s="219"/>
      <c r="AH4" s="169">
        <f>F4*'Office Budget'!$I$9</f>
        <v>249119.22083281007</v>
      </c>
      <c r="AI4" s="170">
        <f>AG4/AH4</f>
        <v>0</v>
      </c>
      <c r="AJ4" s="169">
        <f>SUM(I4,N4,S4,X4,AC4,AH4)</f>
        <v>1069890.0511760169</v>
      </c>
      <c r="AK4" s="170">
        <f>SUM(H4,M4,R4,W4,AB4,AG4)/AJ4</f>
        <v>0</v>
      </c>
      <c r="AL4" s="219"/>
      <c r="AM4" s="169">
        <f>F4*'Office Budget'!$I$10</f>
        <v>37448.392283679292</v>
      </c>
      <c r="AN4" s="170">
        <f>AL4/AM4</f>
        <v>0</v>
      </c>
      <c r="AO4" s="169">
        <f>SUM(I4,N4,S4,X4,AC4,AH4,AM4)</f>
        <v>1107338.4434596961</v>
      </c>
      <c r="AP4" s="170">
        <f>SUM(H4,M4,R4,W4,AB4,AG4,AL4)/AO4</f>
        <v>0</v>
      </c>
      <c r="AQ4" s="219"/>
      <c r="AR4" s="169">
        <f>F4*'Office Budget'!$I$11</f>
        <v>127058.98248981862</v>
      </c>
      <c r="AS4" s="170">
        <f>AQ4/AR4</f>
        <v>0</v>
      </c>
      <c r="AT4" s="169">
        <f>SUM(I4,N4,S4,X4,AC4,AH4,AM4,AR4)</f>
        <v>1234397.4259495148</v>
      </c>
      <c r="AU4" s="170">
        <f>SUM(H4,M4,R4,W4,AB4,AG4,AL4,AQ4)/AT4</f>
        <v>0</v>
      </c>
      <c r="AV4" s="219"/>
      <c r="AW4" s="169">
        <f>F4*'Office Budget'!$I$12</f>
        <v>247195.9153375554</v>
      </c>
      <c r="AX4" s="170">
        <f>AV4/AW4</f>
        <v>0</v>
      </c>
      <c r="AY4" s="169">
        <f>SUM(I4,N4,S4,X4,AC4,AH4,AM4,AR4,AW4)</f>
        <v>1481593.3412870702</v>
      </c>
      <c r="AZ4" s="170">
        <f>SUM(H4,M4,R4,W4,AB4,AG4,AL4,AQ4,AV4)/AY4</f>
        <v>0</v>
      </c>
      <c r="BA4" s="219"/>
      <c r="BB4" s="169">
        <f>F4*'Office Budget'!$I$13</f>
        <v>160317.92707978256</v>
      </c>
      <c r="BC4" s="170">
        <f>BA4/BB4</f>
        <v>0</v>
      </c>
      <c r="BD4" s="169">
        <f>SUM(I4,N4,S4,X4,AC4,AH4,AM4,AR4,AW4,BB4)</f>
        <v>1641911.2683668528</v>
      </c>
      <c r="BE4" s="170">
        <f>SUM(H4,M4,R4,W4,AB4,AG4,AL4,AQ4,AV4,BA4)/BD4</f>
        <v>0</v>
      </c>
      <c r="BF4" s="219"/>
      <c r="BG4" s="169">
        <f>F4*'Office Budget'!$I$14</f>
        <v>148890.64434238145</v>
      </c>
      <c r="BH4" s="170">
        <f t="shared" ref="BH4:BH8" si="0">BF4/BG4</f>
        <v>0</v>
      </c>
      <c r="BI4" s="169">
        <f>SUM(I4,N4,S4,X4,AC4,AH4,AM4,AR4,AW4,BB4,BG4)</f>
        <v>1790801.9127092343</v>
      </c>
      <c r="BJ4" s="170">
        <f>SUM(H4,M4,R4,W4,AB4,AG4,AL4,AQ4,AV4,BA4,BF4)/BI4</f>
        <v>0</v>
      </c>
      <c r="BK4" s="219"/>
      <c r="BL4" s="176">
        <f>F4*'Office Budget'!$I$15</f>
        <v>209198.08729076589</v>
      </c>
      <c r="BM4" s="170">
        <f>BK4/BL4</f>
        <v>0</v>
      </c>
      <c r="BN4" s="177">
        <f>SUM(I4,N4,S4,X4,AC4,AH4,AM4,AR4,AW4,BB4,BG4,BL4)</f>
        <v>2000000.0000000002</v>
      </c>
      <c r="BO4" s="172">
        <f>SUM(H4,M4,R4,W4,AB4,AG4,AL4,AQ4,AV4,BA4,BF4,BK4)/BN4</f>
        <v>0</v>
      </c>
    </row>
    <row r="5" spans="1:171" s="168" customFormat="1" ht="12.75">
      <c r="A5" s="116" t="s">
        <v>59</v>
      </c>
      <c r="B5" s="118" t="s">
        <v>3</v>
      </c>
      <c r="C5" s="118" t="s">
        <v>5</v>
      </c>
      <c r="D5" s="117"/>
      <c r="E5" s="348">
        <f>'Agent Budget &amp; Travel'!D9</f>
        <v>375000</v>
      </c>
      <c r="F5" s="179">
        <f>'Agent Budget &amp; Travel'!E9</f>
        <v>550000</v>
      </c>
      <c r="G5" s="180">
        <f>'Agent Budget &amp; Travel'!F9</f>
        <v>600000</v>
      </c>
      <c r="H5" s="212"/>
      <c r="I5" s="213">
        <f>F5*'Office Budget'!$I$4</f>
        <v>28767.994021241859</v>
      </c>
      <c r="J5" s="230">
        <f>H5/I5</f>
        <v>0</v>
      </c>
      <c r="K5" s="214">
        <f t="shared" ref="K5:K11" si="1">I5</f>
        <v>28767.994021241859</v>
      </c>
      <c r="L5" s="230">
        <f t="shared" ref="L5:L11" si="2">H5/K5</f>
        <v>0</v>
      </c>
      <c r="M5" s="220"/>
      <c r="N5" s="214">
        <f>F5*'Office Budget'!$I$5</f>
        <v>33752.196341430594</v>
      </c>
      <c r="O5" s="232">
        <f t="shared" ref="O5:O8" si="3">M5/N5</f>
        <v>0</v>
      </c>
      <c r="P5" s="216">
        <f t="shared" ref="P5:P11" si="4">SUM(I5,N5)</f>
        <v>62520.190362672452</v>
      </c>
      <c r="Q5" s="232">
        <f t="shared" ref="Q5:Q11" si="5">SUM(H5,M5)/P5</f>
        <v>0</v>
      </c>
      <c r="R5" s="209"/>
      <c r="S5" s="169">
        <f>F5*'Office Budget'!$I$6</f>
        <v>62809.968670948532</v>
      </c>
      <c r="T5" s="170">
        <f>R5/S5</f>
        <v>0</v>
      </c>
      <c r="U5" s="218">
        <f t="shared" ref="U5:U11" si="6">SUM(I5,N5,S5)</f>
        <v>125330.15903362099</v>
      </c>
      <c r="V5" s="170">
        <f>SUM(H5,M5,R5)/U5</f>
        <v>0</v>
      </c>
      <c r="W5" s="173"/>
      <c r="X5" s="169">
        <f>F5*'Office Budget'!$I$7</f>
        <v>52769.678350212598</v>
      </c>
      <c r="Y5" s="170">
        <f t="shared" ref="Y5:Y8" si="7">W5/X5</f>
        <v>0</v>
      </c>
      <c r="Z5" s="218">
        <f t="shared" ref="Z5:Z11" si="8">SUM(I5,N5,S5,X5)</f>
        <v>178099.8373838336</v>
      </c>
      <c r="AA5" s="170">
        <f t="shared" ref="AA5:AA10" si="9">SUM(H5,M5,R5,W5)/Z5</f>
        <v>0</v>
      </c>
      <c r="AB5" s="173"/>
      <c r="AC5" s="169">
        <f>F5*'Office Budget'!$I$8</f>
        <v>47612.14096054827</v>
      </c>
      <c r="AD5" s="170">
        <f t="shared" ref="AD5:AD8" si="10">AB5/AC5</f>
        <v>0</v>
      </c>
      <c r="AE5" s="218">
        <f t="shared" ref="AE5:AE11" si="11">SUM(I5,N5,S5,X5,AC5)</f>
        <v>225711.97834438187</v>
      </c>
      <c r="AF5" s="170">
        <f t="shared" ref="AF5:AF11" si="12">SUM(H5,M5,R5,W5,AB5)/AE5</f>
        <v>0</v>
      </c>
      <c r="AG5" s="173"/>
      <c r="AH5" s="169">
        <f>F5*'Office Budget'!$I$9</f>
        <v>68507.785729022769</v>
      </c>
      <c r="AI5" s="170">
        <f t="shared" ref="AI5:AI8" si="13">AG5/AH5</f>
        <v>0</v>
      </c>
      <c r="AJ5" s="169">
        <f t="shared" ref="AJ5:AJ11" si="14">SUM(I5,N5,S5,X5,AC5,AH5)</f>
        <v>294219.76407340466</v>
      </c>
      <c r="AK5" s="170">
        <f t="shared" ref="AK5:AK11" si="15">SUM(H5,M5,R5,W5,AB5,AG5)/AJ5</f>
        <v>0</v>
      </c>
      <c r="AL5" s="173"/>
      <c r="AM5" s="169">
        <f>F5*'Office Budget'!$I$10</f>
        <v>10298.307878011805</v>
      </c>
      <c r="AN5" s="170">
        <f t="shared" ref="AN5:AN8" si="16">AL5/AM5</f>
        <v>0</v>
      </c>
      <c r="AO5" s="169">
        <f t="shared" ref="AO5:AO11" si="17">SUM(I5,N5,S5,X5,AC5,AH5,AM5)</f>
        <v>304518.07195141644</v>
      </c>
      <c r="AP5" s="170">
        <f t="shared" ref="AP5:AP11" si="18">SUM(H5,M5,R5,W5,AB5,AG5,AL5)/AO5</f>
        <v>0</v>
      </c>
      <c r="AQ5" s="173"/>
      <c r="AR5" s="169">
        <f>F5*'Office Budget'!$I$11</f>
        <v>34941.22018470012</v>
      </c>
      <c r="AS5" s="170">
        <f t="shared" ref="AS5:AS8" si="19">AQ5/AR5</f>
        <v>0</v>
      </c>
      <c r="AT5" s="169">
        <f t="shared" ref="AT5:AT11" si="20">SUM(I5,N5,S5,X5,AC5,AH5,AM5,AR5)</f>
        <v>339459.29213611654</v>
      </c>
      <c r="AU5" s="170">
        <f t="shared" ref="AU5:AU11" si="21">SUM(H5,M5,R5,W5,AB5,AG5,AL5,AQ5)/AT5</f>
        <v>0</v>
      </c>
      <c r="AV5" s="173"/>
      <c r="AW5" s="169">
        <f>F5*'Office Budget'!$I$12</f>
        <v>67978.876717827734</v>
      </c>
      <c r="AX5" s="170">
        <f t="shared" ref="AX5:AX8" si="22">AV5/AW5</f>
        <v>0</v>
      </c>
      <c r="AY5" s="169">
        <f t="shared" ref="AY5:AY11" si="23">SUM(I5,N5,S5,X5,AC5,AH5,AM5,AR5,AW5)</f>
        <v>407438.16885394428</v>
      </c>
      <c r="AZ5" s="170">
        <f t="shared" ref="AZ5:AZ10" si="24">SUM(H5,M5,R5,W5,AB5,AG5,AL5,AQ5,AV5)/AY5</f>
        <v>0</v>
      </c>
      <c r="BA5" s="173"/>
      <c r="BB5" s="169">
        <f>F5*'Office Budget'!$I$13</f>
        <v>44087.429946940203</v>
      </c>
      <c r="BC5" s="170">
        <f t="shared" ref="BC5:BC8" si="25">BA5/BB5</f>
        <v>0</v>
      </c>
      <c r="BD5" s="169">
        <f t="shared" ref="BD5:BD11" si="26">SUM(I5,N5,S5,X5,AC5,AH5,AM5,AR5,AW5,BB5)</f>
        <v>451525.5988008845</v>
      </c>
      <c r="BE5" s="170">
        <f t="shared" ref="BE5:BE11" si="27">SUM(H5,M5,R5,W5,AB5,AG5,AL5,AQ5,AV5,BA5)/BD5</f>
        <v>0</v>
      </c>
      <c r="BF5" s="173"/>
      <c r="BG5" s="169">
        <f>F5*'Office Budget'!$I$14</f>
        <v>40944.927194154894</v>
      </c>
      <c r="BH5" s="170">
        <f t="shared" si="0"/>
        <v>0</v>
      </c>
      <c r="BI5" s="169">
        <f t="shared" ref="BI5:BI11" si="28">SUM(I5,N5,S5,X5,AC5,AH5,AM5,AR5,AW5,BB5,BG5)</f>
        <v>492470.52599503938</v>
      </c>
      <c r="BJ5" s="170">
        <f t="shared" ref="BJ5:BJ11" si="29">SUM(H5,M5,R5,W5,AB5,AG5,AL5,AQ5,AV5,BA5,BF5)/BI5</f>
        <v>0</v>
      </c>
      <c r="BK5" s="173"/>
      <c r="BL5" s="176">
        <f>F5*'Office Budget'!$I$15</f>
        <v>57529.474004960619</v>
      </c>
      <c r="BM5" s="170">
        <f t="shared" ref="BM5:BM8" si="30">BK5/BL5</f>
        <v>0</v>
      </c>
      <c r="BN5" s="177">
        <f t="shared" ref="BN5:BN11" si="31">SUM(I5,N5,S5,X5,AC5,AH5,AM5,AR5,AW5,BB5,BG5,BL5)</f>
        <v>550000</v>
      </c>
      <c r="BO5" s="172">
        <f t="shared" ref="BO5:BO11" si="32">SUM(H5,M5,R5,W5,AB5,AG5,AL5,AQ5,AV5,BA5,BF5,BK5)/BN5</f>
        <v>0</v>
      </c>
    </row>
    <row r="6" spans="1:171" s="168" customFormat="1" ht="12.75">
      <c r="A6" s="116" t="s">
        <v>60</v>
      </c>
      <c r="B6" s="118" t="s">
        <v>61</v>
      </c>
      <c r="C6" s="118" t="s">
        <v>62</v>
      </c>
      <c r="D6" s="117"/>
      <c r="E6" s="348">
        <f>'Agent Budget &amp; Travel'!D10</f>
        <v>300000</v>
      </c>
      <c r="F6" s="179">
        <f>'Agent Budget &amp; Travel'!E10</f>
        <v>300000</v>
      </c>
      <c r="G6" s="180">
        <f>'Agent Budget &amp; Travel'!F10</f>
        <v>400000</v>
      </c>
      <c r="H6" s="212"/>
      <c r="I6" s="213">
        <f>F6*'Office Budget'!$I$4</f>
        <v>15691.63310249556</v>
      </c>
      <c r="J6" s="230">
        <f t="shared" ref="J6:J11" si="33">H6/I6</f>
        <v>0</v>
      </c>
      <c r="K6" s="214">
        <f t="shared" si="1"/>
        <v>15691.63310249556</v>
      </c>
      <c r="L6" s="230">
        <f t="shared" si="2"/>
        <v>0</v>
      </c>
      <c r="M6" s="220"/>
      <c r="N6" s="214">
        <f>F6*'Office Budget'!$I$5</f>
        <v>18410.288913507597</v>
      </c>
      <c r="O6" s="232">
        <f t="shared" si="3"/>
        <v>0</v>
      </c>
      <c r="P6" s="216">
        <f t="shared" si="4"/>
        <v>34101.922016003155</v>
      </c>
      <c r="Q6" s="232">
        <f t="shared" si="5"/>
        <v>0</v>
      </c>
      <c r="R6" s="209"/>
      <c r="S6" s="169">
        <f>F6*'Office Budget'!$I$6</f>
        <v>34259.982911426472</v>
      </c>
      <c r="T6" s="170">
        <f t="shared" ref="T6:T8" si="34">R6/S6</f>
        <v>0</v>
      </c>
      <c r="U6" s="218">
        <f t="shared" si="6"/>
        <v>68361.904927429627</v>
      </c>
      <c r="V6" s="170">
        <f>SUM(H6,M6,R6)/U6</f>
        <v>0</v>
      </c>
      <c r="W6" s="173"/>
      <c r="X6" s="169">
        <f>F6*'Office Budget'!$I$7</f>
        <v>28783.46091829778</v>
      </c>
      <c r="Y6" s="170">
        <f t="shared" si="7"/>
        <v>0</v>
      </c>
      <c r="Z6" s="218">
        <f t="shared" si="8"/>
        <v>97145.365845727414</v>
      </c>
      <c r="AA6" s="170">
        <f t="shared" si="9"/>
        <v>0</v>
      </c>
      <c r="AB6" s="173"/>
      <c r="AC6" s="169">
        <f>F6*'Office Budget'!$I$8</f>
        <v>25970.258705753604</v>
      </c>
      <c r="AD6" s="170">
        <f t="shared" si="10"/>
        <v>0</v>
      </c>
      <c r="AE6" s="218">
        <f t="shared" si="11"/>
        <v>123115.62455148101</v>
      </c>
      <c r="AF6" s="170">
        <f t="shared" si="12"/>
        <v>0</v>
      </c>
      <c r="AG6" s="173"/>
      <c r="AH6" s="169">
        <f>F6*'Office Budget'!$I$9</f>
        <v>37367.883124921515</v>
      </c>
      <c r="AI6" s="170">
        <f t="shared" si="13"/>
        <v>0</v>
      </c>
      <c r="AJ6" s="169">
        <f t="shared" si="14"/>
        <v>160483.50767640251</v>
      </c>
      <c r="AK6" s="170">
        <f t="shared" si="15"/>
        <v>0</v>
      </c>
      <c r="AL6" s="173"/>
      <c r="AM6" s="169">
        <f>F6*'Office Budget'!$I$10</f>
        <v>5617.2588425518943</v>
      </c>
      <c r="AN6" s="170">
        <f t="shared" si="16"/>
        <v>0</v>
      </c>
      <c r="AO6" s="169">
        <f t="shared" si="17"/>
        <v>166100.76651895442</v>
      </c>
      <c r="AP6" s="170">
        <f t="shared" si="18"/>
        <v>0</v>
      </c>
      <c r="AQ6" s="173"/>
      <c r="AR6" s="169">
        <f>F6*'Office Budget'!$I$11</f>
        <v>19058.847373472792</v>
      </c>
      <c r="AS6" s="170">
        <f t="shared" si="19"/>
        <v>0</v>
      </c>
      <c r="AT6" s="169">
        <f t="shared" si="20"/>
        <v>185159.61389242721</v>
      </c>
      <c r="AU6" s="170">
        <f t="shared" si="21"/>
        <v>0</v>
      </c>
      <c r="AV6" s="173"/>
      <c r="AW6" s="169">
        <f>F6*'Office Budget'!$I$12</f>
        <v>37079.387300633309</v>
      </c>
      <c r="AX6" s="170">
        <f t="shared" si="22"/>
        <v>0</v>
      </c>
      <c r="AY6" s="169">
        <f t="shared" si="23"/>
        <v>222239.00119306051</v>
      </c>
      <c r="AZ6" s="170">
        <f t="shared" si="24"/>
        <v>0</v>
      </c>
      <c r="BA6" s="173"/>
      <c r="BB6" s="169">
        <f>F6*'Office Budget'!$I$13</f>
        <v>24047.689061967387</v>
      </c>
      <c r="BC6" s="170">
        <f t="shared" si="25"/>
        <v>0</v>
      </c>
      <c r="BD6" s="169">
        <f t="shared" si="26"/>
        <v>246286.6902550279</v>
      </c>
      <c r="BE6" s="170">
        <f t="shared" si="27"/>
        <v>0</v>
      </c>
      <c r="BF6" s="173"/>
      <c r="BG6" s="169">
        <f>F6*'Office Budget'!$I$14</f>
        <v>22333.596651357217</v>
      </c>
      <c r="BH6" s="170">
        <f t="shared" si="0"/>
        <v>0</v>
      </c>
      <c r="BI6" s="169">
        <f t="shared" si="28"/>
        <v>268620.2869063851</v>
      </c>
      <c r="BJ6" s="170">
        <f t="shared" si="29"/>
        <v>0</v>
      </c>
      <c r="BK6" s="173"/>
      <c r="BL6" s="176">
        <f>F6*'Office Budget'!$I$15</f>
        <v>31379.713093614882</v>
      </c>
      <c r="BM6" s="170">
        <f t="shared" si="30"/>
        <v>0</v>
      </c>
      <c r="BN6" s="177">
        <f t="shared" si="31"/>
        <v>300000</v>
      </c>
      <c r="BO6" s="172">
        <f t="shared" si="32"/>
        <v>0</v>
      </c>
    </row>
    <row r="7" spans="1:171" s="168" customFormat="1" ht="12.75">
      <c r="A7" s="116" t="s">
        <v>63</v>
      </c>
      <c r="B7" s="118" t="s">
        <v>64</v>
      </c>
      <c r="C7" s="118" t="s">
        <v>65</v>
      </c>
      <c r="D7" s="117"/>
      <c r="E7" s="348">
        <f>'Agent Budget &amp; Travel'!D11</f>
        <v>300000</v>
      </c>
      <c r="F7" s="179">
        <f>'Agent Budget &amp; Travel'!E11</f>
        <v>650000</v>
      </c>
      <c r="G7" s="180">
        <f>'Agent Budget &amp; Travel'!F11</f>
        <v>730000</v>
      </c>
      <c r="H7" s="212"/>
      <c r="I7" s="213">
        <f>F7*'Office Budget'!$I$4</f>
        <v>33998.53838874038</v>
      </c>
      <c r="J7" s="230">
        <f t="shared" si="33"/>
        <v>0</v>
      </c>
      <c r="K7" s="214">
        <f t="shared" si="1"/>
        <v>33998.53838874038</v>
      </c>
      <c r="L7" s="230">
        <f t="shared" si="2"/>
        <v>0</v>
      </c>
      <c r="M7" s="220"/>
      <c r="N7" s="214">
        <f>F7*'Office Budget'!$I$5</f>
        <v>39888.959312599793</v>
      </c>
      <c r="O7" s="232">
        <f t="shared" si="3"/>
        <v>0</v>
      </c>
      <c r="P7" s="216">
        <f t="shared" si="4"/>
        <v>73887.49770134018</v>
      </c>
      <c r="Q7" s="232">
        <f t="shared" si="5"/>
        <v>0</v>
      </c>
      <c r="R7" s="209"/>
      <c r="S7" s="169">
        <f>F7*'Office Budget'!$I$6</f>
        <v>74229.962974757349</v>
      </c>
      <c r="T7" s="170">
        <f t="shared" si="34"/>
        <v>0</v>
      </c>
      <c r="U7" s="218">
        <f t="shared" si="6"/>
        <v>148117.46067609754</v>
      </c>
      <c r="V7" s="170">
        <f t="shared" ref="V7:V9" si="35">SUM(H7,M7,R7)/U7</f>
        <v>0</v>
      </c>
      <c r="W7" s="173"/>
      <c r="X7" s="169">
        <f>F7*'Office Budget'!$I$7</f>
        <v>62364.165322978522</v>
      </c>
      <c r="Y7" s="170">
        <f t="shared" si="7"/>
        <v>0</v>
      </c>
      <c r="Z7" s="218">
        <f t="shared" si="8"/>
        <v>210481.62599907606</v>
      </c>
      <c r="AA7" s="170">
        <f t="shared" si="9"/>
        <v>0</v>
      </c>
      <c r="AB7" s="173"/>
      <c r="AC7" s="169">
        <f>F7*'Office Budget'!$I$8</f>
        <v>56268.893862466139</v>
      </c>
      <c r="AD7" s="170">
        <f t="shared" si="10"/>
        <v>0</v>
      </c>
      <c r="AE7" s="218">
        <f t="shared" si="11"/>
        <v>266750.51986154221</v>
      </c>
      <c r="AF7" s="170">
        <f t="shared" si="12"/>
        <v>0</v>
      </c>
      <c r="AG7" s="173"/>
      <c r="AH7" s="169">
        <f>F7*'Office Budget'!$I$9</f>
        <v>80963.746770663274</v>
      </c>
      <c r="AI7" s="170">
        <f t="shared" si="13"/>
        <v>0</v>
      </c>
      <c r="AJ7" s="169">
        <f t="shared" si="14"/>
        <v>347714.26663220546</v>
      </c>
      <c r="AK7" s="170">
        <f t="shared" si="15"/>
        <v>0</v>
      </c>
      <c r="AL7" s="173"/>
      <c r="AM7" s="169">
        <f>F7*'Office Budget'!$I$10</f>
        <v>12170.727492195771</v>
      </c>
      <c r="AN7" s="170">
        <f t="shared" si="16"/>
        <v>0</v>
      </c>
      <c r="AO7" s="169">
        <f t="shared" si="17"/>
        <v>359884.99412440124</v>
      </c>
      <c r="AP7" s="170">
        <f t="shared" si="18"/>
        <v>0</v>
      </c>
      <c r="AQ7" s="173"/>
      <c r="AR7" s="169">
        <f>F7*'Office Budget'!$I$11</f>
        <v>41294.169309191049</v>
      </c>
      <c r="AS7" s="170">
        <f t="shared" si="19"/>
        <v>0</v>
      </c>
      <c r="AT7" s="169">
        <f t="shared" si="20"/>
        <v>401179.1634335923</v>
      </c>
      <c r="AU7" s="170">
        <f t="shared" si="21"/>
        <v>0</v>
      </c>
      <c r="AV7" s="173"/>
      <c r="AW7" s="169">
        <f>F7*'Office Budget'!$I$12</f>
        <v>80338.672484705501</v>
      </c>
      <c r="AX7" s="170">
        <f t="shared" si="22"/>
        <v>0</v>
      </c>
      <c r="AY7" s="169">
        <f t="shared" si="23"/>
        <v>481517.83591829782</v>
      </c>
      <c r="AZ7" s="170">
        <f t="shared" si="24"/>
        <v>0</v>
      </c>
      <c r="BA7" s="173"/>
      <c r="BB7" s="169">
        <f>F7*'Office Budget'!$I$13</f>
        <v>52103.326300929337</v>
      </c>
      <c r="BC7" s="170">
        <f t="shared" si="25"/>
        <v>0</v>
      </c>
      <c r="BD7" s="169">
        <f t="shared" si="26"/>
        <v>533621.16221922718</v>
      </c>
      <c r="BE7" s="170">
        <f t="shared" si="27"/>
        <v>0</v>
      </c>
      <c r="BF7" s="173"/>
      <c r="BG7" s="169">
        <f>F7*'Office Budget'!$I$14</f>
        <v>48389.459411273972</v>
      </c>
      <c r="BH7" s="170">
        <f t="shared" si="0"/>
        <v>0</v>
      </c>
      <c r="BI7" s="169">
        <f t="shared" si="28"/>
        <v>582010.62163050112</v>
      </c>
      <c r="BJ7" s="170">
        <f t="shared" si="29"/>
        <v>0</v>
      </c>
      <c r="BK7" s="173"/>
      <c r="BL7" s="176">
        <f>F7*'Office Budget'!$I$15</f>
        <v>67989.378369498911</v>
      </c>
      <c r="BM7" s="170">
        <f t="shared" si="30"/>
        <v>0</v>
      </c>
      <c r="BN7" s="177">
        <f t="shared" si="31"/>
        <v>650000</v>
      </c>
      <c r="BO7" s="172">
        <f t="shared" si="32"/>
        <v>0</v>
      </c>
    </row>
    <row r="8" spans="1:171" s="168" customFormat="1" ht="12.75">
      <c r="A8" s="116" t="s">
        <v>66</v>
      </c>
      <c r="B8" s="118" t="s">
        <v>67</v>
      </c>
      <c r="C8" s="118" t="s">
        <v>68</v>
      </c>
      <c r="D8" s="117"/>
      <c r="E8" s="348">
        <f>'Agent Budget &amp; Travel'!D12</f>
        <v>600000</v>
      </c>
      <c r="F8" s="179">
        <f>'Agent Budget &amp; Travel'!E12</f>
        <v>700000</v>
      </c>
      <c r="G8" s="180">
        <f>'Agent Budget &amp; Travel'!F12</f>
        <v>770000</v>
      </c>
      <c r="H8" s="212"/>
      <c r="I8" s="213">
        <f>F8*'Office Budget'!$I$4</f>
        <v>36613.810572489638</v>
      </c>
      <c r="J8" s="230">
        <f t="shared" si="33"/>
        <v>0</v>
      </c>
      <c r="K8" s="214">
        <f t="shared" si="1"/>
        <v>36613.810572489638</v>
      </c>
      <c r="L8" s="230">
        <f t="shared" si="2"/>
        <v>0</v>
      </c>
      <c r="M8" s="221"/>
      <c r="N8" s="214">
        <f>F8*'Office Budget'!$I$5</f>
        <v>42957.340798184392</v>
      </c>
      <c r="O8" s="232">
        <f t="shared" si="3"/>
        <v>0</v>
      </c>
      <c r="P8" s="216">
        <f t="shared" si="4"/>
        <v>79571.151370674022</v>
      </c>
      <c r="Q8" s="232">
        <f t="shared" si="5"/>
        <v>0</v>
      </c>
      <c r="R8" s="209"/>
      <c r="S8" s="169">
        <f>F8*'Office Budget'!$I$6</f>
        <v>79939.960126661768</v>
      </c>
      <c r="T8" s="170">
        <f t="shared" si="34"/>
        <v>0</v>
      </c>
      <c r="U8" s="218">
        <f t="shared" si="6"/>
        <v>159511.11149733578</v>
      </c>
      <c r="V8" s="170">
        <f t="shared" si="35"/>
        <v>0</v>
      </c>
      <c r="W8" s="173"/>
      <c r="X8" s="169">
        <f>F8*'Office Budget'!$I$7</f>
        <v>67161.408809361485</v>
      </c>
      <c r="Y8" s="170">
        <f t="shared" si="7"/>
        <v>0</v>
      </c>
      <c r="Z8" s="218">
        <f t="shared" si="8"/>
        <v>226672.52030669726</v>
      </c>
      <c r="AA8" s="170">
        <f t="shared" si="9"/>
        <v>0</v>
      </c>
      <c r="AB8" s="173"/>
      <c r="AC8" s="169">
        <f>F8*'Office Budget'!$I$8</f>
        <v>60597.270313425077</v>
      </c>
      <c r="AD8" s="170">
        <f t="shared" si="10"/>
        <v>0</v>
      </c>
      <c r="AE8" s="218">
        <f t="shared" si="11"/>
        <v>287269.79062012234</v>
      </c>
      <c r="AF8" s="170">
        <f t="shared" si="12"/>
        <v>0</v>
      </c>
      <c r="AG8" s="173"/>
      <c r="AH8" s="169">
        <f>F8*'Office Budget'!$I$9</f>
        <v>87191.727291483519</v>
      </c>
      <c r="AI8" s="170">
        <f t="shared" si="13"/>
        <v>0</v>
      </c>
      <c r="AJ8" s="169">
        <f t="shared" si="14"/>
        <v>374461.51791160589</v>
      </c>
      <c r="AK8" s="170">
        <f t="shared" si="15"/>
        <v>0</v>
      </c>
      <c r="AL8" s="173"/>
      <c r="AM8" s="169">
        <f>F8*'Office Budget'!$I$10</f>
        <v>13106.937299287752</v>
      </c>
      <c r="AN8" s="170">
        <f t="shared" si="16"/>
        <v>0</v>
      </c>
      <c r="AO8" s="169">
        <f t="shared" si="17"/>
        <v>387568.45521089365</v>
      </c>
      <c r="AP8" s="170">
        <f t="shared" si="18"/>
        <v>0</v>
      </c>
      <c r="AQ8" s="173"/>
      <c r="AR8" s="169">
        <f>F8*'Office Budget'!$I$11</f>
        <v>44470.643871436514</v>
      </c>
      <c r="AS8" s="170">
        <f t="shared" si="19"/>
        <v>0</v>
      </c>
      <c r="AT8" s="169">
        <f t="shared" si="20"/>
        <v>432039.09908233018</v>
      </c>
      <c r="AU8" s="170">
        <f t="shared" si="21"/>
        <v>0</v>
      </c>
      <c r="AV8" s="173"/>
      <c r="AW8" s="169">
        <f>F8*'Office Budget'!$I$12</f>
        <v>86518.570368144385</v>
      </c>
      <c r="AX8" s="170">
        <f t="shared" si="22"/>
        <v>0</v>
      </c>
      <c r="AY8" s="169">
        <f t="shared" si="23"/>
        <v>518557.66945047455</v>
      </c>
      <c r="AZ8" s="170">
        <f t="shared" si="24"/>
        <v>0</v>
      </c>
      <c r="BA8" s="173"/>
      <c r="BB8" s="169">
        <f>F8*'Office Budget'!$I$13</f>
        <v>56111.2744779239</v>
      </c>
      <c r="BC8" s="170">
        <f t="shared" si="25"/>
        <v>0</v>
      </c>
      <c r="BD8" s="169">
        <f t="shared" si="26"/>
        <v>574668.94392839842</v>
      </c>
      <c r="BE8" s="170">
        <f t="shared" si="27"/>
        <v>0</v>
      </c>
      <c r="BF8" s="173"/>
      <c r="BG8" s="169">
        <f>F8*'Office Budget'!$I$14</f>
        <v>52111.725519833504</v>
      </c>
      <c r="BH8" s="170">
        <f t="shared" si="0"/>
        <v>0</v>
      </c>
      <c r="BI8" s="169">
        <f t="shared" si="28"/>
        <v>626780.66944823193</v>
      </c>
      <c r="BJ8" s="170">
        <f t="shared" si="29"/>
        <v>0</v>
      </c>
      <c r="BK8" s="173"/>
      <c r="BL8" s="176">
        <f>F8*'Office Budget'!$I$15</f>
        <v>73219.330551768056</v>
      </c>
      <c r="BM8" s="170">
        <f t="shared" si="30"/>
        <v>0</v>
      </c>
      <c r="BN8" s="177">
        <f t="shared" si="31"/>
        <v>700000</v>
      </c>
      <c r="BO8" s="172">
        <f t="shared" si="32"/>
        <v>0</v>
      </c>
    </row>
    <row r="9" spans="1:171" s="168" customFormat="1" ht="12.75">
      <c r="A9" s="116" t="s">
        <v>69</v>
      </c>
      <c r="B9" s="118" t="s">
        <v>70</v>
      </c>
      <c r="C9" s="118" t="s">
        <v>71</v>
      </c>
      <c r="D9" s="117"/>
      <c r="E9" s="348">
        <f>'Agent Budget &amp; Travel'!D13</f>
        <v>200000</v>
      </c>
      <c r="F9" s="179">
        <f>'Agent Budget &amp; Travel'!E13</f>
        <v>300000</v>
      </c>
      <c r="G9" s="180">
        <f>'Agent Budget &amp; Travel'!F13</f>
        <v>350000</v>
      </c>
      <c r="H9" s="212"/>
      <c r="I9" s="213">
        <f>F9*'Office Budget'!$I$4</f>
        <v>15691.63310249556</v>
      </c>
      <c r="J9" s="230">
        <f t="shared" si="33"/>
        <v>0</v>
      </c>
      <c r="K9" s="214">
        <f t="shared" si="1"/>
        <v>15691.63310249556</v>
      </c>
      <c r="L9" s="230">
        <f t="shared" si="2"/>
        <v>0</v>
      </c>
      <c r="M9" s="221"/>
      <c r="N9" s="214">
        <f>F9*'Office Budget'!$I$5</f>
        <v>18410.288913507597</v>
      </c>
      <c r="O9" s="232">
        <f t="shared" ref="O9:O11" si="36">M9/N9</f>
        <v>0</v>
      </c>
      <c r="P9" s="216">
        <f t="shared" si="4"/>
        <v>34101.922016003155</v>
      </c>
      <c r="Q9" s="232">
        <f t="shared" si="5"/>
        <v>0</v>
      </c>
      <c r="R9" s="209"/>
      <c r="S9" s="169">
        <f>F9*'Office Budget'!$I$6</f>
        <v>34259.982911426472</v>
      </c>
      <c r="T9" s="170">
        <f t="shared" ref="T9:T11" si="37">R9/S9</f>
        <v>0</v>
      </c>
      <c r="U9" s="218">
        <f t="shared" si="6"/>
        <v>68361.904927429627</v>
      </c>
      <c r="V9" s="170">
        <f t="shared" si="35"/>
        <v>0</v>
      </c>
      <c r="W9" s="173"/>
      <c r="X9" s="169">
        <f>F9*'Office Budget'!$I$7</f>
        <v>28783.46091829778</v>
      </c>
      <c r="Y9" s="170">
        <f t="shared" ref="Y9:Y11" si="38">W9/X9</f>
        <v>0</v>
      </c>
      <c r="Z9" s="218">
        <f t="shared" si="8"/>
        <v>97145.365845727414</v>
      </c>
      <c r="AA9" s="170">
        <f t="shared" si="9"/>
        <v>0</v>
      </c>
      <c r="AB9" s="173"/>
      <c r="AC9" s="169">
        <f>F9*'Office Budget'!$I$8</f>
        <v>25970.258705753604</v>
      </c>
      <c r="AD9" s="170">
        <f t="shared" ref="AD9:AD11" si="39">AB9/AC9</f>
        <v>0</v>
      </c>
      <c r="AE9" s="218">
        <f t="shared" si="11"/>
        <v>123115.62455148101</v>
      </c>
      <c r="AF9" s="170">
        <f t="shared" si="12"/>
        <v>0</v>
      </c>
      <c r="AG9" s="173"/>
      <c r="AH9" s="169">
        <f>F9*'Office Budget'!$I$9</f>
        <v>37367.883124921515</v>
      </c>
      <c r="AI9" s="170">
        <f t="shared" ref="AI9:AI11" si="40">AG9/AH9</f>
        <v>0</v>
      </c>
      <c r="AJ9" s="169">
        <f t="shared" si="14"/>
        <v>160483.50767640251</v>
      </c>
      <c r="AK9" s="170">
        <f t="shared" si="15"/>
        <v>0</v>
      </c>
      <c r="AL9" s="173"/>
      <c r="AM9" s="169">
        <f>F9*'Office Budget'!$I$10</f>
        <v>5617.2588425518943</v>
      </c>
      <c r="AN9" s="170">
        <f t="shared" ref="AN9:AN11" si="41">AL9/AM9</f>
        <v>0</v>
      </c>
      <c r="AO9" s="169">
        <f t="shared" si="17"/>
        <v>166100.76651895442</v>
      </c>
      <c r="AP9" s="170">
        <f t="shared" si="18"/>
        <v>0</v>
      </c>
      <c r="AQ9" s="173"/>
      <c r="AR9" s="169">
        <f>F9*'Office Budget'!$I$11</f>
        <v>19058.847373472792</v>
      </c>
      <c r="AS9" s="170">
        <f t="shared" ref="AS9:AS11" si="42">AQ9/AR9</f>
        <v>0</v>
      </c>
      <c r="AT9" s="169">
        <f t="shared" si="20"/>
        <v>185159.61389242721</v>
      </c>
      <c r="AU9" s="170">
        <f t="shared" si="21"/>
        <v>0</v>
      </c>
      <c r="AV9" s="173"/>
      <c r="AW9" s="169">
        <f>F9*'Office Budget'!$I$12</f>
        <v>37079.387300633309</v>
      </c>
      <c r="AX9" s="170">
        <f t="shared" ref="AX9:AX11" si="43">AV9/AW9</f>
        <v>0</v>
      </c>
      <c r="AY9" s="169">
        <f t="shared" si="23"/>
        <v>222239.00119306051</v>
      </c>
      <c r="AZ9" s="170">
        <f t="shared" si="24"/>
        <v>0</v>
      </c>
      <c r="BA9" s="173"/>
      <c r="BB9" s="169">
        <f>F9*'Office Budget'!$I$13</f>
        <v>24047.689061967387</v>
      </c>
      <c r="BC9" s="170">
        <f t="shared" ref="BC9:BC11" si="44">BA9/BB9</f>
        <v>0</v>
      </c>
      <c r="BD9" s="169">
        <f t="shared" si="26"/>
        <v>246286.6902550279</v>
      </c>
      <c r="BE9" s="170">
        <f t="shared" si="27"/>
        <v>0</v>
      </c>
      <c r="BF9" s="173"/>
      <c r="BG9" s="169">
        <f>F9*'Office Budget'!$I$14</f>
        <v>22333.596651357217</v>
      </c>
      <c r="BH9" s="170">
        <f t="shared" ref="BH9:BH11" si="45">BF9/BG9</f>
        <v>0</v>
      </c>
      <c r="BI9" s="169">
        <f t="shared" si="28"/>
        <v>268620.2869063851</v>
      </c>
      <c r="BJ9" s="170">
        <f t="shared" si="29"/>
        <v>0</v>
      </c>
      <c r="BK9" s="173"/>
      <c r="BL9" s="176">
        <f>F9*'Office Budget'!$I$15</f>
        <v>31379.713093614882</v>
      </c>
      <c r="BM9" s="170">
        <f t="shared" ref="BM9:BM11" si="46">BK9/BL9</f>
        <v>0</v>
      </c>
      <c r="BN9" s="177">
        <f t="shared" si="31"/>
        <v>300000</v>
      </c>
      <c r="BO9" s="172">
        <f t="shared" si="32"/>
        <v>0</v>
      </c>
    </row>
    <row r="10" spans="1:171" s="181" customFormat="1" ht="12.75">
      <c r="A10" s="64" t="s">
        <v>72</v>
      </c>
      <c r="B10" s="64" t="s">
        <v>73</v>
      </c>
      <c r="C10" s="64" t="s">
        <v>74</v>
      </c>
      <c r="D10" s="65"/>
      <c r="E10" s="348">
        <f>'Agent Budget &amp; Travel'!D14</f>
        <v>200000</v>
      </c>
      <c r="F10" s="179">
        <f>'Agent Budget &amp; Travel'!E14</f>
        <v>325000</v>
      </c>
      <c r="G10" s="180">
        <f>'Agent Budget &amp; Travel'!F14</f>
        <v>350000</v>
      </c>
      <c r="H10" s="212"/>
      <c r="I10" s="213">
        <f>F10*'Office Budget'!$I$4</f>
        <v>16999.26919437019</v>
      </c>
      <c r="J10" s="230">
        <f t="shared" si="33"/>
        <v>0</v>
      </c>
      <c r="K10" s="214">
        <f t="shared" si="1"/>
        <v>16999.26919437019</v>
      </c>
      <c r="L10" s="230">
        <f t="shared" si="2"/>
        <v>0</v>
      </c>
      <c r="M10" s="221"/>
      <c r="N10" s="214">
        <f>F10*'Office Budget'!$I$5</f>
        <v>19944.479656299896</v>
      </c>
      <c r="O10" s="232">
        <f t="shared" si="36"/>
        <v>0</v>
      </c>
      <c r="P10" s="216">
        <f t="shared" si="4"/>
        <v>36943.74885067009</v>
      </c>
      <c r="Q10" s="232">
        <f t="shared" si="5"/>
        <v>0</v>
      </c>
      <c r="R10" s="209"/>
      <c r="S10" s="169">
        <f>F10*'Office Budget'!$I$6</f>
        <v>37114.981487378675</v>
      </c>
      <c r="T10" s="170">
        <f t="shared" si="37"/>
        <v>0</v>
      </c>
      <c r="U10" s="218">
        <f t="shared" si="6"/>
        <v>74058.730338048772</v>
      </c>
      <c r="V10" s="170">
        <f>SUM(H10,M10,R10)/U10</f>
        <v>0</v>
      </c>
      <c r="W10" s="173"/>
      <c r="X10" s="169">
        <f>F10*'Office Budget'!$I$7</f>
        <v>31182.082661489261</v>
      </c>
      <c r="Y10" s="170">
        <f t="shared" si="38"/>
        <v>0</v>
      </c>
      <c r="Z10" s="218">
        <f t="shared" si="8"/>
        <v>105240.81299953803</v>
      </c>
      <c r="AA10" s="170">
        <f t="shared" si="9"/>
        <v>0</v>
      </c>
      <c r="AB10" s="173"/>
      <c r="AC10" s="169">
        <f>F10*'Office Budget'!$I$8</f>
        <v>28134.446931233069</v>
      </c>
      <c r="AD10" s="170">
        <f t="shared" si="39"/>
        <v>0</v>
      </c>
      <c r="AE10" s="218">
        <f t="shared" si="11"/>
        <v>133375.25993077111</v>
      </c>
      <c r="AF10" s="170">
        <f t="shared" si="12"/>
        <v>0</v>
      </c>
      <c r="AG10" s="173"/>
      <c r="AH10" s="169">
        <f>F10*'Office Budget'!$I$9</f>
        <v>40481.873385331637</v>
      </c>
      <c r="AI10" s="170">
        <f t="shared" si="40"/>
        <v>0</v>
      </c>
      <c r="AJ10" s="169">
        <f t="shared" si="14"/>
        <v>173857.13331610273</v>
      </c>
      <c r="AK10" s="170">
        <f t="shared" si="15"/>
        <v>0</v>
      </c>
      <c r="AL10" s="173"/>
      <c r="AM10" s="169">
        <f>F10*'Office Budget'!$I$10</f>
        <v>6085.3637460978853</v>
      </c>
      <c r="AN10" s="170">
        <f t="shared" si="41"/>
        <v>0</v>
      </c>
      <c r="AO10" s="169">
        <f t="shared" si="17"/>
        <v>179942.49706220062</v>
      </c>
      <c r="AP10" s="170">
        <f t="shared" si="18"/>
        <v>0</v>
      </c>
      <c r="AQ10" s="173"/>
      <c r="AR10" s="169">
        <f>F10*'Office Budget'!$I$11</f>
        <v>20647.084654595525</v>
      </c>
      <c r="AS10" s="170">
        <f t="shared" si="42"/>
        <v>0</v>
      </c>
      <c r="AT10" s="169">
        <f t="shared" si="20"/>
        <v>200589.58171679615</v>
      </c>
      <c r="AU10" s="170">
        <f t="shared" si="21"/>
        <v>0</v>
      </c>
      <c r="AV10" s="173"/>
      <c r="AW10" s="169">
        <f>F10*'Office Budget'!$I$12</f>
        <v>40169.336242352751</v>
      </c>
      <c r="AX10" s="170">
        <f t="shared" si="43"/>
        <v>0</v>
      </c>
      <c r="AY10" s="169">
        <f t="shared" si="23"/>
        <v>240758.91795914891</v>
      </c>
      <c r="AZ10" s="170">
        <f t="shared" si="24"/>
        <v>0</v>
      </c>
      <c r="BA10" s="173"/>
      <c r="BB10" s="169">
        <f>F10*'Office Budget'!$I$13</f>
        <v>26051.663150464668</v>
      </c>
      <c r="BC10" s="170">
        <f t="shared" si="44"/>
        <v>0</v>
      </c>
      <c r="BD10" s="169">
        <f t="shared" si="26"/>
        <v>266810.58110961359</v>
      </c>
      <c r="BE10" s="170">
        <f t="shared" si="27"/>
        <v>0</v>
      </c>
      <c r="BF10" s="173"/>
      <c r="BG10" s="169">
        <f>F10*'Office Budget'!$I$14</f>
        <v>24194.729705636986</v>
      </c>
      <c r="BH10" s="170">
        <f t="shared" si="45"/>
        <v>0</v>
      </c>
      <c r="BI10" s="169">
        <f t="shared" si="28"/>
        <v>291005.31081525056</v>
      </c>
      <c r="BJ10" s="170">
        <f t="shared" si="29"/>
        <v>0</v>
      </c>
      <c r="BK10" s="173"/>
      <c r="BL10" s="176">
        <f>F10*'Office Budget'!$I$15</f>
        <v>33994.689184749455</v>
      </c>
      <c r="BM10" s="170">
        <f t="shared" si="46"/>
        <v>0</v>
      </c>
      <c r="BN10" s="177">
        <f t="shared" si="31"/>
        <v>325000</v>
      </c>
      <c r="BO10" s="172">
        <f t="shared" si="32"/>
        <v>0</v>
      </c>
      <c r="BP10" s="168"/>
      <c r="BQ10" s="168"/>
      <c r="BR10" s="168"/>
      <c r="BS10" s="168"/>
      <c r="BT10" s="168"/>
      <c r="BU10" s="168"/>
      <c r="BV10" s="168"/>
      <c r="BW10" s="168"/>
      <c r="BX10" s="168"/>
      <c r="BY10" s="168"/>
      <c r="BZ10" s="168"/>
      <c r="CA10" s="168"/>
      <c r="CB10" s="168"/>
      <c r="CC10" s="168"/>
      <c r="CD10" s="168"/>
      <c r="CE10" s="168"/>
      <c r="CF10" s="168"/>
      <c r="CG10" s="168"/>
      <c r="CH10" s="168"/>
      <c r="CI10" s="168"/>
      <c r="CJ10" s="168"/>
      <c r="CK10" s="168"/>
      <c r="CL10" s="168"/>
      <c r="CM10" s="168"/>
      <c r="CN10" s="168"/>
      <c r="CO10" s="168"/>
      <c r="CP10" s="168"/>
      <c r="CQ10" s="168"/>
      <c r="CR10" s="168"/>
      <c r="CS10" s="168"/>
      <c r="CT10" s="168"/>
      <c r="CU10" s="168"/>
      <c r="CV10" s="168"/>
      <c r="CW10" s="168"/>
      <c r="CX10" s="168"/>
      <c r="CY10" s="168"/>
      <c r="CZ10" s="168"/>
      <c r="DA10" s="168"/>
      <c r="DB10" s="168"/>
      <c r="DC10" s="168"/>
      <c r="DD10" s="168"/>
      <c r="DE10" s="168"/>
      <c r="DF10" s="168"/>
      <c r="DG10" s="168"/>
      <c r="DH10" s="168"/>
      <c r="DI10" s="168"/>
      <c r="DJ10" s="168"/>
      <c r="DK10" s="168"/>
      <c r="DL10" s="168"/>
      <c r="DM10" s="168"/>
      <c r="DN10" s="168"/>
      <c r="DO10" s="168"/>
      <c r="DP10" s="168"/>
      <c r="DQ10" s="168"/>
      <c r="DR10" s="168"/>
      <c r="DS10" s="168"/>
      <c r="DT10" s="168"/>
      <c r="DU10" s="168"/>
      <c r="DV10" s="168"/>
      <c r="DW10" s="168"/>
      <c r="DX10" s="168"/>
      <c r="DY10" s="168"/>
      <c r="DZ10" s="168"/>
      <c r="EA10" s="168"/>
      <c r="EB10" s="168"/>
      <c r="EC10" s="168"/>
      <c r="ED10" s="168"/>
      <c r="EE10" s="168"/>
      <c r="EF10" s="168"/>
      <c r="EG10" s="168"/>
      <c r="EH10" s="168"/>
      <c r="EI10" s="168"/>
      <c r="EJ10" s="168"/>
      <c r="EK10" s="168"/>
      <c r="EL10" s="168"/>
      <c r="EM10" s="168"/>
      <c r="EN10" s="168"/>
      <c r="EO10" s="168"/>
      <c r="EP10" s="168"/>
      <c r="EQ10" s="168"/>
      <c r="ER10" s="168"/>
      <c r="ES10" s="168"/>
      <c r="ET10" s="168"/>
      <c r="EU10" s="168"/>
      <c r="EV10" s="168"/>
      <c r="EW10" s="168"/>
      <c r="EX10" s="168"/>
      <c r="EY10" s="168"/>
      <c r="EZ10" s="168"/>
      <c r="FA10" s="168"/>
      <c r="FB10" s="168"/>
      <c r="FC10" s="168"/>
      <c r="FD10" s="168"/>
      <c r="FE10" s="168"/>
      <c r="FF10" s="168"/>
      <c r="FG10" s="168"/>
      <c r="FH10" s="168"/>
      <c r="FI10" s="168"/>
      <c r="FJ10" s="168"/>
      <c r="FK10" s="168"/>
      <c r="FL10" s="168"/>
      <c r="FM10" s="168"/>
      <c r="FN10" s="168"/>
      <c r="FO10" s="168"/>
    </row>
    <row r="11" spans="1:171" s="168" customFormat="1" ht="12.75">
      <c r="A11" s="64" t="s">
        <v>75</v>
      </c>
      <c r="B11" s="64" t="s">
        <v>76</v>
      </c>
      <c r="C11" s="64" t="s">
        <v>77</v>
      </c>
      <c r="D11" s="65"/>
      <c r="E11" s="348" t="str">
        <f>'Agent Budget &amp; Travel'!D15</f>
        <v>N/A</v>
      </c>
      <c r="F11" s="179">
        <f>'Agent Budget &amp; Travel'!E15</f>
        <v>200000</v>
      </c>
      <c r="G11" s="384" t="str">
        <f>'Agent Budget &amp; Travel'!F15</f>
        <v>N/A</v>
      </c>
      <c r="H11" s="222"/>
      <c r="I11" s="213">
        <f>F11*'Office Budget'!$I$4</f>
        <v>10461.08873499704</v>
      </c>
      <c r="J11" s="230">
        <f t="shared" si="33"/>
        <v>0</v>
      </c>
      <c r="K11" s="214">
        <f t="shared" si="1"/>
        <v>10461.08873499704</v>
      </c>
      <c r="L11" s="230">
        <f t="shared" si="2"/>
        <v>0</v>
      </c>
      <c r="M11" s="221"/>
      <c r="N11" s="214">
        <f>F11*'Office Budget'!$I$5</f>
        <v>12273.525942338398</v>
      </c>
      <c r="O11" s="232">
        <f t="shared" si="36"/>
        <v>0</v>
      </c>
      <c r="P11" s="216">
        <f t="shared" si="4"/>
        <v>22734.614677335438</v>
      </c>
      <c r="Q11" s="232">
        <f t="shared" si="5"/>
        <v>0</v>
      </c>
      <c r="R11" s="209"/>
      <c r="S11" s="169">
        <f>F11*'Office Budget'!$I$6</f>
        <v>22839.988607617648</v>
      </c>
      <c r="T11" s="170">
        <f t="shared" si="37"/>
        <v>0</v>
      </c>
      <c r="U11" s="218">
        <f t="shared" si="6"/>
        <v>45574.603284953089</v>
      </c>
      <c r="V11" s="170">
        <f>SUM(G11,M11,R11)/U11</f>
        <v>0</v>
      </c>
      <c r="W11" s="173"/>
      <c r="X11" s="169">
        <f>F11*'Office Budget'!$I$7</f>
        <v>19188.973945531852</v>
      </c>
      <c r="Y11" s="170">
        <f t="shared" si="38"/>
        <v>0</v>
      </c>
      <c r="Z11" s="218">
        <f t="shared" si="8"/>
        <v>64763.577230484938</v>
      </c>
      <c r="AA11" s="170">
        <f>SUM(H11,M11,R11,W11)/Z11</f>
        <v>0</v>
      </c>
      <c r="AB11" s="173"/>
      <c r="AC11" s="169">
        <f>F11*'Office Budget'!$I$8</f>
        <v>17313.505803835735</v>
      </c>
      <c r="AD11" s="170">
        <f t="shared" si="39"/>
        <v>0</v>
      </c>
      <c r="AE11" s="218">
        <f t="shared" si="11"/>
        <v>82077.083034320676</v>
      </c>
      <c r="AF11" s="170">
        <f t="shared" si="12"/>
        <v>0</v>
      </c>
      <c r="AG11" s="173"/>
      <c r="AH11" s="169">
        <f>F11*'Office Budget'!$I$9</f>
        <v>24911.922083281006</v>
      </c>
      <c r="AI11" s="170">
        <f t="shared" si="40"/>
        <v>0</v>
      </c>
      <c r="AJ11" s="169">
        <f t="shared" si="14"/>
        <v>106989.00511760169</v>
      </c>
      <c r="AK11" s="170">
        <f t="shared" si="15"/>
        <v>0</v>
      </c>
      <c r="AL11" s="173"/>
      <c r="AM11" s="169">
        <f>F11*'Office Budget'!$I$10</f>
        <v>3744.8392283679291</v>
      </c>
      <c r="AN11" s="170">
        <f t="shared" si="41"/>
        <v>0</v>
      </c>
      <c r="AO11" s="169">
        <f t="shared" si="17"/>
        <v>110733.84434596961</v>
      </c>
      <c r="AP11" s="170">
        <f t="shared" si="18"/>
        <v>0</v>
      </c>
      <c r="AQ11" s="173"/>
      <c r="AR11" s="169">
        <f>F11*'Office Budget'!$I$11</f>
        <v>12705.898248981861</v>
      </c>
      <c r="AS11" s="170">
        <f t="shared" si="42"/>
        <v>0</v>
      </c>
      <c r="AT11" s="169">
        <f t="shared" si="20"/>
        <v>123439.74259495147</v>
      </c>
      <c r="AU11" s="170">
        <f t="shared" si="21"/>
        <v>0</v>
      </c>
      <c r="AV11" s="173"/>
      <c r="AW11" s="169">
        <f>F11*'Office Budget'!$I$12</f>
        <v>24719.591533755538</v>
      </c>
      <c r="AX11" s="170">
        <f t="shared" si="43"/>
        <v>0</v>
      </c>
      <c r="AY11" s="169">
        <f t="shared" si="23"/>
        <v>148159.33412870701</v>
      </c>
      <c r="AZ11" s="170">
        <f>SUM(H11,M11,R11,W11,AB11,AG11,AL11,AQ11,AV11)/AY11</f>
        <v>0</v>
      </c>
      <c r="BA11" s="173"/>
      <c r="BB11" s="169">
        <f>F11*'Office Budget'!$I$13</f>
        <v>16031.792707978257</v>
      </c>
      <c r="BC11" s="170">
        <f t="shared" si="44"/>
        <v>0</v>
      </c>
      <c r="BD11" s="169">
        <f t="shared" si="26"/>
        <v>164191.12683668526</v>
      </c>
      <c r="BE11" s="170">
        <f t="shared" si="27"/>
        <v>0</v>
      </c>
      <c r="BF11" s="173"/>
      <c r="BG11" s="169">
        <f>F11*'Office Budget'!$I$14</f>
        <v>14889.064434238144</v>
      </c>
      <c r="BH11" s="170">
        <f t="shared" si="45"/>
        <v>0</v>
      </c>
      <c r="BI11" s="169">
        <f t="shared" si="28"/>
        <v>179080.19127092342</v>
      </c>
      <c r="BJ11" s="170">
        <f t="shared" si="29"/>
        <v>0</v>
      </c>
      <c r="BK11" s="173"/>
      <c r="BL11" s="176">
        <f>F11*'Office Budget'!$I$15</f>
        <v>20919.808729076587</v>
      </c>
      <c r="BM11" s="170">
        <f t="shared" si="46"/>
        <v>0</v>
      </c>
      <c r="BN11" s="177">
        <f t="shared" si="31"/>
        <v>200000</v>
      </c>
      <c r="BO11" s="172">
        <f t="shared" si="32"/>
        <v>0</v>
      </c>
    </row>
    <row r="12" spans="1:171">
      <c r="F12" s="149">
        <f>SUM(F4:F11)</f>
        <v>5025000</v>
      </c>
      <c r="G12" s="61"/>
      <c r="H12" s="61"/>
      <c r="I12" s="1"/>
      <c r="R12"/>
      <c r="S12"/>
      <c r="U12"/>
      <c r="W12"/>
      <c r="X12"/>
      <c r="Z12"/>
      <c r="AB12"/>
      <c r="AC12"/>
      <c r="AE12"/>
      <c r="AG12"/>
      <c r="AH12"/>
      <c r="AJ12"/>
      <c r="AL12"/>
      <c r="AM12"/>
      <c r="AO12"/>
      <c r="AQ12"/>
      <c r="AR12"/>
      <c r="AT12"/>
      <c r="AV12"/>
      <c r="AW12"/>
      <c r="AY12"/>
      <c r="BA12"/>
      <c r="BB12"/>
      <c r="BD12"/>
      <c r="BF12"/>
      <c r="BG12"/>
      <c r="BI12"/>
      <c r="BK12"/>
      <c r="BL12"/>
      <c r="BM12"/>
      <c r="BN12"/>
      <c r="BO12"/>
    </row>
    <row r="13" spans="1:171" s="113" customFormat="1" ht="15.75" thickBot="1">
      <c r="F13" s="1"/>
      <c r="G13" s="61"/>
      <c r="H13" s="61"/>
      <c r="J13" s="228"/>
      <c r="L13" s="228"/>
      <c r="M13"/>
      <c r="N13"/>
      <c r="O13" s="228"/>
      <c r="P13"/>
      <c r="Q13" s="228"/>
      <c r="R13"/>
      <c r="S13"/>
      <c r="T13" s="228"/>
      <c r="U13"/>
      <c r="V13" s="228"/>
      <c r="W13"/>
      <c r="X13"/>
      <c r="Y13" s="228"/>
      <c r="Z13"/>
      <c r="AA13" s="228"/>
      <c r="AB13"/>
      <c r="AC13"/>
      <c r="AD13" s="228"/>
      <c r="AE13"/>
      <c r="AF13" s="228"/>
      <c r="AG13"/>
      <c r="AH13"/>
      <c r="AI13" s="228"/>
      <c r="AJ13"/>
      <c r="AK13" s="228"/>
      <c r="AL13"/>
      <c r="AM13"/>
      <c r="AN13" s="228"/>
      <c r="AO13"/>
      <c r="AP13" s="228"/>
      <c r="AQ13"/>
      <c r="AR13"/>
      <c r="AS13" s="228"/>
      <c r="AT13"/>
      <c r="AU13" s="228"/>
      <c r="AV13"/>
      <c r="AW13"/>
      <c r="AX13" s="228"/>
      <c r="AY13"/>
      <c r="AZ13" s="228"/>
      <c r="BA13"/>
      <c r="BB13"/>
      <c r="BC13" s="228"/>
      <c r="BD13"/>
      <c r="BE13" s="228"/>
      <c r="BF13"/>
      <c r="BG13"/>
      <c r="BH13" s="228"/>
      <c r="BI13"/>
      <c r="BJ13" s="228"/>
      <c r="BK13"/>
      <c r="BL13"/>
      <c r="BM13"/>
      <c r="BN13"/>
      <c r="BO13"/>
    </row>
    <row r="14" spans="1:171" ht="15.75" thickBot="1">
      <c r="A14" s="123"/>
      <c r="B14" s="125" t="s">
        <v>111</v>
      </c>
      <c r="C14" s="126" t="s">
        <v>112</v>
      </c>
      <c r="D14" s="125" t="s">
        <v>113</v>
      </c>
      <c r="E14" s="126" t="s">
        <v>114</v>
      </c>
      <c r="F14" s="134" t="s">
        <v>115</v>
      </c>
      <c r="G14" s="133" t="s">
        <v>116</v>
      </c>
      <c r="H14" s="188" t="s">
        <v>175</v>
      </c>
    </row>
    <row r="15" spans="1:171">
      <c r="A15" s="8" t="s">
        <v>7</v>
      </c>
      <c r="B15" s="60"/>
      <c r="C15" s="59"/>
      <c r="D15" s="10"/>
      <c r="E15" s="11"/>
      <c r="F15" s="112">
        <f>SUM(I4:I11)</f>
        <v>262834.85446680064</v>
      </c>
      <c r="G15" s="111" t="str">
        <f>IF(D15=0, "",D15-F15)</f>
        <v/>
      </c>
      <c r="H15" s="194" t="str">
        <f>IF(D15=0,"",D15/F15)</f>
        <v/>
      </c>
      <c r="I15" s="139"/>
    </row>
    <row r="16" spans="1:171">
      <c r="A16" s="8" t="s">
        <v>8</v>
      </c>
      <c r="B16" s="60"/>
      <c r="C16" s="59"/>
      <c r="D16" s="124"/>
      <c r="E16" s="11"/>
      <c r="F16" s="128">
        <f>SUM(N4:N11)</f>
        <v>308372.33930125227</v>
      </c>
      <c r="G16" s="15" t="str">
        <f t="shared" ref="G16:G27" si="47">IF(D16=0, "",D16-F16)</f>
        <v/>
      </c>
      <c r="H16" s="196" t="str">
        <f>IF(D16=0,"",SUM(D15:D16)/SUM(F15:F16))</f>
        <v/>
      </c>
      <c r="I16" s="139"/>
      <c r="K16" s="1"/>
      <c r="M16" s="141"/>
    </row>
    <row r="17" spans="1:13">
      <c r="A17" s="8" t="s">
        <v>9</v>
      </c>
      <c r="B17" s="60"/>
      <c r="C17" s="59"/>
      <c r="D17" s="124"/>
      <c r="E17" s="11"/>
      <c r="F17" s="128">
        <f>SUM(S4:S11)</f>
        <v>573854.71376639337</v>
      </c>
      <c r="G17" s="15" t="str">
        <f t="shared" si="47"/>
        <v/>
      </c>
      <c r="H17" s="196" t="str">
        <f>IF(D17=0,"",SUM(D15:D17)/SUM(F15:F17))</f>
        <v/>
      </c>
      <c r="I17" s="139"/>
      <c r="M17" s="141"/>
    </row>
    <row r="18" spans="1:13">
      <c r="A18" s="8" t="s">
        <v>10</v>
      </c>
      <c r="B18" s="60"/>
      <c r="C18" s="59"/>
      <c r="D18" s="124"/>
      <c r="E18" s="11"/>
      <c r="F18" s="128">
        <f>SUM(X4:X11)</f>
        <v>482122.97038148786</v>
      </c>
      <c r="G18" s="15" t="str">
        <f t="shared" si="47"/>
        <v/>
      </c>
      <c r="H18" s="196" t="str">
        <f>IF(D18=0,"",SUM(D15:D18)/SUM(F15:F18))</f>
        <v/>
      </c>
      <c r="I18" s="139"/>
      <c r="M18" s="141"/>
    </row>
    <row r="19" spans="1:13">
      <c r="A19" s="8" t="s">
        <v>11</v>
      </c>
      <c r="B19" s="57"/>
      <c r="C19" s="59"/>
      <c r="D19" s="124"/>
      <c r="E19" s="11"/>
      <c r="F19" s="128">
        <f>SUM(AC4:AC11)</f>
        <v>435001.8333213728</v>
      </c>
      <c r="G19" s="15" t="str">
        <f t="shared" si="47"/>
        <v/>
      </c>
      <c r="H19" s="196" t="str">
        <f>IF(D19=0,"",SUM(D15:D19)/SUM(F15:F19))</f>
        <v/>
      </c>
      <c r="I19" s="139"/>
      <c r="M19" s="141"/>
    </row>
    <row r="20" spans="1:13">
      <c r="A20" s="8" t="s">
        <v>12</v>
      </c>
      <c r="B20" s="60"/>
      <c r="C20" s="59"/>
      <c r="D20" s="124"/>
      <c r="E20" s="11"/>
      <c r="F20" s="128">
        <f>SUM(AH4:AH11)</f>
        <v>625912.04234243522</v>
      </c>
      <c r="G20" s="15" t="str">
        <f t="shared" si="47"/>
        <v/>
      </c>
      <c r="H20" s="196" t="str">
        <f>IF(D20=0,"",SUM(D15:D20)/SUM(F15:F20))</f>
        <v/>
      </c>
      <c r="I20" s="139"/>
      <c r="M20" s="141"/>
    </row>
    <row r="21" spans="1:13">
      <c r="A21" s="8" t="s">
        <v>13</v>
      </c>
      <c r="B21" s="60"/>
      <c r="C21" s="59"/>
      <c r="D21" s="124"/>
      <c r="E21" s="11"/>
      <c r="F21" s="128">
        <f>SUM(AM4:AM11)</f>
        <v>94089.085612744209</v>
      </c>
      <c r="G21" s="15" t="str">
        <f t="shared" si="47"/>
        <v/>
      </c>
      <c r="H21" s="196" t="str">
        <f>IF(D21=0,"",SUM(D15:D21)/SUM(F15:F21))</f>
        <v/>
      </c>
      <c r="I21" s="139"/>
      <c r="M21" s="141"/>
    </row>
    <row r="22" spans="1:13">
      <c r="A22" s="8" t="s">
        <v>14</v>
      </c>
      <c r="B22" s="60"/>
      <c r="C22" s="59"/>
      <c r="D22" s="124"/>
      <c r="E22" s="11"/>
      <c r="F22" s="128">
        <f>SUM(AR4:AR11)</f>
        <v>319235.6935056693</v>
      </c>
      <c r="G22" s="15" t="str">
        <f t="shared" si="47"/>
        <v/>
      </c>
      <c r="H22" s="196" t="str">
        <f>IF(D22=0,"",SUM(D15:D22)/SUM(F15:F22))</f>
        <v/>
      </c>
      <c r="I22" s="139"/>
      <c r="M22" s="141"/>
    </row>
    <row r="23" spans="1:13">
      <c r="A23" s="8" t="s">
        <v>15</v>
      </c>
      <c r="B23" s="60"/>
      <c r="C23" s="59"/>
      <c r="D23" s="124"/>
      <c r="E23" s="11"/>
      <c r="F23" s="128">
        <f>SUM(AW4:AW11)</f>
        <v>621079.73728560796</v>
      </c>
      <c r="G23" s="15" t="str">
        <f t="shared" si="47"/>
        <v/>
      </c>
      <c r="H23" s="196" t="str">
        <f>IF(D23=0,"",SUM(D15:D23)/SUM(F15:F23))</f>
        <v/>
      </c>
      <c r="I23" s="139"/>
      <c r="M23" s="141"/>
    </row>
    <row r="24" spans="1:13">
      <c r="A24" s="8" t="s">
        <v>16</v>
      </c>
      <c r="B24" s="60"/>
      <c r="C24" s="59"/>
      <c r="D24" s="124"/>
      <c r="E24" s="11"/>
      <c r="F24" s="128">
        <f>SUM(BB4:BB11)</f>
        <v>402798.79178795364</v>
      </c>
      <c r="G24" s="15" t="str">
        <f t="shared" si="47"/>
        <v/>
      </c>
      <c r="H24" s="196" t="str">
        <f>IF(D24=0,"",SUM(D15:D24)/SUM(F15:F24))</f>
        <v/>
      </c>
      <c r="I24" s="139"/>
      <c r="M24" s="141"/>
    </row>
    <row r="25" spans="1:13">
      <c r="A25" s="8" t="s">
        <v>17</v>
      </c>
      <c r="B25" s="60"/>
      <c r="C25" s="58"/>
      <c r="D25" s="124"/>
      <c r="E25" s="11"/>
      <c r="F25" s="128">
        <f>SUM(BG4:BG11)</f>
        <v>374087.74391023332</v>
      </c>
      <c r="G25" s="15" t="str">
        <f t="shared" si="47"/>
        <v/>
      </c>
      <c r="H25" s="196" t="str">
        <f>IF(D25=0,"",SUM(D15:D25)/SUM(F15:F25))</f>
        <v/>
      </c>
      <c r="I25" s="139"/>
      <c r="M25" s="141"/>
    </row>
    <row r="26" spans="1:13" ht="15.75" thickBot="1">
      <c r="A26" s="8" t="s">
        <v>18</v>
      </c>
      <c r="B26" s="367"/>
      <c r="C26" s="368"/>
      <c r="D26" s="4"/>
      <c r="E26" s="11"/>
      <c r="F26" s="129">
        <f>SUM(BL4:BL11)</f>
        <v>525610.19431804935</v>
      </c>
      <c r="G26" s="16" t="str">
        <f t="shared" si="47"/>
        <v/>
      </c>
      <c r="H26" s="200" t="str">
        <f>IF(D26=0,"",SUM(D15:D26)/SUM(F15:F26))</f>
        <v/>
      </c>
      <c r="I26" s="139"/>
      <c r="M26" s="141"/>
    </row>
    <row r="27" spans="1:13" ht="15.75" thickBot="1">
      <c r="A27" s="9"/>
      <c r="B27" s="130">
        <f>SUM(B15:B26)</f>
        <v>0</v>
      </c>
      <c r="C27" s="131">
        <f>SUM(C15:C26)</f>
        <v>0</v>
      </c>
      <c r="D27" s="109">
        <f>SUM(D15:D26)</f>
        <v>0</v>
      </c>
      <c r="E27" s="25">
        <f>SUM(E15:E26)</f>
        <v>0</v>
      </c>
      <c r="F27" s="130">
        <f>SUM(F15:F26)</f>
        <v>5025000</v>
      </c>
      <c r="G27" s="135" t="str">
        <f t="shared" si="47"/>
        <v/>
      </c>
      <c r="H27" s="204"/>
      <c r="I27" s="252"/>
      <c r="M27" s="141"/>
    </row>
    <row r="28" spans="1:13" ht="15.75" thickBot="1"/>
    <row r="29" spans="1:13" ht="45.75" thickBot="1">
      <c r="E29" s="115" t="s">
        <v>174</v>
      </c>
      <c r="F29" s="110">
        <f>D27/F27</f>
        <v>0</v>
      </c>
    </row>
    <row r="31" spans="1:13">
      <c r="A31" s="141" t="s">
        <v>221</v>
      </c>
    </row>
  </sheetData>
  <mergeCells count="1">
    <mergeCell ref="A3:C3"/>
  </mergeCells>
  <pageMargins left="0.7" right="0.7" top="0.75" bottom="0.75" header="0.3" footer="0.3"/>
  <pageSetup paperSize="9" scale="56" orientation="landscape" r:id="rId1"/>
  <ignoredErrors>
    <ignoredError sqref="H16:H23 H2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N31"/>
  <sheetViews>
    <sheetView workbookViewId="0">
      <selection activeCell="A31" sqref="A31"/>
    </sheetView>
  </sheetViews>
  <sheetFormatPr defaultRowHeight="15" outlineLevelCol="1"/>
  <cols>
    <col min="1" max="1" width="10.5703125" style="3" customWidth="1"/>
    <col min="2" max="2" width="14.28515625" style="3" bestFit="1" customWidth="1"/>
    <col min="3" max="3" width="11" style="3" customWidth="1"/>
    <col min="4" max="4" width="13.28515625" style="3" customWidth="1"/>
    <col min="5" max="5" width="14.28515625" style="3" customWidth="1"/>
    <col min="6" max="6" width="17.7109375" style="3" customWidth="1"/>
    <col min="7" max="7" width="19.85546875" style="3" customWidth="1"/>
    <col min="8" max="8" width="17.7109375" style="3" bestFit="1" customWidth="1"/>
    <col min="9" max="9" width="12.85546875" style="3" customWidth="1" outlineLevel="1"/>
    <col min="10" max="10" width="9.140625" style="228" customWidth="1" outlineLevel="1"/>
    <col min="11" max="11" width="11.28515625" style="3" customWidth="1" outlineLevel="1"/>
    <col min="12" max="12" width="9.140625" style="228" customWidth="1" outlineLevel="1"/>
    <col min="13" max="13" width="10.7109375" style="3" bestFit="1" customWidth="1"/>
    <col min="14" max="14" width="12" style="3" hidden="1" customWidth="1" outlineLevel="1"/>
    <col min="15" max="15" width="9.140625" style="228" hidden="1" customWidth="1" outlineLevel="1"/>
    <col min="16" max="16" width="11.5703125" style="3" hidden="1" customWidth="1" outlineLevel="1"/>
    <col min="17" max="17" width="9.140625" style="228" hidden="1" customWidth="1" outlineLevel="1"/>
    <col min="18" max="18" width="11.7109375" style="3" customWidth="1" collapsed="1"/>
    <col min="19" max="19" width="12" style="3" hidden="1" customWidth="1" outlineLevel="1"/>
    <col min="20" max="20" width="11.28515625" style="228" hidden="1" customWidth="1" outlineLevel="1"/>
    <col min="21" max="21" width="12" style="3" hidden="1" customWidth="1" outlineLevel="1"/>
    <col min="22" max="22" width="9.140625" style="228" hidden="1" customWidth="1" outlineLevel="1"/>
    <col min="23" max="23" width="9.140625" style="3" collapsed="1"/>
    <col min="24" max="24" width="12" style="3" hidden="1" customWidth="1" outlineLevel="1"/>
    <col min="25" max="25" width="9.140625" style="228" hidden="1" customWidth="1" outlineLevel="1"/>
    <col min="26" max="26" width="12" style="3" hidden="1" customWidth="1" outlineLevel="1"/>
    <col min="27" max="27" width="9.140625" style="228" hidden="1" customWidth="1" outlineLevel="1"/>
    <col min="28" max="28" width="9.140625" style="3" collapsed="1"/>
    <col min="29" max="29" width="12" style="3" hidden="1" customWidth="1" outlineLevel="1"/>
    <col min="30" max="30" width="10.5703125" style="228" hidden="1" customWidth="1" outlineLevel="1"/>
    <col min="31" max="31" width="12" style="3" hidden="1" customWidth="1" outlineLevel="1"/>
    <col min="32" max="32" width="10.5703125" style="228" hidden="1" customWidth="1" outlineLevel="1"/>
    <col min="33" max="33" width="9.140625" style="3" collapsed="1"/>
    <col min="34" max="34" width="12" style="3" hidden="1" customWidth="1" outlineLevel="1"/>
    <col min="35" max="35" width="9.140625" style="228" hidden="1" customWidth="1" outlineLevel="1"/>
    <col min="36" max="36" width="12" style="3" hidden="1" customWidth="1" outlineLevel="1"/>
    <col min="37" max="37" width="9.140625" style="228" hidden="1" customWidth="1" outlineLevel="1"/>
    <col min="38" max="38" width="9.140625" style="3" collapsed="1"/>
    <col min="39" max="39" width="11" style="3" hidden="1" customWidth="1" outlineLevel="1"/>
    <col min="40" max="40" width="9.140625" style="228" hidden="1" customWidth="1" outlineLevel="1"/>
    <col min="41" max="41" width="12" style="3" hidden="1" customWidth="1" outlineLevel="1"/>
    <col min="42" max="42" width="9.140625" style="228" hidden="1" customWidth="1" outlineLevel="1"/>
    <col min="43" max="43" width="9.140625" style="3" collapsed="1"/>
    <col min="44" max="44" width="12" style="3" hidden="1" customWidth="1" outlineLevel="1"/>
    <col min="45" max="45" width="9.140625" style="228" hidden="1" customWidth="1" outlineLevel="1"/>
    <col min="46" max="46" width="12" style="3" hidden="1" customWidth="1" outlineLevel="1"/>
    <col min="47" max="47" width="9.140625" style="228" hidden="1" customWidth="1" outlineLevel="1"/>
    <col min="48" max="48" width="9.140625" style="3" collapsed="1"/>
    <col min="49" max="49" width="12" style="3" hidden="1" customWidth="1" outlineLevel="1"/>
    <col min="50" max="50" width="9.140625" style="228" hidden="1" customWidth="1" outlineLevel="1"/>
    <col min="51" max="51" width="12" style="3" hidden="1" customWidth="1" outlineLevel="1"/>
    <col min="52" max="52" width="9.140625" style="228" hidden="1" customWidth="1" outlineLevel="1"/>
    <col min="53" max="53" width="9.140625" style="3" collapsed="1"/>
    <col min="54" max="54" width="11" style="3" hidden="1" customWidth="1" outlineLevel="1"/>
    <col min="55" max="55" width="9.140625" style="228" hidden="1" customWidth="1" outlineLevel="1"/>
    <col min="56" max="56" width="12" style="3" hidden="1" customWidth="1" outlineLevel="1"/>
    <col min="57" max="57" width="9.140625" style="228" hidden="1" customWidth="1" outlineLevel="1"/>
    <col min="58" max="58" width="9.140625" style="3" collapsed="1"/>
    <col min="59" max="59" width="11" style="3" hidden="1" customWidth="1" outlineLevel="1"/>
    <col min="60" max="60" width="9.140625" style="228" hidden="1" customWidth="1" outlineLevel="1"/>
    <col min="61" max="61" width="13.5703125" style="3" hidden="1" customWidth="1" outlineLevel="1"/>
    <col min="62" max="62" width="9.140625" style="228" hidden="1" customWidth="1" outlineLevel="1"/>
    <col min="63" max="63" width="9.140625" style="3" collapsed="1"/>
    <col min="64" max="64" width="9.5703125" style="3" hidden="1" customWidth="1" outlineLevel="1"/>
    <col min="65" max="65" width="9.140625" style="228" hidden="1" customWidth="1" outlineLevel="1"/>
    <col min="66" max="66" width="11" style="3" hidden="1" customWidth="1" outlineLevel="1"/>
    <col min="67" max="67" width="9.140625" style="228" hidden="1" customWidth="1" outlineLevel="1"/>
    <col min="68" max="68" width="9.140625" style="3" collapsed="1"/>
    <col min="69" max="16384" width="9.140625" style="3"/>
  </cols>
  <sheetData>
    <row r="1" spans="1:170" s="141" customFormat="1" ht="21">
      <c r="A1" s="114" t="s">
        <v>120</v>
      </c>
      <c r="J1" s="228"/>
      <c r="L1" s="228"/>
      <c r="O1" s="228"/>
      <c r="Q1" s="228"/>
      <c r="T1" s="228"/>
      <c r="V1" s="228"/>
      <c r="Y1" s="228"/>
      <c r="AA1" s="228"/>
      <c r="AD1" s="228"/>
      <c r="AF1" s="228"/>
      <c r="AI1" s="228"/>
      <c r="AK1" s="228"/>
      <c r="AN1" s="228"/>
      <c r="AP1" s="228"/>
      <c r="AS1" s="228"/>
      <c r="AU1" s="228"/>
      <c r="AX1" s="228"/>
      <c r="AZ1" s="228"/>
      <c r="BC1" s="228"/>
      <c r="BE1" s="228"/>
      <c r="BH1" s="228"/>
      <c r="BJ1" s="228"/>
      <c r="BM1" s="228"/>
      <c r="BO1" s="228"/>
    </row>
    <row r="2" spans="1:170">
      <c r="E2" s="141"/>
    </row>
    <row r="3" spans="1:170" s="113" customFormat="1" ht="25.5">
      <c r="A3" s="419" t="s">
        <v>0</v>
      </c>
      <c r="B3" s="420"/>
      <c r="C3" s="421"/>
      <c r="D3" s="142" t="s">
        <v>1</v>
      </c>
      <c r="E3" s="143" t="s">
        <v>2</v>
      </c>
      <c r="F3" s="144" t="s">
        <v>109</v>
      </c>
      <c r="G3" s="145" t="s">
        <v>110</v>
      </c>
      <c r="H3" s="183" t="s">
        <v>7</v>
      </c>
      <c r="I3" s="167" t="s">
        <v>157</v>
      </c>
      <c r="J3" s="229" t="s">
        <v>158</v>
      </c>
      <c r="K3" s="167" t="s">
        <v>135</v>
      </c>
      <c r="L3" s="229" t="s">
        <v>136</v>
      </c>
      <c r="M3" s="184" t="s">
        <v>8</v>
      </c>
      <c r="N3" s="167" t="s">
        <v>133</v>
      </c>
      <c r="O3" s="229" t="s">
        <v>134</v>
      </c>
      <c r="P3" s="167" t="s">
        <v>135</v>
      </c>
      <c r="Q3" s="229" t="s">
        <v>136</v>
      </c>
      <c r="R3" s="182" t="s">
        <v>9</v>
      </c>
      <c r="S3" s="167" t="s">
        <v>137</v>
      </c>
      <c r="T3" s="229" t="s">
        <v>138</v>
      </c>
      <c r="U3" s="167" t="s">
        <v>135</v>
      </c>
      <c r="V3" s="229" t="s">
        <v>136</v>
      </c>
      <c r="W3" s="182" t="s">
        <v>10</v>
      </c>
      <c r="X3" s="167" t="s">
        <v>139</v>
      </c>
      <c r="Y3" s="229" t="s">
        <v>140</v>
      </c>
      <c r="Z3" s="167" t="s">
        <v>135</v>
      </c>
      <c r="AA3" s="229" t="s">
        <v>136</v>
      </c>
      <c r="AB3" s="182" t="s">
        <v>11</v>
      </c>
      <c r="AC3" s="167" t="s">
        <v>141</v>
      </c>
      <c r="AD3" s="229" t="s">
        <v>142</v>
      </c>
      <c r="AE3" s="167" t="s">
        <v>135</v>
      </c>
      <c r="AF3" s="229" t="s">
        <v>136</v>
      </c>
      <c r="AG3" s="182" t="s">
        <v>12</v>
      </c>
      <c r="AH3" s="167" t="s">
        <v>143</v>
      </c>
      <c r="AI3" s="229" t="s">
        <v>144</v>
      </c>
      <c r="AJ3" s="167" t="s">
        <v>135</v>
      </c>
      <c r="AK3" s="229" t="s">
        <v>136</v>
      </c>
      <c r="AL3" s="182" t="s">
        <v>13</v>
      </c>
      <c r="AM3" s="167" t="s">
        <v>145</v>
      </c>
      <c r="AN3" s="229" t="s">
        <v>146</v>
      </c>
      <c r="AO3" s="167" t="s">
        <v>135</v>
      </c>
      <c r="AP3" s="229" t="s">
        <v>136</v>
      </c>
      <c r="AQ3" s="182" t="s">
        <v>14</v>
      </c>
      <c r="AR3" s="167" t="s">
        <v>147</v>
      </c>
      <c r="AS3" s="229" t="s">
        <v>148</v>
      </c>
      <c r="AT3" s="167" t="s">
        <v>135</v>
      </c>
      <c r="AU3" s="229" t="s">
        <v>136</v>
      </c>
      <c r="AV3" s="182" t="s">
        <v>15</v>
      </c>
      <c r="AW3" s="167" t="s">
        <v>149</v>
      </c>
      <c r="AX3" s="229" t="s">
        <v>150</v>
      </c>
      <c r="AY3" s="167" t="s">
        <v>135</v>
      </c>
      <c r="AZ3" s="229" t="s">
        <v>136</v>
      </c>
      <c r="BA3" s="182" t="s">
        <v>16</v>
      </c>
      <c r="BB3" s="167" t="s">
        <v>151</v>
      </c>
      <c r="BC3" s="229" t="s">
        <v>152</v>
      </c>
      <c r="BD3" s="167" t="s">
        <v>135</v>
      </c>
      <c r="BE3" s="229" t="s">
        <v>136</v>
      </c>
      <c r="BF3" s="182" t="s">
        <v>17</v>
      </c>
      <c r="BG3" s="167" t="s">
        <v>153</v>
      </c>
      <c r="BH3" s="229" t="s">
        <v>154</v>
      </c>
      <c r="BI3" s="167" t="s">
        <v>135</v>
      </c>
      <c r="BJ3" s="229" t="s">
        <v>136</v>
      </c>
      <c r="BK3" s="182" t="s">
        <v>18</v>
      </c>
      <c r="BL3" s="167" t="s">
        <v>155</v>
      </c>
      <c r="BM3" s="229" t="s">
        <v>156</v>
      </c>
      <c r="BN3" s="167" t="s">
        <v>135</v>
      </c>
      <c r="BO3" s="229" t="s">
        <v>136</v>
      </c>
    </row>
    <row r="4" spans="1:170" s="29" customFormat="1">
      <c r="A4" s="32" t="s">
        <v>24</v>
      </c>
      <c r="B4" s="34" t="s">
        <v>25</v>
      </c>
      <c r="C4" s="34" t="s">
        <v>26</v>
      </c>
      <c r="D4" s="33"/>
      <c r="E4" s="35">
        <f>'Agent Budget &amp; Travel'!D17</f>
        <v>850000</v>
      </c>
      <c r="F4" s="36">
        <f>'Agent Budget &amp; Travel'!E17</f>
        <v>1200000</v>
      </c>
      <c r="G4" s="37">
        <f>'Agent Budget &amp; Travel'!F17</f>
        <v>1300000</v>
      </c>
      <c r="H4" s="212"/>
      <c r="I4" s="213">
        <f>F4*'Office Budget'!$I$4</f>
        <v>62766.532409982239</v>
      </c>
      <c r="J4" s="230">
        <f>H4/I4</f>
        <v>0</v>
      </c>
      <c r="K4" s="214">
        <f>I4</f>
        <v>62766.532409982239</v>
      </c>
      <c r="L4" s="230">
        <f>H4/K4</f>
        <v>0</v>
      </c>
      <c r="M4" s="215"/>
      <c r="N4" s="214">
        <f>F4*'Office Budget'!$I$5</f>
        <v>73641.155654030386</v>
      </c>
      <c r="O4" s="232">
        <f>M4/N4</f>
        <v>0</v>
      </c>
      <c r="P4" s="216">
        <f>SUM(I4,N4)</f>
        <v>136407.68806401262</v>
      </c>
      <c r="Q4" s="232">
        <f>SUM(H4,M4)/P4</f>
        <v>0</v>
      </c>
      <c r="R4" s="217"/>
      <c r="S4" s="169">
        <f>F4*'Office Budget'!$I$6</f>
        <v>137039.93164570589</v>
      </c>
      <c r="T4" s="170">
        <f>R4/S4</f>
        <v>0</v>
      </c>
      <c r="U4" s="218">
        <f>SUM(I4,N4,S4)</f>
        <v>273447.61970971851</v>
      </c>
      <c r="V4" s="170">
        <f>SUM(H4,M4,R4)/U4</f>
        <v>0</v>
      </c>
      <c r="W4" s="219"/>
      <c r="X4" s="169">
        <f>F4*'Office Budget'!$I$7</f>
        <v>115133.84367319112</v>
      </c>
      <c r="Y4" s="170">
        <f>W4/X4</f>
        <v>0</v>
      </c>
      <c r="Z4" s="218">
        <f>SUM(I4,N4,S4,X4)</f>
        <v>388581.46338290966</v>
      </c>
      <c r="AA4" s="170">
        <f>SUM(H4,M4,R4,W4)/Z4</f>
        <v>0</v>
      </c>
      <c r="AB4" s="219"/>
      <c r="AC4" s="169">
        <f>F4*'Office Budget'!$I$8</f>
        <v>103881.03482301442</v>
      </c>
      <c r="AD4" s="170">
        <f>AB4/AC4</f>
        <v>0</v>
      </c>
      <c r="AE4" s="218">
        <f>SUM(I4,N4,S4,X4,AC4)</f>
        <v>492462.49820592406</v>
      </c>
      <c r="AF4" s="170">
        <f>SUM(H4,M4,R4,W4,AB4)/AE4</f>
        <v>0</v>
      </c>
      <c r="AG4" s="219"/>
      <c r="AH4" s="169">
        <f>F4*'Office Budget'!$I$9</f>
        <v>149471.53249968606</v>
      </c>
      <c r="AI4" s="170">
        <f>AG4/AH4</f>
        <v>0</v>
      </c>
      <c r="AJ4" s="169">
        <f>SUM(I4,N4,S4,X4,AC4,AH4)</f>
        <v>641934.03070561006</v>
      </c>
      <c r="AK4" s="170">
        <f>SUM(H4,M4,R4,W4,AB4,AG4)/AJ4</f>
        <v>0</v>
      </c>
      <c r="AL4" s="219"/>
      <c r="AM4" s="169">
        <f>F4*'Office Budget'!$I$10</f>
        <v>22469.035370207577</v>
      </c>
      <c r="AN4" s="170">
        <f>AL4/AM4</f>
        <v>0</v>
      </c>
      <c r="AO4" s="169">
        <f>SUM(I4,N4,S4,X4,AC4,AH4,AM4)</f>
        <v>664403.06607581768</v>
      </c>
      <c r="AP4" s="170">
        <f>SUM(H4,M4,R4,W4,AB4,AG4,AL4)/AO4</f>
        <v>0</v>
      </c>
      <c r="AQ4" s="219"/>
      <c r="AR4" s="169">
        <f>F4*'Office Budget'!$I$11</f>
        <v>76235.389493891169</v>
      </c>
      <c r="AS4" s="170">
        <f>AQ4/AR4</f>
        <v>0</v>
      </c>
      <c r="AT4" s="169">
        <f>SUM(I4,N4,S4,X4,AC4,AH4,AM4,AR4)</f>
        <v>740638.45556970884</v>
      </c>
      <c r="AU4" s="170">
        <f>SUM(H4,M4,R4,W4,AB4,AG4,AL4,AQ4)/AT4</f>
        <v>0</v>
      </c>
      <c r="AV4" s="219"/>
      <c r="AW4" s="169">
        <f>F4*'Office Budget'!$I$12</f>
        <v>148317.54920253324</v>
      </c>
      <c r="AX4" s="170">
        <f>AV4/AW4</f>
        <v>0</v>
      </c>
      <c r="AY4" s="169">
        <f>SUM(I4,N4,S4,X4,AC4,AH4,AM4,AR4,AW4)</f>
        <v>888956.00477224204</v>
      </c>
      <c r="AZ4" s="170">
        <f>SUM(H4,M4,R4,W4,AB4,AG4,AL4,AQ4,AV4)/AY4</f>
        <v>0</v>
      </c>
      <c r="BA4" s="219"/>
      <c r="BB4" s="169">
        <f>F4*'Office Budget'!$I$13</f>
        <v>96190.756247869547</v>
      </c>
      <c r="BC4" s="170">
        <f>BA4/BB4</f>
        <v>0</v>
      </c>
      <c r="BD4" s="169">
        <f>SUM(I4,N4,S4,X4,AC4,AH4,AM4,AR4,AW4,BB4)</f>
        <v>985146.76102011162</v>
      </c>
      <c r="BE4" s="170">
        <f>SUM(H4,M4,R4,W4,AB4,AG4,AL4,AQ4,AV4,BA4)/BD4</f>
        <v>0</v>
      </c>
      <c r="BF4" s="219"/>
      <c r="BG4" s="169">
        <f>F4*'Office Budget'!$I$14</f>
        <v>89334.386605428866</v>
      </c>
      <c r="BH4" s="170">
        <f>BF4/BG4</f>
        <v>0</v>
      </c>
      <c r="BI4" s="169">
        <f>SUM(I4,N4,S4,X4,AC4,AH4,AM4,AR4,AW4,BB4,BG4)</f>
        <v>1074481.1476255404</v>
      </c>
      <c r="BJ4" s="170">
        <f>SUM(H4,M4,R4,W4,AB4,AG4,AL4,AQ4,AV4,BA4,BF4)/BI4</f>
        <v>0</v>
      </c>
      <c r="BK4" s="219"/>
      <c r="BL4" s="177">
        <f>F4*'Office Budget'!$I$15</f>
        <v>125518.85237445953</v>
      </c>
      <c r="BM4" s="172">
        <f>BK4/BL4</f>
        <v>0</v>
      </c>
      <c r="BN4" s="177">
        <f>SUM(I4,N4,S4,X4,AC4,AH4,AM4,AR4,AW4,BB4,BG4,BL4)</f>
        <v>1200000</v>
      </c>
      <c r="BO4" s="172">
        <f>SUM(H4,M4,R4,W4,AB4,AG4,AL4,AQ4,AV4,BA4,BF4,BK4)/BN4</f>
        <v>0</v>
      </c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</row>
    <row r="5" spans="1:170" s="29" customFormat="1">
      <c r="A5" s="39" t="s">
        <v>27</v>
      </c>
      <c r="B5" s="41" t="s">
        <v>28</v>
      </c>
      <c r="C5" s="41" t="s">
        <v>29</v>
      </c>
      <c r="D5" s="40"/>
      <c r="E5" s="122">
        <f>'Agent Budget &amp; Travel'!D18</f>
        <v>450000</v>
      </c>
      <c r="F5" s="119">
        <f>'Agent Budget &amp; Travel'!E18</f>
        <v>1000000</v>
      </c>
      <c r="G5" s="121">
        <f>'Agent Budget &amp; Travel'!F18</f>
        <v>1100000</v>
      </c>
      <c r="H5" s="212"/>
      <c r="I5" s="213">
        <f>F5*'Office Budget'!$I$4</f>
        <v>52305.443674985203</v>
      </c>
      <c r="J5" s="230">
        <f t="shared" ref="J5:J10" si="0">H5/I5</f>
        <v>0</v>
      </c>
      <c r="K5" s="214">
        <f t="shared" ref="K5:K10" si="1">I5</f>
        <v>52305.443674985203</v>
      </c>
      <c r="L5" s="230">
        <f t="shared" ref="L5:L10" si="2">H5/K5</f>
        <v>0</v>
      </c>
      <c r="M5" s="220"/>
      <c r="N5" s="214">
        <f>F5*'Office Budget'!$I$5</f>
        <v>61367.629711691989</v>
      </c>
      <c r="O5" s="232">
        <f t="shared" ref="O5:O10" si="3">M5/N5</f>
        <v>0</v>
      </c>
      <c r="P5" s="216">
        <f t="shared" ref="P5:P10" si="4">SUM(I5,N5)</f>
        <v>113673.07338667719</v>
      </c>
      <c r="Q5" s="232">
        <f t="shared" ref="Q5:Q9" si="5">SUM(H5,M5)/P5</f>
        <v>0</v>
      </c>
      <c r="R5" s="209"/>
      <c r="S5" s="169">
        <f>F5*'Office Budget'!$I$6</f>
        <v>114199.94303808824</v>
      </c>
      <c r="T5" s="170">
        <f t="shared" ref="T5:T10" si="6">R5/S5</f>
        <v>0</v>
      </c>
      <c r="U5" s="218">
        <f t="shared" ref="U5:U10" si="7">SUM(I5,N5,S5)</f>
        <v>227873.01642476543</v>
      </c>
      <c r="V5" s="170">
        <f t="shared" ref="V5:V10" si="8">SUM(H5,M5,R5)/U5</f>
        <v>0</v>
      </c>
      <c r="W5" s="173"/>
      <c r="X5" s="169">
        <f>F5*'Office Budget'!$I$7</f>
        <v>95944.869727659272</v>
      </c>
      <c r="Y5" s="170">
        <f t="shared" ref="Y5:Y10" si="9">W5/X5</f>
        <v>0</v>
      </c>
      <c r="Z5" s="218">
        <f t="shared" ref="Z5:Z10" si="10">SUM(I5,N5,S5,X5)</f>
        <v>323817.88615242473</v>
      </c>
      <c r="AA5" s="170">
        <f t="shared" ref="AA5:AA10" si="11">SUM(H5,M5,R5,W5)/Z5</f>
        <v>0</v>
      </c>
      <c r="AB5" s="173"/>
      <c r="AC5" s="169">
        <f>F5*'Office Budget'!$I$8</f>
        <v>86567.529019178677</v>
      </c>
      <c r="AD5" s="170">
        <f t="shared" ref="AD5:AD10" si="12">AB5/AC5</f>
        <v>0</v>
      </c>
      <c r="AE5" s="218">
        <f t="shared" ref="AE5:AE10" si="13">SUM(I5,N5,S5,X5,AC5)</f>
        <v>410385.41517160344</v>
      </c>
      <c r="AF5" s="170">
        <f t="shared" ref="AF5:AF10" si="14">SUM(H5,M5,R5,W5,AB5)/AE5</f>
        <v>0</v>
      </c>
      <c r="AG5" s="173"/>
      <c r="AH5" s="169">
        <f>F5*'Office Budget'!$I$9</f>
        <v>124559.61041640503</v>
      </c>
      <c r="AI5" s="170">
        <f t="shared" ref="AI5:AI10" si="15">AG5/AH5</f>
        <v>0</v>
      </c>
      <c r="AJ5" s="169">
        <f t="shared" ref="AJ5:AJ10" si="16">F5*52.03%</f>
        <v>520300</v>
      </c>
      <c r="AK5" s="170">
        <f t="shared" ref="AK5:AK10" si="17">SUM(H5,M5,R5,W5,AB5,AG5)/AJ5</f>
        <v>0</v>
      </c>
      <c r="AL5" s="173"/>
      <c r="AM5" s="169">
        <f>F5*'Office Budget'!$I$10</f>
        <v>18724.196141839646</v>
      </c>
      <c r="AN5" s="170">
        <f t="shared" ref="AN5:AN10" si="18">AL5/AM5</f>
        <v>0</v>
      </c>
      <c r="AO5" s="169">
        <f t="shared" ref="AO5:AO10" si="19">F5*55.42%</f>
        <v>554200</v>
      </c>
      <c r="AP5" s="170">
        <f t="shared" ref="AP5:AP10" si="20">SUM(H5,M5,R5,W5,AB5,AG5,AL5)/AO5</f>
        <v>0</v>
      </c>
      <c r="AQ5" s="173"/>
      <c r="AR5" s="169">
        <f>F5*'Office Budget'!$I$11</f>
        <v>63529.49124490931</v>
      </c>
      <c r="AS5" s="170">
        <f t="shared" ref="AS5:AS10" si="21">AQ5/AR5</f>
        <v>0</v>
      </c>
      <c r="AT5" s="169">
        <f t="shared" ref="AT5:AT10" si="22">SUM(I5,N5,S5,X5,AC5,AH5,AM5,AR5)</f>
        <v>617198.71297475742</v>
      </c>
      <c r="AU5" s="170">
        <f t="shared" ref="AU5:AU10" si="23">SUM(H5,M5,R5,W5,AB5,AG5,AL5,AQ5)/AT5</f>
        <v>0</v>
      </c>
      <c r="AV5" s="173"/>
      <c r="AW5" s="169">
        <f>F5*'Office Budget'!$I$12</f>
        <v>123597.9576687777</v>
      </c>
      <c r="AX5" s="170">
        <f t="shared" ref="AX5:AX10" si="24">AV5/AW5</f>
        <v>0</v>
      </c>
      <c r="AY5" s="169">
        <f t="shared" ref="AY5:AY10" si="25">SUM(I5,N5,S5,X5,AC5,AH5,AM5,AR5,AW5)</f>
        <v>740796.67064353509</v>
      </c>
      <c r="AZ5" s="170">
        <f t="shared" ref="AZ5:AZ10" si="26">SUM(H5,M5,R5,W5,AB5,AG5,AL5,AQ5,AV5)/AY5</f>
        <v>0</v>
      </c>
      <c r="BA5" s="173"/>
      <c r="BB5" s="169">
        <f>F5*'Office Budget'!$I$13</f>
        <v>80158.96353989128</v>
      </c>
      <c r="BC5" s="170">
        <f t="shared" ref="BC5:BC10" si="27">BA5/BB5</f>
        <v>0</v>
      </c>
      <c r="BD5" s="169">
        <f t="shared" ref="BD5:BD10" si="28">SUM(I5,N5,S5,X5,AC5,AH5,AM5,AR5,AW5,BB5)</f>
        <v>820955.63418342639</v>
      </c>
      <c r="BE5" s="170">
        <f t="shared" ref="BE5:BE10" si="29">SUM(H5,M5,R5,W5,AB5,AG5,AL5,AQ5,AV5,BA5)/BD5</f>
        <v>0</v>
      </c>
      <c r="BF5" s="173"/>
      <c r="BG5" s="169">
        <f>F5*'Office Budget'!$I$14</f>
        <v>74445.322171190724</v>
      </c>
      <c r="BH5" s="170">
        <f t="shared" ref="BH5:BH10" si="30">BF5/BG5</f>
        <v>0</v>
      </c>
      <c r="BI5" s="169">
        <f t="shared" ref="BI5:BI10" si="31">F5*88.64%</f>
        <v>886400</v>
      </c>
      <c r="BJ5" s="170">
        <f t="shared" ref="BJ5:BJ10" si="32">SUM(H5,M5,R5,W5,AB5,AG5,AL5,AQ5,AV5,BA5,BF5)/BI5</f>
        <v>0</v>
      </c>
      <c r="BK5" s="173"/>
      <c r="BL5" s="177">
        <f>F5*'Office Budget'!$I$15</f>
        <v>104599.04364538295</v>
      </c>
      <c r="BM5" s="172">
        <f t="shared" ref="BM5:BM10" si="33">BK5/BL5</f>
        <v>0</v>
      </c>
      <c r="BN5" s="177">
        <f t="shared" ref="BN5:BN10" si="34">SUM(I5,N5,S5,X5,AC5,AH5,AM5,AR5,AW5,BB5,BG5,BL5)</f>
        <v>1000000.0000000001</v>
      </c>
      <c r="BO5" s="172">
        <f t="shared" ref="BO5:BO10" si="35">SUM(H5,M5,R5,W5,AB5,AG5,AL5,AQ5,AV5,BA5,BF5,BK5)/BN5</f>
        <v>0</v>
      </c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</row>
    <row r="6" spans="1:170" s="29" customFormat="1">
      <c r="A6" s="43" t="s">
        <v>30</v>
      </c>
      <c r="B6" s="45" t="s">
        <v>31</v>
      </c>
      <c r="C6" s="45" t="s">
        <v>32</v>
      </c>
      <c r="D6" s="44"/>
      <c r="E6" s="122">
        <f>'Agent Budget &amp; Travel'!D19</f>
        <v>300000</v>
      </c>
      <c r="F6" s="119">
        <f>'Agent Budget &amp; Travel'!E19</f>
        <v>400000</v>
      </c>
      <c r="G6" s="121">
        <f>'Agent Budget &amp; Travel'!F19</f>
        <v>475000</v>
      </c>
      <c r="H6" s="212"/>
      <c r="I6" s="213">
        <f>F6*'Office Budget'!$I$4</f>
        <v>20922.17746999408</v>
      </c>
      <c r="J6" s="230">
        <f t="shared" si="0"/>
        <v>0</v>
      </c>
      <c r="K6" s="214">
        <f t="shared" si="1"/>
        <v>20922.17746999408</v>
      </c>
      <c r="L6" s="230">
        <f t="shared" si="2"/>
        <v>0</v>
      </c>
      <c r="M6" s="220"/>
      <c r="N6" s="214">
        <f>F6*'Office Budget'!$I$5</f>
        <v>24547.051884676795</v>
      </c>
      <c r="O6" s="232">
        <f t="shared" si="3"/>
        <v>0</v>
      </c>
      <c r="P6" s="216">
        <f t="shared" si="4"/>
        <v>45469.229354670875</v>
      </c>
      <c r="Q6" s="232">
        <f t="shared" si="5"/>
        <v>0</v>
      </c>
      <c r="R6" s="209"/>
      <c r="S6" s="169">
        <f>F6*'Office Budget'!$I$6</f>
        <v>45679.977215235296</v>
      </c>
      <c r="T6" s="170">
        <f t="shared" si="6"/>
        <v>0</v>
      </c>
      <c r="U6" s="218">
        <f t="shared" si="7"/>
        <v>91149.206569906179</v>
      </c>
      <c r="V6" s="170">
        <f t="shared" si="8"/>
        <v>0</v>
      </c>
      <c r="W6" s="173"/>
      <c r="X6" s="169">
        <f>F6*'Office Budget'!$I$7</f>
        <v>38377.947891063704</v>
      </c>
      <c r="Y6" s="170">
        <f t="shared" si="9"/>
        <v>0</v>
      </c>
      <c r="Z6" s="218">
        <f t="shared" si="10"/>
        <v>129527.15446096988</v>
      </c>
      <c r="AA6" s="170">
        <f t="shared" si="11"/>
        <v>0</v>
      </c>
      <c r="AB6" s="173"/>
      <c r="AC6" s="169">
        <f>F6*'Office Budget'!$I$8</f>
        <v>34627.011607671469</v>
      </c>
      <c r="AD6" s="170">
        <f t="shared" si="12"/>
        <v>0</v>
      </c>
      <c r="AE6" s="218">
        <f t="shared" si="13"/>
        <v>164154.16606864135</v>
      </c>
      <c r="AF6" s="170">
        <f t="shared" si="14"/>
        <v>0</v>
      </c>
      <c r="AG6" s="173"/>
      <c r="AH6" s="169">
        <f>F6*'Office Budget'!$I$9</f>
        <v>49823.844166562012</v>
      </c>
      <c r="AI6" s="170">
        <f t="shared" si="15"/>
        <v>0</v>
      </c>
      <c r="AJ6" s="169">
        <f t="shared" si="16"/>
        <v>208120</v>
      </c>
      <c r="AK6" s="170">
        <f t="shared" si="17"/>
        <v>0</v>
      </c>
      <c r="AL6" s="173"/>
      <c r="AM6" s="169">
        <f>F6*'Office Budget'!$I$10</f>
        <v>7489.6784567358582</v>
      </c>
      <c r="AN6" s="170">
        <f t="shared" si="18"/>
        <v>0</v>
      </c>
      <c r="AO6" s="169">
        <f t="shared" si="19"/>
        <v>221680</v>
      </c>
      <c r="AP6" s="170">
        <f t="shared" si="20"/>
        <v>0</v>
      </c>
      <c r="AQ6" s="173"/>
      <c r="AR6" s="169">
        <f>F6*'Office Budget'!$I$11</f>
        <v>25411.796497963722</v>
      </c>
      <c r="AS6" s="170">
        <f t="shared" si="21"/>
        <v>0</v>
      </c>
      <c r="AT6" s="169">
        <f t="shared" si="22"/>
        <v>246879.48518990295</v>
      </c>
      <c r="AU6" s="170">
        <f t="shared" si="23"/>
        <v>0</v>
      </c>
      <c r="AV6" s="173"/>
      <c r="AW6" s="169">
        <f>F6*'Office Budget'!$I$12</f>
        <v>49439.183067511076</v>
      </c>
      <c r="AX6" s="170">
        <f t="shared" si="24"/>
        <v>0</v>
      </c>
      <c r="AY6" s="169">
        <f t="shared" si="25"/>
        <v>296318.66825741401</v>
      </c>
      <c r="AZ6" s="170">
        <f t="shared" si="26"/>
        <v>0</v>
      </c>
      <c r="BA6" s="173"/>
      <c r="BB6" s="169">
        <f>F6*'Office Budget'!$I$13</f>
        <v>32063.585415956513</v>
      </c>
      <c r="BC6" s="170">
        <f t="shared" si="27"/>
        <v>0</v>
      </c>
      <c r="BD6" s="169">
        <f t="shared" si="28"/>
        <v>328382.25367337052</v>
      </c>
      <c r="BE6" s="170">
        <f t="shared" si="29"/>
        <v>0</v>
      </c>
      <c r="BF6" s="173"/>
      <c r="BG6" s="169">
        <f>F6*'Office Budget'!$I$14</f>
        <v>29778.128868476288</v>
      </c>
      <c r="BH6" s="170">
        <f t="shared" si="30"/>
        <v>0</v>
      </c>
      <c r="BI6" s="169">
        <f t="shared" si="31"/>
        <v>354560</v>
      </c>
      <c r="BJ6" s="170">
        <f t="shared" si="32"/>
        <v>0</v>
      </c>
      <c r="BK6" s="173"/>
      <c r="BL6" s="177">
        <f>F6*'Office Budget'!$I$15</f>
        <v>41839.617458153174</v>
      </c>
      <c r="BM6" s="172">
        <f t="shared" si="33"/>
        <v>0</v>
      </c>
      <c r="BN6" s="177">
        <f t="shared" si="34"/>
        <v>400000</v>
      </c>
      <c r="BO6" s="172">
        <f t="shared" si="35"/>
        <v>0</v>
      </c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2"/>
      <c r="ET6" s="42"/>
      <c r="EU6" s="42"/>
      <c r="EV6" s="42"/>
      <c r="EW6" s="42"/>
      <c r="EX6" s="42"/>
      <c r="EY6" s="42"/>
      <c r="EZ6" s="42"/>
      <c r="FA6" s="42"/>
      <c r="FB6" s="42"/>
      <c r="FC6" s="42"/>
      <c r="FD6" s="42"/>
      <c r="FE6" s="42"/>
      <c r="FF6" s="42"/>
      <c r="FG6" s="42"/>
      <c r="FH6" s="42"/>
      <c r="FI6" s="42"/>
      <c r="FJ6" s="42"/>
      <c r="FK6" s="42"/>
      <c r="FL6" s="42"/>
      <c r="FM6" s="42"/>
      <c r="FN6" s="42"/>
    </row>
    <row r="7" spans="1:170">
      <c r="A7" s="47" t="s">
        <v>33</v>
      </c>
      <c r="B7" s="49" t="s">
        <v>34</v>
      </c>
      <c r="C7" s="49" t="s">
        <v>35</v>
      </c>
      <c r="D7" s="48"/>
      <c r="E7" s="122">
        <f>'Agent Budget &amp; Travel'!D20</f>
        <v>300000</v>
      </c>
      <c r="F7" s="119">
        <f>'Agent Budget &amp; Travel'!E20</f>
        <v>325000</v>
      </c>
      <c r="G7" s="121">
        <f>'Agent Budget &amp; Travel'!F20</f>
        <v>400000</v>
      </c>
      <c r="H7" s="212"/>
      <c r="I7" s="213">
        <f>F7*'Office Budget'!$I$4</f>
        <v>16999.26919437019</v>
      </c>
      <c r="J7" s="230">
        <f t="shared" si="0"/>
        <v>0</v>
      </c>
      <c r="K7" s="214">
        <f t="shared" si="1"/>
        <v>16999.26919437019</v>
      </c>
      <c r="L7" s="230">
        <f t="shared" si="2"/>
        <v>0</v>
      </c>
      <c r="M7" s="220"/>
      <c r="N7" s="214">
        <f>F7*'Office Budget'!$I$5</f>
        <v>19944.479656299896</v>
      </c>
      <c r="O7" s="232">
        <f t="shared" si="3"/>
        <v>0</v>
      </c>
      <c r="P7" s="216">
        <f t="shared" si="4"/>
        <v>36943.74885067009</v>
      </c>
      <c r="Q7" s="232">
        <f t="shared" si="5"/>
        <v>0</v>
      </c>
      <c r="R7" s="209"/>
      <c r="S7" s="169">
        <f>F7*'Office Budget'!$I$6</f>
        <v>37114.981487378675</v>
      </c>
      <c r="T7" s="170">
        <f t="shared" si="6"/>
        <v>0</v>
      </c>
      <c r="U7" s="218">
        <f t="shared" si="7"/>
        <v>74058.730338048772</v>
      </c>
      <c r="V7" s="170">
        <f t="shared" si="8"/>
        <v>0</v>
      </c>
      <c r="W7" s="173"/>
      <c r="X7" s="169">
        <f>F7*'Office Budget'!$I$7</f>
        <v>31182.082661489261</v>
      </c>
      <c r="Y7" s="170">
        <f t="shared" si="9"/>
        <v>0</v>
      </c>
      <c r="Z7" s="218">
        <f t="shared" si="10"/>
        <v>105240.81299953803</v>
      </c>
      <c r="AA7" s="170">
        <f t="shared" si="11"/>
        <v>0</v>
      </c>
      <c r="AB7" s="173"/>
      <c r="AC7" s="169">
        <f>F7*'Office Budget'!$I$8</f>
        <v>28134.446931233069</v>
      </c>
      <c r="AD7" s="170">
        <f t="shared" si="12"/>
        <v>0</v>
      </c>
      <c r="AE7" s="218">
        <f t="shared" si="13"/>
        <v>133375.25993077111</v>
      </c>
      <c r="AF7" s="170">
        <f t="shared" si="14"/>
        <v>0</v>
      </c>
      <c r="AG7" s="173"/>
      <c r="AH7" s="169">
        <f>F7*'Office Budget'!$I$9</f>
        <v>40481.873385331637</v>
      </c>
      <c r="AI7" s="170">
        <f t="shared" si="15"/>
        <v>0</v>
      </c>
      <c r="AJ7" s="169">
        <f t="shared" si="16"/>
        <v>169097.5</v>
      </c>
      <c r="AK7" s="170">
        <f t="shared" si="17"/>
        <v>0</v>
      </c>
      <c r="AL7" s="173"/>
      <c r="AM7" s="169">
        <f>F7*'Office Budget'!$I$10</f>
        <v>6085.3637460978853</v>
      </c>
      <c r="AN7" s="170">
        <f t="shared" si="18"/>
        <v>0</v>
      </c>
      <c r="AO7" s="169">
        <f t="shared" si="19"/>
        <v>180115</v>
      </c>
      <c r="AP7" s="170">
        <f t="shared" si="20"/>
        <v>0</v>
      </c>
      <c r="AQ7" s="173"/>
      <c r="AR7" s="169">
        <f>F7*'Office Budget'!$I$11</f>
        <v>20647.084654595525</v>
      </c>
      <c r="AS7" s="170">
        <f t="shared" si="21"/>
        <v>0</v>
      </c>
      <c r="AT7" s="169">
        <f t="shared" si="22"/>
        <v>200589.58171679615</v>
      </c>
      <c r="AU7" s="170">
        <f t="shared" si="23"/>
        <v>0</v>
      </c>
      <c r="AV7" s="173"/>
      <c r="AW7" s="169">
        <f>F7*'Office Budget'!$I$12</f>
        <v>40169.336242352751</v>
      </c>
      <c r="AX7" s="170">
        <f t="shared" si="24"/>
        <v>0</v>
      </c>
      <c r="AY7" s="169">
        <f t="shared" si="25"/>
        <v>240758.91795914891</v>
      </c>
      <c r="AZ7" s="170">
        <f t="shared" si="26"/>
        <v>0</v>
      </c>
      <c r="BA7" s="173"/>
      <c r="BB7" s="169">
        <f>F7*'Office Budget'!$I$13</f>
        <v>26051.663150464668</v>
      </c>
      <c r="BC7" s="170">
        <f t="shared" si="27"/>
        <v>0</v>
      </c>
      <c r="BD7" s="169">
        <f t="shared" si="28"/>
        <v>266810.58110961359</v>
      </c>
      <c r="BE7" s="170">
        <f t="shared" si="29"/>
        <v>0</v>
      </c>
      <c r="BF7" s="173"/>
      <c r="BG7" s="169">
        <f>F7*'Office Budget'!$I$14</f>
        <v>24194.729705636986</v>
      </c>
      <c r="BH7" s="170">
        <f t="shared" si="30"/>
        <v>0</v>
      </c>
      <c r="BI7" s="169">
        <f t="shared" si="31"/>
        <v>288080</v>
      </c>
      <c r="BJ7" s="170">
        <f t="shared" si="32"/>
        <v>0</v>
      </c>
      <c r="BK7" s="173"/>
      <c r="BL7" s="177">
        <f>F7*'Office Budget'!$I$15</f>
        <v>33994.689184749455</v>
      </c>
      <c r="BM7" s="172">
        <f t="shared" si="33"/>
        <v>0</v>
      </c>
      <c r="BN7" s="177">
        <f t="shared" si="34"/>
        <v>325000</v>
      </c>
      <c r="BO7" s="172">
        <f t="shared" si="35"/>
        <v>0</v>
      </c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</row>
    <row r="8" spans="1:170">
      <c r="A8" s="51" t="s">
        <v>36</v>
      </c>
      <c r="B8" s="52" t="s">
        <v>37</v>
      </c>
      <c r="C8" s="52" t="s">
        <v>38</v>
      </c>
      <c r="D8" s="53"/>
      <c r="E8" s="122">
        <f>'Agent Budget &amp; Travel'!D21</f>
        <v>200000</v>
      </c>
      <c r="F8" s="119">
        <f>'Agent Budget &amp; Travel'!E21</f>
        <v>650000</v>
      </c>
      <c r="G8" s="121">
        <f>'Agent Budget &amp; Travel'!F21</f>
        <v>650000</v>
      </c>
      <c r="H8" s="212"/>
      <c r="I8" s="213">
        <f>F8*'Office Budget'!$I$4</f>
        <v>33998.53838874038</v>
      </c>
      <c r="J8" s="230">
        <f t="shared" si="0"/>
        <v>0</v>
      </c>
      <c r="K8" s="214">
        <f t="shared" si="1"/>
        <v>33998.53838874038</v>
      </c>
      <c r="L8" s="230">
        <f t="shared" si="2"/>
        <v>0</v>
      </c>
      <c r="M8" s="221"/>
      <c r="N8" s="214">
        <f>F8*'Office Budget'!$I$5</f>
        <v>39888.959312599793</v>
      </c>
      <c r="O8" s="232">
        <f t="shared" si="3"/>
        <v>0</v>
      </c>
      <c r="P8" s="216">
        <f t="shared" si="4"/>
        <v>73887.49770134018</v>
      </c>
      <c r="Q8" s="232">
        <f t="shared" si="5"/>
        <v>0</v>
      </c>
      <c r="R8" s="209"/>
      <c r="S8" s="169">
        <f>F8*'Office Budget'!$I$6</f>
        <v>74229.962974757349</v>
      </c>
      <c r="T8" s="170">
        <f t="shared" si="6"/>
        <v>0</v>
      </c>
      <c r="U8" s="218">
        <f t="shared" si="7"/>
        <v>148117.46067609754</v>
      </c>
      <c r="V8" s="170">
        <f t="shared" si="8"/>
        <v>0</v>
      </c>
      <c r="W8" s="173"/>
      <c r="X8" s="169">
        <f>F8*'Office Budget'!$I$7</f>
        <v>62364.165322978522</v>
      </c>
      <c r="Y8" s="170">
        <f t="shared" si="9"/>
        <v>0</v>
      </c>
      <c r="Z8" s="218">
        <f t="shared" si="10"/>
        <v>210481.62599907606</v>
      </c>
      <c r="AA8" s="170">
        <f t="shared" si="11"/>
        <v>0</v>
      </c>
      <c r="AB8" s="173"/>
      <c r="AC8" s="169">
        <f>F8*'Office Budget'!$I$8</f>
        <v>56268.893862466139</v>
      </c>
      <c r="AD8" s="170">
        <f t="shared" si="12"/>
        <v>0</v>
      </c>
      <c r="AE8" s="218">
        <f t="shared" si="13"/>
        <v>266750.51986154221</v>
      </c>
      <c r="AF8" s="170">
        <f t="shared" si="14"/>
        <v>0</v>
      </c>
      <c r="AG8" s="173"/>
      <c r="AH8" s="169">
        <f>F8*'Office Budget'!$I$9</f>
        <v>80963.746770663274</v>
      </c>
      <c r="AI8" s="170">
        <f t="shared" si="15"/>
        <v>0</v>
      </c>
      <c r="AJ8" s="169">
        <f t="shared" si="16"/>
        <v>338195</v>
      </c>
      <c r="AK8" s="170">
        <f t="shared" si="17"/>
        <v>0</v>
      </c>
      <c r="AL8" s="173"/>
      <c r="AM8" s="169">
        <f>F8*'Office Budget'!$I$10</f>
        <v>12170.727492195771</v>
      </c>
      <c r="AN8" s="170">
        <f t="shared" si="18"/>
        <v>0</v>
      </c>
      <c r="AO8" s="169">
        <f t="shared" si="19"/>
        <v>360230</v>
      </c>
      <c r="AP8" s="170">
        <f t="shared" si="20"/>
        <v>0</v>
      </c>
      <c r="AQ8" s="173"/>
      <c r="AR8" s="169">
        <f>F8*'Office Budget'!$I$11</f>
        <v>41294.169309191049</v>
      </c>
      <c r="AS8" s="170">
        <f t="shared" si="21"/>
        <v>0</v>
      </c>
      <c r="AT8" s="169">
        <f t="shared" si="22"/>
        <v>401179.1634335923</v>
      </c>
      <c r="AU8" s="170">
        <f t="shared" si="23"/>
        <v>0</v>
      </c>
      <c r="AV8" s="173"/>
      <c r="AW8" s="169">
        <f>F8*'Office Budget'!$I$12</f>
        <v>80338.672484705501</v>
      </c>
      <c r="AX8" s="170">
        <f t="shared" si="24"/>
        <v>0</v>
      </c>
      <c r="AY8" s="169">
        <f t="shared" si="25"/>
        <v>481517.83591829782</v>
      </c>
      <c r="AZ8" s="170">
        <f t="shared" si="26"/>
        <v>0</v>
      </c>
      <c r="BA8" s="173"/>
      <c r="BB8" s="169">
        <f>F8*'Office Budget'!$I$13</f>
        <v>52103.326300929337</v>
      </c>
      <c r="BC8" s="170">
        <f t="shared" si="27"/>
        <v>0</v>
      </c>
      <c r="BD8" s="169">
        <f t="shared" si="28"/>
        <v>533621.16221922718</v>
      </c>
      <c r="BE8" s="170">
        <f t="shared" si="29"/>
        <v>0</v>
      </c>
      <c r="BF8" s="173"/>
      <c r="BG8" s="169">
        <f>F8*'Office Budget'!$I$14</f>
        <v>48389.459411273972</v>
      </c>
      <c r="BH8" s="170">
        <f t="shared" si="30"/>
        <v>0</v>
      </c>
      <c r="BI8" s="169">
        <f t="shared" si="31"/>
        <v>576160</v>
      </c>
      <c r="BJ8" s="170">
        <f t="shared" si="32"/>
        <v>0</v>
      </c>
      <c r="BK8" s="173"/>
      <c r="BL8" s="177">
        <f>F8*'Office Budget'!$I$15</f>
        <v>67989.378369498911</v>
      </c>
      <c r="BM8" s="172">
        <f t="shared" si="33"/>
        <v>0</v>
      </c>
      <c r="BN8" s="177">
        <f t="shared" si="34"/>
        <v>650000</v>
      </c>
      <c r="BO8" s="172">
        <f t="shared" si="35"/>
        <v>0</v>
      </c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H8" s="50"/>
      <c r="FI8" s="50"/>
      <c r="FJ8" s="50"/>
      <c r="FK8" s="50"/>
      <c r="FL8" s="50"/>
      <c r="FM8" s="50"/>
      <c r="FN8" s="50"/>
    </row>
    <row r="9" spans="1:170" s="28" customFormat="1">
      <c r="A9" s="55" t="s">
        <v>39</v>
      </c>
      <c r="B9" s="55" t="s">
        <v>40</v>
      </c>
      <c r="C9" s="55" t="s">
        <v>41</v>
      </c>
      <c r="D9" s="241"/>
      <c r="E9" s="122">
        <f>'Agent Budget &amp; Travel'!D22</f>
        <v>0</v>
      </c>
      <c r="F9" s="119">
        <f>'Agent Budget &amp; Travel'!E22</f>
        <v>200000</v>
      </c>
      <c r="G9" s="383" t="str">
        <f>'Agent Budget &amp; Travel'!F22</f>
        <v>N/A</v>
      </c>
      <c r="H9" s="212"/>
      <c r="I9" s="213">
        <f>F9*'Office Budget'!$I$4</f>
        <v>10461.08873499704</v>
      </c>
      <c r="J9" s="230">
        <f t="shared" si="0"/>
        <v>0</v>
      </c>
      <c r="K9" s="214">
        <f t="shared" si="1"/>
        <v>10461.08873499704</v>
      </c>
      <c r="L9" s="230">
        <f t="shared" si="2"/>
        <v>0</v>
      </c>
      <c r="M9" s="221"/>
      <c r="N9" s="214">
        <f>F9*'Office Budget'!$I$5</f>
        <v>12273.525942338398</v>
      </c>
      <c r="O9" s="232">
        <f t="shared" si="3"/>
        <v>0</v>
      </c>
      <c r="P9" s="216">
        <f t="shared" si="4"/>
        <v>22734.614677335438</v>
      </c>
      <c r="Q9" s="232">
        <f t="shared" si="5"/>
        <v>0</v>
      </c>
      <c r="R9" s="209"/>
      <c r="S9" s="169">
        <f>F9*'Office Budget'!$I$6</f>
        <v>22839.988607617648</v>
      </c>
      <c r="T9" s="170">
        <f t="shared" si="6"/>
        <v>0</v>
      </c>
      <c r="U9" s="218">
        <f t="shared" si="7"/>
        <v>45574.603284953089</v>
      </c>
      <c r="V9" s="170">
        <f t="shared" si="8"/>
        <v>0</v>
      </c>
      <c r="W9" s="173"/>
      <c r="X9" s="169">
        <f>F9*'Office Budget'!$I$7</f>
        <v>19188.973945531852</v>
      </c>
      <c r="Y9" s="170">
        <f t="shared" si="9"/>
        <v>0</v>
      </c>
      <c r="Z9" s="218">
        <f t="shared" si="10"/>
        <v>64763.577230484938</v>
      </c>
      <c r="AA9" s="170">
        <f t="shared" si="11"/>
        <v>0</v>
      </c>
      <c r="AB9" s="173"/>
      <c r="AC9" s="169">
        <f>F9*'Office Budget'!$I$8</f>
        <v>17313.505803835735</v>
      </c>
      <c r="AD9" s="170">
        <f t="shared" si="12"/>
        <v>0</v>
      </c>
      <c r="AE9" s="218">
        <f t="shared" si="13"/>
        <v>82077.083034320676</v>
      </c>
      <c r="AF9" s="170">
        <f t="shared" si="14"/>
        <v>0</v>
      </c>
      <c r="AG9" s="173"/>
      <c r="AH9" s="169">
        <f>F9*'Office Budget'!$I$9</f>
        <v>24911.922083281006</v>
      </c>
      <c r="AI9" s="170">
        <f t="shared" si="15"/>
        <v>0</v>
      </c>
      <c r="AJ9" s="169">
        <f t="shared" si="16"/>
        <v>104060</v>
      </c>
      <c r="AK9" s="170">
        <f t="shared" si="17"/>
        <v>0</v>
      </c>
      <c r="AL9" s="173"/>
      <c r="AM9" s="169">
        <f>F9*'Office Budget'!$I$10</f>
        <v>3744.8392283679291</v>
      </c>
      <c r="AN9" s="170">
        <f t="shared" si="18"/>
        <v>0</v>
      </c>
      <c r="AO9" s="169">
        <f t="shared" si="19"/>
        <v>110840</v>
      </c>
      <c r="AP9" s="170">
        <f t="shared" si="20"/>
        <v>0</v>
      </c>
      <c r="AQ9" s="173"/>
      <c r="AR9" s="169">
        <f>F9*'Office Budget'!$I$11</f>
        <v>12705.898248981861</v>
      </c>
      <c r="AS9" s="170">
        <f t="shared" si="21"/>
        <v>0</v>
      </c>
      <c r="AT9" s="169">
        <f t="shared" si="22"/>
        <v>123439.74259495147</v>
      </c>
      <c r="AU9" s="170">
        <f t="shared" si="23"/>
        <v>0</v>
      </c>
      <c r="AV9" s="173"/>
      <c r="AW9" s="169">
        <f>F9*'Office Budget'!$I$12</f>
        <v>24719.591533755538</v>
      </c>
      <c r="AX9" s="170">
        <f t="shared" si="24"/>
        <v>0</v>
      </c>
      <c r="AY9" s="169">
        <f t="shared" si="25"/>
        <v>148159.33412870701</v>
      </c>
      <c r="AZ9" s="170">
        <f t="shared" si="26"/>
        <v>0</v>
      </c>
      <c r="BA9" s="173"/>
      <c r="BB9" s="169">
        <f>F9*'Office Budget'!$I$13</f>
        <v>16031.792707978257</v>
      </c>
      <c r="BC9" s="170">
        <f t="shared" si="27"/>
        <v>0</v>
      </c>
      <c r="BD9" s="169">
        <f t="shared" si="28"/>
        <v>164191.12683668526</v>
      </c>
      <c r="BE9" s="170">
        <f t="shared" si="29"/>
        <v>0</v>
      </c>
      <c r="BF9" s="173"/>
      <c r="BG9" s="169">
        <f>F9*'Office Budget'!$I$14</f>
        <v>14889.064434238144</v>
      </c>
      <c r="BH9" s="170">
        <f t="shared" si="30"/>
        <v>0</v>
      </c>
      <c r="BI9" s="169">
        <f t="shared" si="31"/>
        <v>177280</v>
      </c>
      <c r="BJ9" s="170">
        <f t="shared" si="32"/>
        <v>0</v>
      </c>
      <c r="BK9" s="173"/>
      <c r="BL9" s="177">
        <f>F9*'Office Budget'!$I$15</f>
        <v>20919.808729076587</v>
      </c>
      <c r="BM9" s="172">
        <f t="shared" si="33"/>
        <v>0</v>
      </c>
      <c r="BN9" s="177">
        <f t="shared" si="34"/>
        <v>200000</v>
      </c>
      <c r="BO9" s="172">
        <f t="shared" si="35"/>
        <v>0</v>
      </c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/>
      <c r="DO9" s="54"/>
      <c r="DP9" s="54"/>
      <c r="DQ9" s="54"/>
      <c r="DR9" s="54"/>
      <c r="DS9" s="54"/>
      <c r="DT9" s="54"/>
      <c r="DU9" s="54"/>
      <c r="DV9" s="54"/>
      <c r="DW9" s="54"/>
      <c r="DX9" s="54"/>
      <c r="DY9" s="54"/>
      <c r="DZ9" s="54"/>
      <c r="EA9" s="54"/>
      <c r="EB9" s="54"/>
      <c r="EC9" s="54"/>
      <c r="ED9" s="54"/>
      <c r="EE9" s="54"/>
      <c r="EF9" s="54"/>
      <c r="EG9" s="54"/>
      <c r="EH9" s="54"/>
      <c r="EI9" s="54"/>
      <c r="EJ9" s="54"/>
      <c r="EK9" s="54"/>
      <c r="EL9" s="54"/>
      <c r="EM9" s="54"/>
      <c r="EN9" s="54"/>
      <c r="EO9" s="54"/>
      <c r="EP9" s="54"/>
      <c r="EQ9" s="54"/>
      <c r="ER9" s="54"/>
      <c r="ES9" s="54"/>
      <c r="ET9" s="54"/>
      <c r="EU9" s="54"/>
      <c r="EV9" s="54"/>
      <c r="EW9" s="54"/>
      <c r="EX9" s="54"/>
      <c r="EY9" s="54"/>
      <c r="EZ9" s="54"/>
      <c r="FA9" s="54"/>
      <c r="FB9" s="54"/>
      <c r="FC9" s="54"/>
      <c r="FD9" s="54"/>
      <c r="FE9" s="54"/>
      <c r="FF9" s="54"/>
      <c r="FG9" s="54"/>
      <c r="FH9" s="54"/>
      <c r="FI9" s="54"/>
      <c r="FJ9" s="54"/>
      <c r="FK9" s="54"/>
      <c r="FL9" s="54"/>
      <c r="FM9" s="54"/>
      <c r="FN9" s="54"/>
    </row>
    <row r="10" spans="1:170" s="28" customFormat="1">
      <c r="A10" s="64" t="s">
        <v>168</v>
      </c>
      <c r="B10" s="64" t="s">
        <v>166</v>
      </c>
      <c r="C10" s="64" t="s">
        <v>170</v>
      </c>
      <c r="D10" s="241"/>
      <c r="E10" s="122">
        <f>'Agent Budget &amp; Travel'!D23</f>
        <v>0</v>
      </c>
      <c r="F10" s="119">
        <f>'Agent Budget &amp; Travel'!E23</f>
        <v>300000</v>
      </c>
      <c r="G10" s="383" t="str">
        <f>'Agent Budget &amp; Travel'!F23</f>
        <v>N/A</v>
      </c>
      <c r="H10" s="212"/>
      <c r="I10" s="213">
        <f>F10*0</f>
        <v>0</v>
      </c>
      <c r="J10" s="230" t="e">
        <f t="shared" si="0"/>
        <v>#DIV/0!</v>
      </c>
      <c r="K10" s="214">
        <f t="shared" si="1"/>
        <v>0</v>
      </c>
      <c r="L10" s="230" t="e">
        <f t="shared" si="2"/>
        <v>#DIV/0!</v>
      </c>
      <c r="M10" s="209"/>
      <c r="N10" s="214">
        <f>F10*0</f>
        <v>0</v>
      </c>
      <c r="O10" s="232" t="e">
        <f t="shared" si="3"/>
        <v>#DIV/0!</v>
      </c>
      <c r="P10" s="216">
        <f t="shared" si="4"/>
        <v>0</v>
      </c>
      <c r="Q10" s="232" t="e">
        <f>SUM(H10,M10)/P10</f>
        <v>#DIV/0!</v>
      </c>
      <c r="R10" s="209"/>
      <c r="S10" s="169">
        <f>F10*0</f>
        <v>0</v>
      </c>
      <c r="T10" s="170" t="e">
        <f t="shared" si="6"/>
        <v>#DIV/0!</v>
      </c>
      <c r="U10" s="218">
        <f t="shared" si="7"/>
        <v>0</v>
      </c>
      <c r="V10" s="170" t="e">
        <f t="shared" si="8"/>
        <v>#DIV/0!</v>
      </c>
      <c r="W10" s="173"/>
      <c r="X10" s="169">
        <f>F10*0</f>
        <v>0</v>
      </c>
      <c r="Y10" s="172" t="e">
        <f t="shared" si="9"/>
        <v>#DIV/0!</v>
      </c>
      <c r="Z10" s="218">
        <f t="shared" si="10"/>
        <v>0</v>
      </c>
      <c r="AA10" s="170" t="e">
        <f t="shared" si="11"/>
        <v>#DIV/0!</v>
      </c>
      <c r="AB10" s="173"/>
      <c r="AC10" s="169">
        <f>F10*0</f>
        <v>0</v>
      </c>
      <c r="AD10" s="172" t="e">
        <f t="shared" si="12"/>
        <v>#DIV/0!</v>
      </c>
      <c r="AE10" s="218">
        <f t="shared" si="13"/>
        <v>0</v>
      </c>
      <c r="AF10" s="170" t="e">
        <f t="shared" si="14"/>
        <v>#DIV/0!</v>
      </c>
      <c r="AG10" s="173"/>
      <c r="AH10" s="169">
        <f>F10*0</f>
        <v>0</v>
      </c>
      <c r="AI10" s="172" t="e">
        <f t="shared" si="15"/>
        <v>#DIV/0!</v>
      </c>
      <c r="AJ10" s="171">
        <f t="shared" si="16"/>
        <v>156090</v>
      </c>
      <c r="AK10" s="170">
        <f t="shared" si="17"/>
        <v>0</v>
      </c>
      <c r="AL10" s="173"/>
      <c r="AM10" s="169">
        <f>F10*0</f>
        <v>0</v>
      </c>
      <c r="AN10" s="172" t="e">
        <f t="shared" si="18"/>
        <v>#DIV/0!</v>
      </c>
      <c r="AO10" s="171">
        <f t="shared" si="19"/>
        <v>166260</v>
      </c>
      <c r="AP10" s="170">
        <f t="shared" si="20"/>
        <v>0</v>
      </c>
      <c r="AQ10" s="173"/>
      <c r="AR10" s="169">
        <f>F10*'Office Budget'!$I$11</f>
        <v>19058.847373472792</v>
      </c>
      <c r="AS10" s="172">
        <f t="shared" si="21"/>
        <v>0</v>
      </c>
      <c r="AT10" s="169">
        <f t="shared" si="22"/>
        <v>19058.847373472792</v>
      </c>
      <c r="AU10" s="170">
        <f t="shared" si="23"/>
        <v>0</v>
      </c>
      <c r="AV10" s="173"/>
      <c r="AW10" s="169">
        <f>F10*'Office Budget'!$I$12</f>
        <v>37079.387300633309</v>
      </c>
      <c r="AX10" s="170">
        <f t="shared" si="24"/>
        <v>0</v>
      </c>
      <c r="AY10" s="169">
        <f t="shared" si="25"/>
        <v>56138.234674106105</v>
      </c>
      <c r="AZ10" s="170">
        <f t="shared" si="26"/>
        <v>0</v>
      </c>
      <c r="BA10" s="173"/>
      <c r="BB10" s="169">
        <f>F10*'Office Budget'!$I$13</f>
        <v>24047.689061967387</v>
      </c>
      <c r="BC10" s="172">
        <f t="shared" si="27"/>
        <v>0</v>
      </c>
      <c r="BD10" s="169">
        <f t="shared" si="28"/>
        <v>80185.923736073484</v>
      </c>
      <c r="BE10" s="170">
        <f t="shared" si="29"/>
        <v>0</v>
      </c>
      <c r="BF10" s="173"/>
      <c r="BG10" s="169">
        <f>F10*'Office Budget'!$I$14</f>
        <v>22333.596651357217</v>
      </c>
      <c r="BH10" s="172">
        <f t="shared" si="30"/>
        <v>0</v>
      </c>
      <c r="BI10" s="171">
        <f t="shared" si="31"/>
        <v>265920</v>
      </c>
      <c r="BJ10" s="170">
        <f t="shared" si="32"/>
        <v>0</v>
      </c>
      <c r="BK10" s="173"/>
      <c r="BL10" s="177">
        <f>F10*'Office Budget'!$I$15</f>
        <v>31379.713093614882</v>
      </c>
      <c r="BM10" s="172">
        <f t="shared" si="33"/>
        <v>0</v>
      </c>
      <c r="BN10" s="177">
        <f t="shared" si="34"/>
        <v>133899.23348104558</v>
      </c>
      <c r="BO10" s="172">
        <f t="shared" si="35"/>
        <v>0</v>
      </c>
      <c r="BP10" s="141"/>
      <c r="BQ10" s="141"/>
      <c r="BR10" s="141"/>
      <c r="BS10" s="141"/>
      <c r="BT10" s="141"/>
      <c r="BU10" s="141"/>
      <c r="BV10" s="141"/>
      <c r="BW10" s="141"/>
      <c r="BX10" s="141"/>
      <c r="BY10" s="141"/>
      <c r="BZ10" s="141"/>
      <c r="CA10" s="141"/>
      <c r="CB10" s="141"/>
      <c r="CC10" s="141"/>
      <c r="CD10" s="141"/>
      <c r="CE10" s="141"/>
      <c r="CF10" s="141"/>
      <c r="CG10" s="141"/>
      <c r="CH10" s="141"/>
      <c r="CI10" s="141"/>
      <c r="CJ10" s="141"/>
      <c r="CK10" s="141"/>
      <c r="CL10" s="141"/>
      <c r="CM10" s="141"/>
      <c r="CN10" s="141"/>
      <c r="CO10" s="141"/>
      <c r="CP10" s="141"/>
      <c r="CQ10" s="141"/>
      <c r="CR10" s="141"/>
      <c r="CS10" s="141"/>
      <c r="CT10" s="141"/>
      <c r="CU10" s="141"/>
      <c r="CV10" s="141"/>
      <c r="CW10" s="141"/>
      <c r="CX10" s="141"/>
      <c r="CY10" s="141"/>
      <c r="CZ10" s="141"/>
      <c r="DA10" s="141"/>
      <c r="DB10" s="141"/>
      <c r="DC10" s="141"/>
      <c r="DD10" s="141"/>
      <c r="DE10" s="141"/>
      <c r="DF10" s="141"/>
      <c r="DG10" s="141"/>
      <c r="DH10" s="141"/>
      <c r="DI10" s="141"/>
      <c r="DJ10" s="141"/>
      <c r="DK10" s="141"/>
      <c r="DL10" s="141"/>
      <c r="DM10" s="141"/>
      <c r="DN10" s="141"/>
      <c r="DO10" s="141"/>
      <c r="DP10" s="141"/>
      <c r="DQ10" s="141"/>
      <c r="DR10" s="141"/>
      <c r="DS10" s="141"/>
      <c r="DT10" s="141"/>
      <c r="DU10" s="141"/>
      <c r="DV10" s="141"/>
      <c r="DW10" s="141"/>
      <c r="DX10" s="141"/>
      <c r="DY10" s="141"/>
      <c r="DZ10" s="141"/>
      <c r="EA10" s="141"/>
      <c r="EB10" s="141"/>
      <c r="EC10" s="141"/>
      <c r="ED10" s="141"/>
      <c r="EE10" s="141"/>
      <c r="EF10" s="141"/>
      <c r="EG10" s="141"/>
      <c r="EH10" s="141"/>
      <c r="EI10" s="141"/>
      <c r="EJ10" s="141"/>
      <c r="EK10" s="141"/>
      <c r="EL10" s="141"/>
      <c r="EM10" s="141"/>
      <c r="EN10" s="141"/>
      <c r="EO10" s="141"/>
      <c r="EP10" s="141"/>
      <c r="EQ10" s="141"/>
      <c r="ER10" s="141"/>
      <c r="ES10" s="141"/>
      <c r="ET10" s="141"/>
      <c r="EU10" s="141"/>
      <c r="EV10" s="141"/>
      <c r="EW10" s="141"/>
      <c r="EX10" s="141"/>
      <c r="EY10" s="141"/>
      <c r="EZ10" s="141"/>
      <c r="FA10" s="141"/>
      <c r="FB10" s="141"/>
      <c r="FC10" s="141"/>
      <c r="FD10" s="141"/>
      <c r="FE10" s="141"/>
      <c r="FF10" s="141"/>
      <c r="FG10" s="141"/>
      <c r="FH10" s="141"/>
      <c r="FI10" s="141"/>
      <c r="FJ10" s="141"/>
      <c r="FK10" s="141"/>
      <c r="FL10" s="141"/>
      <c r="FM10" s="141"/>
      <c r="FN10" s="141"/>
    </row>
    <row r="11" spans="1:170" customFormat="1">
      <c r="F11" s="149">
        <f>SUM(F4:F10)</f>
        <v>4075000</v>
      </c>
      <c r="H11" s="1"/>
      <c r="I11" s="1"/>
      <c r="J11" s="228"/>
      <c r="L11" s="228"/>
      <c r="O11" s="228"/>
      <c r="Q11" s="228"/>
      <c r="T11" s="228"/>
      <c r="V11" s="228"/>
      <c r="Y11" s="228"/>
      <c r="AA11" s="228"/>
      <c r="AD11" s="228"/>
      <c r="AF11" s="228"/>
      <c r="AI11" s="228"/>
      <c r="AK11" s="228"/>
      <c r="AN11" s="228"/>
      <c r="AP11" s="228"/>
      <c r="AS11" s="228"/>
      <c r="AU11" s="228"/>
      <c r="AX11" s="228"/>
      <c r="AZ11" s="228"/>
      <c r="BC11" s="228"/>
      <c r="BE11" s="228"/>
      <c r="BH11" s="228"/>
      <c r="BJ11" s="228"/>
      <c r="BM11" s="228"/>
      <c r="BO11" s="228"/>
    </row>
    <row r="13" spans="1:170" s="106" customFormat="1" ht="15.75" thickBot="1">
      <c r="H13"/>
      <c r="I13"/>
      <c r="J13" s="228"/>
      <c r="L13" s="228"/>
      <c r="O13" s="228"/>
      <c r="Q13" s="228"/>
      <c r="T13" s="228"/>
      <c r="V13" s="228"/>
      <c r="Y13" s="228"/>
      <c r="AA13" s="228"/>
      <c r="AD13" s="228"/>
      <c r="AF13" s="228"/>
      <c r="AI13" s="228"/>
      <c r="AK13" s="228"/>
      <c r="AN13" s="228"/>
      <c r="AP13" s="228"/>
      <c r="AS13" s="228"/>
      <c r="AU13" s="228"/>
      <c r="AX13" s="228"/>
      <c r="AZ13" s="228"/>
      <c r="BC13" s="228"/>
      <c r="BE13" s="228"/>
      <c r="BH13" s="228"/>
      <c r="BJ13" s="228"/>
      <c r="BM13" s="228"/>
      <c r="BO13" s="228"/>
    </row>
    <row r="14" spans="1:170" ht="15.75" thickBot="1">
      <c r="A14" s="123"/>
      <c r="B14" s="125" t="s">
        <v>111</v>
      </c>
      <c r="C14" s="126" t="s">
        <v>112</v>
      </c>
      <c r="D14" s="125" t="s">
        <v>113</v>
      </c>
      <c r="E14" s="126" t="s">
        <v>114</v>
      </c>
      <c r="F14" s="125" t="s">
        <v>115</v>
      </c>
      <c r="G14" s="126" t="s">
        <v>116</v>
      </c>
      <c r="H14" s="188" t="s">
        <v>175</v>
      </c>
      <c r="I14"/>
    </row>
    <row r="15" spans="1:170">
      <c r="A15" s="8" t="s">
        <v>7</v>
      </c>
      <c r="B15" s="5"/>
      <c r="C15" s="22"/>
      <c r="D15" s="10"/>
      <c r="E15" s="11"/>
      <c r="F15" s="14">
        <f>SUM(I4:I10)</f>
        <v>197453.04987306913</v>
      </c>
      <c r="G15" s="127" t="str">
        <f>IF(D15=0,"",D15-F15)</f>
        <v/>
      </c>
      <c r="H15" s="194" t="str">
        <f>IF(D15=0,"",D15/F15)</f>
        <v/>
      </c>
      <c r="I15"/>
    </row>
    <row r="16" spans="1:170">
      <c r="A16" s="8" t="s">
        <v>8</v>
      </c>
      <c r="B16" s="21"/>
      <c r="C16" s="20"/>
      <c r="D16" s="124"/>
      <c r="E16" s="11"/>
      <c r="F16" s="128">
        <f>SUM(N4:N10)</f>
        <v>231662.80216163726</v>
      </c>
      <c r="G16" s="127" t="str">
        <f t="shared" ref="G16:G27" si="36">IF(D16=0,"",D16-F16)</f>
        <v/>
      </c>
      <c r="H16" s="196" t="str">
        <f>IF(D16=0,"",SUM(D15:D16)/SUM(F15:F16))</f>
        <v/>
      </c>
      <c r="I16"/>
    </row>
    <row r="17" spans="1:9">
      <c r="A17" s="8" t="s">
        <v>9</v>
      </c>
      <c r="B17" s="21"/>
      <c r="C17" s="20"/>
      <c r="D17" s="124"/>
      <c r="E17" s="11"/>
      <c r="F17" s="128">
        <f>SUM(S4:S10)</f>
        <v>431104.78496878315</v>
      </c>
      <c r="G17" s="127" t="str">
        <f t="shared" si="36"/>
        <v/>
      </c>
      <c r="H17" s="196" t="str">
        <f>IF(D17=0,"",SUM(D15:D17)/SUM(F15:F17))</f>
        <v/>
      </c>
      <c r="I17"/>
    </row>
    <row r="18" spans="1:9">
      <c r="A18" s="8" t="s">
        <v>10</v>
      </c>
      <c r="B18" s="21"/>
      <c r="C18" s="20"/>
      <c r="D18" s="124"/>
      <c r="E18" s="11"/>
      <c r="F18" s="128">
        <f>SUM(X4:X10)</f>
        <v>362191.88322191377</v>
      </c>
      <c r="G18" s="127" t="str">
        <f t="shared" si="36"/>
        <v/>
      </c>
      <c r="H18" s="196" t="str">
        <f>IF(D18=0,"",SUM(D15:D18)/SUM(F15:F18))</f>
        <v/>
      </c>
      <c r="I18"/>
    </row>
    <row r="19" spans="1:9">
      <c r="A19" s="8" t="s">
        <v>11</v>
      </c>
      <c r="B19" s="18"/>
      <c r="C19" s="20"/>
      <c r="D19" s="124"/>
      <c r="E19" s="11"/>
      <c r="F19" s="128">
        <f>SUM(AC4:AC10)</f>
        <v>326792.42204739957</v>
      </c>
      <c r="G19" s="127" t="str">
        <f t="shared" si="36"/>
        <v/>
      </c>
      <c r="H19" s="196" t="str">
        <f>IF(D19=0,"",SUM(D15:D19)/SUM(F15:F19))</f>
        <v/>
      </c>
      <c r="I19"/>
    </row>
    <row r="20" spans="1:9">
      <c r="A20" s="8" t="s">
        <v>12</v>
      </c>
      <c r="B20" s="21"/>
      <c r="C20" s="20"/>
      <c r="D20" s="124"/>
      <c r="E20" s="11"/>
      <c r="F20" s="128">
        <f>SUM(AH4:AH10)</f>
        <v>470212.52932192897</v>
      </c>
      <c r="G20" s="127" t="str">
        <f t="shared" si="36"/>
        <v/>
      </c>
      <c r="H20" s="196" t="str">
        <f>IF(D20=0,"",SUM(D15:D20)/SUM(F15:F20))</f>
        <v/>
      </c>
      <c r="I20"/>
    </row>
    <row r="21" spans="1:9">
      <c r="A21" s="8" t="s">
        <v>13</v>
      </c>
      <c r="B21" s="21"/>
      <c r="C21" s="20"/>
      <c r="D21" s="124"/>
      <c r="E21" s="11"/>
      <c r="F21" s="128">
        <f>SUM(AM4:AM10)</f>
        <v>70683.840435444654</v>
      </c>
      <c r="G21" s="127" t="str">
        <f t="shared" si="36"/>
        <v/>
      </c>
      <c r="H21" s="196" t="str">
        <f>IF(D21=0,"",SUM(D15:D21)/SUM(F15:F21))</f>
        <v/>
      </c>
      <c r="I21"/>
    </row>
    <row r="22" spans="1:9">
      <c r="A22" s="8" t="s">
        <v>14</v>
      </c>
      <c r="B22" s="21"/>
      <c r="C22" s="20"/>
      <c r="D22" s="124"/>
      <c r="E22" s="11"/>
      <c r="F22" s="128">
        <f>SUM(AR4:AR10)</f>
        <v>258882.67682300543</v>
      </c>
      <c r="G22" s="127" t="str">
        <f t="shared" si="36"/>
        <v/>
      </c>
      <c r="H22" s="196" t="str">
        <f>IF(D22=0,"",SUM(D15:D22)/SUM(F15:F22))</f>
        <v/>
      </c>
      <c r="I22"/>
    </row>
    <row r="23" spans="1:9">
      <c r="A23" s="8" t="s">
        <v>15</v>
      </c>
      <c r="B23" s="21"/>
      <c r="C23" s="20"/>
      <c r="D23" s="124"/>
      <c r="E23" s="11"/>
      <c r="F23" s="128">
        <f>SUM(AW4:AW10)</f>
        <v>503661.67750026908</v>
      </c>
      <c r="G23" s="127" t="str">
        <f t="shared" si="36"/>
        <v/>
      </c>
      <c r="H23" s="196" t="str">
        <f>IF(D23=0,"",SUM(D15:D23)/SUM(F15:F23))</f>
        <v/>
      </c>
      <c r="I23"/>
    </row>
    <row r="24" spans="1:9">
      <c r="A24" s="8" t="s">
        <v>16</v>
      </c>
      <c r="B24" s="21"/>
      <c r="C24" s="20"/>
      <c r="D24" s="124"/>
      <c r="E24" s="11"/>
      <c r="F24" s="128">
        <f>SUM(BB4:BB10)</f>
        <v>326647.77642505697</v>
      </c>
      <c r="G24" s="127" t="str">
        <f t="shared" si="36"/>
        <v/>
      </c>
      <c r="H24" s="196" t="str">
        <f>IF(D24=0,"",SUM(D15:D24)/SUM(F15:F24))</f>
        <v/>
      </c>
      <c r="I24"/>
    </row>
    <row r="25" spans="1:9">
      <c r="A25" s="8" t="s">
        <v>17</v>
      </c>
      <c r="B25" s="21"/>
      <c r="C25" s="19"/>
      <c r="D25" s="124"/>
      <c r="E25" s="11"/>
      <c r="F25" s="128">
        <f>SUM(BG4:BG10)</f>
        <v>303364.68784760212</v>
      </c>
      <c r="G25" s="127" t="str">
        <f t="shared" si="36"/>
        <v/>
      </c>
      <c r="H25" s="196" t="str">
        <f>IF(D25=0,"",SUM(D15:D25)/SUM(F15:F25))</f>
        <v/>
      </c>
      <c r="I25"/>
    </row>
    <row r="26" spans="1:9" ht="15.75" thickBot="1">
      <c r="A26" s="8" t="s">
        <v>18</v>
      </c>
      <c r="B26" s="6"/>
      <c r="C26" s="30"/>
      <c r="D26" s="124"/>
      <c r="E26" s="11"/>
      <c r="F26" s="136">
        <f>SUM(BL4:BL10)</f>
        <v>426241.10285493551</v>
      </c>
      <c r="G26" s="151" t="str">
        <f t="shared" si="36"/>
        <v/>
      </c>
      <c r="H26" s="200" t="str">
        <f>IF(D26=0,"",SUM(D15:D26)/SUM(F15:F26))</f>
        <v/>
      </c>
      <c r="I26"/>
    </row>
    <row r="27" spans="1:9" ht="15.75" thickBot="1">
      <c r="A27" s="9"/>
      <c r="B27" s="17">
        <f>SUM(B15:B26)</f>
        <v>0</v>
      </c>
      <c r="C27" s="23">
        <f>SUM(C15:C26)</f>
        <v>0</v>
      </c>
      <c r="D27" s="109">
        <f>SUM(D15:D26)</f>
        <v>0</v>
      </c>
      <c r="E27" s="25">
        <f>SUM(E16:E26)</f>
        <v>0</v>
      </c>
      <c r="F27" s="130">
        <f>SUM(F15:F26)</f>
        <v>3908899.2334810453</v>
      </c>
      <c r="G27" s="135" t="str">
        <f t="shared" si="36"/>
        <v/>
      </c>
      <c r="H27" s="204"/>
      <c r="I27"/>
    </row>
    <row r="28" spans="1:9" ht="15.75" thickBot="1">
      <c r="H28"/>
      <c r="I28"/>
    </row>
    <row r="29" spans="1:9" ht="45.75" thickBot="1">
      <c r="E29" s="115" t="s">
        <v>174</v>
      </c>
      <c r="F29" s="110">
        <f>D27/F27</f>
        <v>0</v>
      </c>
      <c r="H29"/>
      <c r="I29"/>
    </row>
    <row r="31" spans="1:9">
      <c r="A31" s="141" t="s">
        <v>221</v>
      </c>
    </row>
  </sheetData>
  <mergeCells count="1">
    <mergeCell ref="A3:C3"/>
  </mergeCells>
  <pageMargins left="0.7" right="0.7" top="0.75" bottom="0.75" header="0.3" footer="0.3"/>
  <pageSetup paperSize="9" scale="5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P33"/>
  <sheetViews>
    <sheetView topLeftCell="A3" workbookViewId="0">
      <selection activeCell="A31" sqref="A31"/>
    </sheetView>
  </sheetViews>
  <sheetFormatPr defaultRowHeight="15" outlineLevelCol="1"/>
  <cols>
    <col min="1" max="1" width="10.5703125" style="62" customWidth="1"/>
    <col min="2" max="2" width="14.28515625" style="62" bestFit="1" customWidth="1"/>
    <col min="3" max="3" width="9.42578125" style="62" customWidth="1"/>
    <col min="4" max="4" width="12.5703125" style="62" bestFit="1" customWidth="1"/>
    <col min="5" max="5" width="12.140625" style="62" customWidth="1"/>
    <col min="6" max="6" width="19.28515625" style="62" customWidth="1"/>
    <col min="7" max="7" width="20.5703125" style="62" bestFit="1" customWidth="1"/>
    <col min="8" max="8" width="17.7109375" style="62" bestFit="1" customWidth="1"/>
    <col min="9" max="9" width="10.7109375" style="62" hidden="1" customWidth="1" outlineLevel="1"/>
    <col min="10" max="10" width="9.140625" style="228" hidden="1" customWidth="1" outlineLevel="1"/>
    <col min="11" max="11" width="11.5703125" style="62" hidden="1" customWidth="1" outlineLevel="1"/>
    <col min="12" max="12" width="12.5703125" style="228" hidden="1" customWidth="1" outlineLevel="1"/>
    <col min="13" max="13" width="10.7109375" style="62" bestFit="1" customWidth="1" collapsed="1"/>
    <col min="14" max="14" width="10.7109375" style="62" hidden="1" customWidth="1" outlineLevel="1"/>
    <col min="15" max="15" width="9.140625" style="228" hidden="1" customWidth="1" outlineLevel="1"/>
    <col min="16" max="16" width="10.7109375" style="62" hidden="1" customWidth="1" outlineLevel="1"/>
    <col min="17" max="17" width="9.140625" style="228" hidden="1" customWidth="1" outlineLevel="1"/>
    <col min="18" max="18" width="11" style="62" bestFit="1" customWidth="1" collapsed="1"/>
    <col min="19" max="19" width="11" style="62" hidden="1" customWidth="1" outlineLevel="1"/>
    <col min="20" max="20" width="12.85546875" style="228" hidden="1" customWidth="1" outlineLevel="1"/>
    <col min="21" max="21" width="12" style="62" hidden="1" customWidth="1" outlineLevel="1"/>
    <col min="22" max="22" width="9.140625" style="228" hidden="1" customWidth="1" outlineLevel="1"/>
    <col min="23" max="23" width="9.140625" style="62" collapsed="1"/>
    <col min="24" max="24" width="11" style="62" hidden="1" customWidth="1" outlineLevel="1"/>
    <col min="25" max="25" width="9.140625" style="228" hidden="1" customWidth="1" outlineLevel="1"/>
    <col min="26" max="26" width="12" style="62" hidden="1" customWidth="1" outlineLevel="1"/>
    <col min="27" max="27" width="9.140625" style="228" hidden="1" customWidth="1" outlineLevel="1"/>
    <col min="28" max="28" width="9.140625" style="62" collapsed="1"/>
    <col min="29" max="29" width="11" style="62" hidden="1" customWidth="1" outlineLevel="1"/>
    <col min="30" max="30" width="8.140625" style="228" hidden="1" customWidth="1" outlineLevel="1"/>
    <col min="31" max="31" width="12" style="62" hidden="1" customWidth="1" outlineLevel="1"/>
    <col min="32" max="32" width="8.140625" style="228" hidden="1" customWidth="1" outlineLevel="1"/>
    <col min="33" max="33" width="9.140625" style="62" collapsed="1"/>
    <col min="34" max="34" width="11" style="62" hidden="1" customWidth="1" outlineLevel="1"/>
    <col min="35" max="35" width="9.140625" style="228" hidden="1" customWidth="1" outlineLevel="1"/>
    <col min="36" max="36" width="12" style="62" hidden="1" customWidth="1" outlineLevel="1"/>
    <col min="37" max="37" width="9.140625" style="228" hidden="1" customWidth="1" outlineLevel="1"/>
    <col min="38" max="38" width="9.140625" style="62" collapsed="1"/>
    <col min="39" max="39" width="12.5703125" style="62" hidden="1" customWidth="1" outlineLevel="1"/>
    <col min="40" max="40" width="9.140625" style="228" hidden="1" customWidth="1" outlineLevel="1"/>
    <col min="41" max="41" width="12" style="62" hidden="1" customWidth="1" outlineLevel="1"/>
    <col min="42" max="42" width="9.140625" style="228" hidden="1" customWidth="1" outlineLevel="1"/>
    <col min="43" max="43" width="9.140625" style="62" collapsed="1"/>
    <col min="44" max="44" width="11" style="62" hidden="1" customWidth="1" outlineLevel="1"/>
    <col min="45" max="45" width="9.140625" style="228" hidden="1" customWidth="1" outlineLevel="1"/>
    <col min="46" max="46" width="12" style="62" hidden="1" customWidth="1" outlineLevel="1"/>
    <col min="47" max="47" width="9.140625" style="228" hidden="1" customWidth="1" outlineLevel="1"/>
    <col min="48" max="48" width="9.140625" style="62" collapsed="1"/>
    <col min="49" max="49" width="11" style="62" hidden="1" customWidth="1" outlineLevel="1"/>
    <col min="50" max="50" width="9.140625" style="228" hidden="1" customWidth="1" outlineLevel="1"/>
    <col min="51" max="51" width="12" style="62" hidden="1" customWidth="1" outlineLevel="1"/>
    <col min="52" max="52" width="9.140625" style="228" hidden="1" customWidth="1" outlineLevel="1"/>
    <col min="53" max="53" width="9.140625" style="62" collapsed="1"/>
    <col min="54" max="54" width="11" style="62" hidden="1" customWidth="1" outlineLevel="1"/>
    <col min="55" max="55" width="9.140625" style="228" hidden="1" customWidth="1" outlineLevel="1"/>
    <col min="56" max="56" width="12" style="62" hidden="1" customWidth="1" outlineLevel="1"/>
    <col min="57" max="57" width="9.140625" style="228" hidden="1" customWidth="1" outlineLevel="1"/>
    <col min="58" max="58" width="9.140625" style="62" collapsed="1"/>
    <col min="59" max="59" width="11" style="62" hidden="1" customWidth="1" outlineLevel="1"/>
    <col min="60" max="60" width="9.140625" style="228" hidden="1" customWidth="1" outlineLevel="1"/>
    <col min="61" max="61" width="12" style="62" hidden="1" customWidth="1" outlineLevel="1"/>
    <col min="62" max="62" width="9.140625" style="228" hidden="1" customWidth="1" outlineLevel="1"/>
    <col min="63" max="63" width="9.140625" style="62" collapsed="1"/>
    <col min="64" max="64" width="9.140625" style="62" hidden="1" customWidth="1" outlineLevel="1"/>
    <col min="65" max="65" width="9.140625" style="228" hidden="1" customWidth="1" outlineLevel="1"/>
    <col min="66" max="66" width="9.5703125" style="62" hidden="1" customWidth="1" outlineLevel="1"/>
    <col min="67" max="67" width="9.140625" style="228" hidden="1" customWidth="1" outlineLevel="1"/>
    <col min="68" max="68" width="9.140625" style="62" collapsed="1"/>
    <col min="69" max="16384" width="9.140625" style="62"/>
  </cols>
  <sheetData>
    <row r="1" spans="1:67" s="138" customFormat="1" ht="21">
      <c r="A1" s="140" t="s">
        <v>121</v>
      </c>
      <c r="J1" s="233"/>
      <c r="L1" s="233"/>
      <c r="O1" s="233"/>
      <c r="Q1" s="233"/>
      <c r="T1" s="233"/>
      <c r="V1" s="233"/>
      <c r="Y1" s="233"/>
      <c r="AA1" s="233"/>
      <c r="AD1" s="233"/>
      <c r="AF1" s="233"/>
      <c r="AI1" s="233"/>
      <c r="AK1" s="233"/>
      <c r="AN1" s="233"/>
      <c r="AP1" s="233"/>
      <c r="AS1" s="233"/>
      <c r="AU1" s="233"/>
      <c r="AX1" s="233"/>
      <c r="AZ1" s="233"/>
      <c r="BC1" s="233"/>
      <c r="BE1" s="233"/>
      <c r="BH1" s="233"/>
      <c r="BJ1" s="233"/>
      <c r="BM1" s="233"/>
      <c r="BO1" s="233"/>
    </row>
    <row r="2" spans="1:67">
      <c r="E2" s="141"/>
    </row>
    <row r="3" spans="1:67" s="141" customFormat="1" ht="25.5">
      <c r="A3" s="419" t="s">
        <v>0</v>
      </c>
      <c r="B3" s="420"/>
      <c r="C3" s="421"/>
      <c r="D3" s="142" t="s">
        <v>1</v>
      </c>
      <c r="E3" s="143" t="s">
        <v>2</v>
      </c>
      <c r="F3" s="144" t="s">
        <v>109</v>
      </c>
      <c r="G3" s="145" t="s">
        <v>110</v>
      </c>
      <c r="H3" s="182" t="s">
        <v>7</v>
      </c>
      <c r="I3" s="167" t="s">
        <v>157</v>
      </c>
      <c r="J3" s="229" t="s">
        <v>158</v>
      </c>
      <c r="K3" s="167" t="s">
        <v>135</v>
      </c>
      <c r="L3" s="229" t="s">
        <v>136</v>
      </c>
      <c r="M3" s="184" t="s">
        <v>8</v>
      </c>
      <c r="N3" s="167" t="s">
        <v>133</v>
      </c>
      <c r="O3" s="229" t="s">
        <v>134</v>
      </c>
      <c r="P3" s="167" t="s">
        <v>135</v>
      </c>
      <c r="Q3" s="229" t="s">
        <v>136</v>
      </c>
      <c r="R3" s="182" t="s">
        <v>9</v>
      </c>
      <c r="S3" s="167" t="s">
        <v>137</v>
      </c>
      <c r="T3" s="229" t="s">
        <v>138</v>
      </c>
      <c r="U3" s="167" t="s">
        <v>135</v>
      </c>
      <c r="V3" s="229" t="s">
        <v>136</v>
      </c>
      <c r="W3" s="182" t="s">
        <v>10</v>
      </c>
      <c r="X3" s="167" t="s">
        <v>139</v>
      </c>
      <c r="Y3" s="229" t="s">
        <v>140</v>
      </c>
      <c r="Z3" s="167" t="s">
        <v>135</v>
      </c>
      <c r="AA3" s="229" t="s">
        <v>136</v>
      </c>
      <c r="AB3" s="182" t="s">
        <v>11</v>
      </c>
      <c r="AC3" s="167" t="s">
        <v>141</v>
      </c>
      <c r="AD3" s="229" t="s">
        <v>142</v>
      </c>
      <c r="AE3" s="167" t="s">
        <v>135</v>
      </c>
      <c r="AF3" s="229" t="s">
        <v>136</v>
      </c>
      <c r="AG3" s="182" t="s">
        <v>12</v>
      </c>
      <c r="AH3" s="167" t="s">
        <v>143</v>
      </c>
      <c r="AI3" s="229" t="s">
        <v>144</v>
      </c>
      <c r="AJ3" s="167" t="s">
        <v>135</v>
      </c>
      <c r="AK3" s="229" t="s">
        <v>136</v>
      </c>
      <c r="AL3" s="182" t="s">
        <v>13</v>
      </c>
      <c r="AM3" s="167" t="s">
        <v>145</v>
      </c>
      <c r="AN3" s="229" t="s">
        <v>146</v>
      </c>
      <c r="AO3" s="167" t="s">
        <v>135</v>
      </c>
      <c r="AP3" s="229" t="s">
        <v>136</v>
      </c>
      <c r="AQ3" s="182" t="s">
        <v>14</v>
      </c>
      <c r="AR3" s="167" t="s">
        <v>147</v>
      </c>
      <c r="AS3" s="229" t="s">
        <v>148</v>
      </c>
      <c r="AT3" s="167" t="s">
        <v>135</v>
      </c>
      <c r="AU3" s="229" t="s">
        <v>136</v>
      </c>
      <c r="AV3" s="182" t="s">
        <v>15</v>
      </c>
      <c r="AW3" s="167" t="s">
        <v>149</v>
      </c>
      <c r="AX3" s="229" t="s">
        <v>150</v>
      </c>
      <c r="AY3" s="167" t="s">
        <v>135</v>
      </c>
      <c r="AZ3" s="229" t="s">
        <v>136</v>
      </c>
      <c r="BA3" s="182" t="s">
        <v>16</v>
      </c>
      <c r="BB3" s="167" t="s">
        <v>151</v>
      </c>
      <c r="BC3" s="229" t="s">
        <v>152</v>
      </c>
      <c r="BD3" s="167" t="s">
        <v>135</v>
      </c>
      <c r="BE3" s="229" t="s">
        <v>136</v>
      </c>
      <c r="BF3" s="182" t="s">
        <v>17</v>
      </c>
      <c r="BG3" s="167" t="s">
        <v>153</v>
      </c>
      <c r="BH3" s="229" t="s">
        <v>154</v>
      </c>
      <c r="BI3" s="167" t="s">
        <v>135</v>
      </c>
      <c r="BJ3" s="229" t="s">
        <v>136</v>
      </c>
      <c r="BK3" s="182" t="s">
        <v>18</v>
      </c>
      <c r="BL3" s="167" t="s">
        <v>155</v>
      </c>
      <c r="BM3" s="229" t="s">
        <v>156</v>
      </c>
      <c r="BN3" s="167" t="s">
        <v>135</v>
      </c>
      <c r="BO3" s="229" t="s">
        <v>136</v>
      </c>
    </row>
    <row r="4" spans="1:67">
      <c r="A4" s="71" t="s">
        <v>78</v>
      </c>
      <c r="B4" s="73" t="s">
        <v>79</v>
      </c>
      <c r="C4" s="73" t="s">
        <v>80</v>
      </c>
      <c r="D4" s="72"/>
      <c r="E4" s="137" t="str">
        <f>'Agent Budget &amp; Travel'!D24</f>
        <v>N/A</v>
      </c>
      <c r="F4" s="63">
        <f>'Agent Budget &amp; Travel'!E24</f>
        <v>600000</v>
      </c>
      <c r="G4" s="66">
        <f>'Agent Budget &amp; Travel'!F24</f>
        <v>670000</v>
      </c>
      <c r="H4" s="223"/>
      <c r="I4" s="214">
        <f>F4*'Office Budget'!$I$4</f>
        <v>31383.26620499112</v>
      </c>
      <c r="J4" s="230">
        <f>H4/I4</f>
        <v>0</v>
      </c>
      <c r="K4" s="214">
        <f>I4</f>
        <v>31383.26620499112</v>
      </c>
      <c r="L4" s="230">
        <f>H4/K4</f>
        <v>0</v>
      </c>
      <c r="M4" s="215"/>
      <c r="N4" s="214">
        <f>F4*'Office Budget'!$I$5</f>
        <v>36820.577827015193</v>
      </c>
      <c r="O4" s="232">
        <f>M4/N4</f>
        <v>0</v>
      </c>
      <c r="P4" s="216">
        <f>SUM(I4,N4)</f>
        <v>68203.844032006309</v>
      </c>
      <c r="Q4" s="232">
        <f>SUM(H4,M4)/P4</f>
        <v>0</v>
      </c>
      <c r="R4" s="217"/>
      <c r="S4" s="169">
        <f>F4*'Office Budget'!$I$6</f>
        <v>68519.965822852944</v>
      </c>
      <c r="T4" s="170">
        <f>R4/S4</f>
        <v>0</v>
      </c>
      <c r="U4" s="218">
        <f>SUM(I4,N4,S4)</f>
        <v>136723.80985485925</v>
      </c>
      <c r="V4" s="170">
        <f>SUM(H4,M4,R4)/U4</f>
        <v>0</v>
      </c>
      <c r="W4" s="219"/>
      <c r="X4" s="169">
        <f>F4*'Office Budget'!$I$7</f>
        <v>57566.92183659556</v>
      </c>
      <c r="Y4" s="170">
        <f>W4/X4</f>
        <v>0</v>
      </c>
      <c r="Z4" s="218">
        <f>SUM(I4,N4,S4,X4)</f>
        <v>194290.73169145483</v>
      </c>
      <c r="AA4" s="170">
        <f>SUM(H4,M4,R4,W4)/Z4</f>
        <v>0</v>
      </c>
      <c r="AB4" s="219"/>
      <c r="AC4" s="169">
        <f>F4*'Office Budget'!$I$8</f>
        <v>51940.517411507208</v>
      </c>
      <c r="AD4" s="170">
        <f>AB4/AC4</f>
        <v>0</v>
      </c>
      <c r="AE4" s="218">
        <f>SUM(I4,N4,S4,X4,AC4)</f>
        <v>246231.24910296203</v>
      </c>
      <c r="AF4" s="170">
        <f>SUM(H4,M4,R4,W4,AB4)/AE4</f>
        <v>0</v>
      </c>
      <c r="AG4" s="219"/>
      <c r="AH4" s="169">
        <f>F4*'Office Budget'!$I$9</f>
        <v>74735.766249843029</v>
      </c>
      <c r="AI4" s="170">
        <f>AG4/AH4</f>
        <v>0</v>
      </c>
      <c r="AJ4" s="169">
        <f>SUM(I4,N4,S4,X4,AC4,AH4)</f>
        <v>320967.01535280503</v>
      </c>
      <c r="AK4" s="170">
        <f>SUM(H4,M4,R4,W4,AB4,AG4)/AJ4</f>
        <v>0</v>
      </c>
      <c r="AL4" s="219"/>
      <c r="AM4" s="169">
        <f>F4*'Office Budget'!$I$10</f>
        <v>11234.517685103789</v>
      </c>
      <c r="AN4" s="170">
        <f>AL4/AM4</f>
        <v>0</v>
      </c>
      <c r="AO4" s="169">
        <f>SUM(I4,N4,S4,X4,AC4,AH4,AM4)</f>
        <v>332201.53303790884</v>
      </c>
      <c r="AP4" s="170">
        <f>SUM(H4,M4,R4,W4,AB4,AG4,AL4)/AO4</f>
        <v>0</v>
      </c>
      <c r="AQ4" s="219"/>
      <c r="AR4" s="169">
        <f>F4*'Office Budget'!$I$11</f>
        <v>38117.694746945584</v>
      </c>
      <c r="AS4" s="170">
        <f>AQ4/AR4</f>
        <v>0</v>
      </c>
      <c r="AT4" s="169">
        <f>SUM(I4,N4,S4,X4,AC4,AH4,AM4,AR4)</f>
        <v>370319.22778485442</v>
      </c>
      <c r="AU4" s="170">
        <f>SUM(H4,M4,R4,W4,AB4,AG4,AL4,AQ4)/AT4</f>
        <v>0</v>
      </c>
      <c r="AV4" s="219"/>
      <c r="AW4" s="169">
        <f>F4*'Office Budget'!$I$12</f>
        <v>74158.774601266618</v>
      </c>
      <c r="AX4" s="170">
        <f>AV4/AW4</f>
        <v>0</v>
      </c>
      <c r="AY4" s="169">
        <f>SUM(I4,N4,S4,X4,AC4,AH4,AM4,AR4,AW4)</f>
        <v>444478.00238612102</v>
      </c>
      <c r="AZ4" s="170">
        <f>SUM(H4,M4,R4,W4,AB4,AG4,AL4,AQ4,AV4)/AY4</f>
        <v>0</v>
      </c>
      <c r="BA4" s="219"/>
      <c r="BB4" s="169">
        <f>F4*'Office Budget'!$I$13</f>
        <v>48095.378123934774</v>
      </c>
      <c r="BC4" s="170">
        <f>BA4/BB4</f>
        <v>0</v>
      </c>
      <c r="BD4" s="169">
        <f>SUM(I4,N4,S4,X4,AC4,AH4,AM4,AR4,AW4,BB4)</f>
        <v>492573.38051005581</v>
      </c>
      <c r="BE4" s="170">
        <f>SUM(H4,M4,R4,W4,AB4,AG4,AL4,AQ4,AV4,BA4)/BD4</f>
        <v>0</v>
      </c>
      <c r="BF4" s="219"/>
      <c r="BG4" s="169">
        <f>F4*'Office Budget'!$I$14</f>
        <v>44667.193302714433</v>
      </c>
      <c r="BH4" s="170">
        <f>BF4/BG4</f>
        <v>0</v>
      </c>
      <c r="BI4" s="169">
        <f>SUM(I4,N4,S4,X4,AC4,AH4,AM4,AR4,AW4,BB4,BG4)</f>
        <v>537240.57381277019</v>
      </c>
      <c r="BJ4" s="170">
        <f>SUM(H4,M4,R4,W4,AB4,AG4,AL4,AQ4,AV4,BA4,BF4)/BI4</f>
        <v>0</v>
      </c>
      <c r="BK4" s="219"/>
      <c r="BL4" s="176">
        <f>F4*'Office Budget'!$I$15</f>
        <v>62759.426187229765</v>
      </c>
      <c r="BM4" s="170">
        <f>BK4/BL4</f>
        <v>0</v>
      </c>
      <c r="BN4" s="177">
        <f>SUM(I4,N4,S4,X4,AC4,AH4,AM4,AR4,AW4,BB4,BG4,BL4)</f>
        <v>600000</v>
      </c>
      <c r="BO4" s="172">
        <f>SUM(H4,M4,R4,W4,AB4,AG4,AL4,AQ4,AV4,BA4,BF4,BK4)/BN4</f>
        <v>0</v>
      </c>
    </row>
    <row r="5" spans="1:67">
      <c r="A5" s="74" t="s">
        <v>81</v>
      </c>
      <c r="B5" s="76" t="s">
        <v>82</v>
      </c>
      <c r="C5" s="76" t="s">
        <v>83</v>
      </c>
      <c r="D5" s="75"/>
      <c r="E5" s="137" t="str">
        <f>'Agent Budget &amp; Travel'!D25</f>
        <v>N/A</v>
      </c>
      <c r="F5" s="119">
        <f>'Agent Budget &amp; Travel'!E25</f>
        <v>150000</v>
      </c>
      <c r="G5" s="385" t="str">
        <f>'Agent Budget &amp; Travel'!F25</f>
        <v>N/A</v>
      </c>
      <c r="H5" s="224"/>
      <c r="I5" s="214">
        <f>F5*'Office Budget'!$I$4</f>
        <v>7845.8165512477799</v>
      </c>
      <c r="J5" s="230">
        <f t="shared" ref="J5:J9" si="0">H5/I5</f>
        <v>0</v>
      </c>
      <c r="K5" s="214">
        <f t="shared" ref="K5:K9" si="1">I5</f>
        <v>7845.8165512477799</v>
      </c>
      <c r="L5" s="230">
        <f>H5/K5</f>
        <v>0</v>
      </c>
      <c r="M5" s="220"/>
      <c r="N5" s="214">
        <f>F5*'Office Budget'!$I$5</f>
        <v>9205.1444567537983</v>
      </c>
      <c r="O5" s="232">
        <f t="shared" ref="O5:O9" si="2">M5/N5</f>
        <v>0</v>
      </c>
      <c r="P5" s="216">
        <f t="shared" ref="P5:P9" si="3">SUM(I5,N5)</f>
        <v>17050.961008001577</v>
      </c>
      <c r="Q5" s="232">
        <f t="shared" ref="Q5:Q9" si="4">SUM(H5,M5)/P5</f>
        <v>0</v>
      </c>
      <c r="R5" s="209"/>
      <c r="S5" s="169">
        <f>F5*'Office Budget'!$I$6</f>
        <v>17129.991455713236</v>
      </c>
      <c r="T5" s="170">
        <f>R5/S5</f>
        <v>0</v>
      </c>
      <c r="U5" s="218">
        <f t="shared" ref="U5:U9" si="5">SUM(I5,N5,S5)</f>
        <v>34180.952463714813</v>
      </c>
      <c r="V5" s="170">
        <f>SUM(H5,M5,R5)/U5</f>
        <v>0</v>
      </c>
      <c r="W5" s="173"/>
      <c r="X5" s="169">
        <f>F5*'Office Budget'!$I$7</f>
        <v>14391.73045914889</v>
      </c>
      <c r="Y5" s="170">
        <f t="shared" ref="Y5:Y9" si="6">W5/X5</f>
        <v>0</v>
      </c>
      <c r="Z5" s="218">
        <f t="shared" ref="Z5:Z9" si="7">SUM(I5,N5,S5,X5)</f>
        <v>48572.682922863707</v>
      </c>
      <c r="AA5" s="170">
        <f t="shared" ref="AA5:AA9" si="8">SUM(H5,M5,R5,W5)/Z5</f>
        <v>0</v>
      </c>
      <c r="AB5" s="173"/>
      <c r="AC5" s="169">
        <f>F5*'Office Budget'!$I$8</f>
        <v>12985.129352876802</v>
      </c>
      <c r="AD5" s="170">
        <f t="shared" ref="AD5:AD9" si="9">AB5/AC5</f>
        <v>0</v>
      </c>
      <c r="AE5" s="218">
        <f t="shared" ref="AE5:AE9" si="10">SUM(I5,N5,S5,X5,AC5)</f>
        <v>61557.812275740507</v>
      </c>
      <c r="AF5" s="170">
        <f t="shared" ref="AF5:AF9" si="11">SUM(H5,M5,R5,W5,AB5)/AE5</f>
        <v>0</v>
      </c>
      <c r="AG5" s="173"/>
      <c r="AH5" s="169">
        <f>F5*'Office Budget'!$I$9</f>
        <v>18683.941562460757</v>
      </c>
      <c r="AI5" s="170">
        <f t="shared" ref="AI5:AI9" si="12">AG5/AH5</f>
        <v>0</v>
      </c>
      <c r="AJ5" s="169">
        <f t="shared" ref="AJ5:AJ9" si="13">SUM(I5,N5,S5,X5,AC5,AH5)</f>
        <v>80241.753838201257</v>
      </c>
      <c r="AK5" s="170">
        <f t="shared" ref="AK5:AK9" si="14">SUM(H5,M5,R5,W5,AB5,AG5)/AJ5</f>
        <v>0</v>
      </c>
      <c r="AL5" s="173"/>
      <c r="AM5" s="169">
        <f>F5*'Office Budget'!$I$10</f>
        <v>2808.6294212759472</v>
      </c>
      <c r="AN5" s="170">
        <f t="shared" ref="AN5:AN9" si="15">AL5/AM5</f>
        <v>0</v>
      </c>
      <c r="AO5" s="169">
        <f t="shared" ref="AO5:AO9" si="16">SUM(I5,N5,S5,X5,AC5,AH5,AM5)</f>
        <v>83050.38325947721</v>
      </c>
      <c r="AP5" s="170">
        <f t="shared" ref="AP5:AP9" si="17">SUM(H5,M5,R5,W5,AB5,AG5,AL5)/AO5</f>
        <v>0</v>
      </c>
      <c r="AQ5" s="173"/>
      <c r="AR5" s="169">
        <f>F5*'Office Budget'!$I$11</f>
        <v>9529.4236867363961</v>
      </c>
      <c r="AS5" s="170">
        <f t="shared" ref="AS5:AS9" si="18">AQ5/AR5</f>
        <v>0</v>
      </c>
      <c r="AT5" s="169">
        <f t="shared" ref="AT5:AT9" si="19">SUM(I5,N5,S5,X5,AC5,AH5,AM5,AR5)</f>
        <v>92579.806946213605</v>
      </c>
      <c r="AU5" s="170">
        <f t="shared" ref="AU5:AU9" si="20">SUM(H5,M5,R5,W5,AB5,AG5,AL5,AQ5)/AT5</f>
        <v>0</v>
      </c>
      <c r="AV5" s="173"/>
      <c r="AW5" s="169">
        <f>F5*'Office Budget'!$I$12</f>
        <v>18539.693650316654</v>
      </c>
      <c r="AX5" s="170">
        <f t="shared" ref="AX5:AX9" si="21">AV5/AW5</f>
        <v>0</v>
      </c>
      <c r="AY5" s="169">
        <f t="shared" ref="AY5:AY9" si="22">SUM(I5,N5,S5,X5,AC5,AH5,AM5,AR5,AW5)</f>
        <v>111119.50059653026</v>
      </c>
      <c r="AZ5" s="170">
        <f t="shared" ref="AZ5:AZ9" si="23">SUM(H5,M5,R5,W5,AB5,AG5,AL5,AQ5,AV5)/AY5</f>
        <v>0</v>
      </c>
      <c r="BA5" s="173"/>
      <c r="BB5" s="169">
        <f>F5*'Office Budget'!$I$13</f>
        <v>12023.844530983693</v>
      </c>
      <c r="BC5" s="170">
        <f t="shared" ref="BC5:BC9" si="24">BA5/BB5</f>
        <v>0</v>
      </c>
      <c r="BD5" s="169">
        <f t="shared" ref="BD5:BD9" si="25">SUM(I5,N5,S5,X5,AC5,AH5,AM5,AR5,AW5,BB5)</f>
        <v>123143.34512751395</v>
      </c>
      <c r="BE5" s="170">
        <f t="shared" ref="BE5:BE8" si="26">SUM(H5,M5,R5,W5,AB5,AG5,AL5,AQ5,AV5,BA5)/BD5</f>
        <v>0</v>
      </c>
      <c r="BF5" s="173"/>
      <c r="BG5" s="169">
        <f>F5*'Office Budget'!$I$14</f>
        <v>11166.798325678608</v>
      </c>
      <c r="BH5" s="170">
        <f t="shared" ref="BH5:BH9" si="27">BF5/BG5</f>
        <v>0</v>
      </c>
      <c r="BI5" s="169">
        <f t="shared" ref="BI5:BI9" si="28">SUM(I5,N5,S5,X5,AC5,AH5,AM5,AR5,AW5,BB5,BG5)</f>
        <v>134310.14345319255</v>
      </c>
      <c r="BJ5" s="170">
        <f t="shared" ref="BJ5:BJ7" si="29">SUM(H5,M5,R5,W5,AB5,AG5,AL5,AQ5,AV5,BA5,BF5)/BI5</f>
        <v>0</v>
      </c>
      <c r="BK5" s="173"/>
      <c r="BL5" s="176">
        <f>F5*'Office Budget'!$I$15</f>
        <v>15689.856546807441</v>
      </c>
      <c r="BM5" s="170">
        <f t="shared" ref="BM5:BM9" si="30">BK5/BL5</f>
        <v>0</v>
      </c>
      <c r="BN5" s="177">
        <f t="shared" ref="BN5:BN8" si="31">SUM(I5,N5,S5,X5,AC5,AH5,AM5,AR5,AW5,BB5,BG5,BL5)</f>
        <v>150000</v>
      </c>
      <c r="BO5" s="172">
        <f t="shared" ref="BO5:BO6" si="32">SUM(H5,M5,R5,W5,AB5,AG5,AL5,AQ5,AV5,BA5,BF5,BK5)/BN5</f>
        <v>0</v>
      </c>
    </row>
    <row r="6" spans="1:67">
      <c r="A6" s="77" t="s">
        <v>84</v>
      </c>
      <c r="B6" s="79" t="s">
        <v>85</v>
      </c>
      <c r="C6" s="79" t="s">
        <v>86</v>
      </c>
      <c r="D6" s="78"/>
      <c r="E6" s="137" t="str">
        <f>'Agent Budget &amp; Travel'!D26</f>
        <v>N/A</v>
      </c>
      <c r="F6" s="119">
        <f>'Agent Budget &amp; Travel'!E26</f>
        <v>250000</v>
      </c>
      <c r="G6" s="120">
        <f>'Agent Budget &amp; Travel'!F26</f>
        <v>250000</v>
      </c>
      <c r="H6" s="209"/>
      <c r="I6" s="214">
        <f>F6*'Office Budget'!$I$4</f>
        <v>13076.360918746301</v>
      </c>
      <c r="J6" s="230">
        <f t="shared" si="0"/>
        <v>0</v>
      </c>
      <c r="K6" s="214">
        <f t="shared" si="1"/>
        <v>13076.360918746301</v>
      </c>
      <c r="L6" s="230">
        <f t="shared" ref="L6:L9" si="33">H6/K6</f>
        <v>0</v>
      </c>
      <c r="M6" s="220"/>
      <c r="N6" s="214">
        <f>F6*'Office Budget'!$I$5</f>
        <v>15341.907427922997</v>
      </c>
      <c r="O6" s="232">
        <f t="shared" si="2"/>
        <v>0</v>
      </c>
      <c r="P6" s="216">
        <f t="shared" si="3"/>
        <v>28418.268346669298</v>
      </c>
      <c r="Q6" s="232">
        <f t="shared" si="4"/>
        <v>0</v>
      </c>
      <c r="R6" s="209"/>
      <c r="S6" s="169">
        <f>F6*'Office Budget'!$I$6</f>
        <v>28549.98575952206</v>
      </c>
      <c r="T6" s="170">
        <f t="shared" ref="T6:T9" si="34">R6/S6</f>
        <v>0</v>
      </c>
      <c r="U6" s="218">
        <f t="shared" si="5"/>
        <v>56968.254106191358</v>
      </c>
      <c r="V6" s="170">
        <f t="shared" ref="V6:V9" si="35">SUM(H6,M6,R6)/U6</f>
        <v>0</v>
      </c>
      <c r="W6" s="173"/>
      <c r="X6" s="169">
        <f>F6*'Office Budget'!$I$7</f>
        <v>23986.217431914818</v>
      </c>
      <c r="Y6" s="170">
        <f t="shared" si="6"/>
        <v>0</v>
      </c>
      <c r="Z6" s="218">
        <f t="shared" si="7"/>
        <v>80954.471538106183</v>
      </c>
      <c r="AA6" s="170">
        <f t="shared" si="8"/>
        <v>0</v>
      </c>
      <c r="AB6" s="173"/>
      <c r="AC6" s="169">
        <f>F6*'Office Budget'!$I$8</f>
        <v>21641.882254794669</v>
      </c>
      <c r="AD6" s="170">
        <f t="shared" si="9"/>
        <v>0</v>
      </c>
      <c r="AE6" s="218">
        <f t="shared" si="10"/>
        <v>102596.35379290086</v>
      </c>
      <c r="AF6" s="170">
        <f t="shared" si="11"/>
        <v>0</v>
      </c>
      <c r="AG6" s="173"/>
      <c r="AH6" s="169">
        <f>F6*'Office Budget'!$I$9</f>
        <v>31139.902604101258</v>
      </c>
      <c r="AI6" s="170">
        <f t="shared" si="12"/>
        <v>0</v>
      </c>
      <c r="AJ6" s="169">
        <f t="shared" si="13"/>
        <v>133736.25639700211</v>
      </c>
      <c r="AK6" s="170">
        <f t="shared" si="14"/>
        <v>0</v>
      </c>
      <c r="AL6" s="173"/>
      <c r="AM6" s="169">
        <f>F6*'Office Budget'!$I$10</f>
        <v>4681.0490354599115</v>
      </c>
      <c r="AN6" s="170">
        <f t="shared" si="15"/>
        <v>0</v>
      </c>
      <c r="AO6" s="169">
        <f t="shared" si="16"/>
        <v>138417.30543246202</v>
      </c>
      <c r="AP6" s="170">
        <f t="shared" si="17"/>
        <v>0</v>
      </c>
      <c r="AQ6" s="173"/>
      <c r="AR6" s="169">
        <f>F6*'Office Budget'!$I$11</f>
        <v>15882.372811227327</v>
      </c>
      <c r="AS6" s="170">
        <f t="shared" si="18"/>
        <v>0</v>
      </c>
      <c r="AT6" s="169">
        <f t="shared" si="19"/>
        <v>154299.67824368936</v>
      </c>
      <c r="AU6" s="170">
        <f t="shared" si="20"/>
        <v>0</v>
      </c>
      <c r="AV6" s="173"/>
      <c r="AW6" s="169">
        <f>F6*'Office Budget'!$I$12</f>
        <v>30899.489417194425</v>
      </c>
      <c r="AX6" s="170">
        <f t="shared" si="21"/>
        <v>0</v>
      </c>
      <c r="AY6" s="169">
        <f t="shared" si="22"/>
        <v>185199.16766088377</v>
      </c>
      <c r="AZ6" s="170">
        <f t="shared" si="23"/>
        <v>0</v>
      </c>
      <c r="BA6" s="173"/>
      <c r="BB6" s="169">
        <f>F6*'Office Budget'!$I$13</f>
        <v>20039.74088497282</v>
      </c>
      <c r="BC6" s="170">
        <f t="shared" si="24"/>
        <v>0</v>
      </c>
      <c r="BD6" s="169">
        <f t="shared" si="25"/>
        <v>205238.9085458566</v>
      </c>
      <c r="BE6" s="170">
        <f t="shared" si="26"/>
        <v>0</v>
      </c>
      <c r="BF6" s="173"/>
      <c r="BG6" s="169">
        <f>F6*'Office Budget'!$I$14</f>
        <v>18611.330542797681</v>
      </c>
      <c r="BH6" s="170">
        <f t="shared" si="27"/>
        <v>0</v>
      </c>
      <c r="BI6" s="169">
        <f t="shared" si="28"/>
        <v>223850.23908865429</v>
      </c>
      <c r="BJ6" s="170">
        <f t="shared" si="29"/>
        <v>0</v>
      </c>
      <c r="BK6" s="173"/>
      <c r="BL6" s="176">
        <f>F6*'Office Budget'!$I$15</f>
        <v>26149.760911345737</v>
      </c>
      <c r="BM6" s="170">
        <f t="shared" si="30"/>
        <v>0</v>
      </c>
      <c r="BN6" s="177">
        <f t="shared" si="31"/>
        <v>250000.00000000003</v>
      </c>
      <c r="BO6" s="172">
        <f t="shared" si="32"/>
        <v>0</v>
      </c>
    </row>
    <row r="7" spans="1:67" customFormat="1">
      <c r="A7" s="51" t="s">
        <v>87</v>
      </c>
      <c r="B7" s="52" t="s">
        <v>88</v>
      </c>
      <c r="C7" s="52" t="s">
        <v>220</v>
      </c>
      <c r="D7" s="53"/>
      <c r="E7" s="137" t="str">
        <f>'Agent Budget &amp; Travel'!D27</f>
        <v>N/A</v>
      </c>
      <c r="F7" s="119">
        <f>'Agent Budget &amp; Travel'!E27</f>
        <v>250000</v>
      </c>
      <c r="G7" s="385" t="str">
        <f>'Agent Budget &amp; Travel'!F27</f>
        <v>N/A</v>
      </c>
      <c r="H7" s="225"/>
      <c r="I7" s="214">
        <f>F7*'Office Budget'!$I$4</f>
        <v>13076.360918746301</v>
      </c>
      <c r="J7" s="234">
        <f t="shared" si="0"/>
        <v>0</v>
      </c>
      <c r="K7" s="214">
        <f t="shared" si="1"/>
        <v>13076.360918746301</v>
      </c>
      <c r="L7" s="234">
        <f t="shared" si="33"/>
        <v>0</v>
      </c>
      <c r="M7" s="226"/>
      <c r="N7" s="214">
        <f>F7*'Office Budget'!$I$5</f>
        <v>15341.907427922997</v>
      </c>
      <c r="O7" s="235">
        <f t="shared" si="2"/>
        <v>0</v>
      </c>
      <c r="P7" s="216">
        <f t="shared" si="3"/>
        <v>28418.268346669298</v>
      </c>
      <c r="Q7" s="232">
        <f t="shared" si="4"/>
        <v>0</v>
      </c>
      <c r="R7" s="225"/>
      <c r="S7" s="169">
        <f>F7*'Office Budget'!$I$6</f>
        <v>28549.98575952206</v>
      </c>
      <c r="T7" s="236">
        <f t="shared" si="34"/>
        <v>0</v>
      </c>
      <c r="U7" s="218">
        <f t="shared" si="5"/>
        <v>56968.254106191358</v>
      </c>
      <c r="V7" s="236">
        <f t="shared" si="35"/>
        <v>0</v>
      </c>
      <c r="W7" s="227"/>
      <c r="X7" s="169">
        <f>F7*'Office Budget'!$I$7</f>
        <v>23986.217431914818</v>
      </c>
      <c r="Y7" s="236">
        <f t="shared" si="6"/>
        <v>0</v>
      </c>
      <c r="Z7" s="218">
        <f t="shared" si="7"/>
        <v>80954.471538106183</v>
      </c>
      <c r="AA7" s="236">
        <f t="shared" si="8"/>
        <v>0</v>
      </c>
      <c r="AB7" s="227"/>
      <c r="AC7" s="169">
        <f>F7*'Office Budget'!$I$8</f>
        <v>21641.882254794669</v>
      </c>
      <c r="AD7" s="236">
        <f t="shared" si="9"/>
        <v>0</v>
      </c>
      <c r="AE7" s="218">
        <f t="shared" si="10"/>
        <v>102596.35379290086</v>
      </c>
      <c r="AF7" s="236">
        <f t="shared" si="11"/>
        <v>0</v>
      </c>
      <c r="AG7" s="227"/>
      <c r="AH7" s="169">
        <f>F7*'Office Budget'!$I$9</f>
        <v>31139.902604101258</v>
      </c>
      <c r="AI7" s="236">
        <f t="shared" si="12"/>
        <v>0</v>
      </c>
      <c r="AJ7" s="169">
        <f t="shared" si="13"/>
        <v>133736.25639700211</v>
      </c>
      <c r="AK7" s="236">
        <f t="shared" si="14"/>
        <v>0</v>
      </c>
      <c r="AL7" s="227"/>
      <c r="AM7" s="169">
        <f>F7*0</f>
        <v>0</v>
      </c>
      <c r="AN7" s="236" t="e">
        <f t="shared" si="15"/>
        <v>#DIV/0!</v>
      </c>
      <c r="AO7" s="169">
        <f>SUM(I7,N7,S7,X7,AC7,AH7,AM7)</f>
        <v>133736.25639700211</v>
      </c>
      <c r="AP7" s="236">
        <f t="shared" si="17"/>
        <v>0</v>
      </c>
      <c r="AQ7" s="227"/>
      <c r="AR7" s="169">
        <f>F7*0</f>
        <v>0</v>
      </c>
      <c r="AS7" s="236" t="e">
        <f t="shared" si="18"/>
        <v>#DIV/0!</v>
      </c>
      <c r="AT7" s="169">
        <f t="shared" si="19"/>
        <v>133736.25639700211</v>
      </c>
      <c r="AU7" s="236">
        <f t="shared" si="20"/>
        <v>0</v>
      </c>
      <c r="AV7" s="227"/>
      <c r="AW7" s="169">
        <f>F7*0</f>
        <v>0</v>
      </c>
      <c r="AX7" s="236" t="e">
        <f t="shared" si="21"/>
        <v>#DIV/0!</v>
      </c>
      <c r="AY7" s="169">
        <f t="shared" si="22"/>
        <v>133736.25639700211</v>
      </c>
      <c r="AZ7" s="236">
        <f t="shared" si="23"/>
        <v>0</v>
      </c>
      <c r="BA7" s="227"/>
      <c r="BB7" s="169">
        <f>F7*0</f>
        <v>0</v>
      </c>
      <c r="BC7" s="236" t="e">
        <f t="shared" si="24"/>
        <v>#DIV/0!</v>
      </c>
      <c r="BD7" s="169">
        <f t="shared" si="25"/>
        <v>133736.25639700211</v>
      </c>
      <c r="BE7" s="236">
        <f t="shared" si="26"/>
        <v>0</v>
      </c>
      <c r="BF7" s="227"/>
      <c r="BG7" s="169">
        <f>F7*0</f>
        <v>0</v>
      </c>
      <c r="BH7" s="236" t="e">
        <f t="shared" si="27"/>
        <v>#DIV/0!</v>
      </c>
      <c r="BI7" s="169">
        <f t="shared" si="28"/>
        <v>133736.25639700211</v>
      </c>
      <c r="BJ7" s="236">
        <f t="shared" si="29"/>
        <v>0</v>
      </c>
      <c r="BK7" s="227"/>
      <c r="BL7" s="176">
        <f>F7*0</f>
        <v>0</v>
      </c>
      <c r="BM7" s="237" t="e">
        <f t="shared" si="30"/>
        <v>#DIV/0!</v>
      </c>
      <c r="BN7" s="177">
        <f t="shared" si="31"/>
        <v>133736.25639700211</v>
      </c>
      <c r="BO7" s="237">
        <f>SUM(H7,M7,R7,W7,AB7,AG7,AL7,AQ7,AV7,BA7,BF7,BK7)/BN7</f>
        <v>0</v>
      </c>
    </row>
    <row r="8" spans="1:67" customFormat="1">
      <c r="A8" s="64" t="s">
        <v>161</v>
      </c>
      <c r="B8" s="64" t="s">
        <v>162</v>
      </c>
      <c r="C8" s="64" t="s">
        <v>173</v>
      </c>
      <c r="D8" s="65"/>
      <c r="E8" s="137" t="str">
        <f>'Agent Budget &amp; Travel'!D28</f>
        <v>N/A</v>
      </c>
      <c r="F8" s="119">
        <f>'Agent Budget &amp; Travel'!E28</f>
        <v>300000</v>
      </c>
      <c r="G8" s="385" t="str">
        <f>'Agent Budget &amp; Travel'!F28</f>
        <v>N/A</v>
      </c>
      <c r="H8" s="209"/>
      <c r="I8" s="214">
        <f>F8*0</f>
        <v>0</v>
      </c>
      <c r="J8" s="230" t="e">
        <f t="shared" si="0"/>
        <v>#DIV/0!</v>
      </c>
      <c r="K8" s="214">
        <f t="shared" si="1"/>
        <v>0</v>
      </c>
      <c r="L8" s="230" t="e">
        <f t="shared" si="33"/>
        <v>#DIV/0!</v>
      </c>
      <c r="M8" s="208"/>
      <c r="N8" s="214">
        <f>F8*0</f>
        <v>0</v>
      </c>
      <c r="O8" s="230" t="e">
        <f t="shared" si="2"/>
        <v>#DIV/0!</v>
      </c>
      <c r="P8" s="216">
        <f t="shared" si="3"/>
        <v>0</v>
      </c>
      <c r="Q8" s="232" t="e">
        <f t="shared" si="4"/>
        <v>#DIV/0!</v>
      </c>
      <c r="R8" s="209"/>
      <c r="S8" s="169">
        <f>F8*0</f>
        <v>0</v>
      </c>
      <c r="T8" s="172" t="e">
        <f t="shared" si="34"/>
        <v>#DIV/0!</v>
      </c>
      <c r="U8" s="218">
        <f>SUM(I8,N8,S8)</f>
        <v>0</v>
      </c>
      <c r="V8" s="172" t="e">
        <f t="shared" si="35"/>
        <v>#DIV/0!</v>
      </c>
      <c r="W8" s="173"/>
      <c r="X8" s="169">
        <f>F8*0</f>
        <v>0</v>
      </c>
      <c r="Y8" s="172" t="e">
        <f t="shared" si="6"/>
        <v>#DIV/0!</v>
      </c>
      <c r="Z8" s="218">
        <f t="shared" si="7"/>
        <v>0</v>
      </c>
      <c r="AA8" s="172" t="e">
        <f t="shared" si="8"/>
        <v>#DIV/0!</v>
      </c>
      <c r="AB8" s="173"/>
      <c r="AC8" s="169">
        <f>F8*0</f>
        <v>0</v>
      </c>
      <c r="AD8" s="172" t="e">
        <f t="shared" si="9"/>
        <v>#DIV/0!</v>
      </c>
      <c r="AE8" s="218">
        <f t="shared" si="10"/>
        <v>0</v>
      </c>
      <c r="AF8" s="172" t="e">
        <f t="shared" si="11"/>
        <v>#DIV/0!</v>
      </c>
      <c r="AG8" s="173"/>
      <c r="AH8" s="169">
        <f>F8*'Office Budget'!$I$9</f>
        <v>37367.883124921515</v>
      </c>
      <c r="AI8" s="172">
        <f t="shared" si="12"/>
        <v>0</v>
      </c>
      <c r="AJ8" s="169">
        <f t="shared" si="13"/>
        <v>37367.883124921515</v>
      </c>
      <c r="AK8" s="172">
        <f t="shared" si="14"/>
        <v>0</v>
      </c>
      <c r="AL8" s="173"/>
      <c r="AM8" s="169">
        <f>F8*'Office Budget'!$I$10</f>
        <v>5617.2588425518943</v>
      </c>
      <c r="AN8" s="172">
        <f t="shared" si="15"/>
        <v>0</v>
      </c>
      <c r="AO8" s="169">
        <f t="shared" si="16"/>
        <v>42985.141967473406</v>
      </c>
      <c r="AP8" s="172">
        <f t="shared" si="17"/>
        <v>0</v>
      </c>
      <c r="AQ8" s="173"/>
      <c r="AR8" s="169">
        <f>F8*'Office Budget'!$I$11</f>
        <v>19058.847373472792</v>
      </c>
      <c r="AS8" s="172">
        <f t="shared" si="18"/>
        <v>0</v>
      </c>
      <c r="AT8" s="169">
        <f t="shared" si="19"/>
        <v>62043.989340946195</v>
      </c>
      <c r="AU8" s="172">
        <f t="shared" si="20"/>
        <v>0</v>
      </c>
      <c r="AV8" s="173"/>
      <c r="AW8" s="169">
        <f>F8*'Office Budget'!$I$12</f>
        <v>37079.387300633309</v>
      </c>
      <c r="AX8" s="172">
        <f t="shared" si="21"/>
        <v>0</v>
      </c>
      <c r="AY8" s="169">
        <f t="shared" si="22"/>
        <v>99123.376641579496</v>
      </c>
      <c r="AZ8" s="172">
        <f t="shared" si="23"/>
        <v>0</v>
      </c>
      <c r="BA8" s="173"/>
      <c r="BB8" s="169">
        <f>F8*'Office Budget'!$I$13</f>
        <v>24047.689061967387</v>
      </c>
      <c r="BC8" s="172">
        <f t="shared" si="24"/>
        <v>0</v>
      </c>
      <c r="BD8" s="169">
        <f t="shared" si="25"/>
        <v>123171.06570354689</v>
      </c>
      <c r="BE8" s="172">
        <f t="shared" si="26"/>
        <v>0</v>
      </c>
      <c r="BF8" s="173"/>
      <c r="BG8" s="169">
        <f>F8*'Office Budget'!$I$14</f>
        <v>22333.596651357217</v>
      </c>
      <c r="BH8" s="172">
        <f t="shared" si="27"/>
        <v>0</v>
      </c>
      <c r="BI8" s="169">
        <f t="shared" si="28"/>
        <v>145504.66235490411</v>
      </c>
      <c r="BJ8" s="172">
        <f>SUM(H8,M8,R8,W8,AB8,AG8,AL8,AQ8,AV8,BA8,BF8)/BI8</f>
        <v>0</v>
      </c>
      <c r="BK8" s="173"/>
      <c r="BL8" s="176">
        <f>F8*'Office Budget'!$I$15</f>
        <v>31379.713093614882</v>
      </c>
      <c r="BM8" s="172">
        <f t="shared" si="30"/>
        <v>0</v>
      </c>
      <c r="BN8" s="177">
        <f t="shared" si="31"/>
        <v>176884.37544851899</v>
      </c>
      <c r="BO8" s="172">
        <f>SUM(H8,M8,R8,W8,AB8,AG8,AL8,AQ8,AV8,BA8,BF8,BK8)/BN8</f>
        <v>0</v>
      </c>
    </row>
    <row r="9" spans="1:67" s="141" customFormat="1">
      <c r="A9" s="64" t="s">
        <v>177</v>
      </c>
      <c r="B9" s="64" t="s">
        <v>167</v>
      </c>
      <c r="C9" s="64" t="s">
        <v>171</v>
      </c>
      <c r="D9" s="65"/>
      <c r="E9" s="137" t="str">
        <f>'Agent Budget &amp; Travel'!D29</f>
        <v>N/A</v>
      </c>
      <c r="F9" s="119">
        <f>'Agent Budget &amp; Travel'!E29</f>
        <v>200000</v>
      </c>
      <c r="G9" s="385" t="str">
        <f>'Agent Budget &amp; Travel'!F29</f>
        <v>N/A</v>
      </c>
      <c r="H9" s="209"/>
      <c r="I9" s="214">
        <f>F9*0</f>
        <v>0</v>
      </c>
      <c r="J9" s="230" t="e">
        <f t="shared" si="0"/>
        <v>#DIV/0!</v>
      </c>
      <c r="K9" s="214">
        <f t="shared" si="1"/>
        <v>0</v>
      </c>
      <c r="L9" s="230" t="e">
        <f t="shared" si="33"/>
        <v>#DIV/0!</v>
      </c>
      <c r="M9" s="208"/>
      <c r="N9" s="214">
        <f>F9*0</f>
        <v>0</v>
      </c>
      <c r="O9" s="230" t="e">
        <f t="shared" si="2"/>
        <v>#DIV/0!</v>
      </c>
      <c r="P9" s="216">
        <f t="shared" si="3"/>
        <v>0</v>
      </c>
      <c r="Q9" s="232" t="e">
        <f t="shared" si="4"/>
        <v>#DIV/0!</v>
      </c>
      <c r="R9" s="209"/>
      <c r="S9" s="169">
        <f>F9*0</f>
        <v>0</v>
      </c>
      <c r="T9" s="172" t="e">
        <f t="shared" si="34"/>
        <v>#DIV/0!</v>
      </c>
      <c r="U9" s="218">
        <f t="shared" si="5"/>
        <v>0</v>
      </c>
      <c r="V9" s="172" t="e">
        <f t="shared" si="35"/>
        <v>#DIV/0!</v>
      </c>
      <c r="W9" s="173"/>
      <c r="X9" s="169">
        <f>F9*0</f>
        <v>0</v>
      </c>
      <c r="Y9" s="172" t="e">
        <f t="shared" si="6"/>
        <v>#DIV/0!</v>
      </c>
      <c r="Z9" s="218">
        <f t="shared" si="7"/>
        <v>0</v>
      </c>
      <c r="AA9" s="172" t="e">
        <f t="shared" si="8"/>
        <v>#DIV/0!</v>
      </c>
      <c r="AB9" s="173"/>
      <c r="AC9" s="169">
        <f>F9*0</f>
        <v>0</v>
      </c>
      <c r="AD9" s="172" t="e">
        <f t="shared" si="9"/>
        <v>#DIV/0!</v>
      </c>
      <c r="AE9" s="218">
        <f t="shared" si="10"/>
        <v>0</v>
      </c>
      <c r="AF9" s="172" t="e">
        <f t="shared" si="11"/>
        <v>#DIV/0!</v>
      </c>
      <c r="AG9" s="173"/>
      <c r="AH9" s="169">
        <f>F9*0</f>
        <v>0</v>
      </c>
      <c r="AI9" s="172" t="e">
        <f t="shared" si="12"/>
        <v>#DIV/0!</v>
      </c>
      <c r="AJ9" s="169">
        <f t="shared" si="13"/>
        <v>0</v>
      </c>
      <c r="AK9" s="172" t="e">
        <f t="shared" si="14"/>
        <v>#DIV/0!</v>
      </c>
      <c r="AL9" s="173"/>
      <c r="AM9" s="169">
        <f>F9*0</f>
        <v>0</v>
      </c>
      <c r="AN9" s="172" t="e">
        <f t="shared" si="15"/>
        <v>#DIV/0!</v>
      </c>
      <c r="AO9" s="169">
        <f t="shared" si="16"/>
        <v>0</v>
      </c>
      <c r="AP9" s="172" t="e">
        <f t="shared" si="17"/>
        <v>#DIV/0!</v>
      </c>
      <c r="AQ9" s="173"/>
      <c r="AR9" s="169">
        <f>F9*'Office Budget'!$I$11</f>
        <v>12705.898248981861</v>
      </c>
      <c r="AS9" s="172">
        <f t="shared" si="18"/>
        <v>0</v>
      </c>
      <c r="AT9" s="169">
        <f t="shared" si="19"/>
        <v>12705.898248981861</v>
      </c>
      <c r="AU9" s="172">
        <f t="shared" si="20"/>
        <v>0</v>
      </c>
      <c r="AV9" s="173"/>
      <c r="AW9" s="169">
        <f>F9*'Office Budget'!$I$12</f>
        <v>24719.591533755538</v>
      </c>
      <c r="AX9" s="172">
        <f t="shared" si="21"/>
        <v>0</v>
      </c>
      <c r="AY9" s="169">
        <f t="shared" si="22"/>
        <v>37425.489782737401</v>
      </c>
      <c r="AZ9" s="172">
        <f t="shared" si="23"/>
        <v>0</v>
      </c>
      <c r="BA9" s="173"/>
      <c r="BB9" s="169">
        <f>F9*'Office Budget'!$I$13</f>
        <v>16031.792707978257</v>
      </c>
      <c r="BC9" s="172">
        <f t="shared" si="24"/>
        <v>0</v>
      </c>
      <c r="BD9" s="169">
        <f t="shared" si="25"/>
        <v>53457.282490715661</v>
      </c>
      <c r="BE9" s="172">
        <f>SUM(H9,M9,R9,W9,AB9,AG9,AL9,AQ9,AV9,BA9)/BD9</f>
        <v>0</v>
      </c>
      <c r="BF9" s="173"/>
      <c r="BG9" s="169">
        <f>F9*'Office Budget'!$I$14</f>
        <v>14889.064434238144</v>
      </c>
      <c r="BH9" s="172">
        <f t="shared" si="27"/>
        <v>0</v>
      </c>
      <c r="BI9" s="169">
        <f t="shared" si="28"/>
        <v>68346.346924953803</v>
      </c>
      <c r="BJ9" s="172">
        <f>SUM(H9,M9,R9,W9,AB9,AG9,AL9,AQ9,AV9,BA9,BF9)/BI9</f>
        <v>0</v>
      </c>
      <c r="BK9" s="173"/>
      <c r="BL9" s="176">
        <f>F9*'Office Budget'!$I$15</f>
        <v>20919.808729076587</v>
      </c>
      <c r="BM9" s="172">
        <f t="shared" si="30"/>
        <v>0</v>
      </c>
      <c r="BN9" s="177">
        <f>SUM(I9,N9,S9,X9,AC9,AH9,AM9,AR9,AW9,BB9,BG9,BL9)</f>
        <v>89266.155654030386</v>
      </c>
      <c r="BO9" s="172">
        <f>SUM(H9,M9,R9,W9,AB9,AG9,AL9,AQ9,AV9,BA9,BF9,BK9)/BN9</f>
        <v>0</v>
      </c>
    </row>
    <row r="10" spans="1:67" customFormat="1">
      <c r="A10" s="62"/>
      <c r="B10" s="62"/>
      <c r="C10" s="62"/>
      <c r="D10" s="62"/>
      <c r="E10" s="62"/>
      <c r="F10" s="149">
        <f>SUM(F4:F9)</f>
        <v>1750000</v>
      </c>
      <c r="G10" s="62"/>
      <c r="H10" s="62"/>
      <c r="I10" s="62"/>
      <c r="J10" s="228"/>
      <c r="K10" s="62"/>
      <c r="L10" s="228"/>
      <c r="M10" s="62"/>
      <c r="N10" s="62"/>
      <c r="O10" s="228"/>
      <c r="P10" s="62"/>
      <c r="Q10" s="228"/>
      <c r="R10" s="62"/>
      <c r="S10" s="62"/>
      <c r="T10" s="228"/>
      <c r="U10" s="62"/>
      <c r="V10" s="228"/>
      <c r="W10" s="62"/>
      <c r="X10" s="62"/>
      <c r="Y10" s="228"/>
      <c r="Z10" s="62"/>
      <c r="AA10" s="228"/>
      <c r="AB10" s="62"/>
      <c r="AC10" s="62"/>
      <c r="AD10" s="228"/>
      <c r="AE10" s="62"/>
      <c r="AF10" s="228"/>
      <c r="AG10" s="62"/>
      <c r="AH10" s="62"/>
      <c r="AI10" s="228"/>
      <c r="AJ10" s="62"/>
      <c r="AK10" s="228"/>
      <c r="AL10" s="62"/>
      <c r="AM10" s="62"/>
      <c r="AN10" s="228"/>
      <c r="AO10" s="62"/>
      <c r="AP10" s="228"/>
      <c r="AQ10" s="62"/>
      <c r="AR10" s="62"/>
      <c r="AS10" s="228"/>
      <c r="AT10" s="62"/>
      <c r="AU10" s="228"/>
      <c r="AV10" s="62"/>
      <c r="AW10" s="62"/>
      <c r="AX10" s="228"/>
      <c r="AY10" s="62"/>
      <c r="AZ10" s="228"/>
      <c r="BA10" s="62"/>
      <c r="BB10" s="62"/>
      <c r="BC10" s="228"/>
      <c r="BD10" s="62"/>
      <c r="BE10" s="228"/>
      <c r="BF10" s="62"/>
      <c r="BG10" s="62"/>
      <c r="BH10" s="228"/>
      <c r="BI10" s="62"/>
      <c r="BJ10" s="228"/>
      <c r="BK10" s="62"/>
      <c r="BL10" s="62"/>
      <c r="BM10" s="228"/>
      <c r="BN10" s="62"/>
      <c r="BO10" s="228"/>
    </row>
    <row r="11" spans="1:67" customFormat="1">
      <c r="A11" s="62"/>
      <c r="B11" s="62"/>
      <c r="C11" s="62"/>
      <c r="D11" s="62"/>
      <c r="E11" s="62"/>
      <c r="F11" s="62"/>
      <c r="G11" s="62"/>
      <c r="H11" s="62"/>
      <c r="I11" s="62"/>
      <c r="J11" s="228"/>
      <c r="K11" s="62"/>
      <c r="L11" s="228"/>
      <c r="M11" s="62"/>
      <c r="N11" s="62"/>
      <c r="O11" s="228"/>
      <c r="P11" s="62"/>
      <c r="Q11" s="228"/>
      <c r="R11" s="62"/>
      <c r="S11" s="62"/>
      <c r="T11" s="228"/>
      <c r="U11" s="62"/>
      <c r="V11" s="228"/>
      <c r="W11" s="62"/>
      <c r="X11" s="62"/>
      <c r="Y11" s="228"/>
      <c r="Z11" s="62"/>
      <c r="AA11" s="228"/>
      <c r="AB11" s="62"/>
      <c r="AC11" s="62"/>
      <c r="AD11" s="228"/>
      <c r="AE11" s="62"/>
      <c r="AF11" s="228"/>
      <c r="AG11" s="62"/>
      <c r="AH11" s="62"/>
      <c r="AI11" s="228"/>
      <c r="AJ11" s="62"/>
      <c r="AK11" s="228"/>
      <c r="AL11" s="62"/>
      <c r="AM11" s="62"/>
      <c r="AN11" s="228"/>
      <c r="AO11" s="62"/>
      <c r="AP11" s="228"/>
      <c r="AQ11" s="62"/>
      <c r="AR11" s="62"/>
      <c r="AS11" s="228"/>
      <c r="AT11" s="62"/>
      <c r="AU11" s="228"/>
      <c r="AV11" s="62"/>
      <c r="AW11" s="62"/>
      <c r="AX11" s="228"/>
      <c r="AY11" s="62"/>
      <c r="AZ11" s="228"/>
      <c r="BA11" s="62"/>
      <c r="BB11" s="62"/>
      <c r="BC11" s="228"/>
      <c r="BD11" s="62"/>
      <c r="BE11" s="228"/>
      <c r="BF11" s="62"/>
      <c r="BG11" s="62"/>
      <c r="BH11" s="228"/>
      <c r="BI11" s="62"/>
      <c r="BJ11" s="228"/>
      <c r="BK11" s="62"/>
      <c r="BL11" s="62"/>
      <c r="BM11" s="228"/>
      <c r="BN11" s="62"/>
      <c r="BO11" s="228"/>
    </row>
    <row r="13" spans="1:67" ht="21.75" thickBot="1">
      <c r="D13" s="138"/>
      <c r="BD13" s="141"/>
    </row>
    <row r="14" spans="1:67" ht="15.75" thickBot="1">
      <c r="A14" s="7"/>
      <c r="B14" s="12" t="s">
        <v>19</v>
      </c>
      <c r="C14" s="13" t="s">
        <v>20</v>
      </c>
      <c r="D14" s="12" t="s">
        <v>21</v>
      </c>
      <c r="E14" s="13" t="s">
        <v>22</v>
      </c>
      <c r="F14" s="134" t="s">
        <v>23</v>
      </c>
      <c r="G14" s="133" t="s">
        <v>117</v>
      </c>
      <c r="H14" s="188" t="s">
        <v>175</v>
      </c>
    </row>
    <row r="15" spans="1:67">
      <c r="A15" s="8" t="s">
        <v>7</v>
      </c>
      <c r="B15" s="67"/>
      <c r="C15" s="68"/>
      <c r="D15" s="10"/>
      <c r="E15" s="11"/>
      <c r="F15" s="112">
        <f>SUM(I4:I9)</f>
        <v>65381.804593731504</v>
      </c>
      <c r="G15" s="111" t="str">
        <f>IF(D15=0,"",D15-F15)</f>
        <v/>
      </c>
      <c r="H15" s="194" t="str">
        <f>IF(D15=0,"",D15/F15)</f>
        <v/>
      </c>
    </row>
    <row r="16" spans="1:67">
      <c r="A16" s="8" t="s">
        <v>8</v>
      </c>
      <c r="B16" s="67"/>
      <c r="C16" s="68"/>
      <c r="D16" s="124"/>
      <c r="E16" s="11"/>
      <c r="F16" s="128">
        <f>SUM(N4:N9)</f>
        <v>76709.537139614986</v>
      </c>
      <c r="G16" s="15" t="str">
        <f t="shared" ref="G16:G27" si="36">IF(D16=0,"",D16-F16)</f>
        <v/>
      </c>
      <c r="H16" s="196" t="str">
        <f>IF(D16=0,"",SUM(D15:D16)/SUM(F15:F16))</f>
        <v/>
      </c>
    </row>
    <row r="17" spans="1:39">
      <c r="A17" s="8" t="s">
        <v>9</v>
      </c>
      <c r="B17" s="67"/>
      <c r="C17" s="68"/>
      <c r="D17" s="124"/>
      <c r="E17" s="11"/>
      <c r="F17" s="128">
        <f>SUM(S4:S9)</f>
        <v>142749.92879761031</v>
      </c>
      <c r="G17" s="15" t="str">
        <f t="shared" si="36"/>
        <v/>
      </c>
      <c r="H17" s="196" t="str">
        <f>IF(D17=0,"",SUM(D15:D17)/SUM(F15:F17))</f>
        <v/>
      </c>
      <c r="L17" s="382"/>
    </row>
    <row r="18" spans="1:39">
      <c r="A18" s="8" t="s">
        <v>10</v>
      </c>
      <c r="B18" s="67"/>
      <c r="C18" s="68"/>
      <c r="D18" s="124"/>
      <c r="E18" s="11"/>
      <c r="F18" s="128">
        <f>SUM(X4:X9)</f>
        <v>119931.08715957409</v>
      </c>
      <c r="G18" s="15" t="str">
        <f t="shared" si="36"/>
        <v/>
      </c>
      <c r="H18" s="196" t="str">
        <f>IF(D18=0,"",SUM(D15:D18)/SUM(F15:F18))</f>
        <v/>
      </c>
    </row>
    <row r="19" spans="1:39">
      <c r="A19" s="8" t="s">
        <v>11</v>
      </c>
      <c r="B19" s="243"/>
      <c r="C19" s="68"/>
      <c r="D19" s="124"/>
      <c r="E19" s="11"/>
      <c r="F19" s="128">
        <f>SUM(AC4:AC9)</f>
        <v>108209.41127397335</v>
      </c>
      <c r="G19" s="15" t="str">
        <f t="shared" si="36"/>
        <v/>
      </c>
      <c r="H19" s="196" t="str">
        <f>IF(D19=0,"",SUM(D15:D19)/SUM(F15:F19))</f>
        <v/>
      </c>
    </row>
    <row r="20" spans="1:39">
      <c r="A20" s="8" t="s">
        <v>12</v>
      </c>
      <c r="B20" s="67"/>
      <c r="C20" s="68"/>
      <c r="D20" s="124"/>
      <c r="E20" s="11"/>
      <c r="F20" s="128">
        <f>SUM(AH4:AH9)</f>
        <v>193067.39614542783</v>
      </c>
      <c r="G20" s="15" t="str">
        <f t="shared" si="36"/>
        <v/>
      </c>
      <c r="H20" s="196" t="str">
        <f>IF(D20=0,"",SUM(D15:D20)/SUM(F15:F20))</f>
        <v/>
      </c>
      <c r="AM20" s="1"/>
    </row>
    <row r="21" spans="1:39">
      <c r="A21" s="8" t="s">
        <v>13</v>
      </c>
      <c r="B21" s="67"/>
      <c r="C21" s="69"/>
      <c r="D21" s="124"/>
      <c r="E21" s="11"/>
      <c r="F21" s="128">
        <f>SUM(AM4:AM9)</f>
        <v>24341.454984391541</v>
      </c>
      <c r="G21" s="15" t="str">
        <f t="shared" si="36"/>
        <v/>
      </c>
      <c r="H21" s="196" t="str">
        <f>IF(D21=0,"",SUM(D15:D21)/SUM(F15:F21))</f>
        <v/>
      </c>
    </row>
    <row r="22" spans="1:39">
      <c r="A22" s="8" t="s">
        <v>14</v>
      </c>
      <c r="B22" s="67"/>
      <c r="C22" s="69"/>
      <c r="D22" s="124"/>
      <c r="E22" s="11"/>
      <c r="F22" s="128">
        <f>SUM(AR4:AR9)</f>
        <v>95294.236867363958</v>
      </c>
      <c r="G22" s="15" t="str">
        <f t="shared" si="36"/>
        <v/>
      </c>
      <c r="H22" s="196" t="str">
        <f>IF(D22=0,"",SUM(D15:D22)/SUM(F15:F22))</f>
        <v/>
      </c>
    </row>
    <row r="23" spans="1:39">
      <c r="A23" s="8" t="s">
        <v>15</v>
      </c>
      <c r="B23" s="67"/>
      <c r="C23" s="69"/>
      <c r="D23" s="124"/>
      <c r="E23" s="11"/>
      <c r="F23" s="128">
        <f>SUM(AW4:AW9)</f>
        <v>185396.93650316654</v>
      </c>
      <c r="G23" s="15" t="str">
        <f t="shared" si="36"/>
        <v/>
      </c>
      <c r="H23" s="196" t="str">
        <f>IF(D23=0,"",SUM(D15:D23)/SUM(F15:F23))</f>
        <v/>
      </c>
    </row>
    <row r="24" spans="1:39">
      <c r="A24" s="8" t="s">
        <v>16</v>
      </c>
      <c r="B24" s="67"/>
      <c r="C24" s="69"/>
      <c r="D24" s="124"/>
      <c r="E24" s="11"/>
      <c r="F24" s="128">
        <f>SUM(BB4:BB9)</f>
        <v>120238.44530983694</v>
      </c>
      <c r="G24" s="15" t="str">
        <f t="shared" si="36"/>
        <v/>
      </c>
      <c r="H24" s="196" t="str">
        <f>IF(D24=0,"",SUM(D15:D24)/SUM(F15:F24))</f>
        <v/>
      </c>
    </row>
    <row r="25" spans="1:39">
      <c r="A25" s="8" t="s">
        <v>17</v>
      </c>
      <c r="B25" s="67"/>
      <c r="C25" s="68"/>
      <c r="D25" s="124"/>
      <c r="E25" s="11"/>
      <c r="F25" s="128">
        <f>SUM(BG4:BG9)</f>
        <v>111667.98325678609</v>
      </c>
      <c r="G25" s="15" t="str">
        <f t="shared" si="36"/>
        <v/>
      </c>
      <c r="H25" s="196" t="str">
        <f>IF(D25=0,"",SUM(D15:D25)/SUM(F15:F25))</f>
        <v/>
      </c>
    </row>
    <row r="26" spans="1:39" ht="15.75" thickBot="1">
      <c r="A26" s="8" t="s">
        <v>18</v>
      </c>
      <c r="B26" s="70"/>
      <c r="C26" s="69"/>
      <c r="D26" s="361"/>
      <c r="E26" s="362"/>
      <c r="F26" s="129">
        <f>SUM(BL4:BL9)</f>
        <v>156898.5654680744</v>
      </c>
      <c r="G26" s="16" t="str">
        <f t="shared" si="36"/>
        <v/>
      </c>
      <c r="H26" s="200" t="str">
        <f>IF(D26=0,"",SUM(D15:D26)/SUM(F15:F26))</f>
        <v/>
      </c>
      <c r="K26" s="1"/>
    </row>
    <row r="27" spans="1:39" ht="15.75" thickBot="1">
      <c r="A27" s="9"/>
      <c r="B27" s="24">
        <f>SUM(B15:B26)</f>
        <v>0</v>
      </c>
      <c r="C27" s="25">
        <f>SUM(C15:C26)</f>
        <v>0</v>
      </c>
      <c r="D27" s="109">
        <f>SUM(D15:D26)</f>
        <v>0</v>
      </c>
      <c r="E27" s="131">
        <f>SUM(E15:E26)</f>
        <v>0</v>
      </c>
      <c r="F27" s="130">
        <f>SUM(F15:F26)</f>
        <v>1399886.7874995517</v>
      </c>
      <c r="G27" s="135" t="str">
        <f t="shared" si="36"/>
        <v/>
      </c>
      <c r="H27" s="204"/>
    </row>
    <row r="28" spans="1:39" ht="15.75" thickBot="1"/>
    <row r="29" spans="1:39" ht="60.75" thickBot="1">
      <c r="E29" s="115" t="s">
        <v>174</v>
      </c>
      <c r="F29" s="110">
        <f>D27/F27</f>
        <v>0</v>
      </c>
    </row>
    <row r="31" spans="1:39">
      <c r="A31" s="141" t="s">
        <v>221</v>
      </c>
    </row>
    <row r="33" spans="6:6">
      <c r="F33" s="141"/>
    </row>
  </sheetData>
  <mergeCells count="1">
    <mergeCell ref="A3:C3"/>
  </mergeCells>
  <pageMargins left="0.7" right="0.7" top="0.75" bottom="0.75" header="0.3" footer="0.3"/>
  <pageSetup paperSize="9" scale="57" orientation="landscape" r:id="rId1"/>
  <ignoredErrors>
    <ignoredError sqref="H16:H22 H23:H2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N39"/>
  <sheetViews>
    <sheetView topLeftCell="A2" workbookViewId="0">
      <selection activeCell="A31" sqref="A31"/>
    </sheetView>
  </sheetViews>
  <sheetFormatPr defaultRowHeight="15" outlineLevelCol="1"/>
  <cols>
    <col min="1" max="1" width="10.5703125" style="80" customWidth="1"/>
    <col min="2" max="2" width="14.28515625" style="80" bestFit="1" customWidth="1"/>
    <col min="3" max="3" width="11.140625" style="80" customWidth="1"/>
    <col min="4" max="4" width="13.28515625" style="80" customWidth="1"/>
    <col min="5" max="5" width="14.28515625" style="80" customWidth="1"/>
    <col min="6" max="6" width="18" style="80" customWidth="1"/>
    <col min="7" max="7" width="19.85546875" style="80" customWidth="1"/>
    <col min="8" max="8" width="17.7109375" bestFit="1" customWidth="1"/>
    <col min="9" max="9" width="12.5703125" hidden="1" customWidth="1" outlineLevel="1"/>
    <col min="10" max="10" width="9.140625" style="228" hidden="1" customWidth="1" outlineLevel="1"/>
    <col min="11" max="11" width="10.7109375" hidden="1" customWidth="1" outlineLevel="1"/>
    <col min="12" max="12" width="9.140625" style="228" hidden="1" customWidth="1" outlineLevel="1"/>
    <col min="13" max="13" width="10.7109375" bestFit="1" customWidth="1" collapsed="1"/>
    <col min="14" max="14" width="11.7109375" hidden="1" customWidth="1" outlineLevel="1"/>
    <col min="15" max="15" width="11.5703125" style="228" hidden="1" customWidth="1" outlineLevel="1"/>
    <col min="16" max="16" width="11.7109375" hidden="1" customWidth="1" outlineLevel="1"/>
    <col min="17" max="17" width="9.140625" style="228" hidden="1" customWidth="1" outlineLevel="1"/>
    <col min="18" max="18" width="11.85546875" customWidth="1" collapsed="1"/>
    <col min="19" max="19" width="11" hidden="1" customWidth="1" outlineLevel="1"/>
    <col min="20" max="20" width="11" style="228" hidden="1" customWidth="1" outlineLevel="1"/>
    <col min="21" max="21" width="12" hidden="1" customWidth="1" outlineLevel="1"/>
    <col min="22" max="22" width="9.140625" style="228" hidden="1" customWidth="1" outlineLevel="1"/>
    <col min="23" max="23" width="9.140625" style="80" collapsed="1"/>
    <col min="24" max="24" width="11" style="80" hidden="1" customWidth="1" outlineLevel="1"/>
    <col min="25" max="25" width="9.140625" style="228" hidden="1" customWidth="1" outlineLevel="1"/>
    <col min="26" max="26" width="12" style="80" hidden="1" customWidth="1" outlineLevel="1"/>
    <col min="27" max="27" width="9.140625" style="228" hidden="1" customWidth="1" outlineLevel="1"/>
    <col min="28" max="28" width="9.140625" style="80" collapsed="1"/>
    <col min="29" max="29" width="11" style="80" hidden="1" customWidth="1" outlineLevel="1"/>
    <col min="30" max="30" width="9.140625" style="228" hidden="1" customWidth="1" outlineLevel="1"/>
    <col min="31" max="31" width="12" style="80" hidden="1" customWidth="1" outlineLevel="1"/>
    <col min="32" max="32" width="9.140625" style="228" hidden="1" customWidth="1" outlineLevel="1"/>
    <col min="33" max="33" width="9.140625" style="80" collapsed="1"/>
    <col min="34" max="34" width="12" style="80" hidden="1" customWidth="1" outlineLevel="1"/>
    <col min="35" max="35" width="9.140625" style="228" hidden="1" customWidth="1" outlineLevel="1"/>
    <col min="36" max="36" width="12" style="80" hidden="1" customWidth="1" outlineLevel="1"/>
    <col min="37" max="37" width="9.140625" style="228" hidden="1" customWidth="1" outlineLevel="1"/>
    <col min="38" max="38" width="9.140625" style="80" collapsed="1"/>
    <col min="39" max="39" width="11" style="80" hidden="1" customWidth="1" outlineLevel="1"/>
    <col min="40" max="40" width="9.140625" style="228" hidden="1" customWidth="1" outlineLevel="1"/>
    <col min="41" max="41" width="12" style="80" hidden="1" customWidth="1" outlineLevel="1"/>
    <col min="42" max="42" width="9.140625" style="228" hidden="1" customWidth="1" outlineLevel="1"/>
    <col min="43" max="43" width="9.140625" style="80" collapsed="1"/>
    <col min="44" max="44" width="11" style="80" hidden="1" customWidth="1" outlineLevel="1"/>
    <col min="45" max="45" width="9.140625" style="228" hidden="1" customWidth="1" outlineLevel="1"/>
    <col min="46" max="46" width="12" style="80" hidden="1" customWidth="1" outlineLevel="1"/>
    <col min="47" max="47" width="9.140625" style="228" hidden="1" customWidth="1" outlineLevel="1"/>
    <col min="48" max="48" width="9.140625" style="80" collapsed="1"/>
    <col min="49" max="49" width="12" style="80" hidden="1" customWidth="1" outlineLevel="1"/>
    <col min="50" max="50" width="9.140625" style="228" hidden="1" customWidth="1" outlineLevel="1"/>
    <col min="51" max="51" width="12" style="80" hidden="1" customWidth="1" outlineLevel="1"/>
    <col min="52" max="52" width="9.140625" style="228" hidden="1" customWidth="1" outlineLevel="1"/>
    <col min="53" max="53" width="9.140625" style="80" collapsed="1"/>
    <col min="54" max="54" width="11" style="80" hidden="1" customWidth="1" outlineLevel="1"/>
    <col min="55" max="55" width="9.140625" style="228" hidden="1" customWidth="1" outlineLevel="1"/>
    <col min="56" max="56" width="12" style="80" hidden="1" customWidth="1" outlineLevel="1"/>
    <col min="57" max="57" width="9.140625" style="228" hidden="1" customWidth="1" outlineLevel="1"/>
    <col min="58" max="58" width="9.140625" style="80" collapsed="1"/>
    <col min="59" max="59" width="11" style="80" hidden="1" customWidth="1" outlineLevel="1"/>
    <col min="60" max="60" width="9.140625" style="228" hidden="1" customWidth="1" outlineLevel="1"/>
    <col min="61" max="61" width="12" style="80" hidden="1" customWidth="1" outlineLevel="1"/>
    <col min="62" max="62" width="9.140625" style="228" hidden="1" customWidth="1" outlineLevel="1"/>
    <col min="63" max="63" width="9.140625" style="80" collapsed="1"/>
    <col min="64" max="64" width="9.140625" style="80" hidden="1" customWidth="1" outlineLevel="1"/>
    <col min="65" max="65" width="9.140625" style="228" hidden="1" customWidth="1" outlineLevel="1"/>
    <col min="66" max="66" width="9.5703125" style="80" hidden="1" customWidth="1" outlineLevel="1"/>
    <col min="67" max="67" width="9.140625" style="228" hidden="1" customWidth="1" outlineLevel="1"/>
    <col min="68" max="68" width="9.140625" style="80" collapsed="1"/>
    <col min="69" max="16384" width="9.140625" style="80"/>
  </cols>
  <sheetData>
    <row r="1" spans="1:170" s="141" customFormat="1" ht="21">
      <c r="A1" s="114" t="s">
        <v>178</v>
      </c>
      <c r="J1" s="228"/>
      <c r="L1" s="228"/>
      <c r="O1" s="228"/>
      <c r="Q1" s="228"/>
      <c r="T1" s="228"/>
      <c r="V1" s="228"/>
      <c r="Y1" s="228"/>
      <c r="AA1" s="228"/>
      <c r="AD1" s="228"/>
      <c r="AF1" s="228"/>
      <c r="AI1" s="228"/>
      <c r="AK1" s="228"/>
      <c r="AN1" s="228"/>
      <c r="AP1" s="228"/>
      <c r="AS1" s="228"/>
      <c r="AU1" s="228"/>
      <c r="AX1" s="228"/>
      <c r="AZ1" s="228"/>
      <c r="BC1" s="228"/>
      <c r="BE1" s="228"/>
      <c r="BH1" s="228"/>
      <c r="BJ1" s="228"/>
      <c r="BM1" s="228"/>
      <c r="BO1" s="228"/>
    </row>
    <row r="2" spans="1:170">
      <c r="E2" s="141"/>
    </row>
    <row r="3" spans="1:170" s="141" customFormat="1" ht="25.5">
      <c r="A3" s="419" t="s">
        <v>0</v>
      </c>
      <c r="B3" s="420"/>
      <c r="C3" s="421"/>
      <c r="D3" s="142" t="s">
        <v>1</v>
      </c>
      <c r="E3" s="143" t="s">
        <v>2</v>
      </c>
      <c r="F3" s="144" t="s">
        <v>109</v>
      </c>
      <c r="G3" s="145" t="s">
        <v>110</v>
      </c>
      <c r="H3" s="211" t="s">
        <v>7</v>
      </c>
      <c r="I3" s="167" t="s">
        <v>157</v>
      </c>
      <c r="J3" s="229" t="s">
        <v>158</v>
      </c>
      <c r="K3" s="167" t="s">
        <v>135</v>
      </c>
      <c r="L3" s="229" t="s">
        <v>136</v>
      </c>
      <c r="M3" s="184" t="s">
        <v>8</v>
      </c>
      <c r="N3" s="167" t="s">
        <v>133</v>
      </c>
      <c r="O3" s="229" t="s">
        <v>134</v>
      </c>
      <c r="P3" s="167" t="s">
        <v>135</v>
      </c>
      <c r="Q3" s="229" t="s">
        <v>136</v>
      </c>
      <c r="R3" s="182" t="s">
        <v>9</v>
      </c>
      <c r="S3" s="167" t="s">
        <v>137</v>
      </c>
      <c r="T3" s="229" t="s">
        <v>138</v>
      </c>
      <c r="U3" s="167" t="s">
        <v>135</v>
      </c>
      <c r="V3" s="229" t="s">
        <v>136</v>
      </c>
      <c r="W3" s="182" t="s">
        <v>10</v>
      </c>
      <c r="X3" s="167" t="s">
        <v>139</v>
      </c>
      <c r="Y3" s="229" t="s">
        <v>140</v>
      </c>
      <c r="Z3" s="167" t="s">
        <v>135</v>
      </c>
      <c r="AA3" s="229" t="s">
        <v>136</v>
      </c>
      <c r="AB3" s="182" t="s">
        <v>11</v>
      </c>
      <c r="AC3" s="167" t="s">
        <v>141</v>
      </c>
      <c r="AD3" s="229" t="s">
        <v>142</v>
      </c>
      <c r="AE3" s="167" t="s">
        <v>135</v>
      </c>
      <c r="AF3" s="229" t="s">
        <v>136</v>
      </c>
      <c r="AG3" s="182" t="s">
        <v>12</v>
      </c>
      <c r="AH3" s="167" t="s">
        <v>143</v>
      </c>
      <c r="AI3" s="229" t="s">
        <v>144</v>
      </c>
      <c r="AJ3" s="167" t="s">
        <v>135</v>
      </c>
      <c r="AK3" s="229" t="s">
        <v>136</v>
      </c>
      <c r="AL3" s="182" t="s">
        <v>13</v>
      </c>
      <c r="AM3" s="167" t="s">
        <v>145</v>
      </c>
      <c r="AN3" s="229" t="s">
        <v>146</v>
      </c>
      <c r="AO3" s="167" t="s">
        <v>135</v>
      </c>
      <c r="AP3" s="229" t="s">
        <v>136</v>
      </c>
      <c r="AQ3" s="182" t="s">
        <v>14</v>
      </c>
      <c r="AR3" s="167" t="s">
        <v>147</v>
      </c>
      <c r="AS3" s="229" t="s">
        <v>148</v>
      </c>
      <c r="AT3" s="167" t="s">
        <v>135</v>
      </c>
      <c r="AU3" s="229" t="s">
        <v>136</v>
      </c>
      <c r="AV3" s="182" t="s">
        <v>15</v>
      </c>
      <c r="AW3" s="167" t="s">
        <v>149</v>
      </c>
      <c r="AX3" s="229" t="s">
        <v>150</v>
      </c>
      <c r="AY3" s="167" t="s">
        <v>135</v>
      </c>
      <c r="AZ3" s="229" t="s">
        <v>136</v>
      </c>
      <c r="BA3" s="182" t="s">
        <v>16</v>
      </c>
      <c r="BB3" s="167" t="s">
        <v>151</v>
      </c>
      <c r="BC3" s="229" t="s">
        <v>152</v>
      </c>
      <c r="BD3" s="167" t="s">
        <v>135</v>
      </c>
      <c r="BE3" s="229" t="s">
        <v>136</v>
      </c>
      <c r="BF3" s="182" t="s">
        <v>17</v>
      </c>
      <c r="BG3" s="167" t="s">
        <v>153</v>
      </c>
      <c r="BH3" s="229" t="s">
        <v>154</v>
      </c>
      <c r="BI3" s="167" t="s">
        <v>135</v>
      </c>
      <c r="BJ3" s="229" t="s">
        <v>136</v>
      </c>
      <c r="BK3" s="182" t="s">
        <v>18</v>
      </c>
      <c r="BL3" s="167" t="s">
        <v>155</v>
      </c>
      <c r="BM3" s="229" t="s">
        <v>156</v>
      </c>
      <c r="BN3" s="167" t="s">
        <v>135</v>
      </c>
      <c r="BO3" s="229" t="s">
        <v>136</v>
      </c>
    </row>
    <row r="4" spans="1:170">
      <c r="A4" s="87" t="s">
        <v>90</v>
      </c>
      <c r="B4" s="89" t="s">
        <v>91</v>
      </c>
      <c r="C4" s="89" t="s">
        <v>92</v>
      </c>
      <c r="D4" s="88"/>
      <c r="E4" s="349">
        <f>'Agent Budget &amp; Travel'!D30</f>
        <v>500000</v>
      </c>
      <c r="F4" s="90">
        <f>'Agent Budget &amp; Travel'!E30</f>
        <v>650000</v>
      </c>
      <c r="G4" s="210">
        <f>'Agent Budget &amp; Travel'!F30</f>
        <v>700000</v>
      </c>
      <c r="H4" s="212"/>
      <c r="I4" s="213">
        <f>F4*'Office Budget'!$I$4</f>
        <v>33998.53838874038</v>
      </c>
      <c r="J4" s="230">
        <f>H4/I4</f>
        <v>0</v>
      </c>
      <c r="K4" s="214">
        <f>I4</f>
        <v>33998.53838874038</v>
      </c>
      <c r="L4" s="230">
        <f>H4/K4</f>
        <v>0</v>
      </c>
      <c r="M4" s="215"/>
      <c r="N4" s="290">
        <f>F4*'Office Budget'!$I$5</f>
        <v>39888.959312599793</v>
      </c>
      <c r="O4" s="232">
        <f>M4/N4</f>
        <v>0</v>
      </c>
      <c r="P4" s="216">
        <f>SUM(I4,N4)</f>
        <v>73887.49770134018</v>
      </c>
      <c r="Q4" s="232">
        <f>SUM(H4,M4)/P4</f>
        <v>0</v>
      </c>
      <c r="R4" s="217"/>
      <c r="S4" s="169">
        <f>F4*'Office Budget'!$I$6</f>
        <v>74229.962974757349</v>
      </c>
      <c r="T4" s="170">
        <f>R4/S4</f>
        <v>0</v>
      </c>
      <c r="U4" s="218">
        <f>SUM(I4,N4,S4)</f>
        <v>148117.46067609754</v>
      </c>
      <c r="V4" s="170">
        <f>SUM(H4,M4,R4)/U4</f>
        <v>0</v>
      </c>
      <c r="W4" s="219"/>
      <c r="X4" s="169">
        <f>F4*'Office Budget'!$I$7</f>
        <v>62364.165322978522</v>
      </c>
      <c r="Y4" s="170">
        <f>W4/X4</f>
        <v>0</v>
      </c>
      <c r="Z4" s="218">
        <f>SUM(I4,N4,S4,X4)</f>
        <v>210481.62599907606</v>
      </c>
      <c r="AA4" s="170">
        <f>SUM(H4,M4,R4,W4)/Z4</f>
        <v>0</v>
      </c>
      <c r="AB4" s="219"/>
      <c r="AC4" s="169">
        <f>F4*'Office Budget'!$I$8</f>
        <v>56268.893862466139</v>
      </c>
      <c r="AD4" s="170">
        <f>AB4/AC4</f>
        <v>0</v>
      </c>
      <c r="AE4" s="218">
        <f>SUM(I4,N4,S4,X4,AC4)</f>
        <v>266750.51986154221</v>
      </c>
      <c r="AF4" s="170">
        <f>SUM(H4,M4,R4,W4,AB4)/AE4</f>
        <v>0</v>
      </c>
      <c r="AG4" s="219"/>
      <c r="AH4" s="169">
        <f>F4*'Office Budget'!$I$9</f>
        <v>80963.746770663274</v>
      </c>
      <c r="AI4" s="170">
        <f>AG4/AH4</f>
        <v>0</v>
      </c>
      <c r="AJ4" s="169">
        <f>SUM(I4,N4,S4,X4,AC4,AH4)</f>
        <v>347714.26663220546</v>
      </c>
      <c r="AK4" s="170">
        <f>SUM(H4,M4,R4,W4,AB4,AG4)/AJ4</f>
        <v>0</v>
      </c>
      <c r="AL4" s="219"/>
      <c r="AM4" s="169">
        <f>F4*'Office Budget'!$I$10</f>
        <v>12170.727492195771</v>
      </c>
      <c r="AN4" s="170">
        <f>AL4/AM4</f>
        <v>0</v>
      </c>
      <c r="AO4" s="169">
        <f>SUM(Blackburn!I4,Blackburn!N4,Blackburn!S4,Blackburn!X4,Blackburn!AC4,Blackburn!AH4,Blackburn!AM4)</f>
        <v>359884.99412440124</v>
      </c>
      <c r="AP4" s="170">
        <f>SUM(H4,M4,R4,W4,AB4,AG4,AL4)/AO4</f>
        <v>0</v>
      </c>
      <c r="AQ4" s="219"/>
      <c r="AR4" s="169">
        <f>F4*'Office Budget'!$I$11</f>
        <v>41294.169309191049</v>
      </c>
      <c r="AS4" s="170">
        <f>AQ4/AR4</f>
        <v>0</v>
      </c>
      <c r="AT4" s="169">
        <f>SUM(I4,N4,S4,X4,AC4,AH4,AM4,AR4)</f>
        <v>401179.1634335923</v>
      </c>
      <c r="AU4" s="170">
        <f>SUM(H4,M4,R4,W4,AB4,AG4,AL4,AQ4)/AT4</f>
        <v>0</v>
      </c>
      <c r="AV4" s="219"/>
      <c r="AW4" s="169">
        <f>F4*'Office Budget'!$I$12</f>
        <v>80338.672484705501</v>
      </c>
      <c r="AX4" s="170">
        <f>AV4/AW4</f>
        <v>0</v>
      </c>
      <c r="AY4" s="169">
        <f>SUM(I4,N4,S4,X4,AC4,AH4,AM4,AR4,AW4)</f>
        <v>481517.83591829782</v>
      </c>
      <c r="AZ4" s="170">
        <f>SUM(H4,M4,R4,W4,AB4,AG4,AL4,AQ4,AV4)/AY4</f>
        <v>0</v>
      </c>
      <c r="BA4" s="219"/>
      <c r="BB4" s="169">
        <f>F4*'Office Budget'!$I$13</f>
        <v>52103.326300929337</v>
      </c>
      <c r="BC4" s="170">
        <f>BA4/BB4</f>
        <v>0</v>
      </c>
      <c r="BD4" s="169">
        <f>SUM(I4,N4,S4,X4,AC4,AH4,AM4,AR4,AW4,BB4)</f>
        <v>533621.16221922718</v>
      </c>
      <c r="BE4" s="170">
        <f>SUM(H4,M4,R4,W4,AB4,AG4,AL4,AQ4,AV4,BA4)/BD4</f>
        <v>0</v>
      </c>
      <c r="BF4" s="219"/>
      <c r="BG4" s="169">
        <f>F4*'Office Budget'!$I$14</f>
        <v>48389.459411273972</v>
      </c>
      <c r="BH4" s="170">
        <f>BF4/BG4</f>
        <v>0</v>
      </c>
      <c r="BI4" s="169">
        <f>SUM(I4,N4,S4,X4,AC4,AH4,AM4,AR4,AW4,BB4,BG4)</f>
        <v>582010.62163050112</v>
      </c>
      <c r="BJ4" s="170">
        <f>SUM(H4,M4,R4,W4,AB4,AG4,AL4,AQ4,AV4,BA4,BF4)/BI4</f>
        <v>0</v>
      </c>
      <c r="BK4" s="219"/>
      <c r="BL4" s="176">
        <f>F4*'Office Budget'!$I$15</f>
        <v>67989.378369498911</v>
      </c>
      <c r="BM4" s="170">
        <f>BK4/BL4</f>
        <v>0</v>
      </c>
      <c r="BN4" s="177">
        <f>SUM(I4,N4,S4,X4,AC4,AH4,AM4,AR4,AW4,BB4,BG4,BL4)</f>
        <v>650000</v>
      </c>
      <c r="BO4" s="172">
        <f>SUM(H4,M4,R4,W4,AB4,AG4,AL4,AQ4,AV4,BA4,BF4,BK4)/BN4</f>
        <v>0</v>
      </c>
      <c r="BP4" s="86"/>
      <c r="BQ4" s="86"/>
      <c r="BR4" s="86"/>
      <c r="BS4" s="86"/>
      <c r="BT4" s="86"/>
      <c r="BU4" s="86"/>
      <c r="BV4" s="86"/>
      <c r="BW4" s="86"/>
      <c r="BX4" s="86"/>
      <c r="BY4" s="86"/>
      <c r="BZ4" s="86"/>
      <c r="CA4" s="86"/>
      <c r="CB4" s="86"/>
      <c r="CC4" s="86"/>
      <c r="CD4" s="86"/>
      <c r="CE4" s="86"/>
      <c r="CF4" s="86"/>
      <c r="CG4" s="86"/>
      <c r="CH4" s="86"/>
      <c r="CI4" s="86"/>
      <c r="CJ4" s="86"/>
      <c r="CK4" s="86"/>
      <c r="CL4" s="86"/>
      <c r="CM4" s="86"/>
      <c r="CN4" s="86"/>
      <c r="CO4" s="86"/>
      <c r="CP4" s="86"/>
      <c r="CQ4" s="86"/>
      <c r="CR4" s="86"/>
      <c r="CS4" s="86"/>
      <c r="CT4" s="86"/>
      <c r="CU4" s="86"/>
      <c r="CV4" s="86"/>
      <c r="CW4" s="86"/>
      <c r="CX4" s="86"/>
      <c r="CY4" s="86"/>
      <c r="CZ4" s="86"/>
      <c r="DA4" s="86"/>
      <c r="DB4" s="86"/>
      <c r="DC4" s="86"/>
      <c r="DD4" s="86"/>
      <c r="DE4" s="86"/>
      <c r="DF4" s="86"/>
      <c r="DG4" s="86"/>
      <c r="DH4" s="86"/>
      <c r="DI4" s="86"/>
      <c r="DJ4" s="86"/>
      <c r="DK4" s="86"/>
      <c r="DL4" s="86"/>
      <c r="DM4" s="86"/>
      <c r="DN4" s="86"/>
      <c r="DO4" s="86"/>
      <c r="DP4" s="86"/>
      <c r="DQ4" s="86"/>
      <c r="DR4" s="86"/>
      <c r="DS4" s="86"/>
      <c r="DT4" s="86"/>
      <c r="DU4" s="86"/>
      <c r="DV4" s="86"/>
      <c r="DW4" s="86"/>
      <c r="DX4" s="86"/>
      <c r="DY4" s="86"/>
      <c r="DZ4" s="86"/>
      <c r="EA4" s="86"/>
      <c r="EB4" s="86"/>
      <c r="EC4" s="86"/>
      <c r="ED4" s="86"/>
      <c r="EE4" s="86"/>
      <c r="EF4" s="86"/>
      <c r="EG4" s="86"/>
      <c r="EH4" s="86"/>
      <c r="EI4" s="86"/>
      <c r="EJ4" s="86"/>
      <c r="EK4" s="86"/>
      <c r="EL4" s="86"/>
      <c r="EM4" s="86"/>
      <c r="EN4" s="86"/>
      <c r="EO4" s="86"/>
      <c r="EP4" s="86"/>
      <c r="EQ4" s="86"/>
      <c r="ER4" s="86"/>
      <c r="ES4" s="86"/>
      <c r="ET4" s="86"/>
      <c r="EU4" s="86"/>
      <c r="EV4" s="86"/>
      <c r="EW4" s="86"/>
      <c r="EX4" s="86"/>
      <c r="EY4" s="86"/>
      <c r="EZ4" s="86"/>
      <c r="FA4" s="86"/>
      <c r="FB4" s="86"/>
      <c r="FC4" s="86"/>
      <c r="FD4" s="86"/>
      <c r="FE4" s="86"/>
      <c r="FF4" s="86"/>
      <c r="FG4" s="86"/>
      <c r="FH4" s="86"/>
      <c r="FI4" s="86"/>
      <c r="FJ4" s="86"/>
      <c r="FK4" s="86"/>
      <c r="FL4" s="86"/>
      <c r="FM4" s="86"/>
      <c r="FN4" s="86"/>
    </row>
    <row r="5" spans="1:170">
      <c r="A5" s="91" t="s">
        <v>93</v>
      </c>
      <c r="B5" s="93" t="s">
        <v>94</v>
      </c>
      <c r="C5" s="93" t="s">
        <v>95</v>
      </c>
      <c r="D5" s="92"/>
      <c r="E5" s="349">
        <f>'Agent Budget &amp; Travel'!D31</f>
        <v>500000</v>
      </c>
      <c r="F5" s="119">
        <f>'Agent Budget &amp; Travel'!E31</f>
        <v>850000</v>
      </c>
      <c r="G5" s="210">
        <f>'Agent Budget &amp; Travel'!F31</f>
        <v>1010000</v>
      </c>
      <c r="H5" s="212"/>
      <c r="I5" s="213">
        <f>F5*'Office Budget'!$I$4</f>
        <v>44459.627123737417</v>
      </c>
      <c r="J5" s="230">
        <f t="shared" ref="J5:J11" si="0">H5/I5</f>
        <v>0</v>
      </c>
      <c r="K5" s="214">
        <f t="shared" ref="K5:K11" si="1">I5</f>
        <v>44459.627123737417</v>
      </c>
      <c r="L5" s="230">
        <f t="shared" ref="L5:L11" si="2">H5/K5</f>
        <v>0</v>
      </c>
      <c r="M5" s="220"/>
      <c r="N5" s="290">
        <f>F5*'Office Budget'!$I$5</f>
        <v>52162.48525493819</v>
      </c>
      <c r="O5" s="232">
        <f t="shared" ref="O5:O11" si="3">M5/N5</f>
        <v>0</v>
      </c>
      <c r="P5" s="216">
        <f t="shared" ref="P5:P11" si="4">SUM(I5,N5)</f>
        <v>96622.112378675607</v>
      </c>
      <c r="Q5" s="232">
        <f t="shared" ref="Q5:Q11" si="5">SUM(H5,M5)/P5</f>
        <v>0</v>
      </c>
      <c r="R5" s="209"/>
      <c r="S5" s="169">
        <f>F5*'Office Budget'!$I$6</f>
        <v>97069.951582374997</v>
      </c>
      <c r="T5" s="170">
        <f t="shared" ref="T5:T11" si="6">R5/S5</f>
        <v>0</v>
      </c>
      <c r="U5" s="218">
        <f t="shared" ref="U5:U11" si="7">SUM(I5,N5,S5)</f>
        <v>193692.06396105059</v>
      </c>
      <c r="V5" s="170">
        <f t="shared" ref="V5:V11" si="8">SUM(H5,M5,R5)/U5</f>
        <v>0</v>
      </c>
      <c r="W5" s="173"/>
      <c r="X5" s="169">
        <f>F5*'Office Budget'!$I$7</f>
        <v>81553.139268510378</v>
      </c>
      <c r="Y5" s="170">
        <f t="shared" ref="Y5:Y11" si="9">W5/X5</f>
        <v>0</v>
      </c>
      <c r="Z5" s="218">
        <f t="shared" ref="Z5:Z11" si="10">SUM(I5,N5,S5,X5)</f>
        <v>275245.20322956098</v>
      </c>
      <c r="AA5" s="170">
        <f t="shared" ref="AA5:AA11" si="11">SUM(H5,M5,R5,W5)/Z5</f>
        <v>0</v>
      </c>
      <c r="AB5" s="173"/>
      <c r="AC5" s="169">
        <f>F5*'Office Budget'!$I$8</f>
        <v>73582.399666301877</v>
      </c>
      <c r="AD5" s="170">
        <f t="shared" ref="AD5:AD11" si="12">AB5/AC5</f>
        <v>0</v>
      </c>
      <c r="AE5" s="218">
        <f t="shared" ref="AE5:AE11" si="13">SUM(I5,N5,S5,X5,AC5)</f>
        <v>348827.60289586289</v>
      </c>
      <c r="AF5" s="170">
        <f t="shared" ref="AF5:AF11" si="14">SUM(H5,M5,R5,W5,AB5)/AE5</f>
        <v>0</v>
      </c>
      <c r="AG5" s="173"/>
      <c r="AH5" s="169">
        <f>F5*'Office Budget'!$I$9</f>
        <v>105875.66885394428</v>
      </c>
      <c r="AI5" s="170">
        <f t="shared" ref="AI5:AI11" si="15">AG5/AH5</f>
        <v>0</v>
      </c>
      <c r="AJ5" s="169">
        <f t="shared" ref="AJ5:AJ11" si="16">SUM(I5,N5,S5,X5,AC5,AH5)</f>
        <v>454703.27174980717</v>
      </c>
      <c r="AK5" s="170">
        <f t="shared" ref="AK5:AK11" si="17">SUM(H5,M5,R5,W5,AB5,AG5)/AJ5</f>
        <v>0</v>
      </c>
      <c r="AL5" s="173"/>
      <c r="AM5" s="169">
        <f>F5*'Office Budget'!$I$10</f>
        <v>15915.5667205637</v>
      </c>
      <c r="AN5" s="170">
        <f t="shared" ref="AN5:AN11" si="18">AL5/AM5</f>
        <v>0</v>
      </c>
      <c r="AO5" s="169">
        <f>SUM(Blackburn!I5,Blackburn!N5,Blackburn!S5,Blackburn!X5,Blackburn!AC5,Blackburn!AH5,Blackburn!AM5)</f>
        <v>470618.83847037086</v>
      </c>
      <c r="AP5" s="170">
        <f t="shared" ref="AP5:AP11" si="19">SUM(H5,M5,R5,W5,AB5,AG5,AL5)/AO5</f>
        <v>0</v>
      </c>
      <c r="AQ5" s="173"/>
      <c r="AR5" s="169">
        <f>F5*'Office Budget'!$I$11</f>
        <v>54000.067558172916</v>
      </c>
      <c r="AS5" s="170">
        <f t="shared" ref="AS5:AS11" si="20">AQ5/AR5</f>
        <v>0</v>
      </c>
      <c r="AT5" s="169">
        <f t="shared" ref="AT5:AT11" si="21">SUM(I5,N5,S5,X5,AC5,AH5,AM5,AR5)</f>
        <v>524618.90602854383</v>
      </c>
      <c r="AU5" s="170">
        <f t="shared" ref="AU5:AU11" si="22">SUM(H5,M5,R5,W5,AB5,AG5,AL5,AQ5)/AT5</f>
        <v>0</v>
      </c>
      <c r="AV5" s="173"/>
      <c r="AW5" s="169">
        <f>F5*'Office Budget'!$I$12</f>
        <v>105058.26401846104</v>
      </c>
      <c r="AX5" s="170">
        <f t="shared" ref="AX5:AX11" si="23">AV5/AW5</f>
        <v>0</v>
      </c>
      <c r="AY5" s="169">
        <f t="shared" ref="AY5:AY11" si="24">SUM(I5,N5,S5,X5,AC5,AH5,AM5,AR5,AW5)</f>
        <v>629677.17004700482</v>
      </c>
      <c r="AZ5" s="170">
        <f t="shared" ref="AZ5:AZ11" si="25">SUM(H5,M5,R5,W5,AB5,AG5,AL5,AQ5,AV5)/AY5</f>
        <v>0</v>
      </c>
      <c r="BA5" s="173"/>
      <c r="BB5" s="169">
        <f>F5*'Office Budget'!$I$13</f>
        <v>68135.119008907597</v>
      </c>
      <c r="BC5" s="170">
        <f t="shared" ref="BC5:BC11" si="26">BA5/BB5</f>
        <v>0</v>
      </c>
      <c r="BD5" s="169">
        <f t="shared" ref="BD5:BD11" si="27">SUM(I5,N5,S5,X5,AC5,AH5,AM5,AR5,AW5,BB5)</f>
        <v>697812.28905591241</v>
      </c>
      <c r="BE5" s="170">
        <f t="shared" ref="BE5:BE11" si="28">SUM(H5,M5,R5,W5,AB5,AG5,AL5,AQ5,AV5,BA5)/BD5</f>
        <v>0</v>
      </c>
      <c r="BF5" s="173"/>
      <c r="BG5" s="169">
        <f>F5*'Office Budget'!$I$14</f>
        <v>63278.523845512114</v>
      </c>
      <c r="BH5" s="170">
        <f t="shared" ref="BH5:BH11" si="29">BF5/BG5</f>
        <v>0</v>
      </c>
      <c r="BI5" s="169">
        <f t="shared" ref="BI5:BI11" si="30">SUM(I5,N5,S5,X5,AC5,AH5,AM5,AR5,AW5,BB5,BG5)</f>
        <v>761090.81290142448</v>
      </c>
      <c r="BJ5" s="170">
        <f t="shared" ref="BJ5:BJ11" si="31">SUM(H5,M5,R5,W5,AB5,AG5,AL5,AQ5,AV5,BA5,BF5)/BI5</f>
        <v>0</v>
      </c>
      <c r="BK5" s="173"/>
      <c r="BL5" s="176">
        <f>F5*'Office Budget'!$I$15</f>
        <v>88909.187098575509</v>
      </c>
      <c r="BM5" s="170">
        <f t="shared" ref="BM5:BM11" si="32">BK5/BL5</f>
        <v>0</v>
      </c>
      <c r="BN5" s="177">
        <f t="shared" ref="BN5:BN11" si="33">SUM(I5,N5,S5,X5,AC5,AH5,AM5,AR5,AW5,BB5,BG5,BL5)</f>
        <v>850000</v>
      </c>
      <c r="BO5" s="172">
        <f t="shared" ref="BO5:BO11" si="34">SUM(H5,M5,R5,W5,AB5,AG5,AL5,AQ5,AV5,BA5,BF5,BK5)/BN5</f>
        <v>0</v>
      </c>
    </row>
    <row r="6" spans="1:170">
      <c r="A6" s="95" t="s">
        <v>96</v>
      </c>
      <c r="B6" s="97" t="s">
        <v>97</v>
      </c>
      <c r="C6" s="97" t="s">
        <v>98</v>
      </c>
      <c r="D6" s="96"/>
      <c r="E6" s="349">
        <f>'Agent Budget &amp; Travel'!D32</f>
        <v>300000</v>
      </c>
      <c r="F6" s="119">
        <f>'Agent Budget &amp; Travel'!E32</f>
        <v>300000</v>
      </c>
      <c r="G6" s="210">
        <f>'Agent Budget &amp; Travel'!F32</f>
        <v>400000</v>
      </c>
      <c r="H6" s="212"/>
      <c r="I6" s="213">
        <f>F6*'Office Budget'!$I$4</f>
        <v>15691.63310249556</v>
      </c>
      <c r="J6" s="230">
        <f t="shared" si="0"/>
        <v>0</v>
      </c>
      <c r="K6" s="214">
        <f t="shared" si="1"/>
        <v>15691.63310249556</v>
      </c>
      <c r="L6" s="230">
        <f t="shared" si="2"/>
        <v>0</v>
      </c>
      <c r="M6" s="220"/>
      <c r="N6" s="290">
        <f>F6*'Office Budget'!$I$5</f>
        <v>18410.288913507597</v>
      </c>
      <c r="O6" s="232">
        <f t="shared" si="3"/>
        <v>0</v>
      </c>
      <c r="P6" s="216">
        <f t="shared" si="4"/>
        <v>34101.922016003155</v>
      </c>
      <c r="Q6" s="232">
        <f t="shared" si="5"/>
        <v>0</v>
      </c>
      <c r="R6" s="209"/>
      <c r="S6" s="169">
        <f>F6*'Office Budget'!$I$6</f>
        <v>34259.982911426472</v>
      </c>
      <c r="T6" s="170">
        <f t="shared" si="6"/>
        <v>0</v>
      </c>
      <c r="U6" s="218">
        <f t="shared" si="7"/>
        <v>68361.904927429627</v>
      </c>
      <c r="V6" s="170">
        <f t="shared" si="8"/>
        <v>0</v>
      </c>
      <c r="W6" s="173"/>
      <c r="X6" s="169">
        <f>F6*'Office Budget'!$I$7</f>
        <v>28783.46091829778</v>
      </c>
      <c r="Y6" s="170">
        <f t="shared" si="9"/>
        <v>0</v>
      </c>
      <c r="Z6" s="218">
        <f t="shared" si="10"/>
        <v>97145.365845727414</v>
      </c>
      <c r="AA6" s="170">
        <f t="shared" si="11"/>
        <v>0</v>
      </c>
      <c r="AB6" s="173"/>
      <c r="AC6" s="169">
        <f>F6*'Office Budget'!$I$8</f>
        <v>25970.258705753604</v>
      </c>
      <c r="AD6" s="170">
        <f t="shared" si="12"/>
        <v>0</v>
      </c>
      <c r="AE6" s="218">
        <f t="shared" si="13"/>
        <v>123115.62455148101</v>
      </c>
      <c r="AF6" s="170">
        <f t="shared" si="14"/>
        <v>0</v>
      </c>
      <c r="AG6" s="173"/>
      <c r="AH6" s="169">
        <f>F6*'Office Budget'!$I$9</f>
        <v>37367.883124921515</v>
      </c>
      <c r="AI6" s="170">
        <f t="shared" si="15"/>
        <v>0</v>
      </c>
      <c r="AJ6" s="169">
        <f t="shared" si="16"/>
        <v>160483.50767640251</v>
      </c>
      <c r="AK6" s="170">
        <f t="shared" si="17"/>
        <v>0</v>
      </c>
      <c r="AL6" s="173"/>
      <c r="AM6" s="169">
        <f>F6*'Office Budget'!$I$10</f>
        <v>5617.2588425518943</v>
      </c>
      <c r="AN6" s="170">
        <f t="shared" si="18"/>
        <v>0</v>
      </c>
      <c r="AO6" s="169">
        <f>SUM(Blackburn!I6,Blackburn!N6,Blackburn!S6,Blackburn!X6,Blackburn!AC6,Blackburn!AH6,Blackburn!AM6)</f>
        <v>166100.76651895442</v>
      </c>
      <c r="AP6" s="170">
        <f t="shared" si="19"/>
        <v>0</v>
      </c>
      <c r="AQ6" s="173"/>
      <c r="AR6" s="169">
        <f>F6*'Office Budget'!$I$11</f>
        <v>19058.847373472792</v>
      </c>
      <c r="AS6" s="170">
        <f t="shared" si="20"/>
        <v>0</v>
      </c>
      <c r="AT6" s="169">
        <f t="shared" si="21"/>
        <v>185159.61389242721</v>
      </c>
      <c r="AU6" s="170">
        <f t="shared" si="22"/>
        <v>0</v>
      </c>
      <c r="AV6" s="173"/>
      <c r="AW6" s="169">
        <f>F6*'Office Budget'!$I$12</f>
        <v>37079.387300633309</v>
      </c>
      <c r="AX6" s="170">
        <f t="shared" si="23"/>
        <v>0</v>
      </c>
      <c r="AY6" s="169">
        <f t="shared" si="24"/>
        <v>222239.00119306051</v>
      </c>
      <c r="AZ6" s="170">
        <f t="shared" si="25"/>
        <v>0</v>
      </c>
      <c r="BA6" s="173"/>
      <c r="BB6" s="169">
        <f>F6*'Office Budget'!$I$13</f>
        <v>24047.689061967387</v>
      </c>
      <c r="BC6" s="170">
        <f t="shared" si="26"/>
        <v>0</v>
      </c>
      <c r="BD6" s="169">
        <f t="shared" si="27"/>
        <v>246286.6902550279</v>
      </c>
      <c r="BE6" s="170">
        <f t="shared" si="28"/>
        <v>0</v>
      </c>
      <c r="BF6" s="173"/>
      <c r="BG6" s="169">
        <f>F6*'Office Budget'!$I$14</f>
        <v>22333.596651357217</v>
      </c>
      <c r="BH6" s="170">
        <f t="shared" si="29"/>
        <v>0</v>
      </c>
      <c r="BI6" s="169">
        <f t="shared" si="30"/>
        <v>268620.2869063851</v>
      </c>
      <c r="BJ6" s="170">
        <f t="shared" si="31"/>
        <v>0</v>
      </c>
      <c r="BK6" s="173"/>
      <c r="BL6" s="176">
        <f>F6*'Office Budget'!$I$15</f>
        <v>31379.713093614882</v>
      </c>
      <c r="BM6" s="170">
        <f t="shared" si="32"/>
        <v>0</v>
      </c>
      <c r="BN6" s="177">
        <f t="shared" si="33"/>
        <v>300000</v>
      </c>
      <c r="BO6" s="172">
        <f t="shared" si="34"/>
        <v>0</v>
      </c>
      <c r="BP6" s="94"/>
      <c r="BQ6" s="94"/>
      <c r="BR6" s="94"/>
      <c r="BS6" s="94"/>
      <c r="BT6" s="94"/>
      <c r="BU6" s="94"/>
      <c r="BV6" s="94"/>
      <c r="BW6" s="94"/>
      <c r="BX6" s="94"/>
      <c r="BY6" s="94"/>
      <c r="BZ6" s="94"/>
      <c r="CA6" s="94"/>
      <c r="CB6" s="94"/>
      <c r="CC6" s="94"/>
      <c r="CD6" s="94"/>
      <c r="CE6" s="94"/>
      <c r="CF6" s="94"/>
      <c r="CG6" s="94"/>
      <c r="CH6" s="94"/>
      <c r="CI6" s="94"/>
      <c r="CJ6" s="94"/>
      <c r="CK6" s="94"/>
      <c r="CL6" s="94"/>
      <c r="CM6" s="94"/>
      <c r="CN6" s="94"/>
      <c r="CO6" s="94"/>
      <c r="CP6" s="94"/>
      <c r="CQ6" s="94"/>
      <c r="CR6" s="94"/>
      <c r="CS6" s="94"/>
      <c r="CT6" s="94"/>
      <c r="CU6" s="94"/>
      <c r="CV6" s="94"/>
      <c r="CW6" s="94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T6" s="94"/>
      <c r="DU6" s="94"/>
      <c r="DV6" s="94"/>
      <c r="DW6" s="94"/>
      <c r="DX6" s="94"/>
      <c r="DY6" s="94"/>
      <c r="DZ6" s="94"/>
      <c r="EA6" s="94"/>
      <c r="EB6" s="94"/>
      <c r="EC6" s="94"/>
      <c r="ED6" s="94"/>
      <c r="EE6" s="94"/>
      <c r="EF6" s="94"/>
      <c r="EG6" s="94"/>
      <c r="EH6" s="94"/>
      <c r="EI6" s="94"/>
      <c r="EJ6" s="94"/>
      <c r="EK6" s="94"/>
      <c r="EL6" s="94"/>
      <c r="EM6" s="94"/>
      <c r="EN6" s="94"/>
      <c r="EO6" s="94"/>
      <c r="EP6" s="94"/>
      <c r="EQ6" s="94"/>
      <c r="ER6" s="94"/>
      <c r="ES6" s="94"/>
      <c r="ET6" s="94"/>
      <c r="EU6" s="94"/>
      <c r="EV6" s="94"/>
      <c r="EW6" s="94"/>
      <c r="EX6" s="94"/>
      <c r="EY6" s="94"/>
      <c r="EZ6" s="94"/>
      <c r="FA6" s="94"/>
      <c r="FB6" s="94"/>
      <c r="FC6" s="94"/>
      <c r="FD6" s="94"/>
      <c r="FE6" s="94"/>
      <c r="FF6" s="94"/>
      <c r="FG6" s="94"/>
      <c r="FH6" s="94"/>
      <c r="FI6" s="94"/>
      <c r="FJ6" s="94"/>
      <c r="FK6" s="94"/>
      <c r="FL6" s="94"/>
      <c r="FM6" s="94"/>
      <c r="FN6" s="94"/>
    </row>
    <row r="7" spans="1:170">
      <c r="A7" s="99" t="s">
        <v>99</v>
      </c>
      <c r="B7" s="101" t="s">
        <v>100</v>
      </c>
      <c r="C7" s="101" t="s">
        <v>101</v>
      </c>
      <c r="D7" s="100"/>
      <c r="E7" s="349">
        <f>'Agent Budget &amp; Travel'!D33</f>
        <v>300000</v>
      </c>
      <c r="F7" s="119">
        <f>'Agent Budget &amp; Travel'!E33</f>
        <v>350000</v>
      </c>
      <c r="G7" s="210">
        <f>'Agent Budget &amp; Travel'!F33</f>
        <v>400000</v>
      </c>
      <c r="H7" s="212"/>
      <c r="I7" s="213">
        <f>F7*'Office Budget'!$I$4</f>
        <v>18306.905286244819</v>
      </c>
      <c r="J7" s="230">
        <f t="shared" si="0"/>
        <v>0</v>
      </c>
      <c r="K7" s="214">
        <f t="shared" si="1"/>
        <v>18306.905286244819</v>
      </c>
      <c r="L7" s="230">
        <f t="shared" si="2"/>
        <v>0</v>
      </c>
      <c r="M7" s="220"/>
      <c r="N7" s="290">
        <f>F7*'Office Budget'!$I$5</f>
        <v>21478.670399092196</v>
      </c>
      <c r="O7" s="232">
        <f t="shared" si="3"/>
        <v>0</v>
      </c>
      <c r="P7" s="216">
        <f t="shared" si="4"/>
        <v>39785.575685337011</v>
      </c>
      <c r="Q7" s="232">
        <f t="shared" si="5"/>
        <v>0</v>
      </c>
      <c r="R7" s="209"/>
      <c r="S7" s="169">
        <f>F7*'Office Budget'!$I$6</f>
        <v>39969.980063330884</v>
      </c>
      <c r="T7" s="170">
        <f t="shared" si="6"/>
        <v>0</v>
      </c>
      <c r="U7" s="218">
        <f t="shared" si="7"/>
        <v>79755.555748667888</v>
      </c>
      <c r="V7" s="170">
        <f t="shared" si="8"/>
        <v>0</v>
      </c>
      <c r="W7" s="173"/>
      <c r="X7" s="169">
        <f>F7*'Office Budget'!$I$7</f>
        <v>33580.704404680742</v>
      </c>
      <c r="Y7" s="170">
        <f t="shared" si="9"/>
        <v>0</v>
      </c>
      <c r="Z7" s="218">
        <f t="shared" si="10"/>
        <v>113336.26015334863</v>
      </c>
      <c r="AA7" s="170">
        <f t="shared" si="11"/>
        <v>0</v>
      </c>
      <c r="AB7" s="173"/>
      <c r="AC7" s="169">
        <f>F7*'Office Budget'!$I$8</f>
        <v>30298.635156712538</v>
      </c>
      <c r="AD7" s="170">
        <f t="shared" si="12"/>
        <v>0</v>
      </c>
      <c r="AE7" s="218">
        <f t="shared" si="13"/>
        <v>143634.89531006117</v>
      </c>
      <c r="AF7" s="170">
        <f t="shared" si="14"/>
        <v>0</v>
      </c>
      <c r="AG7" s="173"/>
      <c r="AH7" s="169">
        <f>F7*'Office Budget'!$I$9</f>
        <v>43595.86364574176</v>
      </c>
      <c r="AI7" s="170">
        <f t="shared" si="15"/>
        <v>0</v>
      </c>
      <c r="AJ7" s="169">
        <f t="shared" si="16"/>
        <v>187230.75895580294</v>
      </c>
      <c r="AK7" s="170">
        <f t="shared" si="17"/>
        <v>0</v>
      </c>
      <c r="AL7" s="173"/>
      <c r="AM7" s="169">
        <f>F7*'Office Budget'!$I$10</f>
        <v>6553.4686496438762</v>
      </c>
      <c r="AN7" s="170">
        <f t="shared" si="18"/>
        <v>0</v>
      </c>
      <c r="AO7" s="169">
        <f>SUM(Blackburn!I7,Blackburn!N7,Blackburn!S7,Blackburn!X7,Blackburn!AC7,Blackburn!AH7,Blackburn!AM7)</f>
        <v>193784.22760544682</v>
      </c>
      <c r="AP7" s="170">
        <f t="shared" si="19"/>
        <v>0</v>
      </c>
      <c r="AQ7" s="173"/>
      <c r="AR7" s="169">
        <f>F7*'Office Budget'!$I$11</f>
        <v>22235.321935718257</v>
      </c>
      <c r="AS7" s="170">
        <f t="shared" si="20"/>
        <v>0</v>
      </c>
      <c r="AT7" s="169">
        <f t="shared" si="21"/>
        <v>216019.54954116509</v>
      </c>
      <c r="AU7" s="170">
        <f t="shared" si="22"/>
        <v>0</v>
      </c>
      <c r="AV7" s="173"/>
      <c r="AW7" s="169">
        <f>F7*'Office Budget'!$I$12</f>
        <v>43259.285184072192</v>
      </c>
      <c r="AX7" s="170">
        <f t="shared" si="23"/>
        <v>0</v>
      </c>
      <c r="AY7" s="169">
        <f t="shared" si="24"/>
        <v>259278.83472523728</v>
      </c>
      <c r="AZ7" s="170">
        <f t="shared" si="25"/>
        <v>0</v>
      </c>
      <c r="BA7" s="173"/>
      <c r="BB7" s="169">
        <f>F7*'Office Budget'!$I$13</f>
        <v>28055.63723896195</v>
      </c>
      <c r="BC7" s="170">
        <f t="shared" si="26"/>
        <v>0</v>
      </c>
      <c r="BD7" s="169">
        <f t="shared" si="27"/>
        <v>287334.47196419921</v>
      </c>
      <c r="BE7" s="170">
        <f t="shared" si="28"/>
        <v>0</v>
      </c>
      <c r="BF7" s="173"/>
      <c r="BG7" s="169">
        <f>F7*'Office Budget'!$I$14</f>
        <v>26055.862759916752</v>
      </c>
      <c r="BH7" s="170">
        <f t="shared" si="29"/>
        <v>0</v>
      </c>
      <c r="BI7" s="169">
        <f t="shared" si="30"/>
        <v>313390.33472411596</v>
      </c>
      <c r="BJ7" s="170">
        <f t="shared" si="31"/>
        <v>0</v>
      </c>
      <c r="BK7" s="173"/>
      <c r="BL7" s="176">
        <f>F7*'Office Budget'!$I$15</f>
        <v>36609.665275884028</v>
      </c>
      <c r="BM7" s="170">
        <f t="shared" si="32"/>
        <v>0</v>
      </c>
      <c r="BN7" s="177">
        <f t="shared" si="33"/>
        <v>350000</v>
      </c>
      <c r="BO7" s="172">
        <f t="shared" si="34"/>
        <v>0</v>
      </c>
      <c r="BP7" s="98"/>
      <c r="BQ7" s="98"/>
      <c r="BR7" s="98"/>
      <c r="BS7" s="98"/>
      <c r="BT7" s="98"/>
      <c r="BU7" s="98"/>
      <c r="BV7" s="98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8"/>
      <c r="CO7" s="98"/>
      <c r="CP7" s="98"/>
      <c r="CQ7" s="98"/>
      <c r="CR7" s="98"/>
      <c r="CS7" s="98"/>
      <c r="CT7" s="98"/>
      <c r="CU7" s="98"/>
      <c r="CV7" s="98"/>
      <c r="CW7" s="98"/>
      <c r="CX7" s="98"/>
      <c r="CY7" s="98"/>
      <c r="CZ7" s="98"/>
      <c r="DA7" s="98"/>
      <c r="DB7" s="98"/>
      <c r="DC7" s="98"/>
      <c r="DD7" s="98"/>
      <c r="DE7" s="98"/>
      <c r="DF7" s="98"/>
      <c r="DG7" s="98"/>
      <c r="DH7" s="98"/>
      <c r="DI7" s="98"/>
      <c r="DJ7" s="98"/>
      <c r="DK7" s="98"/>
      <c r="DL7" s="98"/>
      <c r="DM7" s="98"/>
      <c r="DN7" s="98"/>
      <c r="DO7" s="98"/>
      <c r="DP7" s="98"/>
      <c r="DQ7" s="98"/>
      <c r="DR7" s="98"/>
      <c r="DS7" s="98"/>
      <c r="DT7" s="98"/>
      <c r="DU7" s="98"/>
      <c r="DV7" s="98"/>
      <c r="DW7" s="98"/>
      <c r="DX7" s="98"/>
      <c r="DY7" s="98"/>
      <c r="DZ7" s="98"/>
      <c r="EA7" s="98"/>
      <c r="EB7" s="98"/>
      <c r="EC7" s="98"/>
      <c r="ED7" s="98"/>
      <c r="EE7" s="98"/>
      <c r="EF7" s="98"/>
      <c r="EG7" s="98"/>
      <c r="EH7" s="98"/>
      <c r="EI7" s="98"/>
      <c r="EJ7" s="98"/>
      <c r="EK7" s="98"/>
      <c r="EL7" s="98"/>
      <c r="EM7" s="98"/>
      <c r="EN7" s="98"/>
      <c r="EO7" s="98"/>
      <c r="EP7" s="98"/>
      <c r="EQ7" s="98"/>
      <c r="ER7" s="98"/>
      <c r="ES7" s="98"/>
      <c r="ET7" s="98"/>
      <c r="EU7" s="98"/>
      <c r="EV7" s="98"/>
      <c r="EW7" s="98"/>
      <c r="EX7" s="98"/>
      <c r="EY7" s="98"/>
      <c r="EZ7" s="98"/>
      <c r="FA7" s="98"/>
      <c r="FB7" s="98"/>
      <c r="FC7" s="98"/>
      <c r="FD7" s="98"/>
      <c r="FE7" s="98"/>
      <c r="FF7" s="98"/>
      <c r="FG7" s="98"/>
      <c r="FH7" s="98"/>
      <c r="FI7" s="98"/>
      <c r="FJ7" s="98"/>
      <c r="FK7" s="98"/>
      <c r="FL7" s="98"/>
      <c r="FM7" s="98"/>
      <c r="FN7" s="98"/>
    </row>
    <row r="8" spans="1:170" ht="16.5" customHeight="1">
      <c r="A8" s="99" t="s">
        <v>102</v>
      </c>
      <c r="B8" s="101" t="s">
        <v>32</v>
      </c>
      <c r="C8" s="101" t="s">
        <v>103</v>
      </c>
      <c r="D8" s="100"/>
      <c r="E8" s="349">
        <f>'Agent Budget &amp; Travel'!D34</f>
        <v>400000</v>
      </c>
      <c r="F8" s="119">
        <f>'Agent Budget &amp; Travel'!E34</f>
        <v>600000</v>
      </c>
      <c r="G8" s="210">
        <f>'Agent Budget &amp; Travel'!F34</f>
        <v>650000</v>
      </c>
      <c r="H8" s="212"/>
      <c r="I8" s="213">
        <f>F8*'Office Budget'!$I$4</f>
        <v>31383.26620499112</v>
      </c>
      <c r="J8" s="230">
        <f t="shared" si="0"/>
        <v>0</v>
      </c>
      <c r="K8" s="214">
        <f t="shared" si="1"/>
        <v>31383.26620499112</v>
      </c>
      <c r="L8" s="230">
        <f t="shared" si="2"/>
        <v>0</v>
      </c>
      <c r="M8" s="221"/>
      <c r="N8" s="290">
        <f>F8*'Office Budget'!$I$5</f>
        <v>36820.577827015193</v>
      </c>
      <c r="O8" s="232">
        <f t="shared" si="3"/>
        <v>0</v>
      </c>
      <c r="P8" s="216">
        <f t="shared" si="4"/>
        <v>68203.844032006309</v>
      </c>
      <c r="Q8" s="232">
        <f t="shared" si="5"/>
        <v>0</v>
      </c>
      <c r="R8" s="209"/>
      <c r="S8" s="169">
        <f>F8*'Office Budget'!$I$6</f>
        <v>68519.965822852944</v>
      </c>
      <c r="T8" s="170">
        <f t="shared" si="6"/>
        <v>0</v>
      </c>
      <c r="U8" s="218">
        <f t="shared" si="7"/>
        <v>136723.80985485925</v>
      </c>
      <c r="V8" s="170">
        <f t="shared" si="8"/>
        <v>0</v>
      </c>
      <c r="W8" s="173"/>
      <c r="X8" s="169">
        <f>F8*'Office Budget'!$I$7</f>
        <v>57566.92183659556</v>
      </c>
      <c r="Y8" s="170">
        <f t="shared" si="9"/>
        <v>0</v>
      </c>
      <c r="Z8" s="218">
        <f t="shared" si="10"/>
        <v>194290.73169145483</v>
      </c>
      <c r="AA8" s="170">
        <f t="shared" si="11"/>
        <v>0</v>
      </c>
      <c r="AB8" s="173"/>
      <c r="AC8" s="169">
        <f>F8*'Office Budget'!$I$8</f>
        <v>51940.517411507208</v>
      </c>
      <c r="AD8" s="170">
        <f t="shared" si="12"/>
        <v>0</v>
      </c>
      <c r="AE8" s="218">
        <f t="shared" si="13"/>
        <v>246231.24910296203</v>
      </c>
      <c r="AF8" s="170">
        <f t="shared" si="14"/>
        <v>0</v>
      </c>
      <c r="AG8" s="173"/>
      <c r="AH8" s="169">
        <f>F8*'Office Budget'!$I$9</f>
        <v>74735.766249843029</v>
      </c>
      <c r="AI8" s="170">
        <f t="shared" si="15"/>
        <v>0</v>
      </c>
      <c r="AJ8" s="169">
        <f t="shared" si="16"/>
        <v>320967.01535280503</v>
      </c>
      <c r="AK8" s="170">
        <f t="shared" si="17"/>
        <v>0</v>
      </c>
      <c r="AL8" s="173"/>
      <c r="AM8" s="169">
        <f>F8*'Office Budget'!$I$10</f>
        <v>11234.517685103789</v>
      </c>
      <c r="AN8" s="170">
        <f t="shared" si="18"/>
        <v>0</v>
      </c>
      <c r="AO8" s="169">
        <f>SUM(Blackburn!I8,Blackburn!N8,Blackburn!S8,Blackburn!X8,Blackburn!AC8,Blackburn!AH8,Blackburn!AM8)</f>
        <v>332201.53303790884</v>
      </c>
      <c r="AP8" s="170">
        <f t="shared" si="19"/>
        <v>0</v>
      </c>
      <c r="AQ8" s="173"/>
      <c r="AR8" s="169">
        <f>F8*'Office Budget'!$I$11</f>
        <v>38117.694746945584</v>
      </c>
      <c r="AS8" s="170">
        <f t="shared" si="20"/>
        <v>0</v>
      </c>
      <c r="AT8" s="169">
        <f t="shared" si="21"/>
        <v>370319.22778485442</v>
      </c>
      <c r="AU8" s="170">
        <f t="shared" si="22"/>
        <v>0</v>
      </c>
      <c r="AV8" s="173"/>
      <c r="AW8" s="169">
        <f>F8*'Office Budget'!$I$12</f>
        <v>74158.774601266618</v>
      </c>
      <c r="AX8" s="170">
        <f t="shared" si="23"/>
        <v>0</v>
      </c>
      <c r="AY8" s="169">
        <f t="shared" si="24"/>
        <v>444478.00238612102</v>
      </c>
      <c r="AZ8" s="170">
        <f t="shared" si="25"/>
        <v>0</v>
      </c>
      <c r="BA8" s="173"/>
      <c r="BB8" s="169">
        <f>F8*'Office Budget'!$I$13</f>
        <v>48095.378123934774</v>
      </c>
      <c r="BC8" s="170">
        <f t="shared" si="26"/>
        <v>0</v>
      </c>
      <c r="BD8" s="169">
        <f t="shared" si="27"/>
        <v>492573.38051005581</v>
      </c>
      <c r="BE8" s="170">
        <f t="shared" si="28"/>
        <v>0</v>
      </c>
      <c r="BF8" s="173"/>
      <c r="BG8" s="169">
        <f>F8*'Office Budget'!$I$14</f>
        <v>44667.193302714433</v>
      </c>
      <c r="BH8" s="170">
        <f t="shared" si="29"/>
        <v>0</v>
      </c>
      <c r="BI8" s="169">
        <f t="shared" si="30"/>
        <v>537240.57381277019</v>
      </c>
      <c r="BJ8" s="170">
        <f t="shared" si="31"/>
        <v>0</v>
      </c>
      <c r="BK8" s="173"/>
      <c r="BL8" s="176">
        <f>F8*'Office Budget'!$I$15</f>
        <v>62759.426187229765</v>
      </c>
      <c r="BM8" s="170">
        <f t="shared" si="32"/>
        <v>0</v>
      </c>
      <c r="BN8" s="177">
        <f t="shared" si="33"/>
        <v>600000</v>
      </c>
      <c r="BO8" s="172">
        <f t="shared" si="34"/>
        <v>0</v>
      </c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8"/>
      <c r="CX8" s="98"/>
      <c r="CY8" s="98"/>
      <c r="CZ8" s="98"/>
      <c r="DA8" s="98"/>
      <c r="DB8" s="98"/>
      <c r="DC8" s="98"/>
      <c r="DD8" s="98"/>
      <c r="DE8" s="98"/>
      <c r="DF8" s="98"/>
      <c r="DG8" s="98"/>
      <c r="DH8" s="98"/>
      <c r="DI8" s="98"/>
      <c r="DJ8" s="98"/>
      <c r="DK8" s="98"/>
      <c r="DL8" s="98"/>
      <c r="DM8" s="98"/>
      <c r="DN8" s="98"/>
      <c r="DO8" s="98"/>
      <c r="DP8" s="98"/>
      <c r="DQ8" s="98"/>
      <c r="DR8" s="98"/>
      <c r="DS8" s="98"/>
      <c r="DT8" s="98"/>
      <c r="DU8" s="98"/>
      <c r="DV8" s="98"/>
      <c r="DW8" s="98"/>
      <c r="DX8" s="98"/>
      <c r="DY8" s="98"/>
      <c r="DZ8" s="98"/>
      <c r="EA8" s="98"/>
      <c r="EB8" s="98"/>
      <c r="EC8" s="98"/>
      <c r="ED8" s="98"/>
      <c r="EE8" s="98"/>
      <c r="EF8" s="98"/>
      <c r="EG8" s="98"/>
      <c r="EH8" s="98"/>
      <c r="EI8" s="98"/>
      <c r="EJ8" s="98"/>
      <c r="EK8" s="98"/>
      <c r="EL8" s="98"/>
      <c r="EM8" s="98"/>
      <c r="EN8" s="98"/>
      <c r="EO8" s="98"/>
      <c r="EP8" s="98"/>
      <c r="EQ8" s="98"/>
      <c r="ER8" s="98"/>
      <c r="ES8" s="98"/>
      <c r="ET8" s="98"/>
      <c r="EU8" s="98"/>
      <c r="EV8" s="98"/>
      <c r="EW8" s="98"/>
      <c r="EX8" s="98"/>
      <c r="EY8" s="98"/>
      <c r="EZ8" s="98"/>
      <c r="FA8" s="98"/>
      <c r="FB8" s="98"/>
      <c r="FC8" s="98"/>
      <c r="FD8" s="98"/>
      <c r="FE8" s="98"/>
      <c r="FF8" s="98"/>
      <c r="FG8" s="98"/>
      <c r="FH8" s="98"/>
      <c r="FI8" s="98"/>
      <c r="FJ8" s="98"/>
      <c r="FK8" s="98"/>
      <c r="FL8" s="98"/>
      <c r="FM8" s="98"/>
      <c r="FN8" s="98"/>
    </row>
    <row r="9" spans="1:170" s="28" customFormat="1">
      <c r="A9" s="103" t="s">
        <v>104</v>
      </c>
      <c r="B9" s="105" t="s">
        <v>105</v>
      </c>
      <c r="C9" s="105" t="s">
        <v>106</v>
      </c>
      <c r="D9" s="104"/>
      <c r="E9" s="349" t="str">
        <f>'Agent Budget &amp; Travel'!D35</f>
        <v>N/A</v>
      </c>
      <c r="F9" s="119">
        <f>'Agent Budget &amp; Travel'!E35</f>
        <v>250000</v>
      </c>
      <c r="G9" s="210">
        <f>'Agent Budget &amp; Travel'!F35</f>
        <v>250000</v>
      </c>
      <c r="H9" s="212"/>
      <c r="I9" s="213">
        <f>F9*'Office Budget'!$I$4</f>
        <v>13076.360918746301</v>
      </c>
      <c r="J9" s="230">
        <f t="shared" si="0"/>
        <v>0</v>
      </c>
      <c r="K9" s="214">
        <f t="shared" si="1"/>
        <v>13076.360918746301</v>
      </c>
      <c r="L9" s="230">
        <f t="shared" si="2"/>
        <v>0</v>
      </c>
      <c r="M9" s="221"/>
      <c r="N9" s="290">
        <f>F9*'Office Budget'!$I$5</f>
        <v>15341.907427922997</v>
      </c>
      <c r="O9" s="232">
        <f t="shared" si="3"/>
        <v>0</v>
      </c>
      <c r="P9" s="216">
        <f t="shared" si="4"/>
        <v>28418.268346669298</v>
      </c>
      <c r="Q9" s="232">
        <f t="shared" si="5"/>
        <v>0</v>
      </c>
      <c r="R9" s="209"/>
      <c r="S9" s="169">
        <f>F9*'Office Budget'!$I$6</f>
        <v>28549.98575952206</v>
      </c>
      <c r="T9" s="170">
        <f t="shared" si="6"/>
        <v>0</v>
      </c>
      <c r="U9" s="218">
        <f t="shared" si="7"/>
        <v>56968.254106191358</v>
      </c>
      <c r="V9" s="170">
        <f t="shared" si="8"/>
        <v>0</v>
      </c>
      <c r="W9" s="173"/>
      <c r="X9" s="169">
        <f>F9*'Office Budget'!$I$7</f>
        <v>23986.217431914818</v>
      </c>
      <c r="Y9" s="170">
        <f>W9/X9</f>
        <v>0</v>
      </c>
      <c r="Z9" s="218">
        <f t="shared" si="10"/>
        <v>80954.471538106183</v>
      </c>
      <c r="AA9" s="170">
        <f t="shared" si="11"/>
        <v>0</v>
      </c>
      <c r="AB9" s="173"/>
      <c r="AC9" s="169">
        <f>F9*'Office Budget'!$I$8</f>
        <v>21641.882254794669</v>
      </c>
      <c r="AD9" s="170">
        <f t="shared" si="12"/>
        <v>0</v>
      </c>
      <c r="AE9" s="218">
        <f t="shared" si="13"/>
        <v>102596.35379290086</v>
      </c>
      <c r="AF9" s="170">
        <f t="shared" si="14"/>
        <v>0</v>
      </c>
      <c r="AG9" s="173"/>
      <c r="AH9" s="169">
        <f>F9*'Office Budget'!$I$9</f>
        <v>31139.902604101258</v>
      </c>
      <c r="AI9" s="170">
        <f t="shared" si="15"/>
        <v>0</v>
      </c>
      <c r="AJ9" s="169">
        <f t="shared" si="16"/>
        <v>133736.25639700211</v>
      </c>
      <c r="AK9" s="170">
        <f t="shared" si="17"/>
        <v>0</v>
      </c>
      <c r="AL9" s="173"/>
      <c r="AM9" s="169">
        <f>F9*'Office Budget'!$I$10</f>
        <v>4681.0490354599115</v>
      </c>
      <c r="AN9" s="170">
        <f t="shared" si="18"/>
        <v>0</v>
      </c>
      <c r="AO9" s="169">
        <f>SUM(Blackburn!I9,Blackburn!N9,Blackburn!S9,Blackburn!X9,Blackburn!AC9,Blackburn!AH9,Blackburn!AM9)</f>
        <v>138417.30543246202</v>
      </c>
      <c r="AP9" s="170">
        <f t="shared" si="19"/>
        <v>0</v>
      </c>
      <c r="AQ9" s="173"/>
      <c r="AR9" s="169">
        <f>F9*'Office Budget'!$I$11</f>
        <v>15882.372811227327</v>
      </c>
      <c r="AS9" s="170">
        <f t="shared" si="20"/>
        <v>0</v>
      </c>
      <c r="AT9" s="169">
        <f t="shared" si="21"/>
        <v>154299.67824368936</v>
      </c>
      <c r="AU9" s="170">
        <f t="shared" si="22"/>
        <v>0</v>
      </c>
      <c r="AV9" s="173"/>
      <c r="AW9" s="169">
        <f>F9*'Office Budget'!$I$12</f>
        <v>30899.489417194425</v>
      </c>
      <c r="AX9" s="170">
        <f t="shared" si="23"/>
        <v>0</v>
      </c>
      <c r="AY9" s="169">
        <f t="shared" si="24"/>
        <v>185199.16766088377</v>
      </c>
      <c r="AZ9" s="170">
        <f t="shared" si="25"/>
        <v>0</v>
      </c>
      <c r="BA9" s="173"/>
      <c r="BB9" s="169">
        <f>F9*'Office Budget'!$I$13</f>
        <v>20039.74088497282</v>
      </c>
      <c r="BC9" s="170">
        <f t="shared" si="26"/>
        <v>0</v>
      </c>
      <c r="BD9" s="169">
        <f t="shared" si="27"/>
        <v>205238.9085458566</v>
      </c>
      <c r="BE9" s="170">
        <f t="shared" si="28"/>
        <v>0</v>
      </c>
      <c r="BF9" s="173"/>
      <c r="BG9" s="169">
        <f>F9*'Office Budget'!$I$14</f>
        <v>18611.330542797681</v>
      </c>
      <c r="BH9" s="170">
        <f t="shared" si="29"/>
        <v>0</v>
      </c>
      <c r="BI9" s="169">
        <f t="shared" si="30"/>
        <v>223850.23908865429</v>
      </c>
      <c r="BJ9" s="170">
        <f t="shared" si="31"/>
        <v>0</v>
      </c>
      <c r="BK9" s="173"/>
      <c r="BL9" s="176">
        <f>F9*'Office Budget'!$I$15</f>
        <v>26149.760911345737</v>
      </c>
      <c r="BM9" s="170">
        <f t="shared" si="32"/>
        <v>0</v>
      </c>
      <c r="BN9" s="177">
        <f t="shared" si="33"/>
        <v>250000.00000000003</v>
      </c>
      <c r="BO9" s="172">
        <f t="shared" si="34"/>
        <v>0</v>
      </c>
      <c r="BP9" s="102"/>
      <c r="BQ9" s="102"/>
      <c r="BR9" s="102"/>
      <c r="BS9" s="102"/>
      <c r="BT9" s="102"/>
      <c r="BU9" s="102"/>
      <c r="BV9" s="102"/>
      <c r="BW9" s="102"/>
      <c r="BX9" s="102"/>
      <c r="BY9" s="102"/>
      <c r="BZ9" s="102"/>
      <c r="CA9" s="102"/>
      <c r="CB9" s="102"/>
      <c r="CC9" s="102"/>
      <c r="CD9" s="102"/>
      <c r="CE9" s="102"/>
      <c r="CF9" s="102"/>
      <c r="CG9" s="102"/>
      <c r="CH9" s="102"/>
      <c r="CI9" s="102"/>
      <c r="CJ9" s="102"/>
      <c r="CK9" s="102"/>
      <c r="CL9" s="102"/>
      <c r="CM9" s="102"/>
      <c r="CN9" s="102"/>
      <c r="CO9" s="102"/>
      <c r="CP9" s="102"/>
      <c r="CQ9" s="102"/>
      <c r="CR9" s="102"/>
      <c r="CS9" s="102"/>
      <c r="CT9" s="102"/>
      <c r="CU9" s="102"/>
      <c r="CV9" s="102"/>
      <c r="CW9" s="102"/>
      <c r="CX9" s="102"/>
      <c r="CY9" s="102"/>
      <c r="CZ9" s="102"/>
      <c r="DA9" s="102"/>
      <c r="DB9" s="102"/>
      <c r="DC9" s="102"/>
      <c r="DD9" s="102"/>
      <c r="DE9" s="102"/>
      <c r="DF9" s="102"/>
      <c r="DG9" s="102"/>
      <c r="DH9" s="102"/>
      <c r="DI9" s="102"/>
      <c r="DJ9" s="102"/>
      <c r="DK9" s="102"/>
      <c r="DL9" s="102"/>
      <c r="DM9" s="102"/>
      <c r="DN9" s="102"/>
      <c r="DO9" s="102"/>
      <c r="DP9" s="102"/>
      <c r="DQ9" s="102"/>
      <c r="DR9" s="102"/>
      <c r="DS9" s="102"/>
      <c r="DT9" s="102"/>
      <c r="DU9" s="102"/>
      <c r="DV9" s="102"/>
      <c r="DW9" s="102"/>
      <c r="DX9" s="102"/>
      <c r="DY9" s="102"/>
      <c r="DZ9" s="102"/>
      <c r="EA9" s="102"/>
      <c r="EB9" s="102"/>
      <c r="EC9" s="102"/>
      <c r="ED9" s="102"/>
      <c r="EE9" s="102"/>
      <c r="EF9" s="102"/>
      <c r="EG9" s="102"/>
      <c r="EH9" s="102"/>
      <c r="EI9" s="102"/>
      <c r="EJ9" s="102"/>
      <c r="EK9" s="102"/>
      <c r="EL9" s="102"/>
      <c r="EM9" s="102"/>
      <c r="EN9" s="102"/>
      <c r="EO9" s="102"/>
      <c r="EP9" s="102"/>
      <c r="EQ9" s="102"/>
      <c r="ER9" s="102"/>
      <c r="ES9" s="102"/>
      <c r="ET9" s="102"/>
      <c r="EU9" s="102"/>
      <c r="EV9" s="102"/>
      <c r="EW9" s="102"/>
      <c r="EX9" s="102"/>
      <c r="EY9" s="102"/>
      <c r="EZ9" s="102"/>
      <c r="FA9" s="102"/>
      <c r="FB9" s="102"/>
      <c r="FC9" s="102"/>
      <c r="FD9" s="102"/>
      <c r="FE9" s="102"/>
      <c r="FF9" s="102"/>
      <c r="FG9" s="102"/>
      <c r="FH9" s="102"/>
      <c r="FI9" s="102"/>
      <c r="FJ9" s="102"/>
      <c r="FK9" s="102"/>
      <c r="FL9" s="102"/>
      <c r="FM9" s="102"/>
      <c r="FN9" s="102"/>
    </row>
    <row r="10" spans="1:170">
      <c r="A10" s="51" t="s">
        <v>107</v>
      </c>
      <c r="B10" s="52" t="s">
        <v>108</v>
      </c>
      <c r="C10" s="52" t="s">
        <v>92</v>
      </c>
      <c r="D10" s="53"/>
      <c r="E10" s="349">
        <f>'Agent Budget &amp; Travel'!D36</f>
        <v>200000</v>
      </c>
      <c r="F10" s="119">
        <f>'Agent Budget &amp; Travel'!E36</f>
        <v>250000</v>
      </c>
      <c r="G10" s="210">
        <f>'Agent Budget &amp; Travel'!F36</f>
        <v>250000</v>
      </c>
      <c r="H10" s="212"/>
      <c r="I10" s="213">
        <f>F10*'Office Budget'!$I$4</f>
        <v>13076.360918746301</v>
      </c>
      <c r="J10" s="230">
        <f t="shared" si="0"/>
        <v>0</v>
      </c>
      <c r="K10" s="214">
        <f t="shared" si="1"/>
        <v>13076.360918746301</v>
      </c>
      <c r="L10" s="230">
        <f t="shared" si="2"/>
        <v>0</v>
      </c>
      <c r="M10" s="221"/>
      <c r="N10" s="290">
        <f>F10*'Office Budget'!$I$5</f>
        <v>15341.907427922997</v>
      </c>
      <c r="O10" s="232">
        <f t="shared" si="3"/>
        <v>0</v>
      </c>
      <c r="P10" s="216">
        <f t="shared" si="4"/>
        <v>28418.268346669298</v>
      </c>
      <c r="Q10" s="232">
        <f t="shared" si="5"/>
        <v>0</v>
      </c>
      <c r="R10" s="209"/>
      <c r="S10" s="169">
        <f>F10*'Office Budget'!$I$6</f>
        <v>28549.98575952206</v>
      </c>
      <c r="T10" s="170">
        <f t="shared" si="6"/>
        <v>0</v>
      </c>
      <c r="U10" s="218">
        <f t="shared" si="7"/>
        <v>56968.254106191358</v>
      </c>
      <c r="V10" s="170">
        <f t="shared" si="8"/>
        <v>0</v>
      </c>
      <c r="W10" s="173"/>
      <c r="X10" s="169">
        <f>F10*'Office Budget'!$I$7</f>
        <v>23986.217431914818</v>
      </c>
      <c r="Y10" s="170">
        <f t="shared" si="9"/>
        <v>0</v>
      </c>
      <c r="Z10" s="218">
        <f t="shared" si="10"/>
        <v>80954.471538106183</v>
      </c>
      <c r="AA10" s="170">
        <f t="shared" si="11"/>
        <v>0</v>
      </c>
      <c r="AB10" s="173"/>
      <c r="AC10" s="169">
        <f>F10*'Office Budget'!$I$8</f>
        <v>21641.882254794669</v>
      </c>
      <c r="AD10" s="170">
        <f t="shared" si="12"/>
        <v>0</v>
      </c>
      <c r="AE10" s="218">
        <f t="shared" si="13"/>
        <v>102596.35379290086</v>
      </c>
      <c r="AF10" s="170">
        <f t="shared" si="14"/>
        <v>0</v>
      </c>
      <c r="AG10" s="173"/>
      <c r="AH10" s="169">
        <f>F10*'Office Budget'!$I$9</f>
        <v>31139.902604101258</v>
      </c>
      <c r="AI10" s="170">
        <f t="shared" si="15"/>
        <v>0</v>
      </c>
      <c r="AJ10" s="169">
        <f t="shared" si="16"/>
        <v>133736.25639700211</v>
      </c>
      <c r="AK10" s="170">
        <f t="shared" si="17"/>
        <v>0</v>
      </c>
      <c r="AL10" s="173"/>
      <c r="AM10" s="169">
        <f>F10*'Office Budget'!$I$10</f>
        <v>4681.0490354599115</v>
      </c>
      <c r="AN10" s="170">
        <f t="shared" si="18"/>
        <v>0</v>
      </c>
      <c r="AO10" s="169">
        <f>SUM(Blackburn!I10,Blackburn!N10,Blackburn!S10,Blackburn!X10,Blackburn!AC10,Blackburn!AH10,Blackburn!AM10)</f>
        <v>138417.30543246202</v>
      </c>
      <c r="AP10" s="170">
        <f t="shared" si="19"/>
        <v>0</v>
      </c>
      <c r="AQ10" s="173"/>
      <c r="AR10" s="169">
        <f>F10*'Office Budget'!$I$11</f>
        <v>15882.372811227327</v>
      </c>
      <c r="AS10" s="170">
        <f t="shared" si="20"/>
        <v>0</v>
      </c>
      <c r="AT10" s="169">
        <f t="shared" si="21"/>
        <v>154299.67824368936</v>
      </c>
      <c r="AU10" s="170">
        <f t="shared" si="22"/>
        <v>0</v>
      </c>
      <c r="AV10" s="173"/>
      <c r="AW10" s="169">
        <f>F10*'Office Budget'!$I$12</f>
        <v>30899.489417194425</v>
      </c>
      <c r="AX10" s="170">
        <f t="shared" si="23"/>
        <v>0</v>
      </c>
      <c r="AY10" s="169">
        <f t="shared" si="24"/>
        <v>185199.16766088377</v>
      </c>
      <c r="AZ10" s="170">
        <f t="shared" si="25"/>
        <v>0</v>
      </c>
      <c r="BA10" s="173"/>
      <c r="BB10" s="169">
        <f>F10*'Office Budget'!$I$13</f>
        <v>20039.74088497282</v>
      </c>
      <c r="BC10" s="170">
        <f t="shared" si="26"/>
        <v>0</v>
      </c>
      <c r="BD10" s="169">
        <f t="shared" si="27"/>
        <v>205238.9085458566</v>
      </c>
      <c r="BE10" s="170">
        <f t="shared" si="28"/>
        <v>0</v>
      </c>
      <c r="BF10" s="173"/>
      <c r="BG10" s="169">
        <f>F10*'Office Budget'!$I$14</f>
        <v>18611.330542797681</v>
      </c>
      <c r="BH10" s="170">
        <f t="shared" si="29"/>
        <v>0</v>
      </c>
      <c r="BI10" s="169">
        <f t="shared" si="30"/>
        <v>223850.23908865429</v>
      </c>
      <c r="BJ10" s="170">
        <f t="shared" si="31"/>
        <v>0</v>
      </c>
      <c r="BK10" s="173"/>
      <c r="BL10" s="176">
        <f>F10*'Office Budget'!$I$15</f>
        <v>26149.760911345737</v>
      </c>
      <c r="BM10" s="170">
        <f t="shared" si="32"/>
        <v>0</v>
      </c>
      <c r="BN10" s="177">
        <f t="shared" si="33"/>
        <v>250000.00000000003</v>
      </c>
      <c r="BO10" s="172">
        <f t="shared" si="34"/>
        <v>0</v>
      </c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  <c r="CJ10" s="106"/>
      <c r="CK10" s="106"/>
      <c r="CL10" s="106"/>
      <c r="CM10" s="106"/>
      <c r="CN10" s="106"/>
      <c r="CO10" s="106"/>
      <c r="CP10" s="106"/>
      <c r="CQ10" s="106"/>
      <c r="CR10" s="106"/>
      <c r="CS10" s="106"/>
      <c r="CT10" s="106"/>
      <c r="CU10" s="106"/>
      <c r="CV10" s="106"/>
      <c r="CW10" s="106"/>
      <c r="CX10" s="106"/>
      <c r="CY10" s="106"/>
      <c r="CZ10" s="106"/>
      <c r="DA10" s="106"/>
      <c r="DB10" s="106"/>
      <c r="DC10" s="106"/>
      <c r="DD10" s="106"/>
      <c r="DE10" s="106"/>
      <c r="DF10" s="106"/>
      <c r="DG10" s="106"/>
      <c r="DH10" s="106"/>
      <c r="DI10" s="106"/>
      <c r="DJ10" s="106"/>
      <c r="DK10" s="106"/>
      <c r="DL10" s="106"/>
      <c r="DM10" s="106"/>
      <c r="DN10" s="106"/>
      <c r="DO10" s="106"/>
      <c r="DP10" s="106"/>
      <c r="DQ10" s="106"/>
      <c r="DR10" s="106"/>
      <c r="DS10" s="106"/>
      <c r="DT10" s="106"/>
      <c r="DU10" s="106"/>
      <c r="DV10" s="106"/>
      <c r="DW10" s="106"/>
      <c r="DX10" s="106"/>
      <c r="DY10" s="106"/>
      <c r="DZ10" s="106"/>
      <c r="EA10" s="106"/>
      <c r="EB10" s="106"/>
      <c r="EC10" s="106"/>
      <c r="ED10" s="106"/>
      <c r="EE10" s="106"/>
      <c r="EF10" s="106"/>
      <c r="EG10" s="106"/>
      <c r="EH10" s="106"/>
      <c r="EI10" s="106"/>
      <c r="EJ10" s="106"/>
      <c r="EK10" s="106"/>
      <c r="EL10" s="106"/>
      <c r="EM10" s="106"/>
      <c r="EN10" s="106"/>
      <c r="EO10" s="106"/>
      <c r="EP10" s="106"/>
      <c r="EQ10" s="106"/>
      <c r="ER10" s="106"/>
      <c r="ES10" s="106"/>
      <c r="ET10" s="106"/>
      <c r="EU10" s="106"/>
      <c r="EV10" s="106"/>
      <c r="EW10" s="106"/>
      <c r="EX10" s="106"/>
      <c r="EY10" s="106"/>
      <c r="EZ10" s="106"/>
      <c r="FA10" s="106"/>
      <c r="FB10" s="106"/>
      <c r="FC10" s="106"/>
      <c r="FD10" s="106"/>
      <c r="FE10" s="106"/>
      <c r="FF10" s="106"/>
      <c r="FG10" s="106"/>
      <c r="FH10" s="106"/>
      <c r="FI10" s="106"/>
      <c r="FJ10" s="106"/>
      <c r="FK10" s="106"/>
      <c r="FL10" s="106"/>
      <c r="FM10" s="106"/>
      <c r="FN10" s="106"/>
    </row>
    <row r="11" spans="1:170" s="141" customFormat="1">
      <c r="A11" s="64" t="s">
        <v>123</v>
      </c>
      <c r="B11" s="64" t="s">
        <v>124</v>
      </c>
      <c r="C11" s="64" t="s">
        <v>172</v>
      </c>
      <c r="D11" s="150"/>
      <c r="E11" s="349" t="str">
        <f>'Agent Budget &amp; Travel'!D37</f>
        <v>N/A</v>
      </c>
      <c r="F11" s="119">
        <f>'Agent Budget &amp; Travel'!E37</f>
        <v>400000</v>
      </c>
      <c r="G11" s="386" t="str">
        <f>'Agent Budget &amp; Travel'!F37</f>
        <v>N/A</v>
      </c>
      <c r="H11" s="222"/>
      <c r="I11" s="213">
        <f>F11*0</f>
        <v>0</v>
      </c>
      <c r="J11" s="230" t="e">
        <f t="shared" si="0"/>
        <v>#DIV/0!</v>
      </c>
      <c r="K11" s="214">
        <f t="shared" si="1"/>
        <v>0</v>
      </c>
      <c r="L11" s="230" t="e">
        <f t="shared" si="2"/>
        <v>#DIV/0!</v>
      </c>
      <c r="M11" s="221"/>
      <c r="N11" s="290">
        <f>F11*0</f>
        <v>0</v>
      </c>
      <c r="O11" s="232" t="e">
        <f t="shared" si="3"/>
        <v>#DIV/0!</v>
      </c>
      <c r="P11" s="216">
        <f t="shared" si="4"/>
        <v>0</v>
      </c>
      <c r="Q11" s="232" t="e">
        <f t="shared" si="5"/>
        <v>#DIV/0!</v>
      </c>
      <c r="R11" s="209"/>
      <c r="S11" s="169">
        <f>F11*0</f>
        <v>0</v>
      </c>
      <c r="T11" s="170" t="e">
        <f t="shared" si="6"/>
        <v>#DIV/0!</v>
      </c>
      <c r="U11" s="218">
        <f t="shared" si="7"/>
        <v>0</v>
      </c>
      <c r="V11" s="170" t="e">
        <f t="shared" si="8"/>
        <v>#DIV/0!</v>
      </c>
      <c r="W11" s="173"/>
      <c r="X11" s="169">
        <f>F11*'Office Budget'!$I$7</f>
        <v>38377.947891063704</v>
      </c>
      <c r="Y11" s="170">
        <f t="shared" si="9"/>
        <v>0</v>
      </c>
      <c r="Z11" s="218">
        <f t="shared" si="10"/>
        <v>38377.947891063704</v>
      </c>
      <c r="AA11" s="170">
        <f t="shared" si="11"/>
        <v>0</v>
      </c>
      <c r="AB11" s="173"/>
      <c r="AC11" s="169">
        <f>F11*'Office Budget'!$I$8</f>
        <v>34627.011607671469</v>
      </c>
      <c r="AD11" s="170">
        <f t="shared" si="12"/>
        <v>0</v>
      </c>
      <c r="AE11" s="218">
        <f t="shared" si="13"/>
        <v>73004.959498735174</v>
      </c>
      <c r="AF11" s="170">
        <f t="shared" si="14"/>
        <v>0</v>
      </c>
      <c r="AG11" s="173"/>
      <c r="AH11" s="169">
        <f>F11*'Office Budget'!$I$9</f>
        <v>49823.844166562012</v>
      </c>
      <c r="AI11" s="170">
        <f t="shared" si="15"/>
        <v>0</v>
      </c>
      <c r="AJ11" s="169">
        <f t="shared" si="16"/>
        <v>122828.80366529719</v>
      </c>
      <c r="AK11" s="170">
        <f t="shared" si="17"/>
        <v>0</v>
      </c>
      <c r="AL11" s="173"/>
      <c r="AM11" s="169">
        <f>F11*'Office Budget'!$I$10</f>
        <v>7489.6784567358582</v>
      </c>
      <c r="AN11" s="170">
        <f t="shared" si="18"/>
        <v>0</v>
      </c>
      <c r="AO11" s="169">
        <f>SUM(Blackburn!I11,Blackburn!N11,Blackburn!S11,Blackburn!X11,Blackburn!AC11,Blackburn!AH11,Blackburn!AM11)</f>
        <v>130318.48212203305</v>
      </c>
      <c r="AP11" s="170">
        <f t="shared" si="19"/>
        <v>0</v>
      </c>
      <c r="AQ11" s="173"/>
      <c r="AR11" s="169">
        <f>F11*'Office Budget'!$I$11</f>
        <v>25411.796497963722</v>
      </c>
      <c r="AS11" s="170">
        <f t="shared" si="20"/>
        <v>0</v>
      </c>
      <c r="AT11" s="169">
        <f t="shared" si="21"/>
        <v>155730.27861999677</v>
      </c>
      <c r="AU11" s="170">
        <f t="shared" si="22"/>
        <v>0</v>
      </c>
      <c r="AV11" s="173"/>
      <c r="AW11" s="169">
        <f>F11*'Office Budget'!$I$12</f>
        <v>49439.183067511076</v>
      </c>
      <c r="AX11" s="170">
        <f t="shared" si="23"/>
        <v>0</v>
      </c>
      <c r="AY11" s="169">
        <f t="shared" si="24"/>
        <v>205169.46168750784</v>
      </c>
      <c r="AZ11" s="170">
        <f t="shared" si="25"/>
        <v>0</v>
      </c>
      <c r="BA11" s="173"/>
      <c r="BB11" s="169">
        <f>F11*'Office Budget'!$I$13</f>
        <v>32063.585415956513</v>
      </c>
      <c r="BC11" s="170">
        <f t="shared" si="26"/>
        <v>0</v>
      </c>
      <c r="BD11" s="169">
        <f t="shared" si="27"/>
        <v>237233.04710346434</v>
      </c>
      <c r="BE11" s="170">
        <f t="shared" si="28"/>
        <v>0</v>
      </c>
      <c r="BF11" s="173"/>
      <c r="BG11" s="169">
        <f>F11*'Office Budget'!$I$14</f>
        <v>29778.128868476288</v>
      </c>
      <c r="BH11" s="170">
        <f t="shared" si="29"/>
        <v>0</v>
      </c>
      <c r="BI11" s="169">
        <f t="shared" si="30"/>
        <v>267011.17597194063</v>
      </c>
      <c r="BJ11" s="170">
        <f t="shared" si="31"/>
        <v>0</v>
      </c>
      <c r="BK11" s="173"/>
      <c r="BL11" s="176">
        <f>F11*'Office Budget'!$I$15</f>
        <v>41839.617458153174</v>
      </c>
      <c r="BM11" s="170">
        <f t="shared" si="32"/>
        <v>0</v>
      </c>
      <c r="BN11" s="177">
        <f t="shared" si="33"/>
        <v>308850.79343009379</v>
      </c>
      <c r="BO11" s="172">
        <f t="shared" si="34"/>
        <v>0</v>
      </c>
    </row>
    <row r="12" spans="1:170" s="106" customFormat="1">
      <c r="A12" s="27"/>
      <c r="B12" s="27"/>
      <c r="C12" s="27"/>
      <c r="D12" s="2"/>
      <c r="E12" s="26"/>
      <c r="F12" s="149">
        <f>SUM(F4:F11)</f>
        <v>3650000</v>
      </c>
      <c r="G12"/>
      <c r="H12"/>
      <c r="I12" s="107"/>
      <c r="J12" s="108"/>
      <c r="K12" s="107"/>
      <c r="L12" s="108"/>
      <c r="M12" s="107"/>
      <c r="N12" s="107"/>
      <c r="O12" s="108"/>
      <c r="P12" s="107"/>
      <c r="Q12" s="108"/>
      <c r="R12" s="107"/>
      <c r="S12" s="107"/>
      <c r="T12" s="108"/>
      <c r="V12" s="228"/>
      <c r="Y12" s="228"/>
      <c r="AA12" s="228"/>
      <c r="AD12" s="228"/>
      <c r="AF12" s="228"/>
      <c r="AI12" s="228"/>
      <c r="AK12" s="228"/>
      <c r="AN12" s="228"/>
      <c r="AP12" s="228"/>
      <c r="AS12" s="228"/>
      <c r="AU12" s="228"/>
      <c r="AX12" s="228"/>
      <c r="AZ12" s="228"/>
      <c r="BC12" s="228"/>
      <c r="BE12" s="228"/>
      <c r="BH12" s="228"/>
      <c r="BJ12" s="228"/>
      <c r="BM12" s="228"/>
      <c r="BO12" s="228"/>
    </row>
    <row r="13" spans="1:170" ht="15.75" thickBot="1">
      <c r="I13" s="1"/>
      <c r="L13" s="238"/>
    </row>
    <row r="14" spans="1:170" ht="15.75" thickBot="1">
      <c r="A14" s="7"/>
      <c r="B14" s="12" t="s">
        <v>19</v>
      </c>
      <c r="C14" s="13" t="s">
        <v>20</v>
      </c>
      <c r="D14" s="12" t="s">
        <v>21</v>
      </c>
      <c r="E14" s="13" t="s">
        <v>22</v>
      </c>
      <c r="F14" s="134" t="s">
        <v>23</v>
      </c>
      <c r="G14" s="133" t="s">
        <v>117</v>
      </c>
      <c r="H14" s="188" t="s">
        <v>175</v>
      </c>
      <c r="AG14"/>
    </row>
    <row r="15" spans="1:170">
      <c r="A15" s="8" t="s">
        <v>7</v>
      </c>
      <c r="B15" s="84"/>
      <c r="C15" s="85"/>
      <c r="D15" s="10"/>
      <c r="E15" s="11"/>
      <c r="F15" s="112">
        <f>SUM(I4:I11)</f>
        <v>169992.69194370191</v>
      </c>
      <c r="G15" s="111" t="str">
        <f>IF(D15=0,"",D15-F15)</f>
        <v/>
      </c>
      <c r="H15" s="194" t="str">
        <f>IF(D15=0,"",D15/F15)</f>
        <v/>
      </c>
      <c r="AG15"/>
    </row>
    <row r="16" spans="1:170">
      <c r="A16" s="8" t="s">
        <v>8</v>
      </c>
      <c r="B16" s="84"/>
      <c r="C16" s="85"/>
      <c r="D16" s="124"/>
      <c r="E16" s="11"/>
      <c r="F16" s="128">
        <f>SUM(N4:N11)</f>
        <v>199444.79656299896</v>
      </c>
      <c r="G16" s="15" t="str">
        <f t="shared" ref="G16:G27" si="35">IF(D16=0,"",D16-F16)</f>
        <v/>
      </c>
      <c r="H16" s="196" t="str">
        <f>IF(D16=0,"",SUM(D15:D16)/SUM(F15:F16))</f>
        <v/>
      </c>
      <c r="AG16"/>
    </row>
    <row r="17" spans="1:11">
      <c r="A17" s="8" t="s">
        <v>9</v>
      </c>
      <c r="B17" s="84"/>
      <c r="C17" s="85"/>
      <c r="D17" s="124"/>
      <c r="E17" s="11"/>
      <c r="F17" s="128">
        <f>SUM(S4:S11)</f>
        <v>371149.81487378676</v>
      </c>
      <c r="G17" s="15" t="str">
        <f t="shared" si="35"/>
        <v/>
      </c>
      <c r="H17" s="196" t="str">
        <f>IF(D17=0,"",SUM(D15:D17)/SUM(F15:F17))</f>
        <v/>
      </c>
    </row>
    <row r="18" spans="1:11">
      <c r="A18" s="8" t="s">
        <v>10</v>
      </c>
      <c r="B18" s="84"/>
      <c r="C18" s="82"/>
      <c r="D18" s="124"/>
      <c r="E18" s="11"/>
      <c r="F18" s="128">
        <f>SUM(X4:X11)</f>
        <v>350198.77450595633</v>
      </c>
      <c r="G18" s="15" t="str">
        <f t="shared" si="35"/>
        <v/>
      </c>
      <c r="H18" s="196" t="str">
        <f>IF(D18=0,"",SUM(D15:D18)/SUM(F15:F18))</f>
        <v/>
      </c>
    </row>
    <row r="19" spans="1:11">
      <c r="A19" s="8" t="s">
        <v>11</v>
      </c>
      <c r="B19" s="81"/>
      <c r="C19" s="82"/>
      <c r="D19" s="124"/>
      <c r="E19" s="11"/>
      <c r="F19" s="128">
        <f>SUM(AC4:AC11)</f>
        <v>315971.48092000216</v>
      </c>
      <c r="G19" s="15" t="str">
        <f t="shared" si="35"/>
        <v/>
      </c>
      <c r="H19" s="196" t="str">
        <f>IF(D19=0,"",SUM(D15:D19)/SUM(F15:F19))</f>
        <v/>
      </c>
    </row>
    <row r="20" spans="1:11">
      <c r="A20" s="8" t="s">
        <v>12</v>
      </c>
      <c r="B20" s="84"/>
      <c r="C20" s="82"/>
      <c r="D20" s="124"/>
      <c r="E20" s="11"/>
      <c r="F20" s="128">
        <f>SUM(AH4:AH11)</f>
        <v>454642.57801987842</v>
      </c>
      <c r="G20" s="15" t="str">
        <f t="shared" si="35"/>
        <v/>
      </c>
      <c r="H20" s="196" t="str">
        <f>IF(D20=0,"",SUM(D15:D20)/SUM(F15:F20))</f>
        <v/>
      </c>
    </row>
    <row r="21" spans="1:11">
      <c r="A21" s="8" t="s">
        <v>13</v>
      </c>
      <c r="B21" s="84"/>
      <c r="C21" s="83"/>
      <c r="D21" s="124"/>
      <c r="E21" s="11"/>
      <c r="F21" s="128">
        <f>SUM(AM4:AM11)</f>
        <v>68343.315917714703</v>
      </c>
      <c r="G21" s="15" t="str">
        <f t="shared" si="35"/>
        <v/>
      </c>
      <c r="H21" s="196" t="str">
        <f>IF(D21=0,"",SUM(D15:D21)/SUM(F15:F21))</f>
        <v/>
      </c>
    </row>
    <row r="22" spans="1:11">
      <c r="A22" s="8" t="s">
        <v>14</v>
      </c>
      <c r="B22" s="84"/>
      <c r="C22" s="83"/>
      <c r="D22" s="124"/>
      <c r="E22" s="11"/>
      <c r="F22" s="128">
        <f>SUM(AR4:AR11)</f>
        <v>231882.643043919</v>
      </c>
      <c r="G22" s="15" t="str">
        <f t="shared" si="35"/>
        <v/>
      </c>
      <c r="H22" s="196" t="str">
        <f>IF(D22=0,"",SUM(D15:D22)/SUM(F15:F22))</f>
        <v/>
      </c>
      <c r="I22" s="1"/>
    </row>
    <row r="23" spans="1:11">
      <c r="A23" s="8" t="s">
        <v>15</v>
      </c>
      <c r="B23" s="84"/>
      <c r="C23" s="83"/>
      <c r="D23" s="124"/>
      <c r="E23" s="11"/>
      <c r="F23" s="128">
        <f>SUM(AW4:AW11)</f>
        <v>451132.54549103859</v>
      </c>
      <c r="G23" s="15" t="str">
        <f t="shared" si="35"/>
        <v/>
      </c>
      <c r="H23" s="196" t="str">
        <f>IF(D23=0,"",SUM(D15:D23)/SUM(F15:F23))</f>
        <v/>
      </c>
    </row>
    <row r="24" spans="1:11">
      <c r="A24" s="8" t="s">
        <v>16</v>
      </c>
      <c r="B24" s="84"/>
      <c r="C24" s="83"/>
      <c r="D24" s="124"/>
      <c r="E24" s="11"/>
      <c r="F24" s="128">
        <f>SUM(BB4:BB11)</f>
        <v>292580.21692060324</v>
      </c>
      <c r="G24" s="15" t="str">
        <f t="shared" si="35"/>
        <v/>
      </c>
      <c r="H24" s="196" t="str">
        <f>IF(D24=0,"",SUM(D15:D24)/SUM(F15:F24))</f>
        <v/>
      </c>
    </row>
    <row r="25" spans="1:11">
      <c r="A25" s="8" t="s">
        <v>17</v>
      </c>
      <c r="B25" s="84"/>
      <c r="C25" s="82"/>
      <c r="D25" s="124"/>
      <c r="E25" s="11"/>
      <c r="F25" s="128">
        <f>SUM(BG4:BG11)</f>
        <v>271725.42592484615</v>
      </c>
      <c r="G25" s="15" t="str">
        <f t="shared" si="35"/>
        <v/>
      </c>
      <c r="H25" s="196" t="str">
        <f>IF(D25=0,"",SUM(D15:D25)/SUM(F15:F25))</f>
        <v/>
      </c>
    </row>
    <row r="26" spans="1:11" ht="15.75" thickBot="1">
      <c r="A26" s="8" t="s">
        <v>18</v>
      </c>
      <c r="B26" s="147"/>
      <c r="C26" s="148"/>
      <c r="D26" s="124"/>
      <c r="E26" s="11"/>
      <c r="F26" s="129">
        <f>SUM(BL4:BL11)</f>
        <v>381786.50930564769</v>
      </c>
      <c r="G26" s="16" t="str">
        <f t="shared" si="35"/>
        <v/>
      </c>
      <c r="H26" s="200" t="str">
        <f>IF(D26=0,"",SUM(D15:D26)/SUM(F15:F26))</f>
        <v/>
      </c>
    </row>
    <row r="27" spans="1:11" ht="15.75" thickBot="1">
      <c r="A27" s="9"/>
      <c r="B27" s="130">
        <f>SUM(B15:B26)</f>
        <v>0</v>
      </c>
      <c r="C27" s="131">
        <f>SUM(C15:C26)</f>
        <v>0</v>
      </c>
      <c r="D27" s="109">
        <f>SUM(D15:D26)</f>
        <v>0</v>
      </c>
      <c r="E27" s="25">
        <f>SUM(E15:E26)</f>
        <v>0</v>
      </c>
      <c r="F27" s="130">
        <f>SUM(F15:F26)</f>
        <v>3558850.7934300937</v>
      </c>
      <c r="G27" s="146" t="str">
        <f t="shared" si="35"/>
        <v/>
      </c>
      <c r="H27" s="204"/>
    </row>
    <row r="28" spans="1:11" ht="15.75" thickBot="1"/>
    <row r="29" spans="1:11" ht="45.75" thickBot="1">
      <c r="E29" s="115" t="s">
        <v>174</v>
      </c>
      <c r="F29" s="110">
        <f>D27/F27</f>
        <v>0</v>
      </c>
      <c r="K29" s="141" t="s">
        <v>122</v>
      </c>
    </row>
    <row r="31" spans="1:11">
      <c r="A31" s="141" t="s">
        <v>221</v>
      </c>
    </row>
    <row r="32" spans="1:11">
      <c r="G32" s="141"/>
    </row>
    <row r="38" spans="1:4">
      <c r="D38" s="141" t="s">
        <v>128</v>
      </c>
    </row>
    <row r="39" spans="1:4">
      <c r="A39" s="141" t="s">
        <v>128</v>
      </c>
    </row>
  </sheetData>
  <mergeCells count="1">
    <mergeCell ref="A3:C3"/>
  </mergeCells>
  <pageMargins left="0.7" right="0.7" top="0.75" bottom="0.75" header="0.3" footer="0.3"/>
  <pageSetup paperSize="9" scale="56" orientation="landscape" r:id="rId1"/>
  <ignoredErrors>
    <ignoredError sqref="H16:H1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BP31"/>
  <sheetViews>
    <sheetView tabSelected="1" workbookViewId="0">
      <selection activeCell="W14" sqref="W14"/>
    </sheetView>
  </sheetViews>
  <sheetFormatPr defaultRowHeight="15" outlineLevelCol="1"/>
  <cols>
    <col min="1" max="1" width="10.5703125" style="141" customWidth="1"/>
    <col min="2" max="2" width="14.28515625" style="141" bestFit="1" customWidth="1"/>
    <col min="3" max="3" width="10.140625" style="141" customWidth="1"/>
    <col min="4" max="4" width="12.5703125" style="141" bestFit="1" customWidth="1"/>
    <col min="5" max="5" width="12.140625" style="141" customWidth="1"/>
    <col min="6" max="6" width="19.28515625" style="141" customWidth="1"/>
    <col min="7" max="7" width="20.5703125" style="141" bestFit="1" customWidth="1"/>
    <col min="8" max="8" width="17.7109375" style="141" bestFit="1" customWidth="1"/>
    <col min="9" max="9" width="10.7109375" style="141" hidden="1" customWidth="1" outlineLevel="1"/>
    <col min="10" max="10" width="9.140625" style="228" hidden="1" customWidth="1" outlineLevel="1"/>
    <col min="11" max="11" width="11.5703125" style="141" hidden="1" customWidth="1" outlineLevel="1"/>
    <col min="12" max="12" width="9.140625" style="228" hidden="1" customWidth="1" outlineLevel="1"/>
    <col min="13" max="13" width="10.7109375" style="141" bestFit="1" customWidth="1" collapsed="1"/>
    <col min="14" max="14" width="10.7109375" style="141" hidden="1" customWidth="1" outlineLevel="1"/>
    <col min="15" max="15" width="9.140625" style="228" hidden="1" customWidth="1" outlineLevel="1"/>
    <col min="16" max="16" width="10.7109375" style="141" hidden="1" customWidth="1" outlineLevel="1"/>
    <col min="17" max="17" width="9.140625" style="228" hidden="1" customWidth="1" outlineLevel="1"/>
    <col min="18" max="18" width="11" style="141" bestFit="1" customWidth="1" collapsed="1"/>
    <col min="19" max="19" width="11" style="141" hidden="1" customWidth="1" outlineLevel="1"/>
    <col min="20" max="20" width="12.85546875" style="228" hidden="1" customWidth="1" outlineLevel="1"/>
    <col min="21" max="21" width="12" style="141" hidden="1" customWidth="1" outlineLevel="1"/>
    <col min="22" max="22" width="9.140625" style="228" hidden="1" customWidth="1" outlineLevel="1"/>
    <col min="23" max="23" width="9.140625" style="141" collapsed="1"/>
    <col min="24" max="24" width="11" style="141" hidden="1" customWidth="1" outlineLevel="1"/>
    <col min="25" max="25" width="9.140625" style="228" hidden="1" customWidth="1" outlineLevel="1"/>
    <col min="26" max="26" width="12" style="141" hidden="1" customWidth="1" outlineLevel="1"/>
    <col min="27" max="27" width="9.140625" style="228" hidden="1" customWidth="1" outlineLevel="1"/>
    <col min="28" max="28" width="9.140625" style="141" collapsed="1"/>
    <col min="29" max="29" width="11" style="141" hidden="1" customWidth="1" outlineLevel="1"/>
    <col min="30" max="30" width="8.140625" style="228" hidden="1" customWidth="1" outlineLevel="1"/>
    <col min="31" max="31" width="12" style="141" hidden="1" customWidth="1" outlineLevel="1"/>
    <col min="32" max="32" width="8.140625" style="228" hidden="1" customWidth="1" outlineLevel="1"/>
    <col min="33" max="33" width="9.140625" style="141" collapsed="1"/>
    <col min="34" max="34" width="11" style="141" hidden="1" customWidth="1" outlineLevel="1"/>
    <col min="35" max="35" width="9.140625" style="228" hidden="1" customWidth="1" outlineLevel="1"/>
    <col min="36" max="36" width="12" style="141" hidden="1" customWidth="1" outlineLevel="1"/>
    <col min="37" max="37" width="9.140625" style="228" hidden="1" customWidth="1" outlineLevel="1"/>
    <col min="38" max="38" width="9.140625" style="141" collapsed="1"/>
    <col min="39" max="39" width="11" style="141" hidden="1" customWidth="1" outlineLevel="1"/>
    <col min="40" max="40" width="9.140625" style="228" hidden="1" customWidth="1" outlineLevel="1"/>
    <col min="41" max="41" width="12" style="141" hidden="1" customWidth="1" outlineLevel="1"/>
    <col min="42" max="42" width="9.140625" style="228" hidden="1" customWidth="1" outlineLevel="1"/>
    <col min="43" max="43" width="9.140625" style="141" collapsed="1"/>
    <col min="44" max="44" width="11" style="141" hidden="1" customWidth="1" outlineLevel="1"/>
    <col min="45" max="45" width="9.140625" style="228" hidden="1" customWidth="1" outlineLevel="1"/>
    <col min="46" max="46" width="12" style="141" hidden="1" customWidth="1" outlineLevel="1"/>
    <col min="47" max="47" width="9.140625" style="228" hidden="1" customWidth="1" outlineLevel="1"/>
    <col min="48" max="48" width="9.140625" style="141" collapsed="1"/>
    <col min="49" max="49" width="11" style="141" hidden="1" customWidth="1" outlineLevel="1"/>
    <col min="50" max="50" width="9.140625" style="228" hidden="1" customWidth="1" outlineLevel="1"/>
    <col min="51" max="51" width="12" style="141" hidden="1" customWidth="1" outlineLevel="1"/>
    <col min="52" max="52" width="9.140625" style="228" hidden="1" customWidth="1" outlineLevel="1"/>
    <col min="53" max="53" width="9.140625" style="141" collapsed="1"/>
    <col min="54" max="54" width="11" style="141" hidden="1" customWidth="1" outlineLevel="1"/>
    <col min="55" max="55" width="9.140625" style="228" hidden="1" customWidth="1" outlineLevel="1"/>
    <col min="56" max="56" width="12" style="141" hidden="1" customWidth="1" outlineLevel="1"/>
    <col min="57" max="57" width="9.140625" style="228" hidden="1" customWidth="1" outlineLevel="1"/>
    <col min="58" max="58" width="9.140625" style="141" collapsed="1"/>
    <col min="59" max="59" width="11" style="141" hidden="1" customWidth="1" outlineLevel="1"/>
    <col min="60" max="60" width="9.140625" style="228" hidden="1" customWidth="1" outlineLevel="1"/>
    <col min="61" max="61" width="12" style="141" hidden="1" customWidth="1" outlineLevel="1"/>
    <col min="62" max="62" width="9.140625" style="228" hidden="1" customWidth="1" outlineLevel="1"/>
    <col min="63" max="63" width="9.140625" style="141" collapsed="1"/>
    <col min="64" max="64" width="9.140625" style="141" hidden="1" customWidth="1" outlineLevel="1"/>
    <col min="65" max="65" width="9.140625" style="228" hidden="1" customWidth="1" outlineLevel="1"/>
    <col min="66" max="66" width="9.5703125" style="141" hidden="1" customWidth="1" outlineLevel="1"/>
    <col min="67" max="67" width="9.140625" style="228" hidden="1" customWidth="1" outlineLevel="1"/>
    <col min="68" max="68" width="9.140625" style="141" collapsed="1"/>
    <col min="69" max="16384" width="9.140625" style="141"/>
  </cols>
  <sheetData>
    <row r="1" spans="1:67" s="138" customFormat="1" ht="21">
      <c r="A1" s="140" t="s">
        <v>201</v>
      </c>
      <c r="J1" s="233"/>
      <c r="L1" s="233"/>
      <c r="O1" s="233"/>
      <c r="Q1" s="233"/>
      <c r="T1" s="233"/>
      <c r="V1" s="233"/>
      <c r="Y1" s="233"/>
      <c r="AA1" s="233"/>
      <c r="AD1" s="233"/>
      <c r="AF1" s="233"/>
      <c r="AI1" s="233"/>
      <c r="AK1" s="233"/>
      <c r="AN1" s="233"/>
      <c r="AP1" s="233"/>
      <c r="AS1" s="233"/>
      <c r="AU1" s="233"/>
      <c r="AX1" s="233"/>
      <c r="AZ1" s="233"/>
      <c r="BC1" s="233"/>
      <c r="BE1" s="233"/>
      <c r="BH1" s="233"/>
      <c r="BJ1" s="233"/>
      <c r="BM1" s="233"/>
      <c r="BO1" s="233"/>
    </row>
    <row r="3" spans="1:67" ht="25.5">
      <c r="A3" s="419" t="s">
        <v>0</v>
      </c>
      <c r="B3" s="420"/>
      <c r="C3" s="421"/>
      <c r="D3" s="142" t="s">
        <v>1</v>
      </c>
      <c r="E3" s="143" t="s">
        <v>2</v>
      </c>
      <c r="F3" s="144" t="s">
        <v>109</v>
      </c>
      <c r="G3" s="145" t="s">
        <v>110</v>
      </c>
      <c r="H3" s="182" t="s">
        <v>7</v>
      </c>
      <c r="I3" s="167" t="s">
        <v>157</v>
      </c>
      <c r="J3" s="229" t="s">
        <v>158</v>
      </c>
      <c r="K3" s="167" t="s">
        <v>135</v>
      </c>
      <c r="L3" s="229" t="s">
        <v>136</v>
      </c>
      <c r="M3" s="184" t="s">
        <v>8</v>
      </c>
      <c r="N3" s="167" t="s">
        <v>133</v>
      </c>
      <c r="O3" s="229" t="s">
        <v>134</v>
      </c>
      <c r="P3" s="167" t="s">
        <v>135</v>
      </c>
      <c r="Q3" s="229" t="s">
        <v>136</v>
      </c>
      <c r="R3" s="182" t="s">
        <v>9</v>
      </c>
      <c r="S3" s="167" t="s">
        <v>137</v>
      </c>
      <c r="T3" s="229" t="s">
        <v>138</v>
      </c>
      <c r="U3" s="167" t="s">
        <v>135</v>
      </c>
      <c r="V3" s="229" t="s">
        <v>136</v>
      </c>
      <c r="W3" s="182" t="s">
        <v>10</v>
      </c>
      <c r="X3" s="167" t="s">
        <v>139</v>
      </c>
      <c r="Y3" s="229" t="s">
        <v>140</v>
      </c>
      <c r="Z3" s="167" t="s">
        <v>135</v>
      </c>
      <c r="AA3" s="229" t="s">
        <v>136</v>
      </c>
      <c r="AB3" s="182" t="s">
        <v>11</v>
      </c>
      <c r="AC3" s="167" t="s">
        <v>141</v>
      </c>
      <c r="AD3" s="229" t="s">
        <v>142</v>
      </c>
      <c r="AE3" s="167" t="s">
        <v>135</v>
      </c>
      <c r="AF3" s="229" t="s">
        <v>136</v>
      </c>
      <c r="AG3" s="182" t="s">
        <v>12</v>
      </c>
      <c r="AH3" s="167" t="s">
        <v>143</v>
      </c>
      <c r="AI3" s="229" t="s">
        <v>144</v>
      </c>
      <c r="AJ3" s="167" t="s">
        <v>135</v>
      </c>
      <c r="AK3" s="229" t="s">
        <v>136</v>
      </c>
      <c r="AL3" s="182" t="s">
        <v>13</v>
      </c>
      <c r="AM3" s="167" t="s">
        <v>145</v>
      </c>
      <c r="AN3" s="229" t="s">
        <v>146</v>
      </c>
      <c r="AO3" s="167" t="s">
        <v>135</v>
      </c>
      <c r="AP3" s="229" t="s">
        <v>136</v>
      </c>
      <c r="AQ3" s="182" t="s">
        <v>14</v>
      </c>
      <c r="AR3" s="167" t="s">
        <v>147</v>
      </c>
      <c r="AS3" s="229" t="s">
        <v>148</v>
      </c>
      <c r="AT3" s="167" t="s">
        <v>135</v>
      </c>
      <c r="AU3" s="229" t="s">
        <v>136</v>
      </c>
      <c r="AV3" s="182" t="s">
        <v>15</v>
      </c>
      <c r="AW3" s="167" t="s">
        <v>149</v>
      </c>
      <c r="AX3" s="229" t="s">
        <v>150</v>
      </c>
      <c r="AY3" s="167" t="s">
        <v>135</v>
      </c>
      <c r="AZ3" s="229" t="s">
        <v>136</v>
      </c>
      <c r="BA3" s="182" t="s">
        <v>16</v>
      </c>
      <c r="BB3" s="167" t="s">
        <v>151</v>
      </c>
      <c r="BC3" s="229" t="s">
        <v>152</v>
      </c>
      <c r="BD3" s="167" t="s">
        <v>135</v>
      </c>
      <c r="BE3" s="229" t="s">
        <v>136</v>
      </c>
      <c r="BF3" s="182" t="s">
        <v>17</v>
      </c>
      <c r="BG3" s="167" t="s">
        <v>153</v>
      </c>
      <c r="BH3" s="229" t="s">
        <v>154</v>
      </c>
      <c r="BI3" s="167" t="s">
        <v>135</v>
      </c>
      <c r="BJ3" s="229" t="s">
        <v>136</v>
      </c>
      <c r="BK3" s="182" t="s">
        <v>18</v>
      </c>
      <c r="BL3" s="167" t="s">
        <v>155</v>
      </c>
      <c r="BM3" s="229" t="s">
        <v>156</v>
      </c>
      <c r="BN3" s="167" t="s">
        <v>135</v>
      </c>
      <c r="BO3" s="229" t="s">
        <v>136</v>
      </c>
    </row>
    <row r="4" spans="1:67">
      <c r="A4" s="116" t="s">
        <v>189</v>
      </c>
      <c r="B4" s="118" t="s">
        <v>193</v>
      </c>
      <c r="C4" s="118" t="s">
        <v>197</v>
      </c>
      <c r="D4" s="291"/>
      <c r="E4" s="137">
        <f>'Agent Budget &amp; Travel'!E38</f>
        <v>0</v>
      </c>
      <c r="F4" s="119">
        <f>'Agent Budget &amp; Travel'!E38</f>
        <v>0</v>
      </c>
      <c r="G4" s="120">
        <f>'Agent Budget &amp; Travel'!F38</f>
        <v>0</v>
      </c>
      <c r="H4" s="223"/>
      <c r="I4" s="214">
        <f>F4*'Office Budget'!$I$4</f>
        <v>0</v>
      </c>
      <c r="J4" s="230" t="e">
        <f>H4/I4</f>
        <v>#DIV/0!</v>
      </c>
      <c r="K4" s="214">
        <f>I4</f>
        <v>0</v>
      </c>
      <c r="L4" s="230" t="e">
        <f>H4/K4</f>
        <v>#DIV/0!</v>
      </c>
      <c r="M4" s="215"/>
      <c r="N4" s="214">
        <f>F4*'Office Budget'!$I$5</f>
        <v>0</v>
      </c>
      <c r="O4" s="232" t="e">
        <f>M4/N4</f>
        <v>#DIV/0!</v>
      </c>
      <c r="P4" s="216">
        <f>SUM(I4,N4)</f>
        <v>0</v>
      </c>
      <c r="Q4" s="232" t="e">
        <f>SUM(H4,M4)/P4</f>
        <v>#DIV/0!</v>
      </c>
      <c r="R4" s="217"/>
      <c r="S4" s="169">
        <f>F4*'Office Budget'!$I$6</f>
        <v>0</v>
      </c>
      <c r="T4" s="170" t="e">
        <f>R4/S4</f>
        <v>#DIV/0!</v>
      </c>
      <c r="U4" s="218">
        <f>SUM(I4,N4,S4)</f>
        <v>0</v>
      </c>
      <c r="V4" s="170" t="e">
        <f>SUM(H4,M4,R4)/U4</f>
        <v>#DIV/0!</v>
      </c>
      <c r="W4" s="219"/>
      <c r="X4" s="169">
        <f>F4*'Office Budget'!$I$7</f>
        <v>0</v>
      </c>
      <c r="Y4" s="170" t="e">
        <f>W4/X4</f>
        <v>#DIV/0!</v>
      </c>
      <c r="Z4" s="218">
        <f>SUM(I4,N4,S4,X4)</f>
        <v>0</v>
      </c>
      <c r="AA4" s="170" t="e">
        <f>SUM(H4,M4,R4,W4)/Z4</f>
        <v>#DIV/0!</v>
      </c>
      <c r="AB4" s="219"/>
      <c r="AC4" s="169">
        <f>F4*'Office Budget'!$I$8</f>
        <v>0</v>
      </c>
      <c r="AD4" s="170" t="e">
        <f>AB4/AC4</f>
        <v>#DIV/0!</v>
      </c>
      <c r="AE4" s="218">
        <f>SUM(I4,N4,S4,X4,AC4)</f>
        <v>0</v>
      </c>
      <c r="AF4" s="170" t="e">
        <f>SUM(H4,M4,R4,W4,AB4)/AE4</f>
        <v>#DIV/0!</v>
      </c>
      <c r="AG4" s="219"/>
      <c r="AH4" s="169">
        <f>F4*'Office Budget'!$I$9</f>
        <v>0</v>
      </c>
      <c r="AI4" s="170" t="e">
        <f>AG4/AH4</f>
        <v>#DIV/0!</v>
      </c>
      <c r="AJ4" s="169">
        <f>SUM(I4,N4,S4,X4,AC4,AH4)</f>
        <v>0</v>
      </c>
      <c r="AK4" s="170" t="e">
        <f>SUM(H4,M4,R4,W4,AB4,AG4)/AJ4</f>
        <v>#DIV/0!</v>
      </c>
      <c r="AL4" s="219"/>
      <c r="AM4" s="169">
        <f>F4*'Office Budget'!$I$10</f>
        <v>0</v>
      </c>
      <c r="AN4" s="170" t="e">
        <f>AL4/AM4</f>
        <v>#DIV/0!</v>
      </c>
      <c r="AO4" s="169">
        <f>SUM(I4,N4,S4,X4,AC4,AH4,AM4)</f>
        <v>0</v>
      </c>
      <c r="AP4" s="170" t="e">
        <f>SUM(H4,M4,R4,W4,AB4,AG4,AL4)/AO4</f>
        <v>#DIV/0!</v>
      </c>
      <c r="AQ4" s="219"/>
      <c r="AR4" s="169">
        <f>F4*'Office Budget'!$I$11</f>
        <v>0</v>
      </c>
      <c r="AS4" s="170" t="e">
        <f>AQ4/AR4</f>
        <v>#DIV/0!</v>
      </c>
      <c r="AT4" s="169">
        <f>SUM(I4,N4,S4,X4,AC4,AH4,AM4,AR4)</f>
        <v>0</v>
      </c>
      <c r="AU4" s="170" t="e">
        <f>SUM(H4,M4,R4,W4,AB4,AG4,AL4,AQ4)/AT4</f>
        <v>#DIV/0!</v>
      </c>
      <c r="AV4" s="219"/>
      <c r="AW4" s="169">
        <f>F4*'Office Budget'!$I$12</f>
        <v>0</v>
      </c>
      <c r="AX4" s="170" t="e">
        <f>AV4/AW4</f>
        <v>#DIV/0!</v>
      </c>
      <c r="AY4" s="169">
        <f>SUM(I4,N4,S4,X4,AC4,AH4,AM4,AR4,AW4)</f>
        <v>0</v>
      </c>
      <c r="AZ4" s="170" t="e">
        <f>SUM(H4,M4,R4,W4,AB4,AG4,AL4,AQ4,AV4)/AY4</f>
        <v>#DIV/0!</v>
      </c>
      <c r="BA4" s="219"/>
      <c r="BB4" s="169">
        <f>F4*'Office Budget'!$I$13</f>
        <v>0</v>
      </c>
      <c r="BC4" s="170" t="e">
        <f>BA4/BB4</f>
        <v>#DIV/0!</v>
      </c>
      <c r="BD4" s="169">
        <f>SUM(I4,N4,S4,X4,AC4,AH4,AM4,AR4,AW4,BB4)</f>
        <v>0</v>
      </c>
      <c r="BE4" s="170" t="e">
        <f>SUM(H4,M4,R4,W4,AB4,AG4,AL4,AQ4,AV4,BA4)/BD4</f>
        <v>#DIV/0!</v>
      </c>
      <c r="BF4" s="219"/>
      <c r="BG4" s="169">
        <f>F4*'Office Budget'!$I$14</f>
        <v>0</v>
      </c>
      <c r="BH4" s="170" t="e">
        <f>BF4/BG4</f>
        <v>#DIV/0!</v>
      </c>
      <c r="BI4" s="169">
        <f>SUM(I4,N4,S4,X4,AC4,AH4,AM4,AR4,AW4,BB4,BG4)</f>
        <v>0</v>
      </c>
      <c r="BJ4" s="170" t="e">
        <f>SUM(H4,M4,R4,W4,AB4,AG4,AL4,AQ4,AV4,BA4,BF4)/BI4</f>
        <v>#DIV/0!</v>
      </c>
      <c r="BK4" s="219"/>
      <c r="BL4" s="176">
        <f>F4*'Office Budget'!$I$15</f>
        <v>0</v>
      </c>
      <c r="BM4" s="170" t="e">
        <f>BK4/BL4</f>
        <v>#DIV/0!</v>
      </c>
      <c r="BN4" s="177">
        <f>SUM(I4,N4,S4,X4,AC4,AH4,AM4,AR4,AW4,BB4,BG4,BL4)</f>
        <v>0</v>
      </c>
      <c r="BO4" s="172" t="e">
        <f>SUM(H4,M4,R4,W4,AB4,AG4,AL4,AQ4,AV4,BA4,BF4,BK4)/BN4</f>
        <v>#DIV/0!</v>
      </c>
    </row>
    <row r="5" spans="1:67">
      <c r="A5" s="116" t="s">
        <v>190</v>
      </c>
      <c r="B5" s="118" t="s">
        <v>194</v>
      </c>
      <c r="C5" s="118" t="s">
        <v>198</v>
      </c>
      <c r="D5" s="291"/>
      <c r="E5" s="137">
        <f>'Agent Budget &amp; Travel'!E39</f>
        <v>0</v>
      </c>
      <c r="F5" s="119">
        <f>'Agent Budget &amp; Travel'!E39</f>
        <v>0</v>
      </c>
      <c r="G5" s="120">
        <f>'Agent Budget &amp; Travel'!F39</f>
        <v>0</v>
      </c>
      <c r="H5" s="224"/>
      <c r="I5" s="214">
        <f>F5*'Office Budget'!$I$4</f>
        <v>0</v>
      </c>
      <c r="J5" s="230" t="e">
        <f t="shared" ref="J5:J9" si="0">H5/I5</f>
        <v>#DIV/0!</v>
      </c>
      <c r="K5" s="214">
        <f t="shared" ref="K5:K9" si="1">I5</f>
        <v>0</v>
      </c>
      <c r="L5" s="230" t="e">
        <f>H5/K5</f>
        <v>#DIV/0!</v>
      </c>
      <c r="M5" s="220"/>
      <c r="N5" s="214">
        <f>F5*'Office Budget'!$I$5</f>
        <v>0</v>
      </c>
      <c r="O5" s="232" t="e">
        <f t="shared" ref="O5:O9" si="2">M5/N5</f>
        <v>#DIV/0!</v>
      </c>
      <c r="P5" s="216">
        <f t="shared" ref="P5:P9" si="3">SUM(I5,N5)</f>
        <v>0</v>
      </c>
      <c r="Q5" s="232" t="e">
        <f t="shared" ref="Q5:Q9" si="4">SUM(H5,M5)/P5</f>
        <v>#DIV/0!</v>
      </c>
      <c r="R5" s="209"/>
      <c r="S5" s="169">
        <f>F5*'Office Budget'!$I$6</f>
        <v>0</v>
      </c>
      <c r="T5" s="170" t="e">
        <f>R5/S5</f>
        <v>#DIV/0!</v>
      </c>
      <c r="U5" s="218">
        <f t="shared" ref="U5:U9" si="5">SUM(I5,N5,S5)</f>
        <v>0</v>
      </c>
      <c r="V5" s="170" t="e">
        <f>SUM(H5,M5,R5)/U5</f>
        <v>#DIV/0!</v>
      </c>
      <c r="W5" s="173"/>
      <c r="X5" s="169">
        <f>F5*'Office Budget'!$I$7</f>
        <v>0</v>
      </c>
      <c r="Y5" s="170" t="e">
        <f t="shared" ref="Y5:Y9" si="6">W5/X5</f>
        <v>#DIV/0!</v>
      </c>
      <c r="Z5" s="218">
        <f t="shared" ref="Z5:Z9" si="7">SUM(I5,N5,S5,X5)</f>
        <v>0</v>
      </c>
      <c r="AA5" s="170" t="e">
        <f t="shared" ref="AA5:AA9" si="8">SUM(H5,M5,R5,W5)/Z5</f>
        <v>#DIV/0!</v>
      </c>
      <c r="AB5" s="173"/>
      <c r="AC5" s="169">
        <f>F5*'Office Budget'!$I$8</f>
        <v>0</v>
      </c>
      <c r="AD5" s="170" t="e">
        <f t="shared" ref="AD5:AD9" si="9">AB5/AC5</f>
        <v>#DIV/0!</v>
      </c>
      <c r="AE5" s="218">
        <f t="shared" ref="AE5:AE9" si="10">SUM(I5,N5,S5,X5,AC5)</f>
        <v>0</v>
      </c>
      <c r="AF5" s="170" t="e">
        <f t="shared" ref="AF5:AF9" si="11">SUM(H5,M5,R5,W5,AB5)/AE5</f>
        <v>#DIV/0!</v>
      </c>
      <c r="AG5" s="173"/>
      <c r="AH5" s="169">
        <f>F5*'Office Budget'!$I$9</f>
        <v>0</v>
      </c>
      <c r="AI5" s="170" t="e">
        <f t="shared" ref="AI5:AI9" si="12">AG5/AH5</f>
        <v>#DIV/0!</v>
      </c>
      <c r="AJ5" s="169">
        <f t="shared" ref="AJ5:AJ9" si="13">SUM(I5,N5,S5,X5,AC5,AH5)</f>
        <v>0</v>
      </c>
      <c r="AK5" s="170" t="e">
        <f t="shared" ref="AK5:AK9" si="14">SUM(H5,M5,R5,W5,AB5,AG5)/AJ5</f>
        <v>#DIV/0!</v>
      </c>
      <c r="AL5" s="173"/>
      <c r="AM5" s="169">
        <f>F5*'Office Budget'!$I$10</f>
        <v>0</v>
      </c>
      <c r="AN5" s="170" t="e">
        <f t="shared" ref="AN5:AN9" si="15">AL5/AM5</f>
        <v>#DIV/0!</v>
      </c>
      <c r="AO5" s="169">
        <f t="shared" ref="AO5:AO9" si="16">SUM(I5,N5,S5,X5,AC5,AH5,AM5)</f>
        <v>0</v>
      </c>
      <c r="AP5" s="170" t="e">
        <f t="shared" ref="AP5:AP9" si="17">SUM(H5,M5,R5,W5,AB5,AG5,AL5)/AO5</f>
        <v>#DIV/0!</v>
      </c>
      <c r="AQ5" s="173"/>
      <c r="AR5" s="169">
        <f>F5*'Office Budget'!$I$11</f>
        <v>0</v>
      </c>
      <c r="AS5" s="170" t="e">
        <f t="shared" ref="AS5:AS9" si="18">AQ5/AR5</f>
        <v>#DIV/0!</v>
      </c>
      <c r="AT5" s="169">
        <f t="shared" ref="AT5:AT9" si="19">SUM(I5,N5,S5,X5,AC5,AH5,AM5,AR5)</f>
        <v>0</v>
      </c>
      <c r="AU5" s="170" t="e">
        <f t="shared" ref="AU5:AU9" si="20">SUM(H5,M5,R5,W5,AB5,AG5,AL5,AQ5)/AT5</f>
        <v>#DIV/0!</v>
      </c>
      <c r="AV5" s="173"/>
      <c r="AW5" s="169">
        <f>F5*'Office Budget'!$I$12</f>
        <v>0</v>
      </c>
      <c r="AX5" s="170" t="e">
        <f t="shared" ref="AX5:AX9" si="21">AV5/AW5</f>
        <v>#DIV/0!</v>
      </c>
      <c r="AY5" s="169">
        <f t="shared" ref="AY5:AY9" si="22">SUM(I5,N5,S5,X5,AC5,AH5,AM5,AR5,AW5)</f>
        <v>0</v>
      </c>
      <c r="AZ5" s="170" t="e">
        <f t="shared" ref="AZ5:AZ9" si="23">SUM(H5,M5,R5,W5,AB5,AG5,AL5,AQ5,AV5)/AY5</f>
        <v>#DIV/0!</v>
      </c>
      <c r="BA5" s="173"/>
      <c r="BB5" s="169">
        <f>F5*'Office Budget'!$I$13</f>
        <v>0</v>
      </c>
      <c r="BC5" s="170" t="e">
        <f t="shared" ref="BC5:BC9" si="24">BA5/BB5</f>
        <v>#DIV/0!</v>
      </c>
      <c r="BD5" s="169">
        <f t="shared" ref="BD5:BD9" si="25">SUM(I5,N5,S5,X5,AC5,AH5,AM5,AR5,AW5,BB5)</f>
        <v>0</v>
      </c>
      <c r="BE5" s="170" t="e">
        <f t="shared" ref="BE5:BE8" si="26">SUM(H5,M5,R5,W5,AB5,AG5,AL5,AQ5,AV5,BA5)/BD5</f>
        <v>#DIV/0!</v>
      </c>
      <c r="BF5" s="173"/>
      <c r="BG5" s="169">
        <f>F5*'Office Budget'!$I$14</f>
        <v>0</v>
      </c>
      <c r="BH5" s="170" t="e">
        <f t="shared" ref="BH5:BH9" si="27">BF5/BG5</f>
        <v>#DIV/0!</v>
      </c>
      <c r="BI5" s="169">
        <f t="shared" ref="BI5:BI9" si="28">SUM(I5,N5,S5,X5,AC5,AH5,AM5,AR5,AW5,BB5,BG5)</f>
        <v>0</v>
      </c>
      <c r="BJ5" s="170" t="e">
        <f t="shared" ref="BJ5:BJ7" si="29">SUM(H5,M5,R5,W5,AB5,AG5,AL5,AQ5,AV5,BA5,BF5)/BI5</f>
        <v>#DIV/0!</v>
      </c>
      <c r="BK5" s="173"/>
      <c r="BL5" s="176">
        <f>F5*'Office Budget'!$I$15</f>
        <v>0</v>
      </c>
      <c r="BM5" s="170" t="e">
        <f t="shared" ref="BM5:BM9" si="30">BK5/BL5</f>
        <v>#DIV/0!</v>
      </c>
      <c r="BN5" s="177">
        <f t="shared" ref="BN5:BN8" si="31">SUM(I5,N5,S5,X5,AC5,AH5,AM5,AR5,AW5,BB5,BG5,BL5)</f>
        <v>0</v>
      </c>
      <c r="BO5" s="172" t="e">
        <f t="shared" ref="BO5:BO6" si="32">SUM(H5,M5,R5,W5,AB5,AG5,AL5,AQ5,AV5,BA5,BF5,BK5)/BN5</f>
        <v>#DIV/0!</v>
      </c>
    </row>
    <row r="6" spans="1:67">
      <c r="A6" s="116" t="s">
        <v>191</v>
      </c>
      <c r="B6" s="118" t="s">
        <v>195</v>
      </c>
      <c r="C6" s="118" t="s">
        <v>198</v>
      </c>
      <c r="D6" s="291"/>
      <c r="E6" s="137">
        <f>'Agent Budget &amp; Travel'!E40</f>
        <v>0</v>
      </c>
      <c r="F6" s="119">
        <f>'Agent Budget &amp; Travel'!E40</f>
        <v>0</v>
      </c>
      <c r="G6" s="120">
        <f>'Agent Budget &amp; Travel'!F40</f>
        <v>0</v>
      </c>
      <c r="H6" s="209"/>
      <c r="I6" s="214">
        <f>F6*'Office Budget'!$I$4</f>
        <v>0</v>
      </c>
      <c r="J6" s="230" t="e">
        <f t="shared" si="0"/>
        <v>#DIV/0!</v>
      </c>
      <c r="K6" s="214">
        <f t="shared" si="1"/>
        <v>0</v>
      </c>
      <c r="L6" s="230" t="e">
        <f t="shared" ref="L6:L9" si="33">H6/K6</f>
        <v>#DIV/0!</v>
      </c>
      <c r="M6" s="220"/>
      <c r="N6" s="214">
        <f>F6*'Office Budget'!$I$5</f>
        <v>0</v>
      </c>
      <c r="O6" s="232" t="e">
        <f t="shared" si="2"/>
        <v>#DIV/0!</v>
      </c>
      <c r="P6" s="216">
        <f t="shared" si="3"/>
        <v>0</v>
      </c>
      <c r="Q6" s="232" t="e">
        <f t="shared" si="4"/>
        <v>#DIV/0!</v>
      </c>
      <c r="R6" s="209"/>
      <c r="S6" s="169">
        <f>F6*'Office Budget'!$I$6</f>
        <v>0</v>
      </c>
      <c r="T6" s="170" t="e">
        <f t="shared" ref="T6:T9" si="34">R6/S6</f>
        <v>#DIV/0!</v>
      </c>
      <c r="U6" s="218">
        <f t="shared" si="5"/>
        <v>0</v>
      </c>
      <c r="V6" s="170" t="e">
        <f t="shared" ref="V6:V9" si="35">SUM(H6,M6,R6)/U6</f>
        <v>#DIV/0!</v>
      </c>
      <c r="W6" s="173"/>
      <c r="X6" s="169">
        <f>F6*'Office Budget'!$I$7</f>
        <v>0</v>
      </c>
      <c r="Y6" s="170" t="e">
        <f t="shared" si="6"/>
        <v>#DIV/0!</v>
      </c>
      <c r="Z6" s="218">
        <f t="shared" si="7"/>
        <v>0</v>
      </c>
      <c r="AA6" s="170" t="e">
        <f t="shared" si="8"/>
        <v>#DIV/0!</v>
      </c>
      <c r="AB6" s="173"/>
      <c r="AC6" s="169">
        <f>F6*'Office Budget'!$I$8</f>
        <v>0</v>
      </c>
      <c r="AD6" s="170" t="e">
        <f t="shared" si="9"/>
        <v>#DIV/0!</v>
      </c>
      <c r="AE6" s="218">
        <f t="shared" si="10"/>
        <v>0</v>
      </c>
      <c r="AF6" s="170" t="e">
        <f t="shared" si="11"/>
        <v>#DIV/0!</v>
      </c>
      <c r="AG6" s="173"/>
      <c r="AH6" s="169">
        <f>F6*'Office Budget'!$I$9</f>
        <v>0</v>
      </c>
      <c r="AI6" s="170" t="e">
        <f t="shared" si="12"/>
        <v>#DIV/0!</v>
      </c>
      <c r="AJ6" s="169">
        <f t="shared" si="13"/>
        <v>0</v>
      </c>
      <c r="AK6" s="170" t="e">
        <f t="shared" si="14"/>
        <v>#DIV/0!</v>
      </c>
      <c r="AL6" s="173"/>
      <c r="AM6" s="169">
        <f>F6*'Office Budget'!$I$10</f>
        <v>0</v>
      </c>
      <c r="AN6" s="170" t="e">
        <f t="shared" si="15"/>
        <v>#DIV/0!</v>
      </c>
      <c r="AO6" s="169">
        <f t="shared" si="16"/>
        <v>0</v>
      </c>
      <c r="AP6" s="170" t="e">
        <f t="shared" si="17"/>
        <v>#DIV/0!</v>
      </c>
      <c r="AQ6" s="173"/>
      <c r="AR6" s="169">
        <f>F6*'Office Budget'!$I$11</f>
        <v>0</v>
      </c>
      <c r="AS6" s="170" t="e">
        <f t="shared" si="18"/>
        <v>#DIV/0!</v>
      </c>
      <c r="AT6" s="169">
        <f t="shared" si="19"/>
        <v>0</v>
      </c>
      <c r="AU6" s="170" t="e">
        <f t="shared" si="20"/>
        <v>#DIV/0!</v>
      </c>
      <c r="AV6" s="173"/>
      <c r="AW6" s="169">
        <f>F6*'Office Budget'!$I$12</f>
        <v>0</v>
      </c>
      <c r="AX6" s="170" t="e">
        <f t="shared" si="21"/>
        <v>#DIV/0!</v>
      </c>
      <c r="AY6" s="169">
        <f t="shared" si="22"/>
        <v>0</v>
      </c>
      <c r="AZ6" s="170" t="e">
        <f t="shared" si="23"/>
        <v>#DIV/0!</v>
      </c>
      <c r="BA6" s="173"/>
      <c r="BB6" s="169">
        <f>F6*'Office Budget'!$I$13</f>
        <v>0</v>
      </c>
      <c r="BC6" s="170" t="e">
        <f t="shared" si="24"/>
        <v>#DIV/0!</v>
      </c>
      <c r="BD6" s="169">
        <f t="shared" si="25"/>
        <v>0</v>
      </c>
      <c r="BE6" s="170" t="e">
        <f t="shared" si="26"/>
        <v>#DIV/0!</v>
      </c>
      <c r="BF6" s="173"/>
      <c r="BG6" s="169">
        <f>F6*'Office Budget'!$I$14</f>
        <v>0</v>
      </c>
      <c r="BH6" s="170" t="e">
        <f t="shared" si="27"/>
        <v>#DIV/0!</v>
      </c>
      <c r="BI6" s="169">
        <f t="shared" si="28"/>
        <v>0</v>
      </c>
      <c r="BJ6" s="170" t="e">
        <f t="shared" si="29"/>
        <v>#DIV/0!</v>
      </c>
      <c r="BK6" s="173"/>
      <c r="BL6" s="176">
        <f>F6*'Office Budget'!$I$15</f>
        <v>0</v>
      </c>
      <c r="BM6" s="170" t="e">
        <f t="shared" si="30"/>
        <v>#DIV/0!</v>
      </c>
      <c r="BN6" s="177">
        <f t="shared" si="31"/>
        <v>0</v>
      </c>
      <c r="BO6" s="172" t="e">
        <f t="shared" si="32"/>
        <v>#DIV/0!</v>
      </c>
    </row>
    <row r="7" spans="1:67">
      <c r="A7" s="51" t="s">
        <v>192</v>
      </c>
      <c r="B7" s="52" t="s">
        <v>196</v>
      </c>
      <c r="C7" s="52" t="s">
        <v>200</v>
      </c>
      <c r="D7" s="292"/>
      <c r="E7" s="137">
        <f>'Agent Budget &amp; Travel'!E41</f>
        <v>0</v>
      </c>
      <c r="F7" s="119">
        <f>'Agent Budget &amp; Travel'!E41</f>
        <v>0</v>
      </c>
      <c r="G7" s="120">
        <f>'Agent Budget &amp; Travel'!F41</f>
        <v>0</v>
      </c>
      <c r="H7" s="225"/>
      <c r="I7" s="214">
        <f>F7*'Office Budget'!$I$4</f>
        <v>0</v>
      </c>
      <c r="J7" s="234" t="e">
        <f t="shared" si="0"/>
        <v>#DIV/0!</v>
      </c>
      <c r="K7" s="214">
        <f t="shared" si="1"/>
        <v>0</v>
      </c>
      <c r="L7" s="234" t="e">
        <f t="shared" si="33"/>
        <v>#DIV/0!</v>
      </c>
      <c r="M7" s="226"/>
      <c r="N7" s="214">
        <f>F7*'Office Budget'!$I$5</f>
        <v>0</v>
      </c>
      <c r="O7" s="235" t="e">
        <f t="shared" si="2"/>
        <v>#DIV/0!</v>
      </c>
      <c r="P7" s="216">
        <f t="shared" si="3"/>
        <v>0</v>
      </c>
      <c r="Q7" s="232" t="e">
        <f t="shared" si="4"/>
        <v>#DIV/0!</v>
      </c>
      <c r="R7" s="225"/>
      <c r="S7" s="169">
        <f>F7*'Office Budget'!$I$6</f>
        <v>0</v>
      </c>
      <c r="T7" s="236" t="e">
        <f t="shared" si="34"/>
        <v>#DIV/0!</v>
      </c>
      <c r="U7" s="218">
        <f t="shared" si="5"/>
        <v>0</v>
      </c>
      <c r="V7" s="236" t="e">
        <f t="shared" si="35"/>
        <v>#DIV/0!</v>
      </c>
      <c r="W7" s="227"/>
      <c r="X7" s="169">
        <f>F7*'Office Budget'!$I$7</f>
        <v>0</v>
      </c>
      <c r="Y7" s="236" t="e">
        <f t="shared" si="6"/>
        <v>#DIV/0!</v>
      </c>
      <c r="Z7" s="218">
        <f t="shared" si="7"/>
        <v>0</v>
      </c>
      <c r="AA7" s="236" t="e">
        <f t="shared" si="8"/>
        <v>#DIV/0!</v>
      </c>
      <c r="AB7" s="227"/>
      <c r="AC7" s="169">
        <f>F7*'Office Budget'!$I$8</f>
        <v>0</v>
      </c>
      <c r="AD7" s="236" t="e">
        <f t="shared" si="9"/>
        <v>#DIV/0!</v>
      </c>
      <c r="AE7" s="218">
        <f t="shared" si="10"/>
        <v>0</v>
      </c>
      <c r="AF7" s="236" t="e">
        <f t="shared" si="11"/>
        <v>#DIV/0!</v>
      </c>
      <c r="AG7" s="227"/>
      <c r="AH7" s="169">
        <f>F7*'Office Budget'!$I$9</f>
        <v>0</v>
      </c>
      <c r="AI7" s="236" t="e">
        <f t="shared" si="12"/>
        <v>#DIV/0!</v>
      </c>
      <c r="AJ7" s="169">
        <f t="shared" si="13"/>
        <v>0</v>
      </c>
      <c r="AK7" s="236" t="e">
        <f t="shared" si="14"/>
        <v>#DIV/0!</v>
      </c>
      <c r="AL7" s="227"/>
      <c r="AM7" s="169">
        <f>F7*'Office Budget'!$I$10</f>
        <v>0</v>
      </c>
      <c r="AN7" s="236" t="e">
        <f t="shared" si="15"/>
        <v>#DIV/0!</v>
      </c>
      <c r="AO7" s="169">
        <f>SUM(I7,N7,S7,X7,AC7,AH7,AM7)</f>
        <v>0</v>
      </c>
      <c r="AP7" s="236" t="e">
        <f t="shared" si="17"/>
        <v>#DIV/0!</v>
      </c>
      <c r="AQ7" s="227"/>
      <c r="AR7" s="169">
        <f>F7*'Office Budget'!$I$11</f>
        <v>0</v>
      </c>
      <c r="AS7" s="236" t="e">
        <f t="shared" si="18"/>
        <v>#DIV/0!</v>
      </c>
      <c r="AT7" s="169">
        <f t="shared" si="19"/>
        <v>0</v>
      </c>
      <c r="AU7" s="236" t="e">
        <f t="shared" si="20"/>
        <v>#DIV/0!</v>
      </c>
      <c r="AV7" s="227"/>
      <c r="AW7" s="169">
        <f>F7*'Office Budget'!$I$12</f>
        <v>0</v>
      </c>
      <c r="AX7" s="236" t="e">
        <f t="shared" si="21"/>
        <v>#DIV/0!</v>
      </c>
      <c r="AY7" s="169">
        <f t="shared" si="22"/>
        <v>0</v>
      </c>
      <c r="AZ7" s="236" t="e">
        <f t="shared" si="23"/>
        <v>#DIV/0!</v>
      </c>
      <c r="BA7" s="227"/>
      <c r="BB7" s="169">
        <f>F7*'Office Budget'!$I$13</f>
        <v>0</v>
      </c>
      <c r="BC7" s="236" t="e">
        <f t="shared" si="24"/>
        <v>#DIV/0!</v>
      </c>
      <c r="BD7" s="169">
        <f t="shared" si="25"/>
        <v>0</v>
      </c>
      <c r="BE7" s="236" t="e">
        <f t="shared" si="26"/>
        <v>#DIV/0!</v>
      </c>
      <c r="BF7" s="227"/>
      <c r="BG7" s="169">
        <f>F7*'Office Budget'!$I$14</f>
        <v>0</v>
      </c>
      <c r="BH7" s="236" t="e">
        <f t="shared" si="27"/>
        <v>#DIV/0!</v>
      </c>
      <c r="BI7" s="169">
        <f t="shared" si="28"/>
        <v>0</v>
      </c>
      <c r="BJ7" s="236" t="e">
        <f t="shared" si="29"/>
        <v>#DIV/0!</v>
      </c>
      <c r="BK7" s="227"/>
      <c r="BL7" s="176">
        <f>F7*'Office Budget'!$I$15</f>
        <v>0</v>
      </c>
      <c r="BM7" s="237" t="e">
        <f t="shared" si="30"/>
        <v>#DIV/0!</v>
      </c>
      <c r="BN7" s="177">
        <f t="shared" si="31"/>
        <v>0</v>
      </c>
      <c r="BO7" s="237" t="e">
        <f>SUM(H7,M7,R7,W7,AB7,AG7,AL7,AQ7,AV7,BA7,BF7,BK7)/BN7</f>
        <v>#DIV/0!</v>
      </c>
    </row>
    <row r="8" spans="1:67">
      <c r="A8" s="64"/>
      <c r="B8" s="64"/>
      <c r="C8" s="64"/>
      <c r="D8" s="150"/>
      <c r="E8" s="137"/>
      <c r="F8" s="119"/>
      <c r="G8" s="120"/>
      <c r="H8" s="209"/>
      <c r="I8" s="214">
        <f>F8*'Office Budget'!$I$4</f>
        <v>0</v>
      </c>
      <c r="J8" s="230" t="e">
        <f t="shared" si="0"/>
        <v>#DIV/0!</v>
      </c>
      <c r="K8" s="214">
        <f t="shared" si="1"/>
        <v>0</v>
      </c>
      <c r="L8" s="230" t="e">
        <f t="shared" si="33"/>
        <v>#DIV/0!</v>
      </c>
      <c r="M8" s="208"/>
      <c r="N8" s="214">
        <f>F8*'Office Budget'!$I$5</f>
        <v>0</v>
      </c>
      <c r="O8" s="230" t="e">
        <f t="shared" si="2"/>
        <v>#DIV/0!</v>
      </c>
      <c r="P8" s="216">
        <f t="shared" si="3"/>
        <v>0</v>
      </c>
      <c r="Q8" s="232" t="e">
        <f t="shared" si="4"/>
        <v>#DIV/0!</v>
      </c>
      <c r="R8" s="209"/>
      <c r="S8" s="169">
        <f>F8*'Office Budget'!$I$6</f>
        <v>0</v>
      </c>
      <c r="T8" s="172" t="e">
        <f t="shared" si="34"/>
        <v>#DIV/0!</v>
      </c>
      <c r="U8" s="218">
        <f t="shared" si="5"/>
        <v>0</v>
      </c>
      <c r="V8" s="172" t="e">
        <f t="shared" si="35"/>
        <v>#DIV/0!</v>
      </c>
      <c r="W8" s="173"/>
      <c r="X8" s="169">
        <f>F8*'Office Budget'!$I$7</f>
        <v>0</v>
      </c>
      <c r="Y8" s="172" t="e">
        <f t="shared" si="6"/>
        <v>#DIV/0!</v>
      </c>
      <c r="Z8" s="218">
        <f t="shared" si="7"/>
        <v>0</v>
      </c>
      <c r="AA8" s="172" t="e">
        <f t="shared" si="8"/>
        <v>#DIV/0!</v>
      </c>
      <c r="AB8" s="173"/>
      <c r="AC8" s="169">
        <f>F8*'Office Budget'!$I$8</f>
        <v>0</v>
      </c>
      <c r="AD8" s="172" t="e">
        <f t="shared" si="9"/>
        <v>#DIV/0!</v>
      </c>
      <c r="AE8" s="218">
        <f t="shared" si="10"/>
        <v>0</v>
      </c>
      <c r="AF8" s="172" t="e">
        <f t="shared" si="11"/>
        <v>#DIV/0!</v>
      </c>
      <c r="AG8" s="173"/>
      <c r="AH8" s="169">
        <f>F8*'Office Budget'!$I$9</f>
        <v>0</v>
      </c>
      <c r="AI8" s="172" t="e">
        <f t="shared" si="12"/>
        <v>#DIV/0!</v>
      </c>
      <c r="AJ8" s="169">
        <f t="shared" si="13"/>
        <v>0</v>
      </c>
      <c r="AK8" s="172" t="e">
        <f t="shared" si="14"/>
        <v>#DIV/0!</v>
      </c>
      <c r="AL8" s="173"/>
      <c r="AM8" s="169">
        <f>F8*'Office Budget'!$I$10</f>
        <v>0</v>
      </c>
      <c r="AN8" s="172" t="e">
        <f t="shared" si="15"/>
        <v>#DIV/0!</v>
      </c>
      <c r="AO8" s="169">
        <f t="shared" si="16"/>
        <v>0</v>
      </c>
      <c r="AP8" s="172" t="e">
        <f t="shared" si="17"/>
        <v>#DIV/0!</v>
      </c>
      <c r="AQ8" s="173"/>
      <c r="AR8" s="169">
        <f>F8*'Office Budget'!$I$11</f>
        <v>0</v>
      </c>
      <c r="AS8" s="172" t="e">
        <f t="shared" si="18"/>
        <v>#DIV/0!</v>
      </c>
      <c r="AT8" s="169">
        <f t="shared" si="19"/>
        <v>0</v>
      </c>
      <c r="AU8" s="172" t="e">
        <f t="shared" si="20"/>
        <v>#DIV/0!</v>
      </c>
      <c r="AV8" s="173"/>
      <c r="AW8" s="169">
        <f>F8*'Office Budget'!$I$12</f>
        <v>0</v>
      </c>
      <c r="AX8" s="172" t="e">
        <f t="shared" si="21"/>
        <v>#DIV/0!</v>
      </c>
      <c r="AY8" s="169">
        <f t="shared" si="22"/>
        <v>0</v>
      </c>
      <c r="AZ8" s="172" t="e">
        <f t="shared" si="23"/>
        <v>#DIV/0!</v>
      </c>
      <c r="BA8" s="173"/>
      <c r="BB8" s="169">
        <f>F8*'Office Budget'!$I$13</f>
        <v>0</v>
      </c>
      <c r="BC8" s="172" t="e">
        <f t="shared" si="24"/>
        <v>#DIV/0!</v>
      </c>
      <c r="BD8" s="169">
        <f t="shared" si="25"/>
        <v>0</v>
      </c>
      <c r="BE8" s="172" t="e">
        <f t="shared" si="26"/>
        <v>#DIV/0!</v>
      </c>
      <c r="BF8" s="173"/>
      <c r="BG8" s="169">
        <f>F8*'Office Budget'!$I$14</f>
        <v>0</v>
      </c>
      <c r="BH8" s="172" t="e">
        <f t="shared" si="27"/>
        <v>#DIV/0!</v>
      </c>
      <c r="BI8" s="169">
        <f t="shared" si="28"/>
        <v>0</v>
      </c>
      <c r="BJ8" s="172" t="e">
        <f>SUM(H8,M8,R8,W8,AB8,AG8,AL8,AQ8,AV8,BA8,BF8)/BI8</f>
        <v>#DIV/0!</v>
      </c>
      <c r="BK8" s="173"/>
      <c r="BL8" s="176">
        <f>F8*'Office Budget'!$I$15</f>
        <v>0</v>
      </c>
      <c r="BM8" s="172" t="e">
        <f t="shared" si="30"/>
        <v>#DIV/0!</v>
      </c>
      <c r="BN8" s="177">
        <f t="shared" si="31"/>
        <v>0</v>
      </c>
      <c r="BO8" s="172" t="e">
        <f>SUM(H8,M8,R8,W8,AB8,AG8,AL8,AQ8,AV8,BA8,BF8,BK8)/BN8</f>
        <v>#DIV/0!</v>
      </c>
    </row>
    <row r="9" spans="1:67">
      <c r="A9" s="64"/>
      <c r="B9" s="64"/>
      <c r="C9" s="64"/>
      <c r="D9" s="150"/>
      <c r="E9" s="137"/>
      <c r="F9" s="119"/>
      <c r="G9" s="120"/>
      <c r="H9" s="209"/>
      <c r="I9" s="214">
        <f>F9*'Office Budget'!$I$4</f>
        <v>0</v>
      </c>
      <c r="J9" s="230" t="e">
        <f t="shared" si="0"/>
        <v>#DIV/0!</v>
      </c>
      <c r="K9" s="214">
        <f t="shared" si="1"/>
        <v>0</v>
      </c>
      <c r="L9" s="230" t="e">
        <f t="shared" si="33"/>
        <v>#DIV/0!</v>
      </c>
      <c r="M9" s="208"/>
      <c r="N9" s="214">
        <f>F9*'Office Budget'!$I$5</f>
        <v>0</v>
      </c>
      <c r="O9" s="230" t="e">
        <f t="shared" si="2"/>
        <v>#DIV/0!</v>
      </c>
      <c r="P9" s="216">
        <f t="shared" si="3"/>
        <v>0</v>
      </c>
      <c r="Q9" s="232" t="e">
        <f t="shared" si="4"/>
        <v>#DIV/0!</v>
      </c>
      <c r="R9" s="209"/>
      <c r="S9" s="169">
        <f>F9*'Office Budget'!$I$6</f>
        <v>0</v>
      </c>
      <c r="T9" s="172" t="e">
        <f t="shared" si="34"/>
        <v>#DIV/0!</v>
      </c>
      <c r="U9" s="218">
        <f t="shared" si="5"/>
        <v>0</v>
      </c>
      <c r="V9" s="172" t="e">
        <f t="shared" si="35"/>
        <v>#DIV/0!</v>
      </c>
      <c r="W9" s="173"/>
      <c r="X9" s="169">
        <f>F9*'Office Budget'!$I$7</f>
        <v>0</v>
      </c>
      <c r="Y9" s="172" t="e">
        <f t="shared" si="6"/>
        <v>#DIV/0!</v>
      </c>
      <c r="Z9" s="218">
        <f t="shared" si="7"/>
        <v>0</v>
      </c>
      <c r="AA9" s="172" t="e">
        <f t="shared" si="8"/>
        <v>#DIV/0!</v>
      </c>
      <c r="AB9" s="173"/>
      <c r="AC9" s="169">
        <f>F9*'Office Budget'!$I$8</f>
        <v>0</v>
      </c>
      <c r="AD9" s="172" t="e">
        <f t="shared" si="9"/>
        <v>#DIV/0!</v>
      </c>
      <c r="AE9" s="218">
        <f t="shared" si="10"/>
        <v>0</v>
      </c>
      <c r="AF9" s="172" t="e">
        <f t="shared" si="11"/>
        <v>#DIV/0!</v>
      </c>
      <c r="AG9" s="173"/>
      <c r="AH9" s="169">
        <f>F9*'Office Budget'!$I$9</f>
        <v>0</v>
      </c>
      <c r="AI9" s="172" t="e">
        <f t="shared" si="12"/>
        <v>#DIV/0!</v>
      </c>
      <c r="AJ9" s="169">
        <f t="shared" si="13"/>
        <v>0</v>
      </c>
      <c r="AK9" s="172" t="e">
        <f t="shared" si="14"/>
        <v>#DIV/0!</v>
      </c>
      <c r="AL9" s="173"/>
      <c r="AM9" s="169">
        <f>F9*'Office Budget'!$I$10</f>
        <v>0</v>
      </c>
      <c r="AN9" s="172" t="e">
        <f t="shared" si="15"/>
        <v>#DIV/0!</v>
      </c>
      <c r="AO9" s="169">
        <f t="shared" si="16"/>
        <v>0</v>
      </c>
      <c r="AP9" s="172" t="e">
        <f t="shared" si="17"/>
        <v>#DIV/0!</v>
      </c>
      <c r="AQ9" s="173"/>
      <c r="AR9" s="169">
        <f>F9*'Office Budget'!$I$11</f>
        <v>0</v>
      </c>
      <c r="AS9" s="172" t="e">
        <f t="shared" si="18"/>
        <v>#DIV/0!</v>
      </c>
      <c r="AT9" s="169">
        <f t="shared" si="19"/>
        <v>0</v>
      </c>
      <c r="AU9" s="172" t="e">
        <f t="shared" si="20"/>
        <v>#DIV/0!</v>
      </c>
      <c r="AV9" s="173"/>
      <c r="AW9" s="169">
        <f>F9*'Office Budget'!$I$12</f>
        <v>0</v>
      </c>
      <c r="AX9" s="172" t="e">
        <f t="shared" si="21"/>
        <v>#DIV/0!</v>
      </c>
      <c r="AY9" s="169">
        <f t="shared" si="22"/>
        <v>0</v>
      </c>
      <c r="AZ9" s="172" t="e">
        <f t="shared" si="23"/>
        <v>#DIV/0!</v>
      </c>
      <c r="BA9" s="173"/>
      <c r="BB9" s="169">
        <f>F9*'Office Budget'!$I$13</f>
        <v>0</v>
      </c>
      <c r="BC9" s="172" t="e">
        <f t="shared" si="24"/>
        <v>#DIV/0!</v>
      </c>
      <c r="BD9" s="169">
        <f t="shared" si="25"/>
        <v>0</v>
      </c>
      <c r="BE9" s="172" t="e">
        <f>SUM(H9,M9,R9,W9,AB9,AG9,AL9,AQ9,AV9,BA9)/BD9</f>
        <v>#DIV/0!</v>
      </c>
      <c r="BF9" s="173"/>
      <c r="BG9" s="169">
        <f>F9*'Office Budget'!$I$14</f>
        <v>0</v>
      </c>
      <c r="BH9" s="172" t="e">
        <f t="shared" si="27"/>
        <v>#DIV/0!</v>
      </c>
      <c r="BI9" s="169">
        <f t="shared" si="28"/>
        <v>0</v>
      </c>
      <c r="BJ9" s="172" t="e">
        <f>SUM(H9,M9,R9,W9,AB9,AG9,AL9,AQ9,AV9,BA9,BF9)/BI9</f>
        <v>#DIV/0!</v>
      </c>
      <c r="BK9" s="173"/>
      <c r="BL9" s="176">
        <f>F9*'Office Budget'!$I$15</f>
        <v>0</v>
      </c>
      <c r="BM9" s="172" t="e">
        <f t="shared" si="30"/>
        <v>#DIV/0!</v>
      </c>
      <c r="BN9" s="177">
        <f>SUM(I9,N9,S9,X9,AC9,AH9,AM9,AR9,AW9,BB9,BG9,BL9)</f>
        <v>0</v>
      </c>
      <c r="BO9" s="172" t="e">
        <f>SUM(H9,M9,R9,W9,AB9,AG9,AL9,AQ9,AV9,BA9,BF9,BK9)/BN9</f>
        <v>#DIV/0!</v>
      </c>
    </row>
    <row r="10" spans="1:67">
      <c r="F10" s="149">
        <f>SUM(F4:F9)</f>
        <v>0</v>
      </c>
    </row>
    <row r="13" spans="1:67" ht="21.75" thickBot="1">
      <c r="D13" s="138"/>
    </row>
    <row r="14" spans="1:67" ht="15.75" thickBot="1">
      <c r="A14" s="123"/>
      <c r="B14" s="125" t="s">
        <v>19</v>
      </c>
      <c r="C14" s="126" t="s">
        <v>20</v>
      </c>
      <c r="D14" s="125" t="s">
        <v>21</v>
      </c>
      <c r="E14" s="126" t="s">
        <v>22</v>
      </c>
      <c r="F14" s="134" t="s">
        <v>23</v>
      </c>
      <c r="G14" s="133" t="s">
        <v>117</v>
      </c>
      <c r="H14" s="188" t="s">
        <v>175</v>
      </c>
    </row>
    <row r="15" spans="1:67">
      <c r="A15" s="8" t="s">
        <v>7</v>
      </c>
      <c r="B15" s="67"/>
      <c r="C15" s="85"/>
      <c r="D15" s="124"/>
      <c r="E15" s="11"/>
      <c r="F15" s="112">
        <f>SUM(I4:I9)</f>
        <v>0</v>
      </c>
      <c r="G15" s="111" t="str">
        <f>IF(D15=0,"",D15-F15)</f>
        <v/>
      </c>
      <c r="H15" s="194" t="str">
        <f>IF(D15=0,"",D15/F15)</f>
        <v/>
      </c>
    </row>
    <row r="16" spans="1:67">
      <c r="A16" s="8" t="s">
        <v>8</v>
      </c>
      <c r="B16" s="67"/>
      <c r="C16" s="85"/>
      <c r="D16" s="124"/>
      <c r="E16" s="11"/>
      <c r="F16" s="128">
        <f>SUM(N4:N9)</f>
        <v>0</v>
      </c>
      <c r="G16" s="15" t="str">
        <f t="shared" ref="G16:G27" si="36">IF(D16=0,"",D16-F16)</f>
        <v/>
      </c>
      <c r="H16" s="196" t="str">
        <f>IF(D16=0,"",SUM(D15:D16)/SUM(F15:F16))</f>
        <v/>
      </c>
    </row>
    <row r="17" spans="1:11">
      <c r="A17" s="8" t="s">
        <v>9</v>
      </c>
      <c r="B17" s="67"/>
      <c r="C17" s="85"/>
      <c r="D17" s="124"/>
      <c r="E17" s="11"/>
      <c r="F17" s="128">
        <f>SUM(S4:S9)</f>
        <v>0</v>
      </c>
      <c r="G17" s="15" t="str">
        <f t="shared" si="36"/>
        <v/>
      </c>
      <c r="H17" s="196" t="str">
        <f>IF(D17=0,"",SUM(D15:D17)/SUM(F15:F17))</f>
        <v/>
      </c>
    </row>
    <row r="18" spans="1:11">
      <c r="A18" s="8" t="s">
        <v>10</v>
      </c>
      <c r="B18" s="67"/>
      <c r="C18" s="85"/>
      <c r="D18" s="124"/>
      <c r="E18" s="11"/>
      <c r="F18" s="128">
        <f>SUM(X4:X9)</f>
        <v>0</v>
      </c>
      <c r="G18" s="15" t="str">
        <f t="shared" si="36"/>
        <v/>
      </c>
      <c r="H18" s="196" t="str">
        <f>IF(D18=0,"",SUM(D15:D18)/SUM(F15:F18))</f>
        <v/>
      </c>
    </row>
    <row r="19" spans="1:11">
      <c r="A19" s="8" t="s">
        <v>11</v>
      </c>
      <c r="B19" s="243"/>
      <c r="C19" s="85"/>
      <c r="D19" s="124"/>
      <c r="E19" s="11"/>
      <c r="F19" s="128">
        <f>SUM(AC4:AC9)</f>
        <v>0</v>
      </c>
      <c r="G19" s="15" t="str">
        <f t="shared" si="36"/>
        <v/>
      </c>
      <c r="H19" s="196" t="str">
        <f>IF(D19=0,"",SUM(D15:D19)/SUM(F15:F19))</f>
        <v/>
      </c>
    </row>
    <row r="20" spans="1:11">
      <c r="A20" s="8" t="s">
        <v>12</v>
      </c>
      <c r="B20" s="67"/>
      <c r="C20" s="85"/>
      <c r="D20" s="124"/>
      <c r="E20" s="11"/>
      <c r="F20" s="128">
        <f>SUM(AH4:AH9)</f>
        <v>0</v>
      </c>
      <c r="G20" s="15" t="str">
        <f t="shared" si="36"/>
        <v/>
      </c>
      <c r="H20" s="196" t="str">
        <f>IF(D20=0,"",SUM(D15:D20)/SUM(F15:F20))</f>
        <v/>
      </c>
    </row>
    <row r="21" spans="1:11">
      <c r="A21" s="8" t="s">
        <v>13</v>
      </c>
      <c r="B21" s="67"/>
      <c r="C21" s="69"/>
      <c r="D21" s="124"/>
      <c r="E21" s="11"/>
      <c r="F21" s="128">
        <f>SUM(AM4:AM9)</f>
        <v>0</v>
      </c>
      <c r="G21" s="15" t="str">
        <f t="shared" si="36"/>
        <v/>
      </c>
      <c r="H21" s="196" t="str">
        <f>IF(D21=0,"",SUM(D15:D21)/SUM(F15:F21))</f>
        <v/>
      </c>
    </row>
    <row r="22" spans="1:11">
      <c r="A22" s="8" t="s">
        <v>14</v>
      </c>
      <c r="B22" s="67"/>
      <c r="C22" s="69"/>
      <c r="D22" s="124"/>
      <c r="E22" s="11"/>
      <c r="F22" s="128">
        <f>SUM(AR4:AR9)</f>
        <v>0</v>
      </c>
      <c r="G22" s="15" t="str">
        <f t="shared" si="36"/>
        <v/>
      </c>
      <c r="H22" s="196" t="str">
        <f>IF(D22=0,"",SUM(D15:D22)/SUM(F15:F22))</f>
        <v/>
      </c>
    </row>
    <row r="23" spans="1:11">
      <c r="A23" s="8" t="s">
        <v>15</v>
      </c>
      <c r="B23" s="67"/>
      <c r="C23" s="69"/>
      <c r="D23" s="124"/>
      <c r="E23" s="11"/>
      <c r="F23" s="128">
        <f>SUM(AW4:AW9)</f>
        <v>0</v>
      </c>
      <c r="G23" s="15" t="str">
        <f t="shared" si="36"/>
        <v/>
      </c>
      <c r="H23" s="196" t="str">
        <f>IF(D23=0,"",SUM(D15:D23)/SUM(F15:F23))</f>
        <v/>
      </c>
    </row>
    <row r="24" spans="1:11">
      <c r="A24" s="8" t="s">
        <v>16</v>
      </c>
      <c r="B24" s="67"/>
      <c r="C24" s="69"/>
      <c r="D24" s="124"/>
      <c r="E24" s="11"/>
      <c r="F24" s="128">
        <f>SUM(BB4:BB9)</f>
        <v>0</v>
      </c>
      <c r="G24" s="15" t="str">
        <f t="shared" si="36"/>
        <v/>
      </c>
      <c r="H24" s="196" t="str">
        <f>IF(D24=0,"",SUM(D15:D24)/SUM(F15:F24))</f>
        <v/>
      </c>
    </row>
    <row r="25" spans="1:11">
      <c r="A25" s="8" t="s">
        <v>17</v>
      </c>
      <c r="B25" s="67"/>
      <c r="C25" s="85"/>
      <c r="D25" s="124"/>
      <c r="E25" s="11"/>
      <c r="F25" s="128">
        <f>SUM(BG4:BG9)</f>
        <v>0</v>
      </c>
      <c r="G25" s="15" t="str">
        <f t="shared" si="36"/>
        <v/>
      </c>
      <c r="H25" s="196" t="str">
        <f>IF(D25=0,"",SUM(D15:D25)/SUM(F15:F25))</f>
        <v/>
      </c>
    </row>
    <row r="26" spans="1:11" ht="15.75" thickBot="1">
      <c r="A26" s="8" t="s">
        <v>18</v>
      </c>
      <c r="B26" s="70"/>
      <c r="C26" s="69"/>
      <c r="D26" s="363"/>
      <c r="E26" s="362"/>
      <c r="F26" s="129">
        <f>SUM(BL4:BL9)</f>
        <v>0</v>
      </c>
      <c r="G26" s="16" t="str">
        <f t="shared" si="36"/>
        <v/>
      </c>
      <c r="H26" s="200" t="str">
        <f>IF(D26=0,"",SUM(D15:D26)/SUM(F15:F26))</f>
        <v/>
      </c>
      <c r="K26" s="1"/>
    </row>
    <row r="27" spans="1:11" ht="15.75" thickBot="1">
      <c r="A27" s="9"/>
      <c r="B27" s="130">
        <f>SUM(B15:B26)</f>
        <v>0</v>
      </c>
      <c r="C27" s="131">
        <f>SUM(C15:C26)</f>
        <v>0</v>
      </c>
      <c r="D27" s="109">
        <f>SUM(D15:D26)</f>
        <v>0</v>
      </c>
      <c r="E27" s="131">
        <f>SUM(E15:E26)</f>
        <v>0</v>
      </c>
      <c r="F27" s="130">
        <f>SUM(F15:F26)</f>
        <v>0</v>
      </c>
      <c r="G27" s="135" t="str">
        <f t="shared" si="36"/>
        <v/>
      </c>
      <c r="H27" s="204"/>
    </row>
    <row r="28" spans="1:11" ht="15.75" thickBot="1"/>
    <row r="29" spans="1:11" ht="60.75" thickBot="1">
      <c r="E29" s="115" t="s">
        <v>174</v>
      </c>
      <c r="F29" s="132" t="e">
        <f>D27/F27</f>
        <v>#DIV/0!</v>
      </c>
    </row>
    <row r="31" spans="1:11">
      <c r="A31" s="141" t="s">
        <v>221</v>
      </c>
      <c r="E31" s="318" t="s">
        <v>188</v>
      </c>
    </row>
  </sheetData>
  <mergeCells count="1">
    <mergeCell ref="A3:C3"/>
  </mergeCells>
  <pageMargins left="0.7" right="0.7" top="0.75" bottom="0.75" header="0.3" footer="0.3"/>
  <ignoredErrors>
    <ignoredError sqref="H16:H25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BP31"/>
  <sheetViews>
    <sheetView workbookViewId="0">
      <selection activeCell="A31" sqref="A31"/>
    </sheetView>
  </sheetViews>
  <sheetFormatPr defaultRowHeight="15" outlineLevelCol="1"/>
  <cols>
    <col min="1" max="1" width="10.5703125" style="141" customWidth="1"/>
    <col min="2" max="2" width="14.28515625" style="141" bestFit="1" customWidth="1"/>
    <col min="3" max="3" width="9.42578125" style="141" customWidth="1"/>
    <col min="4" max="4" width="12.5703125" style="141" bestFit="1" customWidth="1"/>
    <col min="5" max="5" width="12.140625" style="141" customWidth="1"/>
    <col min="6" max="6" width="19.28515625" style="141" customWidth="1"/>
    <col min="7" max="7" width="20.5703125" style="141" bestFit="1" customWidth="1"/>
    <col min="8" max="8" width="17.7109375" style="141" bestFit="1" customWidth="1"/>
    <col min="9" max="9" width="10.7109375" style="141" hidden="1" customWidth="1" outlineLevel="1"/>
    <col min="10" max="10" width="9.140625" style="228" hidden="1" customWidth="1" outlineLevel="1"/>
    <col min="11" max="11" width="11.5703125" style="141" hidden="1" customWidth="1" outlineLevel="1"/>
    <col min="12" max="12" width="9.140625" style="228" hidden="1" customWidth="1" outlineLevel="1"/>
    <col min="13" max="13" width="10.7109375" style="141" bestFit="1" customWidth="1" collapsed="1"/>
    <col min="14" max="14" width="10.7109375" style="141" hidden="1" customWidth="1" outlineLevel="1"/>
    <col min="15" max="15" width="9.140625" style="228" hidden="1" customWidth="1" outlineLevel="1"/>
    <col min="16" max="16" width="10.7109375" style="141" hidden="1" customWidth="1" outlineLevel="1"/>
    <col min="17" max="17" width="9.140625" style="228" hidden="1" customWidth="1" outlineLevel="1"/>
    <col min="18" max="18" width="11" style="141" bestFit="1" customWidth="1" collapsed="1"/>
    <col min="19" max="19" width="11" style="141" hidden="1" customWidth="1" outlineLevel="1"/>
    <col min="20" max="20" width="12.85546875" style="228" hidden="1" customWidth="1" outlineLevel="1"/>
    <col min="21" max="21" width="12" style="141" hidden="1" customWidth="1" outlineLevel="1"/>
    <col min="22" max="22" width="9.140625" style="228" hidden="1" customWidth="1" outlineLevel="1"/>
    <col min="23" max="23" width="9.140625" style="141" collapsed="1"/>
    <col min="24" max="24" width="11" style="141" hidden="1" customWidth="1" outlineLevel="1"/>
    <col min="25" max="25" width="9.140625" style="228" hidden="1" customWidth="1" outlineLevel="1"/>
    <col min="26" max="26" width="12" style="141" hidden="1" customWidth="1" outlineLevel="1"/>
    <col min="27" max="27" width="9.140625" style="228" hidden="1" customWidth="1" outlineLevel="1"/>
    <col min="28" max="28" width="9.140625" style="141" collapsed="1"/>
    <col min="29" max="29" width="11" style="141" hidden="1" customWidth="1" outlineLevel="1"/>
    <col min="30" max="30" width="8.140625" style="228" hidden="1" customWidth="1" outlineLevel="1"/>
    <col min="31" max="31" width="12" style="141" hidden="1" customWidth="1" outlineLevel="1"/>
    <col min="32" max="32" width="8.140625" style="228" hidden="1" customWidth="1" outlineLevel="1"/>
    <col min="33" max="33" width="9.140625" style="141" collapsed="1"/>
    <col min="34" max="34" width="11" style="141" hidden="1" customWidth="1" outlineLevel="1"/>
    <col min="35" max="35" width="9.140625" style="228" hidden="1" customWidth="1" outlineLevel="1"/>
    <col min="36" max="36" width="12" style="141" hidden="1" customWidth="1" outlineLevel="1"/>
    <col min="37" max="37" width="9.140625" style="228" hidden="1" customWidth="1" outlineLevel="1"/>
    <col min="38" max="38" width="9.140625" style="141" collapsed="1"/>
    <col min="39" max="39" width="11" style="141" hidden="1" customWidth="1" outlineLevel="1"/>
    <col min="40" max="40" width="9.140625" style="228" hidden="1" customWidth="1" outlineLevel="1"/>
    <col min="41" max="41" width="12" style="141" hidden="1" customWidth="1" outlineLevel="1"/>
    <col min="42" max="42" width="9.140625" style="228" hidden="1" customWidth="1" outlineLevel="1"/>
    <col min="43" max="43" width="9.140625" style="141" collapsed="1"/>
    <col min="44" max="44" width="11" style="141" hidden="1" customWidth="1" outlineLevel="1"/>
    <col min="45" max="45" width="9.140625" style="228" hidden="1" customWidth="1" outlineLevel="1"/>
    <col min="46" max="46" width="12" style="141" hidden="1" customWidth="1" outlineLevel="1"/>
    <col min="47" max="47" width="9.140625" style="228" hidden="1" customWidth="1" outlineLevel="1"/>
    <col min="48" max="48" width="9.140625" style="141" collapsed="1"/>
    <col min="49" max="49" width="11" style="141" hidden="1" customWidth="1" outlineLevel="1"/>
    <col min="50" max="50" width="9.140625" style="228" hidden="1" customWidth="1" outlineLevel="1"/>
    <col min="51" max="51" width="12" style="141" hidden="1" customWidth="1" outlineLevel="1"/>
    <col min="52" max="52" width="9.140625" style="228" hidden="1" customWidth="1" outlineLevel="1"/>
    <col min="53" max="53" width="9.140625" style="141" collapsed="1"/>
    <col min="54" max="54" width="11" style="141" hidden="1" customWidth="1" outlineLevel="1"/>
    <col min="55" max="55" width="9.140625" style="228" hidden="1" customWidth="1" outlineLevel="1"/>
    <col min="56" max="56" width="12" style="141" hidden="1" customWidth="1" outlineLevel="1"/>
    <col min="57" max="57" width="9.140625" style="228" hidden="1" customWidth="1" outlineLevel="1"/>
    <col min="58" max="58" width="9.140625" style="141" collapsed="1"/>
    <col min="59" max="59" width="11" style="141" hidden="1" customWidth="1" outlineLevel="1"/>
    <col min="60" max="60" width="9.140625" style="228" hidden="1" customWidth="1" outlineLevel="1"/>
    <col min="61" max="61" width="12" style="141" hidden="1" customWidth="1" outlineLevel="1"/>
    <col min="62" max="62" width="9.140625" style="228" hidden="1" customWidth="1" outlineLevel="1"/>
    <col min="63" max="63" width="9.140625" style="141" collapsed="1"/>
    <col min="64" max="64" width="9.140625" style="141" hidden="1" customWidth="1" outlineLevel="1"/>
    <col min="65" max="65" width="9.140625" style="228" hidden="1" customWidth="1" outlineLevel="1"/>
    <col min="66" max="66" width="9.5703125" style="141" hidden="1" customWidth="1" outlineLevel="1"/>
    <col min="67" max="67" width="9.140625" style="228" hidden="1" customWidth="1" outlineLevel="1"/>
    <col min="68" max="68" width="9.140625" style="141" collapsed="1"/>
    <col min="69" max="16384" width="9.140625" style="141"/>
  </cols>
  <sheetData>
    <row r="1" spans="1:67" s="138" customFormat="1" ht="21">
      <c r="A1" s="140" t="s">
        <v>202</v>
      </c>
      <c r="J1" s="233"/>
      <c r="L1" s="233"/>
      <c r="O1" s="233"/>
      <c r="Q1" s="233"/>
      <c r="T1" s="233"/>
      <c r="V1" s="233"/>
      <c r="Y1" s="233"/>
      <c r="AA1" s="233"/>
      <c r="AD1" s="233"/>
      <c r="AF1" s="233"/>
      <c r="AI1" s="233"/>
      <c r="AK1" s="233"/>
      <c r="AN1" s="233"/>
      <c r="AP1" s="233"/>
      <c r="AS1" s="233"/>
      <c r="AU1" s="233"/>
      <c r="AX1" s="233"/>
      <c r="AZ1" s="233"/>
      <c r="BC1" s="233"/>
      <c r="BE1" s="233"/>
      <c r="BH1" s="233"/>
      <c r="BJ1" s="233"/>
      <c r="BM1" s="233"/>
      <c r="BO1" s="233"/>
    </row>
    <row r="3" spans="1:67" ht="25.5">
      <c r="A3" s="419" t="s">
        <v>0</v>
      </c>
      <c r="B3" s="420"/>
      <c r="C3" s="421"/>
      <c r="D3" s="142" t="s">
        <v>1</v>
      </c>
      <c r="E3" s="143" t="s">
        <v>2</v>
      </c>
      <c r="F3" s="144" t="s">
        <v>109</v>
      </c>
      <c r="G3" s="145" t="s">
        <v>110</v>
      </c>
      <c r="H3" s="182" t="s">
        <v>7</v>
      </c>
      <c r="I3" s="167" t="s">
        <v>157</v>
      </c>
      <c r="J3" s="229" t="s">
        <v>158</v>
      </c>
      <c r="K3" s="167" t="s">
        <v>135</v>
      </c>
      <c r="L3" s="229" t="s">
        <v>136</v>
      </c>
      <c r="M3" s="184" t="s">
        <v>8</v>
      </c>
      <c r="N3" s="167" t="s">
        <v>133</v>
      </c>
      <c r="O3" s="229" t="s">
        <v>134</v>
      </c>
      <c r="P3" s="167" t="s">
        <v>135</v>
      </c>
      <c r="Q3" s="229" t="s">
        <v>136</v>
      </c>
      <c r="R3" s="182" t="s">
        <v>9</v>
      </c>
      <c r="S3" s="167" t="s">
        <v>137</v>
      </c>
      <c r="T3" s="229" t="s">
        <v>138</v>
      </c>
      <c r="U3" s="167" t="s">
        <v>135</v>
      </c>
      <c r="V3" s="229" t="s">
        <v>136</v>
      </c>
      <c r="W3" s="182" t="s">
        <v>10</v>
      </c>
      <c r="X3" s="167" t="s">
        <v>139</v>
      </c>
      <c r="Y3" s="229" t="s">
        <v>140</v>
      </c>
      <c r="Z3" s="167" t="s">
        <v>135</v>
      </c>
      <c r="AA3" s="229" t="s">
        <v>136</v>
      </c>
      <c r="AB3" s="182" t="s">
        <v>11</v>
      </c>
      <c r="AC3" s="167" t="s">
        <v>141</v>
      </c>
      <c r="AD3" s="229" t="s">
        <v>142</v>
      </c>
      <c r="AE3" s="167" t="s">
        <v>135</v>
      </c>
      <c r="AF3" s="229" t="s">
        <v>136</v>
      </c>
      <c r="AG3" s="182" t="s">
        <v>12</v>
      </c>
      <c r="AH3" s="167" t="s">
        <v>143</v>
      </c>
      <c r="AI3" s="229" t="s">
        <v>144</v>
      </c>
      <c r="AJ3" s="167" t="s">
        <v>135</v>
      </c>
      <c r="AK3" s="229" t="s">
        <v>136</v>
      </c>
      <c r="AL3" s="182" t="s">
        <v>13</v>
      </c>
      <c r="AM3" s="167" t="s">
        <v>145</v>
      </c>
      <c r="AN3" s="229" t="s">
        <v>146</v>
      </c>
      <c r="AO3" s="167" t="s">
        <v>135</v>
      </c>
      <c r="AP3" s="229" t="s">
        <v>136</v>
      </c>
      <c r="AQ3" s="182" t="s">
        <v>14</v>
      </c>
      <c r="AR3" s="167" t="s">
        <v>147</v>
      </c>
      <c r="AS3" s="229" t="s">
        <v>148</v>
      </c>
      <c r="AT3" s="167" t="s">
        <v>135</v>
      </c>
      <c r="AU3" s="229" t="s">
        <v>136</v>
      </c>
      <c r="AV3" s="182" t="s">
        <v>15</v>
      </c>
      <c r="AW3" s="167" t="s">
        <v>149</v>
      </c>
      <c r="AX3" s="229" t="s">
        <v>150</v>
      </c>
      <c r="AY3" s="167" t="s">
        <v>135</v>
      </c>
      <c r="AZ3" s="229" t="s">
        <v>136</v>
      </c>
      <c r="BA3" s="182" t="s">
        <v>16</v>
      </c>
      <c r="BB3" s="167" t="s">
        <v>151</v>
      </c>
      <c r="BC3" s="229" t="s">
        <v>152</v>
      </c>
      <c r="BD3" s="167" t="s">
        <v>135</v>
      </c>
      <c r="BE3" s="229" t="s">
        <v>136</v>
      </c>
      <c r="BF3" s="182" t="s">
        <v>17</v>
      </c>
      <c r="BG3" s="167" t="s">
        <v>153</v>
      </c>
      <c r="BH3" s="229" t="s">
        <v>154</v>
      </c>
      <c r="BI3" s="167" t="s">
        <v>135</v>
      </c>
      <c r="BJ3" s="229" t="s">
        <v>136</v>
      </c>
      <c r="BK3" s="182" t="s">
        <v>18</v>
      </c>
      <c r="BL3" s="167" t="s">
        <v>155</v>
      </c>
      <c r="BM3" s="229" t="s">
        <v>156</v>
      </c>
      <c r="BN3" s="167" t="s">
        <v>135</v>
      </c>
      <c r="BO3" s="229" t="s">
        <v>136</v>
      </c>
    </row>
    <row r="4" spans="1:67">
      <c r="A4" s="116" t="s">
        <v>164</v>
      </c>
      <c r="B4" s="118" t="s">
        <v>203</v>
      </c>
      <c r="C4" s="118" t="s">
        <v>169</v>
      </c>
      <c r="D4" s="291"/>
      <c r="E4" s="137" t="str">
        <f>'Agent Budget &amp; Travel'!D16</f>
        <v>N/A</v>
      </c>
      <c r="F4" s="119">
        <f>'Agent Budget &amp; Travel'!E16</f>
        <v>400000</v>
      </c>
      <c r="G4" s="385" t="str">
        <f>'Agent Budget &amp; Travel'!F16</f>
        <v>N/A</v>
      </c>
      <c r="H4" s="223"/>
      <c r="I4" s="214">
        <f>F4*0</f>
        <v>0</v>
      </c>
      <c r="J4" s="230" t="e">
        <f>H4/I4</f>
        <v>#DIV/0!</v>
      </c>
      <c r="K4" s="214">
        <f>I4</f>
        <v>0</v>
      </c>
      <c r="L4" s="230" t="e">
        <f>H4/K4</f>
        <v>#DIV/0!</v>
      </c>
      <c r="M4" s="215"/>
      <c r="N4" s="214">
        <f>F4*0</f>
        <v>0</v>
      </c>
      <c r="O4" s="232" t="e">
        <f>M4/N4</f>
        <v>#DIV/0!</v>
      </c>
      <c r="P4" s="216">
        <f>SUM(I4,N4)</f>
        <v>0</v>
      </c>
      <c r="Q4" s="232" t="e">
        <f>SUM(H4,M4)/P4</f>
        <v>#DIV/0!</v>
      </c>
      <c r="R4" s="217"/>
      <c r="S4" s="169">
        <f>F4*0</f>
        <v>0</v>
      </c>
      <c r="T4" s="170" t="e">
        <f>R4/S4</f>
        <v>#DIV/0!</v>
      </c>
      <c r="U4" s="218">
        <f>SUM(I4,N4,S4)</f>
        <v>0</v>
      </c>
      <c r="V4" s="170" t="e">
        <f>SUM(H4,M4,R4)/U4</f>
        <v>#DIV/0!</v>
      </c>
      <c r="W4" s="219"/>
      <c r="X4" s="169">
        <f>F4*'Office Budget'!$I$7</f>
        <v>38377.947891063704</v>
      </c>
      <c r="Y4" s="170">
        <f>W4/X4</f>
        <v>0</v>
      </c>
      <c r="Z4" s="218">
        <f>SUM(I4,N4,S4,X4)</f>
        <v>38377.947891063704</v>
      </c>
      <c r="AA4" s="170">
        <f>SUM(H4,M4,R4,W4)/Z4</f>
        <v>0</v>
      </c>
      <c r="AB4" s="219"/>
      <c r="AC4" s="169">
        <f>F4*'Office Budget'!$I$8</f>
        <v>34627.011607671469</v>
      </c>
      <c r="AD4" s="170">
        <f>AB4/AC4</f>
        <v>0</v>
      </c>
      <c r="AE4" s="218">
        <f>SUM(I4,N4,S4,X4,AC4)</f>
        <v>73004.959498735174</v>
      </c>
      <c r="AF4" s="170">
        <f>SUM(H4,M4,R4,W4,AB4)/AE4</f>
        <v>0</v>
      </c>
      <c r="AG4" s="219"/>
      <c r="AH4" s="169">
        <f>F4*'Office Budget'!$I$9</f>
        <v>49823.844166562012</v>
      </c>
      <c r="AI4" s="170">
        <f>AG4/AH4</f>
        <v>0</v>
      </c>
      <c r="AJ4" s="169">
        <f>SUM(I4,N4,S4,X4,AC4,AH4)</f>
        <v>122828.80366529719</v>
      </c>
      <c r="AK4" s="170">
        <f>SUM(H4,M4,R4,W4,AB4,AG4)/AJ4</f>
        <v>0</v>
      </c>
      <c r="AL4" s="219"/>
      <c r="AM4" s="169">
        <f>F4*'Office Budget'!$I$10</f>
        <v>7489.6784567358582</v>
      </c>
      <c r="AN4" s="170">
        <f>AL4/AM4</f>
        <v>0</v>
      </c>
      <c r="AO4" s="169">
        <f>SUM(I4,N4,S4,X4,AC4,AH4,AM4)</f>
        <v>130318.48212203305</v>
      </c>
      <c r="AP4" s="170">
        <f>SUM(H4,M4,R4,W4,AB4,AG4,AL4)/AO4</f>
        <v>0</v>
      </c>
      <c r="AQ4" s="219"/>
      <c r="AR4" s="169">
        <f>F4*'Office Budget'!$I$11</f>
        <v>25411.796497963722</v>
      </c>
      <c r="AS4" s="170">
        <f>AQ4/AR4</f>
        <v>0</v>
      </c>
      <c r="AT4" s="169">
        <f>SUM(I4,N4,S4,X4,AC4,AH4,AM4,AR4)</f>
        <v>155730.27861999677</v>
      </c>
      <c r="AU4" s="170">
        <f>SUM(H4,M4,R4,W4,AB4,AG4,AL4,AQ4)/AT4</f>
        <v>0</v>
      </c>
      <c r="AV4" s="219"/>
      <c r="AW4" s="169">
        <f>F4*'Office Budget'!$I$12</f>
        <v>49439.183067511076</v>
      </c>
      <c r="AX4" s="170">
        <f>AV4/AW4</f>
        <v>0</v>
      </c>
      <c r="AY4" s="169">
        <f>SUM(I4,N4,S4,X4,AC4,AH4,AM4,AR4,AW4)</f>
        <v>205169.46168750784</v>
      </c>
      <c r="AZ4" s="170">
        <f>SUM(H4,M4,R4,W4,AB4,AG4,AL4,AQ4,AV4)/AY4</f>
        <v>0</v>
      </c>
      <c r="BA4" s="219"/>
      <c r="BB4" s="169">
        <f>F4*'Office Budget'!$I$13</f>
        <v>32063.585415956513</v>
      </c>
      <c r="BC4" s="170">
        <f>BA4/BB4</f>
        <v>0</v>
      </c>
      <c r="BD4" s="169">
        <f>SUM(I4,N4,S4,X4,AC4,AH4,AM4,AR4,AW4,BB4)</f>
        <v>237233.04710346434</v>
      </c>
      <c r="BE4" s="170">
        <f>SUM(H4,M4,R4,W4,AB4,AG4,AL4,AQ4,AV4,BA4)/BD4</f>
        <v>0</v>
      </c>
      <c r="BF4" s="219"/>
      <c r="BG4" s="169">
        <f>F4*'Office Budget'!$I$14</f>
        <v>29778.128868476288</v>
      </c>
      <c r="BH4" s="170">
        <f>BF4/BG4</f>
        <v>0</v>
      </c>
      <c r="BI4" s="169">
        <f>SUM(I4,N4,S4,X4,AC4,AH4,AM4,AR4,AW4,BB4,BG4)</f>
        <v>267011.17597194063</v>
      </c>
      <c r="BJ4" s="170">
        <f>SUM(H4,M4,R4,W4,AB4,AG4,AL4,AQ4,AV4,BA4,BF4)/BI4</f>
        <v>0</v>
      </c>
      <c r="BK4" s="219"/>
      <c r="BL4" s="176">
        <f>F4*'Office Budget'!$I$15</f>
        <v>41839.617458153174</v>
      </c>
      <c r="BM4" s="170">
        <f>BK4/BL4</f>
        <v>0</v>
      </c>
      <c r="BN4" s="177">
        <f>SUM(I4,N4,S4,X4,AC4,AH4,AM4,AR4,AW4,BB4,BG4,BL4)</f>
        <v>308850.79343009379</v>
      </c>
      <c r="BO4" s="172">
        <f>SUM(H4,M4,R4,W4,AB4,AG4,AL4,AQ4,AV4,BA4,BF4,BK4)/BN4</f>
        <v>0</v>
      </c>
    </row>
    <row r="5" spans="1:67">
      <c r="A5" s="116" t="s">
        <v>205</v>
      </c>
      <c r="B5" s="118" t="s">
        <v>204</v>
      </c>
      <c r="C5" s="118" t="s">
        <v>207</v>
      </c>
      <c r="D5" s="291"/>
      <c r="E5" s="137" t="str">
        <f>'Agent Budget &amp; Travel'!D42</f>
        <v>N/A</v>
      </c>
      <c r="F5" s="119">
        <f>'Agent Budget &amp; Travel'!E42</f>
        <v>0</v>
      </c>
      <c r="G5" s="385" t="str">
        <f>'Agent Budget &amp; Travel'!F42</f>
        <v>N/A</v>
      </c>
      <c r="H5" s="224"/>
      <c r="I5" s="214">
        <f>F5*'Office Budget'!$I$4</f>
        <v>0</v>
      </c>
      <c r="J5" s="230" t="e">
        <f t="shared" ref="J5:J9" si="0">H5/I5</f>
        <v>#DIV/0!</v>
      </c>
      <c r="K5" s="214">
        <f t="shared" ref="K5:K9" si="1">I5</f>
        <v>0</v>
      </c>
      <c r="L5" s="230" t="e">
        <f>H5/K5</f>
        <v>#DIV/0!</v>
      </c>
      <c r="M5" s="220"/>
      <c r="N5" s="214">
        <f>F5*'Office Budget'!$I$5</f>
        <v>0</v>
      </c>
      <c r="O5" s="232" t="e">
        <f t="shared" ref="O5:O9" si="2">M5/N5</f>
        <v>#DIV/0!</v>
      </c>
      <c r="P5" s="216">
        <f t="shared" ref="P5:P9" si="3">SUM(I5,N5)</f>
        <v>0</v>
      </c>
      <c r="Q5" s="232" t="e">
        <f t="shared" ref="Q5:Q9" si="4">SUM(H5,M5)/P5</f>
        <v>#DIV/0!</v>
      </c>
      <c r="R5" s="209"/>
      <c r="S5" s="169">
        <f>F5*'Office Budget'!$I$6</f>
        <v>0</v>
      </c>
      <c r="T5" s="170" t="e">
        <f>R5/S5</f>
        <v>#DIV/0!</v>
      </c>
      <c r="U5" s="218">
        <f t="shared" ref="U5:U9" si="5">SUM(I5,N5,S5)</f>
        <v>0</v>
      </c>
      <c r="V5" s="170" t="e">
        <f>SUM(H5,M5,R5)/U5</f>
        <v>#DIV/0!</v>
      </c>
      <c r="W5" s="173"/>
      <c r="X5" s="169">
        <f>F5*'Office Budget'!$I$7</f>
        <v>0</v>
      </c>
      <c r="Y5" s="170" t="e">
        <f t="shared" ref="Y5:Y9" si="6">W5/X5</f>
        <v>#DIV/0!</v>
      </c>
      <c r="Z5" s="218">
        <f t="shared" ref="Z5:Z9" si="7">SUM(I5,N5,S5,X5)</f>
        <v>0</v>
      </c>
      <c r="AA5" s="170" t="e">
        <f t="shared" ref="AA5:AA9" si="8">SUM(H5,M5,R5,W5)/Z5</f>
        <v>#DIV/0!</v>
      </c>
      <c r="AB5" s="173"/>
      <c r="AC5" s="169">
        <f>F5*'Office Budget'!$I$8</f>
        <v>0</v>
      </c>
      <c r="AD5" s="170" t="e">
        <f t="shared" ref="AD5:AD9" si="9">AB5/AC5</f>
        <v>#DIV/0!</v>
      </c>
      <c r="AE5" s="218">
        <f t="shared" ref="AE5:AE9" si="10">SUM(I5,N5,S5,X5,AC5)</f>
        <v>0</v>
      </c>
      <c r="AF5" s="170" t="e">
        <f t="shared" ref="AF5:AF9" si="11">SUM(H5,M5,R5,W5,AB5)/AE5</f>
        <v>#DIV/0!</v>
      </c>
      <c r="AG5" s="173"/>
      <c r="AH5" s="169">
        <f>F5*'Office Budget'!$I$9</f>
        <v>0</v>
      </c>
      <c r="AI5" s="170" t="e">
        <f t="shared" ref="AI5:AI9" si="12">AG5/AH5</f>
        <v>#DIV/0!</v>
      </c>
      <c r="AJ5" s="169">
        <f t="shared" ref="AJ5:AJ9" si="13">SUM(I5,N5,S5,X5,AC5,AH5)</f>
        <v>0</v>
      </c>
      <c r="AK5" s="170" t="e">
        <f t="shared" ref="AK5:AK9" si="14">SUM(H5,M5,R5,W5,AB5,AG5)/AJ5</f>
        <v>#DIV/0!</v>
      </c>
      <c r="AL5" s="173"/>
      <c r="AM5" s="169">
        <f>F5*'Office Budget'!$I$10</f>
        <v>0</v>
      </c>
      <c r="AN5" s="170" t="e">
        <f t="shared" ref="AN5:AN9" si="15">AL5/AM5</f>
        <v>#DIV/0!</v>
      </c>
      <c r="AO5" s="169">
        <f t="shared" ref="AO5:AO9" si="16">SUM(I5,N5,S5,X5,AC5,AH5,AM5)</f>
        <v>0</v>
      </c>
      <c r="AP5" s="170" t="e">
        <f t="shared" ref="AP5:AP9" si="17">SUM(H5,M5,R5,W5,AB5,AG5,AL5)/AO5</f>
        <v>#DIV/0!</v>
      </c>
      <c r="AQ5" s="173"/>
      <c r="AR5" s="169">
        <f>F5*'Office Budget'!$I$11</f>
        <v>0</v>
      </c>
      <c r="AS5" s="170" t="e">
        <f t="shared" ref="AS5:AS9" si="18">AQ5/AR5</f>
        <v>#DIV/0!</v>
      </c>
      <c r="AT5" s="169">
        <f t="shared" ref="AT5:AT9" si="19">SUM(I5,N5,S5,X5,AC5,AH5,AM5,AR5)</f>
        <v>0</v>
      </c>
      <c r="AU5" s="170" t="e">
        <f t="shared" ref="AU5:AU9" si="20">SUM(H5,M5,R5,W5,AB5,AG5,AL5,AQ5)/AT5</f>
        <v>#DIV/0!</v>
      </c>
      <c r="AV5" s="173"/>
      <c r="AW5" s="169">
        <f>F5*'Office Budget'!$I$12</f>
        <v>0</v>
      </c>
      <c r="AX5" s="170" t="e">
        <f t="shared" ref="AX5:AX9" si="21">AV5/AW5</f>
        <v>#DIV/0!</v>
      </c>
      <c r="AY5" s="169">
        <f t="shared" ref="AY5:AY9" si="22">SUM(I5,N5,S5,X5,AC5,AH5,AM5,AR5,AW5)</f>
        <v>0</v>
      </c>
      <c r="AZ5" s="170" t="e">
        <f t="shared" ref="AZ5:AZ9" si="23">SUM(H5,M5,R5,W5,AB5,AG5,AL5,AQ5,AV5)/AY5</f>
        <v>#DIV/0!</v>
      </c>
      <c r="BA5" s="173"/>
      <c r="BB5" s="169">
        <f>F5*'Office Budget'!$I$13</f>
        <v>0</v>
      </c>
      <c r="BC5" s="170" t="e">
        <f t="shared" ref="BC5:BC9" si="24">BA5/BB5</f>
        <v>#DIV/0!</v>
      </c>
      <c r="BD5" s="169">
        <f t="shared" ref="BD5:BD9" si="25">SUM(I5,N5,S5,X5,AC5,AH5,AM5,AR5,AW5,BB5)</f>
        <v>0</v>
      </c>
      <c r="BE5" s="170" t="e">
        <f t="shared" ref="BE5:BE8" si="26">SUM(H5,M5,R5,W5,AB5,AG5,AL5,AQ5,AV5,BA5)/BD5</f>
        <v>#DIV/0!</v>
      </c>
      <c r="BF5" s="173"/>
      <c r="BG5" s="169">
        <f>F5*'Office Budget'!$I$14</f>
        <v>0</v>
      </c>
      <c r="BH5" s="170" t="e">
        <f t="shared" ref="BH5:BH9" si="27">BF5/BG5</f>
        <v>#DIV/0!</v>
      </c>
      <c r="BI5" s="169">
        <f t="shared" ref="BI5:BI9" si="28">SUM(I5,N5,S5,X5,AC5,AH5,AM5,AR5,AW5,BB5,BG5)</f>
        <v>0</v>
      </c>
      <c r="BJ5" s="170" t="e">
        <f t="shared" ref="BJ5:BJ7" si="29">SUM(H5,M5,R5,W5,AB5,AG5,AL5,AQ5,AV5,BA5,BF5)/BI5</f>
        <v>#DIV/0!</v>
      </c>
      <c r="BK5" s="173"/>
      <c r="BL5" s="176">
        <f>F5*'Office Budget'!$I$15</f>
        <v>0</v>
      </c>
      <c r="BM5" s="170" t="e">
        <f t="shared" ref="BM5:BM9" si="30">BK5/BL5</f>
        <v>#DIV/0!</v>
      </c>
      <c r="BN5" s="177">
        <f t="shared" ref="BN5:BN8" si="31">SUM(I5,N5,S5,X5,AC5,AH5,AM5,AR5,AW5,BB5,BG5,BL5)</f>
        <v>0</v>
      </c>
      <c r="BO5" s="172" t="e">
        <f t="shared" ref="BO5:BO6" si="32">SUM(H5,M5,R5,W5,AB5,AG5,AL5,AQ5,AV5,BA5,BF5,BK5)/BN5</f>
        <v>#DIV/0!</v>
      </c>
    </row>
    <row r="6" spans="1:67">
      <c r="A6" s="116"/>
      <c r="B6" s="118"/>
      <c r="C6" s="118"/>
      <c r="D6" s="291"/>
      <c r="E6" s="137"/>
      <c r="F6" s="119"/>
      <c r="G6" s="385"/>
      <c r="H6" s="209"/>
      <c r="I6" s="214">
        <f>F6*'Office Budget'!$I$4</f>
        <v>0</v>
      </c>
      <c r="J6" s="230" t="e">
        <f t="shared" si="0"/>
        <v>#DIV/0!</v>
      </c>
      <c r="K6" s="214">
        <f t="shared" si="1"/>
        <v>0</v>
      </c>
      <c r="L6" s="230" t="e">
        <f t="shared" ref="L6:L9" si="33">H6/K6</f>
        <v>#DIV/0!</v>
      </c>
      <c r="M6" s="220"/>
      <c r="N6" s="214">
        <f>F6*'Office Budget'!$I$5</f>
        <v>0</v>
      </c>
      <c r="O6" s="232" t="e">
        <f t="shared" si="2"/>
        <v>#DIV/0!</v>
      </c>
      <c r="P6" s="216">
        <f t="shared" si="3"/>
        <v>0</v>
      </c>
      <c r="Q6" s="232" t="e">
        <f t="shared" si="4"/>
        <v>#DIV/0!</v>
      </c>
      <c r="R6" s="209"/>
      <c r="S6" s="169">
        <f>F6*'Office Budget'!$I$6</f>
        <v>0</v>
      </c>
      <c r="T6" s="170" t="e">
        <f t="shared" ref="T6:T9" si="34">R6/S6</f>
        <v>#DIV/0!</v>
      </c>
      <c r="U6" s="218">
        <f t="shared" si="5"/>
        <v>0</v>
      </c>
      <c r="V6" s="170" t="e">
        <f t="shared" ref="V6:V9" si="35">SUM(H6,M6,R6)/U6</f>
        <v>#DIV/0!</v>
      </c>
      <c r="W6" s="173"/>
      <c r="X6" s="169">
        <f>F6*'Office Budget'!$I$7</f>
        <v>0</v>
      </c>
      <c r="Y6" s="170" t="e">
        <f t="shared" si="6"/>
        <v>#DIV/0!</v>
      </c>
      <c r="Z6" s="218">
        <f t="shared" si="7"/>
        <v>0</v>
      </c>
      <c r="AA6" s="170" t="e">
        <f t="shared" si="8"/>
        <v>#DIV/0!</v>
      </c>
      <c r="AB6" s="173"/>
      <c r="AC6" s="169">
        <f>F6*'Office Budget'!$I$8</f>
        <v>0</v>
      </c>
      <c r="AD6" s="170" t="e">
        <f t="shared" si="9"/>
        <v>#DIV/0!</v>
      </c>
      <c r="AE6" s="218">
        <f t="shared" si="10"/>
        <v>0</v>
      </c>
      <c r="AF6" s="170" t="e">
        <f t="shared" si="11"/>
        <v>#DIV/0!</v>
      </c>
      <c r="AG6" s="173"/>
      <c r="AH6" s="169">
        <f>F6*'Office Budget'!$I$9</f>
        <v>0</v>
      </c>
      <c r="AI6" s="170" t="e">
        <f t="shared" si="12"/>
        <v>#DIV/0!</v>
      </c>
      <c r="AJ6" s="169">
        <f t="shared" si="13"/>
        <v>0</v>
      </c>
      <c r="AK6" s="170" t="e">
        <f t="shared" si="14"/>
        <v>#DIV/0!</v>
      </c>
      <c r="AL6" s="173"/>
      <c r="AM6" s="169">
        <f>F6*'Office Budget'!$I$10</f>
        <v>0</v>
      </c>
      <c r="AN6" s="170" t="e">
        <f t="shared" si="15"/>
        <v>#DIV/0!</v>
      </c>
      <c r="AO6" s="169">
        <f t="shared" si="16"/>
        <v>0</v>
      </c>
      <c r="AP6" s="170" t="e">
        <f t="shared" si="17"/>
        <v>#DIV/0!</v>
      </c>
      <c r="AQ6" s="173"/>
      <c r="AR6" s="169">
        <f>F6*'Office Budget'!$I$11</f>
        <v>0</v>
      </c>
      <c r="AS6" s="170" t="e">
        <f t="shared" si="18"/>
        <v>#DIV/0!</v>
      </c>
      <c r="AT6" s="169">
        <f t="shared" si="19"/>
        <v>0</v>
      </c>
      <c r="AU6" s="170" t="e">
        <f t="shared" si="20"/>
        <v>#DIV/0!</v>
      </c>
      <c r="AV6" s="173"/>
      <c r="AW6" s="169">
        <f>F6*'Office Budget'!$I$12</f>
        <v>0</v>
      </c>
      <c r="AX6" s="170" t="e">
        <f t="shared" si="21"/>
        <v>#DIV/0!</v>
      </c>
      <c r="AY6" s="169">
        <f t="shared" si="22"/>
        <v>0</v>
      </c>
      <c r="AZ6" s="170" t="e">
        <f t="shared" si="23"/>
        <v>#DIV/0!</v>
      </c>
      <c r="BA6" s="173"/>
      <c r="BB6" s="169">
        <f>F6*'Office Budget'!$I$13</f>
        <v>0</v>
      </c>
      <c r="BC6" s="170" t="e">
        <f t="shared" si="24"/>
        <v>#DIV/0!</v>
      </c>
      <c r="BD6" s="169">
        <f t="shared" si="25"/>
        <v>0</v>
      </c>
      <c r="BE6" s="170" t="e">
        <f t="shared" si="26"/>
        <v>#DIV/0!</v>
      </c>
      <c r="BF6" s="173"/>
      <c r="BG6" s="169">
        <f>F6*'Office Budget'!$I$14</f>
        <v>0</v>
      </c>
      <c r="BH6" s="170" t="e">
        <f t="shared" si="27"/>
        <v>#DIV/0!</v>
      </c>
      <c r="BI6" s="169">
        <f t="shared" si="28"/>
        <v>0</v>
      </c>
      <c r="BJ6" s="170" t="e">
        <f t="shared" si="29"/>
        <v>#DIV/0!</v>
      </c>
      <c r="BK6" s="173"/>
      <c r="BL6" s="176">
        <f>F6*'Office Budget'!$I$15</f>
        <v>0</v>
      </c>
      <c r="BM6" s="170" t="e">
        <f t="shared" si="30"/>
        <v>#DIV/0!</v>
      </c>
      <c r="BN6" s="177">
        <f t="shared" si="31"/>
        <v>0</v>
      </c>
      <c r="BO6" s="172" t="e">
        <f t="shared" si="32"/>
        <v>#DIV/0!</v>
      </c>
    </row>
    <row r="7" spans="1:67">
      <c r="A7" s="51"/>
      <c r="B7" s="52"/>
      <c r="C7" s="52"/>
      <c r="D7" s="292"/>
      <c r="E7" s="205"/>
      <c r="F7" s="119"/>
      <c r="G7" s="385"/>
      <c r="H7" s="225"/>
      <c r="I7" s="214">
        <f>F7*'Office Budget'!$I$4</f>
        <v>0</v>
      </c>
      <c r="J7" s="234" t="e">
        <f t="shared" si="0"/>
        <v>#DIV/0!</v>
      </c>
      <c r="K7" s="214">
        <f t="shared" si="1"/>
        <v>0</v>
      </c>
      <c r="L7" s="234" t="e">
        <f t="shared" si="33"/>
        <v>#DIV/0!</v>
      </c>
      <c r="M7" s="226"/>
      <c r="N7" s="214">
        <f>F7*'Office Budget'!$I$5</f>
        <v>0</v>
      </c>
      <c r="O7" s="235" t="e">
        <f t="shared" si="2"/>
        <v>#DIV/0!</v>
      </c>
      <c r="P7" s="216">
        <f t="shared" si="3"/>
        <v>0</v>
      </c>
      <c r="Q7" s="232" t="e">
        <f t="shared" si="4"/>
        <v>#DIV/0!</v>
      </c>
      <c r="R7" s="225"/>
      <c r="S7" s="169">
        <f>F7*'Office Budget'!$I$6</f>
        <v>0</v>
      </c>
      <c r="T7" s="236" t="e">
        <f t="shared" si="34"/>
        <v>#DIV/0!</v>
      </c>
      <c r="U7" s="218">
        <f t="shared" si="5"/>
        <v>0</v>
      </c>
      <c r="V7" s="236" t="e">
        <f t="shared" si="35"/>
        <v>#DIV/0!</v>
      </c>
      <c r="W7" s="227"/>
      <c r="X7" s="169">
        <f>F7*'Office Budget'!$I$7</f>
        <v>0</v>
      </c>
      <c r="Y7" s="236" t="e">
        <f t="shared" si="6"/>
        <v>#DIV/0!</v>
      </c>
      <c r="Z7" s="218">
        <f t="shared" si="7"/>
        <v>0</v>
      </c>
      <c r="AA7" s="236" t="e">
        <f t="shared" si="8"/>
        <v>#DIV/0!</v>
      </c>
      <c r="AB7" s="227"/>
      <c r="AC7" s="169">
        <f>F7*'Office Budget'!$I$8</f>
        <v>0</v>
      </c>
      <c r="AD7" s="236" t="e">
        <f t="shared" si="9"/>
        <v>#DIV/0!</v>
      </c>
      <c r="AE7" s="218">
        <f t="shared" si="10"/>
        <v>0</v>
      </c>
      <c r="AF7" s="236" t="e">
        <f t="shared" si="11"/>
        <v>#DIV/0!</v>
      </c>
      <c r="AG7" s="227"/>
      <c r="AH7" s="169">
        <f>F7*'Office Budget'!$I$9</f>
        <v>0</v>
      </c>
      <c r="AI7" s="236" t="e">
        <f t="shared" si="12"/>
        <v>#DIV/0!</v>
      </c>
      <c r="AJ7" s="169">
        <f t="shared" si="13"/>
        <v>0</v>
      </c>
      <c r="AK7" s="236" t="e">
        <f t="shared" si="14"/>
        <v>#DIV/0!</v>
      </c>
      <c r="AL7" s="227"/>
      <c r="AM7" s="169">
        <f>F7*'Office Budget'!$I$10</f>
        <v>0</v>
      </c>
      <c r="AN7" s="236" t="e">
        <f t="shared" si="15"/>
        <v>#DIV/0!</v>
      </c>
      <c r="AO7" s="169">
        <f>SUM(I7,N7,S7,X7,AC7,AH7,AM7)</f>
        <v>0</v>
      </c>
      <c r="AP7" s="236" t="e">
        <f t="shared" si="17"/>
        <v>#DIV/0!</v>
      </c>
      <c r="AQ7" s="227"/>
      <c r="AR7" s="169">
        <f>F7*'Office Budget'!$I$11</f>
        <v>0</v>
      </c>
      <c r="AS7" s="236" t="e">
        <f t="shared" si="18"/>
        <v>#DIV/0!</v>
      </c>
      <c r="AT7" s="169">
        <f t="shared" si="19"/>
        <v>0</v>
      </c>
      <c r="AU7" s="236" t="e">
        <f t="shared" si="20"/>
        <v>#DIV/0!</v>
      </c>
      <c r="AV7" s="227"/>
      <c r="AW7" s="169">
        <f>F7*'Office Budget'!$I$12</f>
        <v>0</v>
      </c>
      <c r="AX7" s="236" t="e">
        <f t="shared" si="21"/>
        <v>#DIV/0!</v>
      </c>
      <c r="AY7" s="169">
        <f t="shared" si="22"/>
        <v>0</v>
      </c>
      <c r="AZ7" s="236" t="e">
        <f t="shared" si="23"/>
        <v>#DIV/0!</v>
      </c>
      <c r="BA7" s="227"/>
      <c r="BB7" s="169">
        <f>F7*'Office Budget'!$I$13</f>
        <v>0</v>
      </c>
      <c r="BC7" s="236" t="e">
        <f t="shared" si="24"/>
        <v>#DIV/0!</v>
      </c>
      <c r="BD7" s="169">
        <f t="shared" si="25"/>
        <v>0</v>
      </c>
      <c r="BE7" s="236" t="e">
        <f t="shared" si="26"/>
        <v>#DIV/0!</v>
      </c>
      <c r="BF7" s="227"/>
      <c r="BG7" s="169">
        <f>F7*'Office Budget'!$I$14</f>
        <v>0</v>
      </c>
      <c r="BH7" s="236" t="e">
        <f t="shared" si="27"/>
        <v>#DIV/0!</v>
      </c>
      <c r="BI7" s="169">
        <f t="shared" si="28"/>
        <v>0</v>
      </c>
      <c r="BJ7" s="236" t="e">
        <f t="shared" si="29"/>
        <v>#DIV/0!</v>
      </c>
      <c r="BK7" s="227"/>
      <c r="BL7" s="176">
        <f>F7*'Office Budget'!$I$15</f>
        <v>0</v>
      </c>
      <c r="BM7" s="237" t="e">
        <f t="shared" si="30"/>
        <v>#DIV/0!</v>
      </c>
      <c r="BN7" s="177">
        <f t="shared" si="31"/>
        <v>0</v>
      </c>
      <c r="BO7" s="237" t="e">
        <f>SUM(H7,M7,R7,W7,AB7,AG7,AL7,AQ7,AV7,BA7,BF7,BK7)/BN7</f>
        <v>#DIV/0!</v>
      </c>
    </row>
    <row r="8" spans="1:67">
      <c r="A8" s="64"/>
      <c r="B8" s="64"/>
      <c r="C8" s="64"/>
      <c r="D8" s="150"/>
      <c r="E8" s="137"/>
      <c r="F8" s="119"/>
      <c r="G8" s="385"/>
      <c r="H8" s="209"/>
      <c r="I8" s="214">
        <f>F8*'Office Budget'!$I$4</f>
        <v>0</v>
      </c>
      <c r="J8" s="230" t="e">
        <f t="shared" si="0"/>
        <v>#DIV/0!</v>
      </c>
      <c r="K8" s="214">
        <f t="shared" si="1"/>
        <v>0</v>
      </c>
      <c r="L8" s="230" t="e">
        <f t="shared" si="33"/>
        <v>#DIV/0!</v>
      </c>
      <c r="M8" s="208"/>
      <c r="N8" s="214">
        <f>F8*'Office Budget'!$I$5</f>
        <v>0</v>
      </c>
      <c r="O8" s="230" t="e">
        <f t="shared" si="2"/>
        <v>#DIV/0!</v>
      </c>
      <c r="P8" s="216">
        <f t="shared" si="3"/>
        <v>0</v>
      </c>
      <c r="Q8" s="232" t="e">
        <f t="shared" si="4"/>
        <v>#DIV/0!</v>
      </c>
      <c r="R8" s="209"/>
      <c r="S8" s="169">
        <f>F8*'Office Budget'!$I$6</f>
        <v>0</v>
      </c>
      <c r="T8" s="172" t="e">
        <f t="shared" si="34"/>
        <v>#DIV/0!</v>
      </c>
      <c r="U8" s="218">
        <f t="shared" si="5"/>
        <v>0</v>
      </c>
      <c r="V8" s="172" t="e">
        <f t="shared" si="35"/>
        <v>#DIV/0!</v>
      </c>
      <c r="W8" s="173"/>
      <c r="X8" s="169">
        <f>F8*'Office Budget'!$I$7</f>
        <v>0</v>
      </c>
      <c r="Y8" s="172" t="e">
        <f t="shared" si="6"/>
        <v>#DIV/0!</v>
      </c>
      <c r="Z8" s="218">
        <f t="shared" si="7"/>
        <v>0</v>
      </c>
      <c r="AA8" s="172" t="e">
        <f t="shared" si="8"/>
        <v>#DIV/0!</v>
      </c>
      <c r="AB8" s="173"/>
      <c r="AC8" s="169">
        <f>F8*'Office Budget'!$I$8</f>
        <v>0</v>
      </c>
      <c r="AD8" s="172" t="e">
        <f t="shared" si="9"/>
        <v>#DIV/0!</v>
      </c>
      <c r="AE8" s="218">
        <f t="shared" si="10"/>
        <v>0</v>
      </c>
      <c r="AF8" s="172" t="e">
        <f t="shared" si="11"/>
        <v>#DIV/0!</v>
      </c>
      <c r="AG8" s="173"/>
      <c r="AH8" s="169">
        <f>F8*'Office Budget'!$I$9</f>
        <v>0</v>
      </c>
      <c r="AI8" s="172" t="e">
        <f t="shared" si="12"/>
        <v>#DIV/0!</v>
      </c>
      <c r="AJ8" s="169">
        <f t="shared" si="13"/>
        <v>0</v>
      </c>
      <c r="AK8" s="172" t="e">
        <f t="shared" si="14"/>
        <v>#DIV/0!</v>
      </c>
      <c r="AL8" s="173"/>
      <c r="AM8" s="169">
        <f>F8*'Office Budget'!$I$10</f>
        <v>0</v>
      </c>
      <c r="AN8" s="172" t="e">
        <f t="shared" si="15"/>
        <v>#DIV/0!</v>
      </c>
      <c r="AO8" s="169">
        <f t="shared" si="16"/>
        <v>0</v>
      </c>
      <c r="AP8" s="172" t="e">
        <f t="shared" si="17"/>
        <v>#DIV/0!</v>
      </c>
      <c r="AQ8" s="173"/>
      <c r="AR8" s="169">
        <f>F8*'Office Budget'!$I$11</f>
        <v>0</v>
      </c>
      <c r="AS8" s="172" t="e">
        <f t="shared" si="18"/>
        <v>#DIV/0!</v>
      </c>
      <c r="AT8" s="169">
        <f t="shared" si="19"/>
        <v>0</v>
      </c>
      <c r="AU8" s="172" t="e">
        <f t="shared" si="20"/>
        <v>#DIV/0!</v>
      </c>
      <c r="AV8" s="173"/>
      <c r="AW8" s="169">
        <f>F8*'Office Budget'!$I$12</f>
        <v>0</v>
      </c>
      <c r="AX8" s="172" t="e">
        <f t="shared" si="21"/>
        <v>#DIV/0!</v>
      </c>
      <c r="AY8" s="169">
        <f t="shared" si="22"/>
        <v>0</v>
      </c>
      <c r="AZ8" s="172" t="e">
        <f t="shared" si="23"/>
        <v>#DIV/0!</v>
      </c>
      <c r="BA8" s="173"/>
      <c r="BB8" s="169">
        <f>F8*'Office Budget'!$I$13</f>
        <v>0</v>
      </c>
      <c r="BC8" s="172" t="e">
        <f t="shared" si="24"/>
        <v>#DIV/0!</v>
      </c>
      <c r="BD8" s="169">
        <f t="shared" si="25"/>
        <v>0</v>
      </c>
      <c r="BE8" s="172" t="e">
        <f t="shared" si="26"/>
        <v>#DIV/0!</v>
      </c>
      <c r="BF8" s="173"/>
      <c r="BG8" s="169">
        <f>F8*'Office Budget'!$I$14</f>
        <v>0</v>
      </c>
      <c r="BH8" s="172" t="e">
        <f t="shared" si="27"/>
        <v>#DIV/0!</v>
      </c>
      <c r="BI8" s="169">
        <f t="shared" si="28"/>
        <v>0</v>
      </c>
      <c r="BJ8" s="172" t="e">
        <f>SUM(H8,M8,R8,W8,AB8,AG8,AL8,AQ8,AV8,BA8,BF8)/BI8</f>
        <v>#DIV/0!</v>
      </c>
      <c r="BK8" s="173"/>
      <c r="BL8" s="176">
        <f>F8*'Office Budget'!$I$15</f>
        <v>0</v>
      </c>
      <c r="BM8" s="172" t="e">
        <f t="shared" si="30"/>
        <v>#DIV/0!</v>
      </c>
      <c r="BN8" s="177">
        <f t="shared" si="31"/>
        <v>0</v>
      </c>
      <c r="BO8" s="172" t="e">
        <f>SUM(H8,M8,R8,W8,AB8,AG8,AL8,AQ8,AV8,BA8,BF8,BK8)/BN8</f>
        <v>#DIV/0!</v>
      </c>
    </row>
    <row r="9" spans="1:67">
      <c r="A9" s="64"/>
      <c r="B9" s="64"/>
      <c r="C9" s="64"/>
      <c r="D9" s="150"/>
      <c r="E9" s="137"/>
      <c r="F9" s="119"/>
      <c r="G9" s="385"/>
      <c r="H9" s="209"/>
      <c r="I9" s="214">
        <f>F9*'Office Budget'!$I$4</f>
        <v>0</v>
      </c>
      <c r="J9" s="230" t="e">
        <f t="shared" si="0"/>
        <v>#DIV/0!</v>
      </c>
      <c r="K9" s="214">
        <f t="shared" si="1"/>
        <v>0</v>
      </c>
      <c r="L9" s="230" t="e">
        <f t="shared" si="33"/>
        <v>#DIV/0!</v>
      </c>
      <c r="M9" s="208"/>
      <c r="N9" s="214">
        <f>F9*'Office Budget'!$I$5</f>
        <v>0</v>
      </c>
      <c r="O9" s="230" t="e">
        <f t="shared" si="2"/>
        <v>#DIV/0!</v>
      </c>
      <c r="P9" s="216">
        <f t="shared" si="3"/>
        <v>0</v>
      </c>
      <c r="Q9" s="232" t="e">
        <f t="shared" si="4"/>
        <v>#DIV/0!</v>
      </c>
      <c r="R9" s="209"/>
      <c r="S9" s="169">
        <f>F9*'Office Budget'!$I$6</f>
        <v>0</v>
      </c>
      <c r="T9" s="172" t="e">
        <f t="shared" si="34"/>
        <v>#DIV/0!</v>
      </c>
      <c r="U9" s="218">
        <f t="shared" si="5"/>
        <v>0</v>
      </c>
      <c r="V9" s="172" t="e">
        <f t="shared" si="35"/>
        <v>#DIV/0!</v>
      </c>
      <c r="W9" s="173"/>
      <c r="X9" s="169">
        <f>F9*'Office Budget'!$I$7</f>
        <v>0</v>
      </c>
      <c r="Y9" s="172" t="e">
        <f t="shared" si="6"/>
        <v>#DIV/0!</v>
      </c>
      <c r="Z9" s="218">
        <f t="shared" si="7"/>
        <v>0</v>
      </c>
      <c r="AA9" s="172" t="e">
        <f t="shared" si="8"/>
        <v>#DIV/0!</v>
      </c>
      <c r="AB9" s="173"/>
      <c r="AC9" s="169">
        <f>F9*'Office Budget'!$I$8</f>
        <v>0</v>
      </c>
      <c r="AD9" s="172" t="e">
        <f t="shared" si="9"/>
        <v>#DIV/0!</v>
      </c>
      <c r="AE9" s="218">
        <f t="shared" si="10"/>
        <v>0</v>
      </c>
      <c r="AF9" s="172" t="e">
        <f t="shared" si="11"/>
        <v>#DIV/0!</v>
      </c>
      <c r="AG9" s="173"/>
      <c r="AH9" s="169">
        <f>F9*'Office Budget'!$I$9</f>
        <v>0</v>
      </c>
      <c r="AI9" s="172" t="e">
        <f t="shared" si="12"/>
        <v>#DIV/0!</v>
      </c>
      <c r="AJ9" s="169">
        <f t="shared" si="13"/>
        <v>0</v>
      </c>
      <c r="AK9" s="172" t="e">
        <f t="shared" si="14"/>
        <v>#DIV/0!</v>
      </c>
      <c r="AL9" s="173"/>
      <c r="AM9" s="169">
        <f>F9*'Office Budget'!$I$10</f>
        <v>0</v>
      </c>
      <c r="AN9" s="172" t="e">
        <f t="shared" si="15"/>
        <v>#DIV/0!</v>
      </c>
      <c r="AO9" s="169">
        <f t="shared" si="16"/>
        <v>0</v>
      </c>
      <c r="AP9" s="172" t="e">
        <f t="shared" si="17"/>
        <v>#DIV/0!</v>
      </c>
      <c r="AQ9" s="173"/>
      <c r="AR9" s="169">
        <f>F9*'Office Budget'!$I$11</f>
        <v>0</v>
      </c>
      <c r="AS9" s="172" t="e">
        <f t="shared" si="18"/>
        <v>#DIV/0!</v>
      </c>
      <c r="AT9" s="169">
        <f t="shared" si="19"/>
        <v>0</v>
      </c>
      <c r="AU9" s="172" t="e">
        <f t="shared" si="20"/>
        <v>#DIV/0!</v>
      </c>
      <c r="AV9" s="173"/>
      <c r="AW9" s="169">
        <f>F9*'Office Budget'!$I$12</f>
        <v>0</v>
      </c>
      <c r="AX9" s="172" t="e">
        <f t="shared" si="21"/>
        <v>#DIV/0!</v>
      </c>
      <c r="AY9" s="169">
        <f t="shared" si="22"/>
        <v>0</v>
      </c>
      <c r="AZ9" s="172" t="e">
        <f t="shared" si="23"/>
        <v>#DIV/0!</v>
      </c>
      <c r="BA9" s="173"/>
      <c r="BB9" s="169">
        <f>F9*'Office Budget'!$I$13</f>
        <v>0</v>
      </c>
      <c r="BC9" s="172" t="e">
        <f t="shared" si="24"/>
        <v>#DIV/0!</v>
      </c>
      <c r="BD9" s="169">
        <f t="shared" si="25"/>
        <v>0</v>
      </c>
      <c r="BE9" s="172" t="e">
        <f>SUM(H9,M9,R9,W9,AB9,AG9,AL9,AQ9,AV9,BA9)/BD9</f>
        <v>#DIV/0!</v>
      </c>
      <c r="BF9" s="173"/>
      <c r="BG9" s="169">
        <f>F9*'Office Budget'!$I$14</f>
        <v>0</v>
      </c>
      <c r="BH9" s="172" t="e">
        <f t="shared" si="27"/>
        <v>#DIV/0!</v>
      </c>
      <c r="BI9" s="169">
        <f t="shared" si="28"/>
        <v>0</v>
      </c>
      <c r="BJ9" s="172" t="e">
        <f>SUM(H9,M9,R9,W9,AB9,AG9,AL9,AQ9,AV9,BA9,BF9)/BI9</f>
        <v>#DIV/0!</v>
      </c>
      <c r="BK9" s="173"/>
      <c r="BL9" s="176">
        <f>F9*'Office Budget'!$I$15</f>
        <v>0</v>
      </c>
      <c r="BM9" s="172" t="e">
        <f t="shared" si="30"/>
        <v>#DIV/0!</v>
      </c>
      <c r="BN9" s="177">
        <f>SUM(I9,N9,S9,X9,AC9,AH9,AM9,AR9,AW9,BB9,BG9,BL9)</f>
        <v>0</v>
      </c>
      <c r="BO9" s="172" t="e">
        <f>SUM(H9,M9,R9,W9,AB9,AG9,AL9,AQ9,AV9,BA9,BF9,BK9)/BN9</f>
        <v>#DIV/0!</v>
      </c>
    </row>
    <row r="10" spans="1:67">
      <c r="F10" s="149">
        <f>SUM(F4:F9)</f>
        <v>400000</v>
      </c>
    </row>
    <row r="13" spans="1:67" ht="21.75" thickBot="1">
      <c r="D13" s="138"/>
    </row>
    <row r="14" spans="1:67" ht="15.75" thickBot="1">
      <c r="A14" s="123"/>
      <c r="B14" s="125" t="s">
        <v>19</v>
      </c>
      <c r="C14" s="126" t="s">
        <v>20</v>
      </c>
      <c r="D14" s="125" t="s">
        <v>21</v>
      </c>
      <c r="E14" s="126" t="s">
        <v>22</v>
      </c>
      <c r="F14" s="134" t="s">
        <v>23</v>
      </c>
      <c r="G14" s="133" t="s">
        <v>117</v>
      </c>
      <c r="H14" s="188" t="s">
        <v>175</v>
      </c>
    </row>
    <row r="15" spans="1:67">
      <c r="A15" s="8" t="s">
        <v>7</v>
      </c>
      <c r="B15" s="67"/>
      <c r="C15" s="85"/>
      <c r="D15" s="124"/>
      <c r="E15" s="11"/>
      <c r="F15" s="112">
        <f>SUM(I4:I9)</f>
        <v>0</v>
      </c>
      <c r="G15" s="111" t="str">
        <f>IF(D15=0,"",D15-F15)</f>
        <v/>
      </c>
      <c r="H15" s="194" t="str">
        <f>IF(D15=0,"",D15/F15)</f>
        <v/>
      </c>
    </row>
    <row r="16" spans="1:67">
      <c r="A16" s="8" t="s">
        <v>8</v>
      </c>
      <c r="B16" s="67"/>
      <c r="C16" s="85"/>
      <c r="D16" s="124"/>
      <c r="E16" s="11"/>
      <c r="F16" s="128">
        <f>SUM(N4:N9)</f>
        <v>0</v>
      </c>
      <c r="G16" s="15" t="str">
        <f t="shared" ref="G16:G27" si="36">IF(D16=0,"",D16-F16)</f>
        <v/>
      </c>
      <c r="H16" s="196" t="str">
        <f>IF(D16=0,"",SUM(D15:D16)/SUM(F15:F16))</f>
        <v/>
      </c>
    </row>
    <row r="17" spans="1:28">
      <c r="A17" s="8" t="s">
        <v>9</v>
      </c>
      <c r="B17" s="67"/>
      <c r="C17" s="85"/>
      <c r="D17" s="124"/>
      <c r="E17" s="11"/>
      <c r="F17" s="128">
        <f>SUM(S4:S9)</f>
        <v>0</v>
      </c>
      <c r="G17" s="15" t="str">
        <f t="shared" si="36"/>
        <v/>
      </c>
      <c r="H17" s="196" t="str">
        <f>IF(D17=0,"",SUM(D15:D17)/SUM(F15:F17))</f>
        <v/>
      </c>
    </row>
    <row r="18" spans="1:28">
      <c r="A18" s="8" t="s">
        <v>10</v>
      </c>
      <c r="B18" s="67"/>
      <c r="C18" s="85"/>
      <c r="D18" s="124"/>
      <c r="E18" s="11"/>
      <c r="F18" s="128">
        <f>SUM(X4:X9)</f>
        <v>38377.947891063704</v>
      </c>
      <c r="G18" s="15" t="str">
        <f t="shared" si="36"/>
        <v/>
      </c>
      <c r="H18" s="196" t="str">
        <f>IF(D18=0,"",SUM(D15:D18)/SUM(F15:F18))</f>
        <v/>
      </c>
    </row>
    <row r="19" spans="1:28">
      <c r="A19" s="8" t="s">
        <v>11</v>
      </c>
      <c r="B19" s="243"/>
      <c r="C19" s="85"/>
      <c r="D19" s="124"/>
      <c r="E19" s="11"/>
      <c r="F19" s="128">
        <f>SUM(AC4:AC9)</f>
        <v>34627.011607671469</v>
      </c>
      <c r="G19" s="15" t="str">
        <f t="shared" si="36"/>
        <v/>
      </c>
      <c r="H19" s="196" t="str">
        <f>IF(D19=0,"",SUM(D15:D19)/SUM(F15:F19))</f>
        <v/>
      </c>
      <c r="AB19" s="141" t="s">
        <v>209</v>
      </c>
    </row>
    <row r="20" spans="1:28">
      <c r="A20" s="8" t="s">
        <v>12</v>
      </c>
      <c r="B20" s="67"/>
      <c r="C20" s="85"/>
      <c r="D20" s="124"/>
      <c r="E20" s="11"/>
      <c r="F20" s="128">
        <f>SUM(AH4:AH9)</f>
        <v>49823.844166562012</v>
      </c>
      <c r="G20" s="15" t="str">
        <f t="shared" si="36"/>
        <v/>
      </c>
      <c r="H20" s="196" t="str">
        <f>IF(D20=0,"",SUM(D15:D20)/SUM(F15:F20))</f>
        <v/>
      </c>
    </row>
    <row r="21" spans="1:28">
      <c r="A21" s="8" t="s">
        <v>13</v>
      </c>
      <c r="B21" s="67"/>
      <c r="C21" s="69"/>
      <c r="D21" s="124"/>
      <c r="E21" s="11"/>
      <c r="F21" s="128">
        <f>SUM(AM4:AM9)</f>
        <v>7489.6784567358582</v>
      </c>
      <c r="G21" s="15" t="str">
        <f t="shared" si="36"/>
        <v/>
      </c>
      <c r="H21" s="196" t="str">
        <f>IF(D21=0,"",SUM(D15:D21)/SUM(F15:F21))</f>
        <v/>
      </c>
    </row>
    <row r="22" spans="1:28">
      <c r="A22" s="8" t="s">
        <v>14</v>
      </c>
      <c r="B22" s="67"/>
      <c r="C22" s="69"/>
      <c r="D22" s="124"/>
      <c r="E22" s="11"/>
      <c r="F22" s="128">
        <f>SUM(AR4:AR9)</f>
        <v>25411.796497963722</v>
      </c>
      <c r="G22" s="15" t="str">
        <f t="shared" si="36"/>
        <v/>
      </c>
      <c r="H22" s="196" t="str">
        <f>IF(D22=0,"",SUM(D15:D22)/SUM(F15:F22))</f>
        <v/>
      </c>
    </row>
    <row r="23" spans="1:28">
      <c r="A23" s="8" t="s">
        <v>15</v>
      </c>
      <c r="B23" s="67"/>
      <c r="C23" s="69"/>
      <c r="D23" s="124"/>
      <c r="E23" s="11"/>
      <c r="F23" s="128">
        <f>SUM(AW4:AW9)</f>
        <v>49439.183067511076</v>
      </c>
      <c r="G23" s="15" t="str">
        <f t="shared" si="36"/>
        <v/>
      </c>
      <c r="H23" s="196" t="str">
        <f>IF(D23=0,"",SUM(D15:D23)/SUM(F15:F23))</f>
        <v/>
      </c>
    </row>
    <row r="24" spans="1:28">
      <c r="A24" s="8" t="s">
        <v>16</v>
      </c>
      <c r="B24" s="67"/>
      <c r="C24" s="69"/>
      <c r="D24" s="124"/>
      <c r="E24" s="11"/>
      <c r="F24" s="128">
        <f>SUM(BB4:BB9)</f>
        <v>32063.585415956513</v>
      </c>
      <c r="G24" s="15" t="str">
        <f t="shared" si="36"/>
        <v/>
      </c>
      <c r="H24" s="196" t="str">
        <f>IF(D24=0,"",SUM(D15:D24)/SUM(F15:F24))</f>
        <v/>
      </c>
    </row>
    <row r="25" spans="1:28">
      <c r="A25" s="8" t="s">
        <v>17</v>
      </c>
      <c r="B25" s="67"/>
      <c r="C25" s="85"/>
      <c r="D25" s="124"/>
      <c r="E25" s="11"/>
      <c r="F25" s="128">
        <f>SUM(BG4:BG9)</f>
        <v>29778.128868476288</v>
      </c>
      <c r="G25" s="15" t="str">
        <f t="shared" si="36"/>
        <v/>
      </c>
      <c r="H25" s="196" t="str">
        <f>IF(D25=0,"",SUM(D15:D25)/SUM(F15:F25))</f>
        <v/>
      </c>
    </row>
    <row r="26" spans="1:28" ht="15.75" thickBot="1">
      <c r="A26" s="8" t="s">
        <v>18</v>
      </c>
      <c r="B26" s="70"/>
      <c r="C26" s="69"/>
      <c r="D26" s="361"/>
      <c r="E26" s="362"/>
      <c r="F26" s="129">
        <f>SUM(BL4:BL9)</f>
        <v>41839.617458153174</v>
      </c>
      <c r="G26" s="16" t="str">
        <f t="shared" si="36"/>
        <v/>
      </c>
      <c r="H26" s="200" t="str">
        <f>IF(D26=0,"",SUM(D15:D26)/SUM(F15:F26))</f>
        <v/>
      </c>
      <c r="K26" s="1"/>
    </row>
    <row r="27" spans="1:28" ht="15.75" thickBot="1">
      <c r="A27" s="9"/>
      <c r="B27" s="130">
        <f>SUM(B15:B26)</f>
        <v>0</v>
      </c>
      <c r="C27" s="131">
        <f>SUM(C15:C26)</f>
        <v>0</v>
      </c>
      <c r="D27" s="109">
        <f>SUM(D15:D26)</f>
        <v>0</v>
      </c>
      <c r="E27" s="131">
        <f>SUM(E15:E26)</f>
        <v>0</v>
      </c>
      <c r="F27" s="130">
        <f>SUM(F15:F26)</f>
        <v>308850.79343009379</v>
      </c>
      <c r="G27" s="135" t="str">
        <f t="shared" si="36"/>
        <v/>
      </c>
      <c r="H27" s="204"/>
    </row>
    <row r="28" spans="1:28" ht="15.75" thickBot="1"/>
    <row r="29" spans="1:28" ht="60.75" thickBot="1">
      <c r="E29" s="115" t="s">
        <v>174</v>
      </c>
      <c r="F29" s="132">
        <f>D27/F27</f>
        <v>0</v>
      </c>
    </row>
    <row r="31" spans="1:28">
      <c r="A31" s="141" t="s">
        <v>221</v>
      </c>
    </row>
  </sheetData>
  <mergeCells count="1">
    <mergeCell ref="A3:C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P29"/>
  <sheetViews>
    <sheetView workbookViewId="0">
      <selection activeCell="H29" sqref="H29"/>
    </sheetView>
  </sheetViews>
  <sheetFormatPr defaultRowHeight="15" outlineLevelCol="1"/>
  <cols>
    <col min="1" max="1" width="10.5703125" style="141" customWidth="1"/>
    <col min="2" max="2" width="14.28515625" style="141" bestFit="1" customWidth="1"/>
    <col min="3" max="3" width="10.85546875" style="141" customWidth="1"/>
    <col min="4" max="4" width="12.5703125" style="141" bestFit="1" customWidth="1"/>
    <col min="5" max="5" width="12.42578125" style="141" customWidth="1"/>
    <col min="6" max="6" width="19" style="141" customWidth="1"/>
    <col min="7" max="7" width="20.5703125" style="141" bestFit="1" customWidth="1"/>
    <col min="8" max="8" width="17.7109375" style="141" bestFit="1" customWidth="1"/>
    <col min="9" max="9" width="12.5703125" style="141" hidden="1" customWidth="1" outlineLevel="1"/>
    <col min="10" max="10" width="9.140625" style="141" hidden="1" customWidth="1" outlineLevel="1"/>
    <col min="11" max="11" width="11.7109375" style="141" hidden="1" customWidth="1" outlineLevel="1"/>
    <col min="12" max="12" width="9.140625" style="141" hidden="1" customWidth="1" outlineLevel="1"/>
    <col min="13" max="13" width="10.7109375" style="141" bestFit="1" customWidth="1" collapsed="1"/>
    <col min="14" max="14" width="11.7109375" style="141" hidden="1" customWidth="1" outlineLevel="1"/>
    <col min="15" max="15" width="9.140625" style="141" hidden="1" customWidth="1" outlineLevel="1"/>
    <col min="16" max="16" width="11.7109375" style="141" hidden="1" customWidth="1" outlineLevel="1"/>
    <col min="17" max="17" width="9.140625" style="141" hidden="1" customWidth="1" outlineLevel="1"/>
    <col min="18" max="18" width="11" style="141" bestFit="1" customWidth="1" collapsed="1"/>
    <col min="19" max="19" width="12" style="141" hidden="1" customWidth="1" outlineLevel="1"/>
    <col min="20" max="20" width="12.42578125" style="141" hidden="1" customWidth="1" outlineLevel="1"/>
    <col min="21" max="21" width="12" style="141" hidden="1" customWidth="1" outlineLevel="1"/>
    <col min="22" max="22" width="9.140625" style="141" hidden="1" customWidth="1" outlineLevel="1"/>
    <col min="23" max="23" width="9.140625" style="141" collapsed="1"/>
    <col min="24" max="24" width="12" style="141" hidden="1" customWidth="1" outlineLevel="1"/>
    <col min="25" max="25" width="9.140625" style="141" hidden="1" customWidth="1" outlineLevel="1"/>
    <col min="26" max="26" width="12" style="141" hidden="1" customWidth="1" outlineLevel="1"/>
    <col min="27" max="27" width="9.140625" style="141" hidden="1" customWidth="1" outlineLevel="1"/>
    <col min="28" max="28" width="9.140625" style="141" collapsed="1"/>
    <col min="29" max="29" width="12" style="141" hidden="1" customWidth="1" outlineLevel="1"/>
    <col min="30" max="30" width="9.140625" style="141" hidden="1" customWidth="1" outlineLevel="1"/>
    <col min="31" max="31" width="12" style="141" hidden="1" customWidth="1" outlineLevel="1"/>
    <col min="32" max="32" width="9.140625" style="141" hidden="1" customWidth="1" outlineLevel="1"/>
    <col min="33" max="33" width="9.140625" style="141" collapsed="1"/>
    <col min="34" max="34" width="12" style="141" hidden="1" customWidth="1" outlineLevel="1"/>
    <col min="35" max="35" width="9.140625" style="141" hidden="1" customWidth="1" outlineLevel="1"/>
    <col min="36" max="36" width="12" style="141" hidden="1" customWidth="1" outlineLevel="1"/>
    <col min="37" max="37" width="9.140625" style="141" hidden="1" customWidth="1" outlineLevel="1"/>
    <col min="38" max="38" width="9.140625" style="141" collapsed="1"/>
    <col min="39" max="39" width="12.5703125" style="141" hidden="1" customWidth="1" outlineLevel="1"/>
    <col min="40" max="40" width="9.140625" style="141" hidden="1" customWidth="1" outlineLevel="1"/>
    <col min="41" max="41" width="13.5703125" style="141" hidden="1" customWidth="1" outlineLevel="1"/>
    <col min="42" max="42" width="9.140625" style="141" hidden="1" customWidth="1" outlineLevel="1"/>
    <col min="43" max="43" width="9.140625" style="141" collapsed="1"/>
    <col min="44" max="44" width="12" style="141" hidden="1" customWidth="1" outlineLevel="1"/>
    <col min="45" max="45" width="9.140625" style="141" hidden="1" customWidth="1" outlineLevel="1"/>
    <col min="46" max="46" width="13.5703125" style="141" hidden="1" customWidth="1" outlineLevel="1"/>
    <col min="47" max="47" width="9.140625" style="141" hidden="1" customWidth="1" outlineLevel="1"/>
    <col min="48" max="48" width="9.140625" style="141" collapsed="1"/>
    <col min="49" max="49" width="12" style="141" hidden="1" customWidth="1" outlineLevel="1"/>
    <col min="50" max="50" width="9.140625" style="141" hidden="1" customWidth="1" outlineLevel="1"/>
    <col min="51" max="51" width="13.5703125" style="141" hidden="1" customWidth="1" outlineLevel="1"/>
    <col min="52" max="52" width="9.140625" style="141" hidden="1" customWidth="1" outlineLevel="1"/>
    <col min="53" max="53" width="9.140625" style="141" collapsed="1"/>
    <col min="54" max="54" width="12" style="141" hidden="1" customWidth="1" outlineLevel="1"/>
    <col min="55" max="55" width="9.140625" style="141" hidden="1" customWidth="1" outlineLevel="1"/>
    <col min="56" max="56" width="13.5703125" style="141" hidden="1" customWidth="1" outlineLevel="1"/>
    <col min="57" max="57" width="9.140625" style="141" hidden="1" customWidth="1" outlineLevel="1"/>
    <col min="58" max="58" width="9.140625" style="141" collapsed="1"/>
    <col min="59" max="59" width="12" style="141" hidden="1" customWidth="1" outlineLevel="1"/>
    <col min="60" max="60" width="9.140625" style="141" hidden="1" customWidth="1" outlineLevel="1"/>
    <col min="61" max="61" width="13.5703125" style="141" hidden="1" customWidth="1" outlineLevel="1"/>
    <col min="62" max="62" width="9.140625" style="141" hidden="1" customWidth="1" outlineLevel="1"/>
    <col min="63" max="63" width="9.140625" style="141" collapsed="1"/>
    <col min="64" max="64" width="12" style="141" hidden="1" customWidth="1" outlineLevel="1"/>
    <col min="65" max="65" width="9.140625" style="141" hidden="1" customWidth="1" outlineLevel="1"/>
    <col min="66" max="66" width="13.5703125" style="141" hidden="1" customWidth="1" outlineLevel="1"/>
    <col min="67" max="67" width="9.140625" style="141" hidden="1" customWidth="1" outlineLevel="1"/>
    <col min="68" max="68" width="9.140625" style="141" collapsed="1"/>
    <col min="69" max="16384" width="9.140625" style="141"/>
  </cols>
  <sheetData>
    <row r="1" spans="1:67" ht="21">
      <c r="A1" s="114" t="s">
        <v>210</v>
      </c>
    </row>
    <row r="3" spans="1:67" ht="25.5">
      <c r="A3" s="419" t="s">
        <v>0</v>
      </c>
      <c r="B3" s="420"/>
      <c r="C3" s="421"/>
      <c r="D3" s="142" t="s">
        <v>1</v>
      </c>
      <c r="E3" s="143" t="s">
        <v>2</v>
      </c>
      <c r="F3" s="144" t="s">
        <v>109</v>
      </c>
      <c r="G3" s="145" t="s">
        <v>110</v>
      </c>
      <c r="H3" s="182" t="s">
        <v>7</v>
      </c>
      <c r="I3" s="167" t="s">
        <v>157</v>
      </c>
      <c r="J3" s="167" t="s">
        <v>158</v>
      </c>
      <c r="K3" s="167" t="s">
        <v>135</v>
      </c>
      <c r="L3" s="167" t="s">
        <v>136</v>
      </c>
      <c r="M3" s="184" t="s">
        <v>8</v>
      </c>
      <c r="N3" s="167" t="s">
        <v>133</v>
      </c>
      <c r="O3" s="167" t="s">
        <v>134</v>
      </c>
      <c r="P3" s="167" t="s">
        <v>135</v>
      </c>
      <c r="Q3" s="167" t="s">
        <v>136</v>
      </c>
      <c r="R3" s="182" t="s">
        <v>9</v>
      </c>
      <c r="S3" s="167" t="s">
        <v>137</v>
      </c>
      <c r="T3" s="167" t="s">
        <v>138</v>
      </c>
      <c r="U3" s="167" t="s">
        <v>135</v>
      </c>
      <c r="V3" s="167" t="s">
        <v>136</v>
      </c>
      <c r="W3" s="182" t="s">
        <v>10</v>
      </c>
      <c r="X3" s="167" t="s">
        <v>139</v>
      </c>
      <c r="Y3" s="167" t="s">
        <v>140</v>
      </c>
      <c r="Z3" s="167" t="s">
        <v>135</v>
      </c>
      <c r="AA3" s="167" t="s">
        <v>136</v>
      </c>
      <c r="AB3" s="182" t="s">
        <v>11</v>
      </c>
      <c r="AC3" s="167" t="s">
        <v>141</v>
      </c>
      <c r="AD3" s="167" t="s">
        <v>142</v>
      </c>
      <c r="AE3" s="167" t="s">
        <v>135</v>
      </c>
      <c r="AF3" s="167" t="s">
        <v>136</v>
      </c>
      <c r="AG3" s="182" t="s">
        <v>12</v>
      </c>
      <c r="AH3" s="167" t="s">
        <v>143</v>
      </c>
      <c r="AI3" s="167" t="s">
        <v>144</v>
      </c>
      <c r="AJ3" s="167" t="s">
        <v>135</v>
      </c>
      <c r="AK3" s="167" t="s">
        <v>136</v>
      </c>
      <c r="AL3" s="182" t="s">
        <v>13</v>
      </c>
      <c r="AM3" s="167" t="s">
        <v>145</v>
      </c>
      <c r="AN3" s="167" t="s">
        <v>146</v>
      </c>
      <c r="AO3" s="167" t="s">
        <v>135</v>
      </c>
      <c r="AP3" s="167" t="s">
        <v>136</v>
      </c>
      <c r="AQ3" s="182" t="s">
        <v>14</v>
      </c>
      <c r="AR3" s="167" t="s">
        <v>147</v>
      </c>
      <c r="AS3" s="167" t="s">
        <v>148</v>
      </c>
      <c r="AT3" s="167" t="s">
        <v>135</v>
      </c>
      <c r="AU3" s="167" t="s">
        <v>136</v>
      </c>
      <c r="AV3" s="182" t="s">
        <v>15</v>
      </c>
      <c r="AW3" s="167" t="s">
        <v>149</v>
      </c>
      <c r="AX3" s="167" t="s">
        <v>150</v>
      </c>
      <c r="AY3" s="167" t="s">
        <v>135</v>
      </c>
      <c r="AZ3" s="167" t="s">
        <v>136</v>
      </c>
      <c r="BA3" s="182" t="s">
        <v>16</v>
      </c>
      <c r="BB3" s="167" t="s">
        <v>151</v>
      </c>
      <c r="BC3" s="167" t="s">
        <v>152</v>
      </c>
      <c r="BD3" s="167" t="s">
        <v>135</v>
      </c>
      <c r="BE3" s="167" t="s">
        <v>136</v>
      </c>
      <c r="BF3" s="182" t="s">
        <v>17</v>
      </c>
      <c r="BG3" s="167" t="s">
        <v>153</v>
      </c>
      <c r="BH3" s="167" t="s">
        <v>154</v>
      </c>
      <c r="BI3" s="167" t="s">
        <v>135</v>
      </c>
      <c r="BJ3" s="167" t="s">
        <v>136</v>
      </c>
      <c r="BK3" s="182" t="s">
        <v>18</v>
      </c>
      <c r="BL3" s="167" t="s">
        <v>155</v>
      </c>
      <c r="BM3" s="167" t="s">
        <v>156</v>
      </c>
      <c r="BN3" s="167" t="s">
        <v>135</v>
      </c>
      <c r="BO3" s="167" t="s">
        <v>136</v>
      </c>
    </row>
    <row r="4" spans="1:67">
      <c r="A4" s="116" t="s">
        <v>211</v>
      </c>
      <c r="B4" s="118" t="s">
        <v>212</v>
      </c>
      <c r="C4" s="118" t="s">
        <v>218</v>
      </c>
      <c r="D4" s="117"/>
      <c r="E4" s="122">
        <f>'Agent Budget &amp; Travel'!D43</f>
        <v>400000</v>
      </c>
      <c r="F4" s="119">
        <f>'Agent Budget &amp; Travel'!E43</f>
        <v>400000</v>
      </c>
      <c r="G4" s="358">
        <f>'Agent Budget &amp; Travel'!F43</f>
        <v>440000</v>
      </c>
      <c r="H4" s="208"/>
      <c r="I4" s="214">
        <f>F4*'Office Budget'!$I$4</f>
        <v>20922.17746999408</v>
      </c>
      <c r="J4" s="214">
        <f>H4/I4</f>
        <v>0</v>
      </c>
      <c r="K4" s="214">
        <f>I4</f>
        <v>20922.17746999408</v>
      </c>
      <c r="L4" s="214">
        <f>H4/K4</f>
        <v>0</v>
      </c>
      <c r="M4" s="215"/>
      <c r="N4" s="214">
        <f>F4*'Office Budget'!$I$5</f>
        <v>24547.051884676795</v>
      </c>
      <c r="O4" s="216">
        <f>M4/N4</f>
        <v>0</v>
      </c>
      <c r="P4" s="216">
        <f>SUM(I4,N4)</f>
        <v>45469.229354670875</v>
      </c>
      <c r="Q4" s="216">
        <f>SUM(H4,M4)/P4</f>
        <v>0</v>
      </c>
      <c r="R4" s="217"/>
      <c r="S4" s="218">
        <f>F4*'Office Budget'!$I$6</f>
        <v>45679.977215235296</v>
      </c>
      <c r="T4" s="218">
        <f>R4/S4</f>
        <v>0</v>
      </c>
      <c r="U4" s="218">
        <f>SUM(I4,N4,S4)</f>
        <v>91149.206569906179</v>
      </c>
      <c r="V4" s="218">
        <f>SUM(H4,M4,R4)/U4</f>
        <v>0</v>
      </c>
      <c r="W4" s="217"/>
      <c r="X4" s="218">
        <f>F4*'Office Budget'!$I$7</f>
        <v>38377.947891063704</v>
      </c>
      <c r="Y4" s="218">
        <f>W4/X4</f>
        <v>0</v>
      </c>
      <c r="Z4" s="218">
        <f>SUM(I4,N4,S4,X4)</f>
        <v>129527.15446096988</v>
      </c>
      <c r="AA4" s="218">
        <f>SUM(H4,M4,R4,W4)/Z4</f>
        <v>0</v>
      </c>
      <c r="AB4" s="217"/>
      <c r="AC4" s="218">
        <f>F4*'Office Budget'!$I$8</f>
        <v>34627.011607671469</v>
      </c>
      <c r="AD4" s="218">
        <f>AB4/AC4</f>
        <v>0</v>
      </c>
      <c r="AE4" s="218">
        <f>SUM(I4,N4,S4,X4,AC4)</f>
        <v>164154.16606864135</v>
      </c>
      <c r="AF4" s="218">
        <f>SUM(H4,M4,R4,W4,AB4)/AE4</f>
        <v>0</v>
      </c>
      <c r="AG4" s="217"/>
      <c r="AH4" s="218">
        <f>F4*'Office Budget'!$I$9</f>
        <v>49823.844166562012</v>
      </c>
      <c r="AI4" s="218">
        <f>AG4/AH4</f>
        <v>0</v>
      </c>
      <c r="AJ4" s="218">
        <f>SUM(I4,N4,S4,X4,AC4,AH4)</f>
        <v>213978.01023520337</v>
      </c>
      <c r="AK4" s="218">
        <f>SUM(H4,M4,R4,W4,AB4,AG4)/AJ4</f>
        <v>0</v>
      </c>
      <c r="AL4" s="217"/>
      <c r="AM4" s="218">
        <f>F4*0</f>
        <v>0</v>
      </c>
      <c r="AN4" s="218" t="e">
        <f>AL4/AM4</f>
        <v>#DIV/0!</v>
      </c>
      <c r="AO4" s="218">
        <f>SUM(I4,N4,S4,X4,AC4,AH4,AM4)</f>
        <v>213978.01023520337</v>
      </c>
      <c r="AP4" s="218">
        <f>SUM(H4,M4,R4,W4,AB4,AG4,AL4)/AO4</f>
        <v>0</v>
      </c>
      <c r="AQ4" s="217"/>
      <c r="AR4" s="218">
        <f>F4*0</f>
        <v>0</v>
      </c>
      <c r="AS4" s="218" t="e">
        <f>AQ4/AR4</f>
        <v>#DIV/0!</v>
      </c>
      <c r="AT4" s="218">
        <f>SUM(I4,N4,S4,X4,AC4,AH4,AM4,AR4)</f>
        <v>213978.01023520337</v>
      </c>
      <c r="AU4" s="218">
        <f>SUM(H4,M4,R4,W4,AB4,AG4,AL4,AQ4)/AT4</f>
        <v>0</v>
      </c>
      <c r="AV4" s="217"/>
      <c r="AW4" s="218">
        <f>F4*0</f>
        <v>0</v>
      </c>
      <c r="AX4" s="218" t="e">
        <f>AV4/AW4</f>
        <v>#DIV/0!</v>
      </c>
      <c r="AY4" s="218">
        <f>SUM(I4,N4,S4,X4,AC4,AH4,AM4,AR4,AW4)</f>
        <v>213978.01023520337</v>
      </c>
      <c r="AZ4" s="218">
        <f>SUM(H4,M4,R4,W4,AB4,AG4,AL4,AQ4,AV4)/AY4</f>
        <v>0</v>
      </c>
      <c r="BA4" s="217"/>
      <c r="BB4" s="218">
        <f>F4*0</f>
        <v>0</v>
      </c>
      <c r="BC4" s="218" t="e">
        <f>BA4/BB4</f>
        <v>#DIV/0!</v>
      </c>
      <c r="BD4" s="218">
        <f>SUM(I4,N4,S4,X4,AC4,AH4,AM4,AR4,AW4,BB4)</f>
        <v>213978.01023520337</v>
      </c>
      <c r="BE4" s="218">
        <f>SUM(H4,M4,R4,W4,AB4,AG4,AL4,AQ4,AV4,BA4)/BD4</f>
        <v>0</v>
      </c>
      <c r="BF4" s="217"/>
      <c r="BG4" s="218">
        <f>F4*0</f>
        <v>0</v>
      </c>
      <c r="BH4" s="218" t="e">
        <f>BF4/BG4</f>
        <v>#DIV/0!</v>
      </c>
      <c r="BI4" s="218">
        <f>SUM(I4,N4,S4,X4,AC4,AH4,AM4,AR4,AW4,BB4,BG4)</f>
        <v>213978.01023520337</v>
      </c>
      <c r="BJ4" s="218">
        <f>SUM(H4,M4,R4,W4,AB4,AG4,AL4,AQ4,AV4,BA4,BF4)/BI4</f>
        <v>0</v>
      </c>
      <c r="BK4" s="217"/>
      <c r="BL4" s="169">
        <f>F4*0</f>
        <v>0</v>
      </c>
      <c r="BM4" s="170" t="e">
        <f>BK4/BL4</f>
        <v>#DIV/0!</v>
      </c>
      <c r="BN4" s="171">
        <f>SUM(I4,N4,S4,X4,AC4,AH4,AM4,AR4,AW4,BB4,BG4,BL4)</f>
        <v>213978.01023520337</v>
      </c>
      <c r="BO4" s="172">
        <f>SUM(H4,M4,R4,W4,AB4,AG4,AL4,AQ4,AV4,BA4,BF4,BK4)/BN4</f>
        <v>0</v>
      </c>
    </row>
    <row r="5" spans="1:67">
      <c r="A5" s="116" t="s">
        <v>213</v>
      </c>
      <c r="B5" s="118" t="s">
        <v>3</v>
      </c>
      <c r="C5" s="118" t="s">
        <v>219</v>
      </c>
      <c r="D5" s="117"/>
      <c r="E5" s="122">
        <f>'Agent Budget &amp; Travel'!D44</f>
        <v>400000</v>
      </c>
      <c r="F5" s="119">
        <f>'Agent Budget &amp; Travel'!E44</f>
        <v>700000</v>
      </c>
      <c r="G5" s="358">
        <f>'Agent Budget &amp; Travel'!F44</f>
        <v>800000</v>
      </c>
      <c r="H5" s="208"/>
      <c r="I5" s="214">
        <f>F5*'Office Budget'!$I$4</f>
        <v>36613.810572489638</v>
      </c>
      <c r="J5" s="214">
        <f t="shared" ref="J5:J6" si="0">H5/I5</f>
        <v>0</v>
      </c>
      <c r="K5" s="214">
        <f t="shared" ref="K5:K6" si="1">I5</f>
        <v>36613.810572489638</v>
      </c>
      <c r="L5" s="214">
        <f>H5/K5</f>
        <v>0</v>
      </c>
      <c r="M5" s="220"/>
      <c r="N5" s="214">
        <f>F5*'Office Budget'!$I$5</f>
        <v>42957.340798184392</v>
      </c>
      <c r="O5" s="216">
        <f t="shared" ref="O5:O6" si="2">M5/N5</f>
        <v>0</v>
      </c>
      <c r="P5" s="216">
        <f>F5*13.39%</f>
        <v>93730.000000000015</v>
      </c>
      <c r="Q5" s="216">
        <f>SUM(H5,M5)/P5</f>
        <v>0</v>
      </c>
      <c r="R5" s="209"/>
      <c r="S5" s="218">
        <f>F5*'Office Budget'!$I$6</f>
        <v>79939.960126661768</v>
      </c>
      <c r="T5" s="218">
        <f t="shared" ref="T5:T6" si="3">R5/S5</f>
        <v>0</v>
      </c>
      <c r="U5" s="218">
        <f t="shared" ref="U5:U6" si="4">SUM(I5,N5,S5)</f>
        <v>159511.11149733578</v>
      </c>
      <c r="V5" s="218">
        <f t="shared" ref="V5:V6" si="5">SUM(H5,M5,R5)/U5</f>
        <v>0</v>
      </c>
      <c r="W5" s="209"/>
      <c r="X5" s="218">
        <f>F5*'Office Budget'!$I$7</f>
        <v>67161.408809361485</v>
      </c>
      <c r="Y5" s="218">
        <f t="shared" ref="Y5:Y6" si="6">W5/X5</f>
        <v>0</v>
      </c>
      <c r="Z5" s="218">
        <f>SUM(I5,N5,S5,X5)</f>
        <v>226672.52030669726</v>
      </c>
      <c r="AA5" s="218">
        <f t="shared" ref="AA5:AA6" si="7">SUM(H5,M5,R5,W5)/Z5</f>
        <v>0</v>
      </c>
      <c r="AB5" s="209"/>
      <c r="AC5" s="218">
        <f>F5*'Office Budget'!$I$8</f>
        <v>60597.270313425077</v>
      </c>
      <c r="AD5" s="218">
        <f t="shared" ref="AD5:AD6" si="8">AB5/AC5</f>
        <v>0</v>
      </c>
      <c r="AE5" s="218">
        <f t="shared" ref="AE5:AE6" si="9">SUM(I5,N5,S5,X5,AC5)</f>
        <v>287269.79062012234</v>
      </c>
      <c r="AF5" s="218">
        <f t="shared" ref="AF5:AF6" si="10">SUM(H5,M5,R5,W5,AB5)/AE5</f>
        <v>0</v>
      </c>
      <c r="AG5" s="209"/>
      <c r="AH5" s="218">
        <f>F5*'Office Budget'!$I$9</f>
        <v>87191.727291483519</v>
      </c>
      <c r="AI5" s="218">
        <f t="shared" ref="AI5:AI6" si="11">AG5/AH5</f>
        <v>0</v>
      </c>
      <c r="AJ5" s="218">
        <f t="shared" ref="AJ5:AJ6" si="12">SUM(I5,N5,S5,X5,AC5,AH5)</f>
        <v>374461.51791160589</v>
      </c>
      <c r="AK5" s="218">
        <f t="shared" ref="AK5:AK6" si="13">SUM(H5,M5,R5,W5,AB5,AG5)/AJ5</f>
        <v>0</v>
      </c>
      <c r="AL5" s="209"/>
      <c r="AM5" s="218">
        <f t="shared" ref="AM5:AM6" si="14">F5*0</f>
        <v>0</v>
      </c>
      <c r="AN5" s="218" t="e">
        <f t="shared" ref="AN5:AN6" si="15">AL5/AM5</f>
        <v>#DIV/0!</v>
      </c>
      <c r="AO5" s="218">
        <f t="shared" ref="AO5:AO6" si="16">SUM(I5,N5,S5,X5,AC5,AH5,AM5)</f>
        <v>374461.51791160589</v>
      </c>
      <c r="AP5" s="218">
        <f t="shared" ref="AP5:AP6" si="17">SUM(H5,M5,R5,W5,AB5,AG5,AL5)/AO5</f>
        <v>0</v>
      </c>
      <c r="AQ5" s="209"/>
      <c r="AR5" s="218">
        <f t="shared" ref="AR5:AR6" si="18">F5*0</f>
        <v>0</v>
      </c>
      <c r="AS5" s="218" t="e">
        <f t="shared" ref="AS5:AS6" si="19">AQ5/AR5</f>
        <v>#DIV/0!</v>
      </c>
      <c r="AT5" s="218">
        <f t="shared" ref="AT5:AT6" si="20">SUM(I5,N5,S5,X5,AC5,AH5,AM5,AR5)</f>
        <v>374461.51791160589</v>
      </c>
      <c r="AU5" s="218">
        <f t="shared" ref="AU5:AU6" si="21">SUM(H5,M5,R5,W5,AB5,AG5,AL5,AQ5)/AT5</f>
        <v>0</v>
      </c>
      <c r="AV5" s="209"/>
      <c r="AW5" s="218">
        <f t="shared" ref="AW5:AW6" si="22">F5*0</f>
        <v>0</v>
      </c>
      <c r="AX5" s="218" t="e">
        <f t="shared" ref="AX5:AX6" si="23">AV5/AW5</f>
        <v>#DIV/0!</v>
      </c>
      <c r="AY5" s="218">
        <f>SUM(I5,N5,S5,X5,AC5,AH5,AM5,AR5,AW5)</f>
        <v>374461.51791160589</v>
      </c>
      <c r="AZ5" s="218">
        <f t="shared" ref="AZ5:AZ6" si="24">SUM(H5,M5,R5,W5,AB5,AG5,AL5,AQ5,AV5)/AY5</f>
        <v>0</v>
      </c>
      <c r="BA5" s="209"/>
      <c r="BB5" s="218">
        <f t="shared" ref="BB5:BB6" si="25">F5*0</f>
        <v>0</v>
      </c>
      <c r="BC5" s="218" t="e">
        <f t="shared" ref="BC5:BC6" si="26">BA5/BB5</f>
        <v>#DIV/0!</v>
      </c>
      <c r="BD5" s="218">
        <f t="shared" ref="BD5:BD6" si="27">SUM(I5,N5,S5,X5,AC5,AH5,AM5,AR5,AW5,BB5)</f>
        <v>374461.51791160589</v>
      </c>
      <c r="BE5" s="218">
        <f t="shared" ref="BE5:BE6" si="28">SUM(H5,M5,R5,W5,AB5,AG5,AL5,AQ5,AV5,BA5)/BD5</f>
        <v>0</v>
      </c>
      <c r="BF5" s="209"/>
      <c r="BG5" s="218">
        <f t="shared" ref="BG5:BG6" si="29">F5*0</f>
        <v>0</v>
      </c>
      <c r="BH5" s="218" t="e">
        <f t="shared" ref="BH5:BH6" si="30">BF5/BG5</f>
        <v>#DIV/0!</v>
      </c>
      <c r="BI5" s="218">
        <f t="shared" ref="BI5:BI6" si="31">SUM(I5,N5,S5,X5,AC5,AH5,AM5,AR5,AW5,BB5,BG5)</f>
        <v>374461.51791160589</v>
      </c>
      <c r="BJ5" s="218">
        <f t="shared" ref="BJ5:BJ6" si="32">SUM(H5,M5,R5,W5,AB5,AG5,AL5,AQ5,AV5,BA5,BF5)/BI5</f>
        <v>0</v>
      </c>
      <c r="BK5" s="209"/>
      <c r="BL5" s="169">
        <f t="shared" ref="BL5:BL6" si="33">F5*0</f>
        <v>0</v>
      </c>
      <c r="BM5" s="170" t="e">
        <f t="shared" ref="BM5" si="34">BK5/BL5</f>
        <v>#DIV/0!</v>
      </c>
      <c r="BN5" s="171">
        <f t="shared" ref="BN5:BN6" si="35">SUM(I5,N5,S5,X5,AC5,AH5,AM5,AR5,AW5,BB5,BG5,BL5)</f>
        <v>374461.51791160589</v>
      </c>
      <c r="BO5" s="172">
        <f t="shared" ref="BO5" si="36">SUM(H5,M5,R5,W5,AB5,AG5,AL5,AQ5,AV5,BA5,BF5,BK5)/BN5</f>
        <v>0</v>
      </c>
    </row>
    <row r="6" spans="1:67">
      <c r="A6" s="116" t="s">
        <v>214</v>
      </c>
      <c r="B6" s="118" t="s">
        <v>215</v>
      </c>
      <c r="C6" s="118" t="s">
        <v>222</v>
      </c>
      <c r="D6" s="117"/>
      <c r="E6" s="122">
        <f>'Agent Budget &amp; Travel'!D45</f>
        <v>0</v>
      </c>
      <c r="F6" s="119">
        <f>'Agent Budget &amp; Travel'!E45</f>
        <v>200000</v>
      </c>
      <c r="G6" s="385" t="str">
        <f>'Agent Budget &amp; Travel'!F45</f>
        <v>N/A</v>
      </c>
      <c r="H6" s="209"/>
      <c r="I6" s="214">
        <f>F6*'Office Budget'!$I$4</f>
        <v>10461.08873499704</v>
      </c>
      <c r="J6" s="214">
        <f t="shared" si="0"/>
        <v>0</v>
      </c>
      <c r="K6" s="214">
        <f t="shared" si="1"/>
        <v>10461.08873499704</v>
      </c>
      <c r="L6" s="214">
        <f t="shared" ref="L6" si="37">H6/K6</f>
        <v>0</v>
      </c>
      <c r="M6" s="220"/>
      <c r="N6" s="214">
        <f>F6*'Office Budget'!$I$5</f>
        <v>12273.525942338398</v>
      </c>
      <c r="O6" s="216">
        <f t="shared" si="2"/>
        <v>0</v>
      </c>
      <c r="P6" s="216">
        <f t="shared" ref="P6" si="38">F6*13.39%</f>
        <v>26780.000000000004</v>
      </c>
      <c r="Q6" s="216">
        <f>SUM(H6,M6)/P6</f>
        <v>0</v>
      </c>
      <c r="R6" s="209"/>
      <c r="S6" s="218">
        <f>F6*'Office Budget'!$I$6</f>
        <v>22839.988607617648</v>
      </c>
      <c r="T6" s="218">
        <f t="shared" si="3"/>
        <v>0</v>
      </c>
      <c r="U6" s="218">
        <f t="shared" si="4"/>
        <v>45574.603284953089</v>
      </c>
      <c r="V6" s="218">
        <f t="shared" si="5"/>
        <v>0</v>
      </c>
      <c r="W6" s="209"/>
      <c r="X6" s="218">
        <f>F6*'Office Budget'!$I$7</f>
        <v>19188.973945531852</v>
      </c>
      <c r="Y6" s="218">
        <f t="shared" si="6"/>
        <v>0</v>
      </c>
      <c r="Z6" s="218">
        <f t="shared" ref="Z6" si="39">SUM(I6,N6,S6,X6)</f>
        <v>64763.577230484938</v>
      </c>
      <c r="AA6" s="218">
        <f t="shared" si="7"/>
        <v>0</v>
      </c>
      <c r="AB6" s="209"/>
      <c r="AC6" s="218">
        <f>F6*'Office Budget'!$I$8</f>
        <v>17313.505803835735</v>
      </c>
      <c r="AD6" s="218">
        <f t="shared" si="8"/>
        <v>0</v>
      </c>
      <c r="AE6" s="218">
        <f t="shared" si="9"/>
        <v>82077.083034320676</v>
      </c>
      <c r="AF6" s="218">
        <f t="shared" si="10"/>
        <v>0</v>
      </c>
      <c r="AG6" s="209"/>
      <c r="AH6" s="218">
        <f>F6*'Office Budget'!$I$9</f>
        <v>24911.922083281006</v>
      </c>
      <c r="AI6" s="218">
        <f t="shared" si="11"/>
        <v>0</v>
      </c>
      <c r="AJ6" s="218">
        <f t="shared" si="12"/>
        <v>106989.00511760169</v>
      </c>
      <c r="AK6" s="218">
        <f t="shared" si="13"/>
        <v>0</v>
      </c>
      <c r="AL6" s="209"/>
      <c r="AM6" s="218">
        <f t="shared" si="14"/>
        <v>0</v>
      </c>
      <c r="AN6" s="218" t="e">
        <f t="shared" si="15"/>
        <v>#DIV/0!</v>
      </c>
      <c r="AO6" s="218">
        <f t="shared" si="16"/>
        <v>106989.00511760169</v>
      </c>
      <c r="AP6" s="218">
        <f t="shared" si="17"/>
        <v>0</v>
      </c>
      <c r="AQ6" s="209"/>
      <c r="AR6" s="218">
        <f t="shared" si="18"/>
        <v>0</v>
      </c>
      <c r="AS6" s="218" t="e">
        <f t="shared" si="19"/>
        <v>#DIV/0!</v>
      </c>
      <c r="AT6" s="218">
        <f t="shared" si="20"/>
        <v>106989.00511760169</v>
      </c>
      <c r="AU6" s="218">
        <f t="shared" si="21"/>
        <v>0</v>
      </c>
      <c r="AV6" s="209"/>
      <c r="AW6" s="218">
        <f t="shared" si="22"/>
        <v>0</v>
      </c>
      <c r="AX6" s="218" t="e">
        <f t="shared" si="23"/>
        <v>#DIV/0!</v>
      </c>
      <c r="AY6" s="218">
        <f t="shared" ref="AY6" si="40">SUM(I6,N6,S6,X6,AC6,AH6,AM6,AR6,AW6)</f>
        <v>106989.00511760169</v>
      </c>
      <c r="AZ6" s="218">
        <f t="shared" si="24"/>
        <v>0</v>
      </c>
      <c r="BA6" s="209"/>
      <c r="BB6" s="218">
        <f t="shared" si="25"/>
        <v>0</v>
      </c>
      <c r="BC6" s="218" t="e">
        <f t="shared" si="26"/>
        <v>#DIV/0!</v>
      </c>
      <c r="BD6" s="218">
        <f t="shared" si="27"/>
        <v>106989.00511760169</v>
      </c>
      <c r="BE6" s="218">
        <f t="shared" si="28"/>
        <v>0</v>
      </c>
      <c r="BF6" s="209"/>
      <c r="BG6" s="218">
        <f t="shared" si="29"/>
        <v>0</v>
      </c>
      <c r="BH6" s="218" t="e">
        <f t="shared" si="30"/>
        <v>#DIV/0!</v>
      </c>
      <c r="BI6" s="218">
        <f t="shared" si="31"/>
        <v>106989.00511760169</v>
      </c>
      <c r="BJ6" s="218">
        <f t="shared" si="32"/>
        <v>0</v>
      </c>
      <c r="BK6" s="209"/>
      <c r="BL6" s="169">
        <f t="shared" si="33"/>
        <v>0</v>
      </c>
      <c r="BM6" s="170" t="e">
        <f>BK6/BL6</f>
        <v>#DIV/0!</v>
      </c>
      <c r="BN6" s="171">
        <f t="shared" si="35"/>
        <v>106989.00511760169</v>
      </c>
      <c r="BO6" s="172">
        <f>SUM(H6,M6,R6,W6,AB6,AG6,AL6,AQ6,AV6,BA6,BF6,BK6)/BN6</f>
        <v>0</v>
      </c>
    </row>
    <row r="7" spans="1:67">
      <c r="A7"/>
      <c r="B7"/>
      <c r="C7"/>
      <c r="D7"/>
      <c r="F7" s="297">
        <f>SUM(F4:F6)</f>
        <v>1300000</v>
      </c>
    </row>
    <row r="8" spans="1:67">
      <c r="A8"/>
      <c r="B8"/>
      <c r="C8"/>
      <c r="D8"/>
    </row>
    <row r="11" spans="1:67" ht="15.75" thickBot="1"/>
    <row r="12" spans="1:67" ht="15.75" thickBot="1">
      <c r="A12" s="123"/>
      <c r="B12" s="125" t="s">
        <v>111</v>
      </c>
      <c r="C12" s="350" t="s">
        <v>112</v>
      </c>
      <c r="D12" s="125" t="s">
        <v>113</v>
      </c>
      <c r="E12" s="350" t="s">
        <v>114</v>
      </c>
      <c r="F12" s="134" t="s">
        <v>115</v>
      </c>
      <c r="G12" s="133" t="s">
        <v>116</v>
      </c>
      <c r="H12" s="188" t="s">
        <v>175</v>
      </c>
    </row>
    <row r="13" spans="1:67">
      <c r="A13" s="8" t="s">
        <v>7</v>
      </c>
      <c r="B13" s="351"/>
      <c r="C13" s="352"/>
      <c r="D13" s="124"/>
      <c r="E13" s="353"/>
      <c r="F13" s="112">
        <f>SUM(I4:I6)</f>
        <v>67997.076777480761</v>
      </c>
      <c r="G13" s="111" t="str">
        <f>IF(D13=0,"",D13-F13)</f>
        <v/>
      </c>
      <c r="H13" s="194" t="str">
        <f>IF(D13=0,"",D13/F13)</f>
        <v/>
      </c>
    </row>
    <row r="14" spans="1:67">
      <c r="A14" s="8" t="s">
        <v>8</v>
      </c>
      <c r="B14" s="67"/>
      <c r="C14" s="85"/>
      <c r="D14" s="124"/>
      <c r="E14" s="353"/>
      <c r="F14" s="128">
        <f>SUM(N4:N6)</f>
        <v>79777.918625199585</v>
      </c>
      <c r="G14" s="15" t="str">
        <f t="shared" ref="G14:G25" si="41">IF(D14=0,"",D14-F14)</f>
        <v/>
      </c>
      <c r="H14" s="196" t="str">
        <f>IF(D14=0,"",SUM(D13:D14)/SUM(F13:F14))</f>
        <v/>
      </c>
    </row>
    <row r="15" spans="1:67">
      <c r="A15" s="8" t="s">
        <v>9</v>
      </c>
      <c r="B15" s="67"/>
      <c r="C15" s="85"/>
      <c r="D15" s="124"/>
      <c r="E15" s="353"/>
      <c r="F15" s="128">
        <f>SUM(S4:S6)</f>
        <v>148459.92594951473</v>
      </c>
      <c r="G15" s="15" t="str">
        <f t="shared" si="41"/>
        <v/>
      </c>
      <c r="H15" s="196" t="str">
        <f>IF(D15=0,"",SUM(D13:D15)/SUM(F13:F15))</f>
        <v/>
      </c>
      <c r="AM15" s="1"/>
    </row>
    <row r="16" spans="1:67">
      <c r="A16" s="8" t="s">
        <v>10</v>
      </c>
      <c r="B16" s="67"/>
      <c r="C16" s="85"/>
      <c r="D16" s="124"/>
      <c r="E16" s="353"/>
      <c r="F16" s="128">
        <f>SUM(X4:X6)</f>
        <v>124728.33064595703</v>
      </c>
      <c r="G16" s="15" t="str">
        <f t="shared" si="41"/>
        <v/>
      </c>
      <c r="H16" s="196" t="str">
        <f>IF(D16=0,"",SUM(D13:D16)/SUM(F13:F16))</f>
        <v/>
      </c>
      <c r="AM16" s="1"/>
    </row>
    <row r="17" spans="1:39">
      <c r="A17" s="8" t="s">
        <v>11</v>
      </c>
      <c r="B17" s="57"/>
      <c r="C17" s="85"/>
      <c r="D17" s="124"/>
      <c r="E17" s="353"/>
      <c r="F17" s="128">
        <f>SUM(AC4:AC6)</f>
        <v>112537.78772493229</v>
      </c>
      <c r="G17" s="15" t="str">
        <f t="shared" si="41"/>
        <v/>
      </c>
      <c r="H17" s="196" t="str">
        <f>IF(D17=0,"",SUM(D13:D17)/SUM(F13:F17))</f>
        <v/>
      </c>
      <c r="AM17" s="1"/>
    </row>
    <row r="18" spans="1:39">
      <c r="A18" s="8" t="s">
        <v>12</v>
      </c>
      <c r="B18" s="67"/>
      <c r="C18" s="85"/>
      <c r="D18" s="124"/>
      <c r="E18" s="353"/>
      <c r="F18" s="128">
        <f>SUM(AH4:AH6)</f>
        <v>161927.49354132655</v>
      </c>
      <c r="G18" s="15" t="str">
        <f t="shared" si="41"/>
        <v/>
      </c>
      <c r="H18" s="196" t="str">
        <f>IF(D18=0,"",SUM(D13:D18)/SUM(F13:F18))</f>
        <v/>
      </c>
    </row>
    <row r="19" spans="1:39">
      <c r="A19" s="8" t="s">
        <v>13</v>
      </c>
      <c r="B19" s="67"/>
      <c r="C19" s="85"/>
      <c r="D19" s="124"/>
      <c r="E19" s="353"/>
      <c r="F19" s="128">
        <f>SUM(AM4:AM6)</f>
        <v>0</v>
      </c>
      <c r="G19" s="15" t="str">
        <f t="shared" si="41"/>
        <v/>
      </c>
      <c r="H19" s="196" t="str">
        <f>IF(D19=0,"",SUM(D13:D19)/SUM(F13:F19))</f>
        <v/>
      </c>
    </row>
    <row r="20" spans="1:39">
      <c r="A20" s="8" t="s">
        <v>14</v>
      </c>
      <c r="B20" s="67"/>
      <c r="C20" s="85"/>
      <c r="D20" s="124"/>
      <c r="E20" s="353"/>
      <c r="F20" s="128">
        <f>SUM(AR4:AR6)</f>
        <v>0</v>
      </c>
      <c r="G20" s="15" t="str">
        <f t="shared" si="41"/>
        <v/>
      </c>
      <c r="H20" s="196" t="str">
        <f>IF(D20=0,"",SUM(D13:D20)/SUM(F13:F20))</f>
        <v/>
      </c>
    </row>
    <row r="21" spans="1:39">
      <c r="A21" s="8" t="s">
        <v>15</v>
      </c>
      <c r="B21" s="67"/>
      <c r="C21" s="85"/>
      <c r="D21" s="124"/>
      <c r="E21" s="353"/>
      <c r="F21" s="128">
        <f>SUM(AW4:AW6)</f>
        <v>0</v>
      </c>
      <c r="G21" s="15" t="str">
        <f t="shared" si="41"/>
        <v/>
      </c>
      <c r="H21" s="196" t="str">
        <f>IF(D21=0,"",SUM(D13:D21)/SUM(F13:F21))</f>
        <v/>
      </c>
    </row>
    <row r="22" spans="1:39">
      <c r="A22" s="8" t="s">
        <v>16</v>
      </c>
      <c r="B22" s="67"/>
      <c r="C22" s="85"/>
      <c r="D22" s="124"/>
      <c r="E22" s="353"/>
      <c r="F22" s="128">
        <f>SUM(BB4:BB6)</f>
        <v>0</v>
      </c>
      <c r="G22" s="15" t="str">
        <f t="shared" si="41"/>
        <v/>
      </c>
      <c r="H22" s="196" t="str">
        <f>IF(D22=0,"",SUM(D13:D22)/SUM(F13:F22))</f>
        <v/>
      </c>
    </row>
    <row r="23" spans="1:39">
      <c r="A23" s="8" t="s">
        <v>17</v>
      </c>
      <c r="B23" s="67"/>
      <c r="C23" s="69"/>
      <c r="D23" s="124"/>
      <c r="E23" s="353"/>
      <c r="F23" s="128">
        <f>SUM(BG4:BG6)</f>
        <v>0</v>
      </c>
      <c r="G23" s="15" t="str">
        <f t="shared" si="41"/>
        <v/>
      </c>
      <c r="H23" s="196" t="str">
        <f>IF(D23=0,"",SUM(D13:D23)/SUM(F13:F23))</f>
        <v/>
      </c>
    </row>
    <row r="24" spans="1:39" ht="15.75" thickBot="1">
      <c r="A24" s="8" t="s">
        <v>18</v>
      </c>
      <c r="B24" s="6"/>
      <c r="C24" s="30"/>
      <c r="D24" s="363"/>
      <c r="E24" s="364"/>
      <c r="F24" s="136">
        <f>SUM(BL4:BL6)</f>
        <v>0</v>
      </c>
      <c r="G24" s="354" t="str">
        <f t="shared" si="41"/>
        <v/>
      </c>
      <c r="H24" s="200" t="str">
        <f>IF(D24=0,"",SUM(D13:D24)/SUM(F13:F24))</f>
        <v/>
      </c>
    </row>
    <row r="25" spans="1:39" ht="15.75" thickBot="1">
      <c r="A25" s="9"/>
      <c r="B25" s="130">
        <f>SUM(B13:B24)</f>
        <v>0</v>
      </c>
      <c r="C25" s="355">
        <f>SUM(C13:C24)</f>
        <v>0</v>
      </c>
      <c r="D25" s="109">
        <f>SUM(D13:D24)</f>
        <v>0</v>
      </c>
      <c r="E25" s="131">
        <f>SUM(E13:E24)</f>
        <v>0</v>
      </c>
      <c r="F25" s="130">
        <f>SUM(F13:F24)</f>
        <v>695428.53326441091</v>
      </c>
      <c r="G25" s="135" t="str">
        <f t="shared" si="41"/>
        <v/>
      </c>
      <c r="H25" s="204"/>
    </row>
    <row r="26" spans="1:39" ht="15.75" thickBot="1"/>
    <row r="27" spans="1:39" ht="45.75" thickBot="1">
      <c r="E27" s="115" t="s">
        <v>174</v>
      </c>
      <c r="F27" s="132">
        <f>D25/F25</f>
        <v>0</v>
      </c>
    </row>
    <row r="29" spans="1:39">
      <c r="A29" s="141" t="s">
        <v>221</v>
      </c>
    </row>
  </sheetData>
  <mergeCells count="1"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F&amp;P</vt:lpstr>
      <vt:lpstr>Balwyn Nth</vt:lpstr>
      <vt:lpstr>Canterbury</vt:lpstr>
      <vt:lpstr>Manningham</vt:lpstr>
      <vt:lpstr>Maroondah</vt:lpstr>
      <vt:lpstr>Blackburn</vt:lpstr>
      <vt:lpstr>Glen Iris</vt:lpstr>
      <vt:lpstr>Glen Waverley</vt:lpstr>
      <vt:lpstr>Hawthorn</vt:lpstr>
      <vt:lpstr>Agent Budget &amp; Travel</vt:lpstr>
      <vt:lpstr>Office Budget</vt:lpstr>
      <vt:lpstr>'Balwyn Nth'!Print_Area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Tracey.Vongsanga</dc:creator>
  <cp:lastModifiedBy>Tracey.Vongsanga</cp:lastModifiedBy>
  <cp:lastPrinted>2015-03-06T01:16:39Z</cp:lastPrinted>
  <dcterms:created xsi:type="dcterms:W3CDTF">2014-09-09T01:23:44Z</dcterms:created>
  <dcterms:modified xsi:type="dcterms:W3CDTF">2015-03-11T06:30:39Z</dcterms:modified>
</cp:coreProperties>
</file>