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90" windowWidth="21075" windowHeight="12075" activeTab="1"/>
  </bookViews>
  <sheets>
    <sheet name="F&amp;P" sheetId="7" r:id="rId1"/>
    <sheet name="Balwyn Nth" sheetId="3" r:id="rId2"/>
    <sheet name="Canterbury" sheetId="4" r:id="rId3"/>
    <sheet name="Hawthorn " sheetId="1" r:id="rId4"/>
    <sheet name="Manningham" sheetId="2" r:id="rId5"/>
    <sheet name="Maroondah" sheetId="5" r:id="rId6"/>
    <sheet name="Whitehorse" sheetId="6" r:id="rId7"/>
  </sheets>
  <calcPr calcId="145621"/>
</workbook>
</file>

<file path=xl/calcChain.xml><?xml version="1.0" encoding="utf-8"?>
<calcChain xmlns="http://schemas.openxmlformats.org/spreadsheetml/2006/main">
  <c r="BO11" i="6" l="1"/>
  <c r="BN11" i="6"/>
  <c r="BM11" i="6"/>
  <c r="BL11" i="6"/>
  <c r="BJ11" i="6"/>
  <c r="BI11" i="6"/>
  <c r="BH11" i="6"/>
  <c r="BG11" i="6"/>
  <c r="BE11" i="6"/>
  <c r="BD11" i="6"/>
  <c r="BC11" i="6"/>
  <c r="BB11" i="6"/>
  <c r="AZ11" i="6"/>
  <c r="AY11" i="6"/>
  <c r="AX11" i="6"/>
  <c r="AW11" i="6"/>
  <c r="AU11" i="6"/>
  <c r="AT11" i="6"/>
  <c r="AS11" i="6"/>
  <c r="AR11" i="6"/>
  <c r="AP11" i="6"/>
  <c r="AO11" i="6"/>
  <c r="AN11" i="6"/>
  <c r="AM11" i="6"/>
  <c r="AK11" i="6"/>
  <c r="AJ11" i="6"/>
  <c r="AI11" i="6"/>
  <c r="AH11" i="6"/>
  <c r="AF11" i="6"/>
  <c r="AE11" i="6"/>
  <c r="AD11" i="6"/>
  <c r="AC11" i="6"/>
  <c r="AA11" i="6"/>
  <c r="Z11" i="6"/>
  <c r="Y11" i="6"/>
  <c r="X11" i="6"/>
  <c r="V11" i="6"/>
  <c r="U11" i="6"/>
  <c r="T11" i="6"/>
  <c r="S11" i="6"/>
  <c r="Q11" i="6"/>
  <c r="P11" i="6"/>
  <c r="O11" i="6"/>
  <c r="N11" i="6"/>
  <c r="L11" i="6"/>
  <c r="K11" i="6"/>
  <c r="J11" i="6"/>
  <c r="BN10" i="6"/>
  <c r="BO10" i="6" s="1"/>
  <c r="BL10" i="6"/>
  <c r="BM10" i="6" s="1"/>
  <c r="BI10" i="6"/>
  <c r="BJ10" i="6" s="1"/>
  <c r="BG10" i="6"/>
  <c r="BH10" i="6" s="1"/>
  <c r="BD10" i="6"/>
  <c r="BE10" i="6" s="1"/>
  <c r="BB10" i="6"/>
  <c r="BC10" i="6" s="1"/>
  <c r="AY10" i="6"/>
  <c r="AZ10" i="6" s="1"/>
  <c r="AW10" i="6"/>
  <c r="AX10" i="6" s="1"/>
  <c r="AT10" i="6"/>
  <c r="AU10" i="6" s="1"/>
  <c r="AR10" i="6"/>
  <c r="AS10" i="6" s="1"/>
  <c r="AO10" i="6"/>
  <c r="AP10" i="6" s="1"/>
  <c r="AM10" i="6"/>
  <c r="AN10" i="6" s="1"/>
  <c r="AJ10" i="6"/>
  <c r="AK10" i="6" s="1"/>
  <c r="AH10" i="6"/>
  <c r="AI10" i="6" s="1"/>
  <c r="AE10" i="6"/>
  <c r="AF10" i="6" s="1"/>
  <c r="AC10" i="6"/>
  <c r="AD10" i="6" s="1"/>
  <c r="Z10" i="6"/>
  <c r="AA10" i="6" s="1"/>
  <c r="X10" i="6"/>
  <c r="Y10" i="6" s="1"/>
  <c r="U10" i="6"/>
  <c r="V10" i="6" s="1"/>
  <c r="S10" i="6"/>
  <c r="T10" i="6" s="1"/>
  <c r="P10" i="6"/>
  <c r="Q10" i="6" s="1"/>
  <c r="N10" i="6"/>
  <c r="O10" i="6" s="1"/>
  <c r="K10" i="6"/>
  <c r="L10" i="6" s="1"/>
  <c r="J10" i="6"/>
  <c r="BO9" i="6"/>
  <c r="BN9" i="6"/>
  <c r="BM9" i="6"/>
  <c r="BL9" i="6"/>
  <c r="BJ9" i="6"/>
  <c r="BI9" i="6"/>
  <c r="BH9" i="6"/>
  <c r="BG9" i="6"/>
  <c r="BE9" i="6"/>
  <c r="BD9" i="6"/>
  <c r="BC9" i="6"/>
  <c r="BB9" i="6"/>
  <c r="AZ9" i="6"/>
  <c r="AY9" i="6"/>
  <c r="AX9" i="6"/>
  <c r="AW9" i="6"/>
  <c r="AU9" i="6"/>
  <c r="AT9" i="6"/>
  <c r="AS9" i="6"/>
  <c r="AR9" i="6"/>
  <c r="AP9" i="6"/>
  <c r="AO9" i="6"/>
  <c r="AN9" i="6"/>
  <c r="AM9" i="6"/>
  <c r="AK9" i="6"/>
  <c r="AJ9" i="6"/>
  <c r="AI9" i="6"/>
  <c r="AH9" i="6"/>
  <c r="AF9" i="6"/>
  <c r="AE9" i="6"/>
  <c r="AD9" i="6"/>
  <c r="AC9" i="6"/>
  <c r="AA9" i="6"/>
  <c r="Z9" i="6"/>
  <c r="Y9" i="6"/>
  <c r="X9" i="6"/>
  <c r="V9" i="6"/>
  <c r="U9" i="6"/>
  <c r="T9" i="6"/>
  <c r="S9" i="6"/>
  <c r="Q9" i="6"/>
  <c r="P9" i="6"/>
  <c r="O9" i="6"/>
  <c r="N9" i="6"/>
  <c r="L9" i="6"/>
  <c r="K9" i="6"/>
  <c r="J9" i="6"/>
  <c r="BN8" i="6"/>
  <c r="BO8" i="6" s="1"/>
  <c r="BL8" i="6"/>
  <c r="BM8" i="6" s="1"/>
  <c r="BI8" i="6"/>
  <c r="BJ8" i="6" s="1"/>
  <c r="BG8" i="6"/>
  <c r="BH8" i="6" s="1"/>
  <c r="BD8" i="6"/>
  <c r="BE8" i="6" s="1"/>
  <c r="BB8" i="6"/>
  <c r="BC8" i="6" s="1"/>
  <c r="AY8" i="6"/>
  <c r="AZ8" i="6" s="1"/>
  <c r="AW8" i="6"/>
  <c r="AX8" i="6" s="1"/>
  <c r="AT8" i="6"/>
  <c r="AU8" i="6" s="1"/>
  <c r="AR8" i="6"/>
  <c r="AS8" i="6" s="1"/>
  <c r="AO8" i="6"/>
  <c r="AP8" i="6" s="1"/>
  <c r="AM8" i="6"/>
  <c r="AN8" i="6" s="1"/>
  <c r="AJ8" i="6"/>
  <c r="AK8" i="6" s="1"/>
  <c r="AH8" i="6"/>
  <c r="AI8" i="6" s="1"/>
  <c r="AE8" i="6"/>
  <c r="AF8" i="6" s="1"/>
  <c r="AC8" i="6"/>
  <c r="AD8" i="6" s="1"/>
  <c r="Z8" i="6"/>
  <c r="AA8" i="6" s="1"/>
  <c r="X8" i="6"/>
  <c r="Y8" i="6" s="1"/>
  <c r="U8" i="6"/>
  <c r="V8" i="6" s="1"/>
  <c r="S8" i="6"/>
  <c r="T8" i="6" s="1"/>
  <c r="P8" i="6"/>
  <c r="Q8" i="6" s="1"/>
  <c r="N8" i="6"/>
  <c r="O8" i="6" s="1"/>
  <c r="K8" i="6"/>
  <c r="L8" i="6" s="1"/>
  <c r="I8" i="6"/>
  <c r="J8" i="6" s="1"/>
  <c r="BN7" i="6"/>
  <c r="BO7" i="6" s="1"/>
  <c r="BL7" i="6"/>
  <c r="BM7" i="6" s="1"/>
  <c r="BI7" i="6"/>
  <c r="BJ7" i="6" s="1"/>
  <c r="BG7" i="6"/>
  <c r="BH7" i="6" s="1"/>
  <c r="BD7" i="6"/>
  <c r="BE7" i="6" s="1"/>
  <c r="BB7" i="6"/>
  <c r="BC7" i="6" s="1"/>
  <c r="AY7" i="6"/>
  <c r="AZ7" i="6" s="1"/>
  <c r="AW7" i="6"/>
  <c r="AX7" i="6" s="1"/>
  <c r="AT7" i="6"/>
  <c r="AU7" i="6" s="1"/>
  <c r="AR7" i="6"/>
  <c r="AS7" i="6" s="1"/>
  <c r="AO7" i="6"/>
  <c r="AP7" i="6" s="1"/>
  <c r="AM7" i="6"/>
  <c r="AN7" i="6" s="1"/>
  <c r="AJ7" i="6"/>
  <c r="AK7" i="6" s="1"/>
  <c r="AH7" i="6"/>
  <c r="AI7" i="6" s="1"/>
  <c r="AE7" i="6"/>
  <c r="AF7" i="6" s="1"/>
  <c r="AC7" i="6"/>
  <c r="AD7" i="6" s="1"/>
  <c r="Z7" i="6"/>
  <c r="AA7" i="6" s="1"/>
  <c r="X7" i="6"/>
  <c r="Y7" i="6" s="1"/>
  <c r="U7" i="6"/>
  <c r="V7" i="6" s="1"/>
  <c r="S7" i="6"/>
  <c r="T7" i="6" s="1"/>
  <c r="P7" i="6"/>
  <c r="Q7" i="6" s="1"/>
  <c r="N7" i="6"/>
  <c r="O7" i="6" s="1"/>
  <c r="K7" i="6"/>
  <c r="L7" i="6" s="1"/>
  <c r="I7" i="6"/>
  <c r="J7" i="6" s="1"/>
  <c r="BN6" i="6"/>
  <c r="BO6" i="6" s="1"/>
  <c r="BL6" i="6"/>
  <c r="BM6" i="6" s="1"/>
  <c r="BI6" i="6"/>
  <c r="BJ6" i="6" s="1"/>
  <c r="BG6" i="6"/>
  <c r="BH6" i="6" s="1"/>
  <c r="BD6" i="6"/>
  <c r="BE6" i="6" s="1"/>
  <c r="BB6" i="6"/>
  <c r="BC6" i="6" s="1"/>
  <c r="AY6" i="6"/>
  <c r="AZ6" i="6" s="1"/>
  <c r="AW6" i="6"/>
  <c r="AX6" i="6" s="1"/>
  <c r="AT6" i="6"/>
  <c r="AU6" i="6" s="1"/>
  <c r="AR6" i="6"/>
  <c r="AS6" i="6" s="1"/>
  <c r="AO6" i="6"/>
  <c r="AP6" i="6" s="1"/>
  <c r="AM6" i="6"/>
  <c r="AN6" i="6" s="1"/>
  <c r="AJ6" i="6"/>
  <c r="AK6" i="6" s="1"/>
  <c r="AH6" i="6"/>
  <c r="AI6" i="6" s="1"/>
  <c r="AF6" i="6"/>
  <c r="AE6" i="6"/>
  <c r="AD6" i="6"/>
  <c r="AC6" i="6"/>
  <c r="AA6" i="6"/>
  <c r="Z6" i="6"/>
  <c r="Y6" i="6"/>
  <c r="X6" i="6"/>
  <c r="V6" i="6"/>
  <c r="U6" i="6"/>
  <c r="T6" i="6"/>
  <c r="S6" i="6"/>
  <c r="Q6" i="6"/>
  <c r="P6" i="6"/>
  <c r="O6" i="6"/>
  <c r="N6" i="6"/>
  <c r="L6" i="6"/>
  <c r="K6" i="6"/>
  <c r="J6" i="6"/>
  <c r="I6" i="6"/>
  <c r="BO5" i="6"/>
  <c r="BN5" i="6"/>
  <c r="BM5" i="6"/>
  <c r="BL5" i="6"/>
  <c r="BJ5" i="6"/>
  <c r="BI5" i="6"/>
  <c r="BH5" i="6"/>
  <c r="BG5" i="6"/>
  <c r="BE5" i="6"/>
  <c r="BD5" i="6"/>
  <c r="BC5" i="6"/>
  <c r="BB5" i="6"/>
  <c r="AZ5" i="6"/>
  <c r="AY5" i="6"/>
  <c r="AX5" i="6"/>
  <c r="AW5" i="6"/>
  <c r="AU5" i="6"/>
  <c r="AT5" i="6"/>
  <c r="AS5" i="6"/>
  <c r="AR5" i="6"/>
  <c r="AP5" i="6"/>
  <c r="AO5" i="6"/>
  <c r="AN5" i="6"/>
  <c r="AM5" i="6"/>
  <c r="AK5" i="6"/>
  <c r="AJ5" i="6"/>
  <c r="AI5" i="6"/>
  <c r="AH5" i="6"/>
  <c r="AF5" i="6"/>
  <c r="AE5" i="6"/>
  <c r="AD5" i="6"/>
  <c r="AC5" i="6"/>
  <c r="AA5" i="6"/>
  <c r="Z5" i="6"/>
  <c r="Y5" i="6"/>
  <c r="X5" i="6"/>
  <c r="V5" i="6"/>
  <c r="U5" i="6"/>
  <c r="T5" i="6"/>
  <c r="S5" i="6"/>
  <c r="Q5" i="6"/>
  <c r="P5" i="6"/>
  <c r="O5" i="6"/>
  <c r="N5" i="6"/>
  <c r="L5" i="6"/>
  <c r="K5" i="6"/>
  <c r="J5" i="6"/>
  <c r="I5" i="6"/>
  <c r="BO4" i="6"/>
  <c r="BN4" i="6"/>
  <c r="BM4" i="6"/>
  <c r="BL4" i="6"/>
  <c r="BJ4" i="6"/>
  <c r="BI4" i="6"/>
  <c r="BH4" i="6"/>
  <c r="BG4" i="6"/>
  <c r="BE4" i="6"/>
  <c r="BD4" i="6"/>
  <c r="BC4" i="6"/>
  <c r="BB4" i="6"/>
  <c r="AZ4" i="6"/>
  <c r="AY4" i="6"/>
  <c r="AX4" i="6"/>
  <c r="AW4" i="6"/>
  <c r="AU4" i="6"/>
  <c r="AT4" i="6"/>
  <c r="AS4" i="6"/>
  <c r="AR4" i="6"/>
  <c r="AP4" i="6"/>
  <c r="AO4" i="6"/>
  <c r="AN4" i="6"/>
  <c r="AM4" i="6"/>
  <c r="AK4" i="6"/>
  <c r="AJ4" i="6"/>
  <c r="AI4" i="6"/>
  <c r="AH4" i="6"/>
  <c r="AF4" i="6"/>
  <c r="AE4" i="6"/>
  <c r="AD4" i="6"/>
  <c r="AC4" i="6"/>
  <c r="AA4" i="6"/>
  <c r="Z4" i="6"/>
  <c r="Y4" i="6"/>
  <c r="X4" i="6"/>
  <c r="V4" i="6"/>
  <c r="U4" i="6"/>
  <c r="T4" i="6"/>
  <c r="S4" i="6"/>
  <c r="Q4" i="6"/>
  <c r="P4" i="6"/>
  <c r="O4" i="6"/>
  <c r="N4" i="6"/>
  <c r="L4" i="6"/>
  <c r="K4" i="6"/>
  <c r="J4" i="6"/>
  <c r="I4" i="6"/>
  <c r="BO7" i="5"/>
  <c r="BN7" i="5"/>
  <c r="BM7" i="5"/>
  <c r="BL7" i="5"/>
  <c r="BJ7" i="5"/>
  <c r="BI7" i="5"/>
  <c r="BH7" i="5"/>
  <c r="BG7" i="5"/>
  <c r="BE7" i="5"/>
  <c r="BD7" i="5"/>
  <c r="BC7" i="5"/>
  <c r="BB7" i="5"/>
  <c r="AZ7" i="5"/>
  <c r="AY7" i="5"/>
  <c r="AX7" i="5"/>
  <c r="AW7" i="5"/>
  <c r="AU7" i="5"/>
  <c r="AT7" i="5"/>
  <c r="AS7" i="5"/>
  <c r="AR7" i="5"/>
  <c r="AP7" i="5"/>
  <c r="AO7" i="5"/>
  <c r="AN7" i="5"/>
  <c r="AM7" i="5"/>
  <c r="AK7" i="5"/>
  <c r="AJ7" i="5"/>
  <c r="AI7" i="5"/>
  <c r="AH7" i="5"/>
  <c r="AF7" i="5"/>
  <c r="AE7" i="5"/>
  <c r="AD7" i="5"/>
  <c r="AC7" i="5"/>
  <c r="AA7" i="5"/>
  <c r="Z7" i="5"/>
  <c r="Y7" i="5"/>
  <c r="X7" i="5"/>
  <c r="V7" i="5"/>
  <c r="U7" i="5"/>
  <c r="T7" i="5"/>
  <c r="S7" i="5"/>
  <c r="Q7" i="5"/>
  <c r="P7" i="5"/>
  <c r="O7" i="5"/>
  <c r="N7" i="5"/>
  <c r="L7" i="5"/>
  <c r="K7" i="5"/>
  <c r="J7" i="5"/>
  <c r="I7" i="5"/>
  <c r="BO6" i="5"/>
  <c r="BN6" i="5"/>
  <c r="BM6" i="5"/>
  <c r="BL6" i="5"/>
  <c r="BJ6" i="5"/>
  <c r="BI6" i="5"/>
  <c r="BH6" i="5"/>
  <c r="BG6" i="5"/>
  <c r="BE6" i="5"/>
  <c r="BD6" i="5"/>
  <c r="BC6" i="5"/>
  <c r="BB6" i="5"/>
  <c r="AZ6" i="5"/>
  <c r="AY6" i="5"/>
  <c r="AX6" i="5"/>
  <c r="AW6" i="5"/>
  <c r="AU6" i="5"/>
  <c r="AT6" i="5"/>
  <c r="AS6" i="5"/>
  <c r="AR6" i="5"/>
  <c r="AP6" i="5"/>
  <c r="AO6" i="5"/>
  <c r="AN6" i="5"/>
  <c r="AM6" i="5"/>
  <c r="AK6" i="5"/>
  <c r="AJ6" i="5"/>
  <c r="AI6" i="5"/>
  <c r="AH6" i="5"/>
  <c r="AF6" i="5"/>
  <c r="AE6" i="5"/>
  <c r="AD6" i="5"/>
  <c r="AC6" i="5"/>
  <c r="AA6" i="5"/>
  <c r="Z6" i="5"/>
  <c r="Y6" i="5"/>
  <c r="X6" i="5"/>
  <c r="V6" i="5"/>
  <c r="U6" i="5"/>
  <c r="T6" i="5"/>
  <c r="S6" i="5"/>
  <c r="Q6" i="5"/>
  <c r="P6" i="5"/>
  <c r="O6" i="5"/>
  <c r="N6" i="5"/>
  <c r="L6" i="5"/>
  <c r="K6" i="5"/>
  <c r="J6" i="5"/>
  <c r="I6" i="5"/>
  <c r="BO5" i="5"/>
  <c r="BN5" i="5"/>
  <c r="BM5" i="5"/>
  <c r="BL5" i="5"/>
  <c r="BJ5" i="5"/>
  <c r="BI5" i="5"/>
  <c r="BH5" i="5"/>
  <c r="BG5" i="5"/>
  <c r="BE5" i="5"/>
  <c r="BD5" i="5"/>
  <c r="BC5" i="5"/>
  <c r="BB5" i="5"/>
  <c r="AZ5" i="5"/>
  <c r="AY5" i="5"/>
  <c r="AX5" i="5"/>
  <c r="AW5" i="5"/>
  <c r="AU5" i="5"/>
  <c r="AT5" i="5"/>
  <c r="AS5" i="5"/>
  <c r="AR5" i="5"/>
  <c r="AP5" i="5"/>
  <c r="AO5" i="5"/>
  <c r="AN5" i="5"/>
  <c r="AM5" i="5"/>
  <c r="AK5" i="5"/>
  <c r="AJ5" i="5"/>
  <c r="AI5" i="5"/>
  <c r="AH5" i="5"/>
  <c r="AF5" i="5"/>
  <c r="AE5" i="5"/>
  <c r="AD5" i="5"/>
  <c r="AC5" i="5"/>
  <c r="AA5" i="5"/>
  <c r="Z5" i="5"/>
  <c r="Y5" i="5"/>
  <c r="X5" i="5"/>
  <c r="V5" i="5"/>
  <c r="U5" i="5"/>
  <c r="T5" i="5"/>
  <c r="S5" i="5"/>
  <c r="Q5" i="5"/>
  <c r="P5" i="5"/>
  <c r="O5" i="5"/>
  <c r="N5" i="5"/>
  <c r="L5" i="5"/>
  <c r="K5" i="5"/>
  <c r="J5" i="5"/>
  <c r="I5" i="5"/>
  <c r="BO4" i="5"/>
  <c r="BN4" i="5"/>
  <c r="BM4" i="5"/>
  <c r="BL4" i="5"/>
  <c r="BJ4" i="5"/>
  <c r="BI4" i="5"/>
  <c r="BH4" i="5"/>
  <c r="BG4" i="5"/>
  <c r="BE4" i="5"/>
  <c r="BD4" i="5"/>
  <c r="BC4" i="5"/>
  <c r="BB4" i="5"/>
  <c r="AZ4" i="5"/>
  <c r="AY4" i="5"/>
  <c r="AX4" i="5"/>
  <c r="AW4" i="5"/>
  <c r="AU4" i="5"/>
  <c r="AT4" i="5"/>
  <c r="AS4" i="5"/>
  <c r="AR4" i="5"/>
  <c r="AP4" i="5"/>
  <c r="AO4" i="5"/>
  <c r="AN4" i="5"/>
  <c r="AM4" i="5"/>
  <c r="AK4" i="5"/>
  <c r="AJ4" i="5"/>
  <c r="AI4" i="5"/>
  <c r="AH4" i="5"/>
  <c r="AF4" i="5"/>
  <c r="AE4" i="5"/>
  <c r="AD4" i="5"/>
  <c r="AC4" i="5"/>
  <c r="AA4" i="5"/>
  <c r="Z4" i="5"/>
  <c r="Y4" i="5"/>
  <c r="X4" i="5"/>
  <c r="V4" i="5"/>
  <c r="U4" i="5"/>
  <c r="T4" i="5"/>
  <c r="S4" i="5"/>
  <c r="Q4" i="5"/>
  <c r="P4" i="5"/>
  <c r="O4" i="5"/>
  <c r="N4" i="5"/>
  <c r="L4" i="5"/>
  <c r="K4" i="5"/>
  <c r="J4" i="5"/>
  <c r="I4" i="5"/>
  <c r="BN9" i="2"/>
  <c r="BO9" i="2" s="1"/>
  <c r="BL9" i="2"/>
  <c r="BM9" i="2" s="1"/>
  <c r="BI9" i="2"/>
  <c r="BJ9" i="2" s="1"/>
  <c r="BG9" i="2"/>
  <c r="BH9" i="2" s="1"/>
  <c r="BD9" i="2"/>
  <c r="BE9" i="2" s="1"/>
  <c r="BB9" i="2"/>
  <c r="BC9" i="2" s="1"/>
  <c r="AY9" i="2"/>
  <c r="AZ9" i="2" s="1"/>
  <c r="AW9" i="2"/>
  <c r="AX9" i="2" s="1"/>
  <c r="AT9" i="2"/>
  <c r="AU9" i="2" s="1"/>
  <c r="AR9" i="2"/>
  <c r="AS9" i="2" s="1"/>
  <c r="AO9" i="2"/>
  <c r="AP9" i="2" s="1"/>
  <c r="AM9" i="2"/>
  <c r="AN9" i="2" s="1"/>
  <c r="AJ9" i="2"/>
  <c r="AK9" i="2" s="1"/>
  <c r="AH9" i="2"/>
  <c r="AI9" i="2" s="1"/>
  <c r="AE9" i="2"/>
  <c r="AF9" i="2" s="1"/>
  <c r="AC9" i="2"/>
  <c r="AD9" i="2" s="1"/>
  <c r="Z9" i="2"/>
  <c r="AA9" i="2" s="1"/>
  <c r="X9" i="2"/>
  <c r="Y9" i="2" s="1"/>
  <c r="U9" i="2"/>
  <c r="V9" i="2" s="1"/>
  <c r="S9" i="2"/>
  <c r="T9" i="2" s="1"/>
  <c r="P9" i="2"/>
  <c r="Q9" i="2" s="1"/>
  <c r="N9" i="2"/>
  <c r="O9" i="2" s="1"/>
  <c r="K9" i="2"/>
  <c r="L9" i="2" s="1"/>
  <c r="J9" i="2"/>
  <c r="BO8" i="2"/>
  <c r="BN8" i="2"/>
  <c r="BM8" i="2"/>
  <c r="BL8" i="2"/>
  <c r="BJ8" i="2"/>
  <c r="BI8" i="2"/>
  <c r="BH8" i="2"/>
  <c r="BG8" i="2"/>
  <c r="BE8" i="2"/>
  <c r="BD8" i="2"/>
  <c r="BC8" i="2"/>
  <c r="BB8" i="2"/>
  <c r="AZ8" i="2"/>
  <c r="AY8" i="2"/>
  <c r="AX8" i="2"/>
  <c r="AW8" i="2"/>
  <c r="AU8" i="2"/>
  <c r="AT8" i="2"/>
  <c r="AS8" i="2"/>
  <c r="AR8" i="2"/>
  <c r="AP8" i="2"/>
  <c r="AO8" i="2"/>
  <c r="AN8" i="2"/>
  <c r="AM8" i="2"/>
  <c r="AK8" i="2"/>
  <c r="AJ8" i="2"/>
  <c r="AI8" i="2"/>
  <c r="AH8" i="2"/>
  <c r="AF8" i="2"/>
  <c r="AE8" i="2"/>
  <c r="AD8" i="2"/>
  <c r="AC8" i="2"/>
  <c r="AA8" i="2"/>
  <c r="Z8" i="2"/>
  <c r="Y8" i="2"/>
  <c r="X8" i="2"/>
  <c r="V8" i="2"/>
  <c r="U8" i="2"/>
  <c r="T8" i="2"/>
  <c r="S8" i="2"/>
  <c r="Q8" i="2"/>
  <c r="P8" i="2"/>
  <c r="O8" i="2"/>
  <c r="N8" i="2"/>
  <c r="L8" i="2"/>
  <c r="K8" i="2"/>
  <c r="J8" i="2"/>
  <c r="I8" i="2"/>
  <c r="BO7" i="2"/>
  <c r="BN7" i="2"/>
  <c r="BM7" i="2"/>
  <c r="BL7" i="2"/>
  <c r="BJ7" i="2"/>
  <c r="BI7" i="2"/>
  <c r="BH7" i="2"/>
  <c r="BG7" i="2"/>
  <c r="BE7" i="2"/>
  <c r="BD7" i="2"/>
  <c r="BC7" i="2"/>
  <c r="BB7" i="2"/>
  <c r="AZ7" i="2"/>
  <c r="AY7" i="2"/>
  <c r="AX7" i="2"/>
  <c r="AW7" i="2"/>
  <c r="AU7" i="2"/>
  <c r="AT7" i="2"/>
  <c r="AS7" i="2"/>
  <c r="AR7" i="2"/>
  <c r="AP7" i="2"/>
  <c r="AO7" i="2"/>
  <c r="AN7" i="2"/>
  <c r="AM7" i="2"/>
  <c r="AK7" i="2"/>
  <c r="AJ7" i="2"/>
  <c r="AI7" i="2"/>
  <c r="AH7" i="2"/>
  <c r="AF7" i="2"/>
  <c r="AE7" i="2"/>
  <c r="AD7" i="2"/>
  <c r="AC7" i="2"/>
  <c r="AA7" i="2"/>
  <c r="Z7" i="2"/>
  <c r="Y7" i="2"/>
  <c r="X7" i="2"/>
  <c r="V7" i="2"/>
  <c r="U7" i="2"/>
  <c r="T7" i="2"/>
  <c r="S7" i="2"/>
  <c r="Q7" i="2"/>
  <c r="P7" i="2"/>
  <c r="O7" i="2"/>
  <c r="N7" i="2"/>
  <c r="L7" i="2"/>
  <c r="K7" i="2"/>
  <c r="J7" i="2"/>
  <c r="I7" i="2"/>
  <c r="BO6" i="2"/>
  <c r="BN6" i="2"/>
  <c r="BM6" i="2"/>
  <c r="BL6" i="2"/>
  <c r="BJ6" i="2"/>
  <c r="BI6" i="2"/>
  <c r="BH6" i="2"/>
  <c r="BG6" i="2"/>
  <c r="BE6" i="2"/>
  <c r="BD6" i="2"/>
  <c r="BC6" i="2"/>
  <c r="BB6" i="2"/>
  <c r="AZ6" i="2"/>
  <c r="AY6" i="2"/>
  <c r="AX6" i="2"/>
  <c r="AW6" i="2"/>
  <c r="AU6" i="2"/>
  <c r="AT6" i="2"/>
  <c r="AS6" i="2"/>
  <c r="AR6" i="2"/>
  <c r="AP6" i="2"/>
  <c r="AO6" i="2"/>
  <c r="AN6" i="2"/>
  <c r="AM6" i="2"/>
  <c r="AK6" i="2"/>
  <c r="AJ6" i="2"/>
  <c r="AI6" i="2"/>
  <c r="AH6" i="2"/>
  <c r="AF6" i="2"/>
  <c r="AE6" i="2"/>
  <c r="AD6" i="2"/>
  <c r="AC6" i="2"/>
  <c r="AA6" i="2"/>
  <c r="Z6" i="2"/>
  <c r="Y6" i="2"/>
  <c r="X6" i="2"/>
  <c r="V6" i="2"/>
  <c r="U6" i="2"/>
  <c r="T6" i="2"/>
  <c r="S6" i="2"/>
  <c r="Q6" i="2"/>
  <c r="P6" i="2"/>
  <c r="O6" i="2"/>
  <c r="N6" i="2"/>
  <c r="L6" i="2"/>
  <c r="K6" i="2"/>
  <c r="J6" i="2"/>
  <c r="I6" i="2"/>
  <c r="BO5" i="2"/>
  <c r="BN5" i="2"/>
  <c r="BM5" i="2"/>
  <c r="BL5" i="2"/>
  <c r="BJ5" i="2"/>
  <c r="BI5" i="2"/>
  <c r="BH5" i="2"/>
  <c r="BG5" i="2"/>
  <c r="BE5" i="2"/>
  <c r="BD5" i="2"/>
  <c r="BC5" i="2"/>
  <c r="BB5" i="2"/>
  <c r="AZ5" i="2"/>
  <c r="AY5" i="2"/>
  <c r="AX5" i="2"/>
  <c r="AW5" i="2"/>
  <c r="AU5" i="2"/>
  <c r="AT5" i="2"/>
  <c r="AS5" i="2"/>
  <c r="AR5" i="2"/>
  <c r="AP5" i="2"/>
  <c r="AO5" i="2"/>
  <c r="AN5" i="2"/>
  <c r="AM5" i="2"/>
  <c r="AK5" i="2"/>
  <c r="AJ5" i="2"/>
  <c r="AI5" i="2"/>
  <c r="AH5" i="2"/>
  <c r="AF5" i="2"/>
  <c r="AE5" i="2"/>
  <c r="AD5" i="2"/>
  <c r="AC5" i="2"/>
  <c r="AA5" i="2"/>
  <c r="Z5" i="2"/>
  <c r="Y5" i="2"/>
  <c r="X5" i="2"/>
  <c r="V5" i="2"/>
  <c r="U5" i="2"/>
  <c r="T5" i="2"/>
  <c r="S5" i="2"/>
  <c r="Q5" i="2"/>
  <c r="P5" i="2"/>
  <c r="O5" i="2"/>
  <c r="N5" i="2"/>
  <c r="L5" i="2"/>
  <c r="K5" i="2"/>
  <c r="J5" i="2"/>
  <c r="I5" i="2"/>
  <c r="BO4" i="2"/>
  <c r="BN4" i="2"/>
  <c r="BM4" i="2"/>
  <c r="BL4" i="2"/>
  <c r="BJ4" i="2"/>
  <c r="BI4" i="2"/>
  <c r="BH4" i="2"/>
  <c r="BG4" i="2"/>
  <c r="BE4" i="2"/>
  <c r="BD4" i="2"/>
  <c r="BC4" i="2"/>
  <c r="BB4" i="2"/>
  <c r="AZ4" i="2"/>
  <c r="AY4" i="2"/>
  <c r="AX4" i="2"/>
  <c r="AW4" i="2"/>
  <c r="AU4" i="2"/>
  <c r="AT4" i="2"/>
  <c r="AS4" i="2"/>
  <c r="AR4" i="2"/>
  <c r="AP4" i="2"/>
  <c r="AO4" i="2"/>
  <c r="AN4" i="2"/>
  <c r="AM4" i="2"/>
  <c r="AK4" i="2"/>
  <c r="AJ4" i="2"/>
  <c r="AI4" i="2"/>
  <c r="AH4" i="2"/>
  <c r="AF4" i="2"/>
  <c r="AE4" i="2"/>
  <c r="AD4" i="2"/>
  <c r="AC4" i="2"/>
  <c r="AA4" i="2"/>
  <c r="Z4" i="2"/>
  <c r="Y4" i="2"/>
  <c r="X4" i="2"/>
  <c r="V4" i="2"/>
  <c r="U4" i="2"/>
  <c r="T4" i="2"/>
  <c r="S4" i="2"/>
  <c r="Q4" i="2"/>
  <c r="P4" i="2"/>
  <c r="O4" i="2"/>
  <c r="N4" i="2"/>
  <c r="L4" i="2"/>
  <c r="K4" i="2"/>
  <c r="J4" i="2"/>
  <c r="I4" i="2"/>
  <c r="J11" i="4"/>
  <c r="J9" i="4"/>
  <c r="J10" i="4"/>
  <c r="BO8" i="1"/>
  <c r="BN8" i="1"/>
  <c r="BM8" i="1"/>
  <c r="BL8" i="1"/>
  <c r="BJ8" i="1"/>
  <c r="BI8" i="1"/>
  <c r="BH8" i="1"/>
  <c r="BG8" i="1"/>
  <c r="BE8" i="1"/>
  <c r="BD8" i="1"/>
  <c r="BC8" i="1"/>
  <c r="BB8" i="1"/>
  <c r="AZ8" i="1"/>
  <c r="AY8" i="1"/>
  <c r="AX8" i="1"/>
  <c r="AW8" i="1"/>
  <c r="AU8" i="1"/>
  <c r="AT8" i="1"/>
  <c r="AS8" i="1"/>
  <c r="AR8" i="1"/>
  <c r="AP8" i="1"/>
  <c r="AO8" i="1"/>
  <c r="AN8" i="1"/>
  <c r="AM8" i="1"/>
  <c r="AK8" i="1"/>
  <c r="AJ8" i="1"/>
  <c r="AI8" i="1"/>
  <c r="AH8" i="1"/>
  <c r="AF8" i="1"/>
  <c r="AE8" i="1"/>
  <c r="AD8" i="1"/>
  <c r="AC8" i="1"/>
  <c r="AA8" i="1"/>
  <c r="Z8" i="1"/>
  <c r="Y8" i="1"/>
  <c r="X8" i="1"/>
  <c r="V8" i="1"/>
  <c r="U8" i="1"/>
  <c r="T8" i="1"/>
  <c r="S8" i="1"/>
  <c r="Q8" i="1"/>
  <c r="P8" i="1"/>
  <c r="O8" i="1"/>
  <c r="N8" i="1"/>
  <c r="L8" i="1"/>
  <c r="K8" i="1"/>
  <c r="J8" i="1"/>
  <c r="I8" i="1"/>
  <c r="BO7" i="1"/>
  <c r="BN7" i="1"/>
  <c r="BM7" i="1"/>
  <c r="BL7" i="1"/>
  <c r="BJ7" i="1"/>
  <c r="BI7" i="1"/>
  <c r="BH7" i="1"/>
  <c r="BG7" i="1"/>
  <c r="BE7" i="1"/>
  <c r="BD7" i="1"/>
  <c r="BC7" i="1"/>
  <c r="BB7" i="1"/>
  <c r="AZ7" i="1"/>
  <c r="AY7" i="1"/>
  <c r="AX7" i="1"/>
  <c r="AW7" i="1"/>
  <c r="AU7" i="1"/>
  <c r="AT7" i="1"/>
  <c r="AS7" i="1"/>
  <c r="AR7" i="1"/>
  <c r="AP7" i="1"/>
  <c r="AO7" i="1"/>
  <c r="AN7" i="1"/>
  <c r="AM7" i="1"/>
  <c r="AK7" i="1"/>
  <c r="AJ7" i="1"/>
  <c r="AI7" i="1"/>
  <c r="AH7" i="1"/>
  <c r="AF7" i="1"/>
  <c r="AE7" i="1"/>
  <c r="AD7" i="1"/>
  <c r="AC7" i="1"/>
  <c r="AA7" i="1"/>
  <c r="Z7" i="1"/>
  <c r="Y7" i="1"/>
  <c r="X7" i="1"/>
  <c r="V7" i="1"/>
  <c r="U7" i="1"/>
  <c r="T7" i="1"/>
  <c r="S7" i="1"/>
  <c r="Q7" i="1"/>
  <c r="P7" i="1"/>
  <c r="O7" i="1"/>
  <c r="N7" i="1"/>
  <c r="L7" i="1"/>
  <c r="K7" i="1"/>
  <c r="J7" i="1"/>
  <c r="I7" i="1"/>
  <c r="BO6" i="1"/>
  <c r="BN6" i="1"/>
  <c r="BM6" i="1"/>
  <c r="BL6" i="1"/>
  <c r="BJ6" i="1"/>
  <c r="BI6" i="1"/>
  <c r="BH6" i="1"/>
  <c r="BG6" i="1"/>
  <c r="BE6" i="1"/>
  <c r="BD6" i="1"/>
  <c r="BC6" i="1"/>
  <c r="BB6" i="1"/>
  <c r="AZ6" i="1"/>
  <c r="AY6" i="1"/>
  <c r="AX6" i="1"/>
  <c r="AW6" i="1"/>
  <c r="AU6" i="1"/>
  <c r="AT6" i="1"/>
  <c r="AS6" i="1"/>
  <c r="AR6" i="1"/>
  <c r="AP6" i="1"/>
  <c r="AO6" i="1"/>
  <c r="AN6" i="1"/>
  <c r="AM6" i="1"/>
  <c r="AK6" i="1"/>
  <c r="AJ6" i="1"/>
  <c r="AI6" i="1"/>
  <c r="AH6" i="1"/>
  <c r="AF6" i="1"/>
  <c r="AE6" i="1"/>
  <c r="AD6" i="1"/>
  <c r="AC6" i="1"/>
  <c r="AA6" i="1"/>
  <c r="Z6" i="1"/>
  <c r="Y6" i="1"/>
  <c r="X6" i="1"/>
  <c r="V6" i="1"/>
  <c r="U6" i="1"/>
  <c r="T6" i="1"/>
  <c r="S6" i="1"/>
  <c r="Q6" i="1"/>
  <c r="P6" i="1"/>
  <c r="O6" i="1"/>
  <c r="N6" i="1"/>
  <c r="L6" i="1"/>
  <c r="K6" i="1"/>
  <c r="J6" i="1"/>
  <c r="I6" i="1"/>
  <c r="BO5" i="1"/>
  <c r="BN5" i="1"/>
  <c r="BM5" i="1"/>
  <c r="BL5" i="1"/>
  <c r="BJ5" i="1"/>
  <c r="BI5" i="1"/>
  <c r="BH5" i="1"/>
  <c r="BG5" i="1"/>
  <c r="BE5" i="1"/>
  <c r="BD5" i="1"/>
  <c r="BC5" i="1"/>
  <c r="BB5" i="1"/>
  <c r="AZ5" i="1"/>
  <c r="AY5" i="1"/>
  <c r="AX5" i="1"/>
  <c r="AW5" i="1"/>
  <c r="AU5" i="1"/>
  <c r="AT5" i="1"/>
  <c r="AS5" i="1"/>
  <c r="AR5" i="1"/>
  <c r="AP5" i="1"/>
  <c r="AO5" i="1"/>
  <c r="AN5" i="1"/>
  <c r="AM5" i="1"/>
  <c r="AK5" i="1"/>
  <c r="AJ5" i="1"/>
  <c r="AI5" i="1"/>
  <c r="AH5" i="1"/>
  <c r="AF5" i="1"/>
  <c r="AE5" i="1"/>
  <c r="AD5" i="1"/>
  <c r="AC5" i="1"/>
  <c r="AA5" i="1"/>
  <c r="Z5" i="1"/>
  <c r="Y5" i="1"/>
  <c r="X5" i="1"/>
  <c r="V5" i="1"/>
  <c r="U5" i="1"/>
  <c r="T5" i="1"/>
  <c r="S5" i="1"/>
  <c r="Q5" i="1"/>
  <c r="P5" i="1"/>
  <c r="O5" i="1"/>
  <c r="N5" i="1"/>
  <c r="L5" i="1"/>
  <c r="K5" i="1"/>
  <c r="J5" i="1"/>
  <c r="I5" i="1"/>
  <c r="BO4" i="1"/>
  <c r="BN4" i="1"/>
  <c r="BM4" i="1"/>
  <c r="BL4" i="1"/>
  <c r="BJ4" i="1"/>
  <c r="BI4" i="1"/>
  <c r="BH4" i="1"/>
  <c r="BG4" i="1"/>
  <c r="BE4" i="1"/>
  <c r="BD4" i="1"/>
  <c r="BC4" i="1"/>
  <c r="BB4" i="1"/>
  <c r="AZ4" i="1"/>
  <c r="AY4" i="1"/>
  <c r="AX4" i="1"/>
  <c r="AW4" i="1"/>
  <c r="AU4" i="1"/>
  <c r="AT4" i="1"/>
  <c r="AS4" i="1"/>
  <c r="AR4" i="1"/>
  <c r="AP4" i="1"/>
  <c r="AO4" i="1"/>
  <c r="AN4" i="1"/>
  <c r="AM4" i="1"/>
  <c r="AK4" i="1"/>
  <c r="AJ4" i="1"/>
  <c r="AI4" i="1"/>
  <c r="AH4" i="1"/>
  <c r="AF4" i="1"/>
  <c r="AE4" i="1"/>
  <c r="AD4" i="1"/>
  <c r="AC4" i="1"/>
  <c r="AA4" i="1"/>
  <c r="Z4" i="1"/>
  <c r="Y4" i="1"/>
  <c r="X4" i="1"/>
  <c r="V4" i="1"/>
  <c r="U4" i="1"/>
  <c r="T4" i="1"/>
  <c r="S4" i="1"/>
  <c r="Q4" i="1"/>
  <c r="P4" i="1"/>
  <c r="O4" i="1"/>
  <c r="N4" i="1"/>
  <c r="L4" i="1"/>
  <c r="K4" i="1"/>
  <c r="J4" i="1"/>
  <c r="I4" i="1"/>
  <c r="L9" i="4"/>
  <c r="N9" i="4"/>
  <c r="O9" i="4" s="1"/>
  <c r="P9" i="4"/>
  <c r="Q9" i="4" s="1"/>
  <c r="S9" i="4"/>
  <c r="T9" i="4" s="1"/>
  <c r="U9" i="4"/>
  <c r="V9" i="4" s="1"/>
  <c r="X9" i="4"/>
  <c r="Y9" i="4" s="1"/>
  <c r="Z9" i="4"/>
  <c r="AA9" i="4" s="1"/>
  <c r="AC9" i="4"/>
  <c r="AD9" i="4" s="1"/>
  <c r="AE9" i="4"/>
  <c r="AF9" i="4" s="1"/>
  <c r="AH9" i="4"/>
  <c r="AI9" i="4" s="1"/>
  <c r="AJ9" i="4"/>
  <c r="AK9" i="4" s="1"/>
  <c r="AM9" i="4"/>
  <c r="AN9" i="4" s="1"/>
  <c r="AO9" i="4"/>
  <c r="AP9" i="4" s="1"/>
  <c r="AR9" i="4"/>
  <c r="AS9" i="4" s="1"/>
  <c r="AT9" i="4"/>
  <c r="AU9" i="4" s="1"/>
  <c r="AW9" i="4"/>
  <c r="AX9" i="4" s="1"/>
  <c r="AY9" i="4"/>
  <c r="AZ9" i="4" s="1"/>
  <c r="BB9" i="4"/>
  <c r="BC9" i="4" s="1"/>
  <c r="BD9" i="4"/>
  <c r="BE9" i="4" s="1"/>
  <c r="BG9" i="4"/>
  <c r="BH9" i="4" s="1"/>
  <c r="BI9" i="4"/>
  <c r="BJ9" i="4" s="1"/>
  <c r="BL9" i="4"/>
  <c r="BM9" i="4" s="1"/>
  <c r="BN9" i="4"/>
  <c r="BO9" i="4" s="1"/>
  <c r="L10" i="4"/>
  <c r="N10" i="4"/>
  <c r="O10" i="4" s="1"/>
  <c r="P10" i="4"/>
  <c r="Q10" i="4" s="1"/>
  <c r="S10" i="4"/>
  <c r="T10" i="4" s="1"/>
  <c r="U10" i="4"/>
  <c r="V10" i="4" s="1"/>
  <c r="X10" i="4"/>
  <c r="Y10" i="4" s="1"/>
  <c r="Z10" i="4"/>
  <c r="AA10" i="4" s="1"/>
  <c r="AC10" i="4"/>
  <c r="AD10" i="4" s="1"/>
  <c r="AE10" i="4"/>
  <c r="AF10" i="4" s="1"/>
  <c r="AH10" i="4"/>
  <c r="AI10" i="4" s="1"/>
  <c r="AJ10" i="4"/>
  <c r="AK10" i="4" s="1"/>
  <c r="AM10" i="4"/>
  <c r="AN10" i="4" s="1"/>
  <c r="AO10" i="4"/>
  <c r="AP10" i="4" s="1"/>
  <c r="AR10" i="4"/>
  <c r="AS10" i="4" s="1"/>
  <c r="AT10" i="4"/>
  <c r="AU10" i="4" s="1"/>
  <c r="AW10" i="4"/>
  <c r="AX10" i="4" s="1"/>
  <c r="AY10" i="4"/>
  <c r="AZ10" i="4" s="1"/>
  <c r="BB10" i="4"/>
  <c r="BC10" i="4" s="1"/>
  <c r="BD10" i="4"/>
  <c r="BE10" i="4" s="1"/>
  <c r="BG10" i="4"/>
  <c r="BH10" i="4" s="1"/>
  <c r="BI10" i="4"/>
  <c r="BJ10" i="4" s="1"/>
  <c r="BL10" i="4"/>
  <c r="BM10" i="4" s="1"/>
  <c r="BN10" i="4"/>
  <c r="BO10" i="4" s="1"/>
  <c r="L11" i="4"/>
  <c r="N11" i="4"/>
  <c r="O11" i="4" s="1"/>
  <c r="P11" i="4"/>
  <c r="Q11" i="4" s="1"/>
  <c r="S11" i="4"/>
  <c r="T11" i="4" s="1"/>
  <c r="U11" i="4"/>
  <c r="V11" i="4" s="1"/>
  <c r="X11" i="4"/>
  <c r="Y11" i="4" s="1"/>
  <c r="Z11" i="4"/>
  <c r="AA11" i="4" s="1"/>
  <c r="AC11" i="4"/>
  <c r="AD11" i="4" s="1"/>
  <c r="AE11" i="4"/>
  <c r="AF11" i="4" s="1"/>
  <c r="AH11" i="4"/>
  <c r="AI11" i="4" s="1"/>
  <c r="AJ11" i="4"/>
  <c r="AK11" i="4" s="1"/>
  <c r="AM11" i="4"/>
  <c r="AN11" i="4" s="1"/>
  <c r="AO11" i="4"/>
  <c r="AP11" i="4" s="1"/>
  <c r="AR11" i="4"/>
  <c r="AS11" i="4" s="1"/>
  <c r="AT11" i="4"/>
  <c r="AU11" i="4" s="1"/>
  <c r="AW11" i="4"/>
  <c r="AX11" i="4" s="1"/>
  <c r="AY11" i="4"/>
  <c r="AZ11" i="4" s="1"/>
  <c r="BB11" i="4"/>
  <c r="BC11" i="4" s="1"/>
  <c r="BD11" i="4"/>
  <c r="BE11" i="4" s="1"/>
  <c r="BG11" i="4"/>
  <c r="BH11" i="4" s="1"/>
  <c r="BI11" i="4"/>
  <c r="BJ11" i="4" s="1"/>
  <c r="BL11" i="4"/>
  <c r="BM11" i="4" s="1"/>
  <c r="BN11" i="4"/>
  <c r="BO11" i="4" s="1"/>
  <c r="K9" i="4"/>
  <c r="K10" i="4"/>
  <c r="K11" i="4"/>
  <c r="BN8" i="4"/>
  <c r="BO8" i="4" s="1"/>
  <c r="BL8" i="4"/>
  <c r="BM8" i="4" s="1"/>
  <c r="BI8" i="4"/>
  <c r="BJ8" i="4" s="1"/>
  <c r="BG8" i="4"/>
  <c r="BH8" i="4" s="1"/>
  <c r="BD8" i="4"/>
  <c r="BE8" i="4" s="1"/>
  <c r="BB8" i="4"/>
  <c r="BC8" i="4" s="1"/>
  <c r="AY8" i="4"/>
  <c r="AZ8" i="4" s="1"/>
  <c r="AW8" i="4"/>
  <c r="AX8" i="4" s="1"/>
  <c r="AT8" i="4"/>
  <c r="AU8" i="4" s="1"/>
  <c r="AR8" i="4"/>
  <c r="AS8" i="4" s="1"/>
  <c r="AO8" i="4"/>
  <c r="AP8" i="4" s="1"/>
  <c r="AM8" i="4"/>
  <c r="AN8" i="4" s="1"/>
  <c r="AJ8" i="4"/>
  <c r="AK8" i="4" s="1"/>
  <c r="AH8" i="4"/>
  <c r="AI8" i="4" s="1"/>
  <c r="AE8" i="4"/>
  <c r="AF8" i="4" s="1"/>
  <c r="AC8" i="4"/>
  <c r="AD8" i="4" s="1"/>
  <c r="Z8" i="4"/>
  <c r="AA8" i="4" s="1"/>
  <c r="X8" i="4"/>
  <c r="Y8" i="4" s="1"/>
  <c r="U8" i="4"/>
  <c r="V8" i="4" s="1"/>
  <c r="S8" i="4"/>
  <c r="T8" i="4" s="1"/>
  <c r="P8" i="4"/>
  <c r="Q8" i="4" s="1"/>
  <c r="N8" i="4"/>
  <c r="O8" i="4" s="1"/>
  <c r="K8" i="4"/>
  <c r="L8" i="4" s="1"/>
  <c r="I8" i="4"/>
  <c r="J8" i="4" s="1"/>
  <c r="BN7" i="4"/>
  <c r="BO7" i="4" s="1"/>
  <c r="BL7" i="4"/>
  <c r="BM7" i="4" s="1"/>
  <c r="BI7" i="4"/>
  <c r="BJ7" i="4" s="1"/>
  <c r="BG7" i="4"/>
  <c r="BH7" i="4" s="1"/>
  <c r="BD7" i="4"/>
  <c r="BE7" i="4" s="1"/>
  <c r="BB7" i="4"/>
  <c r="BC7" i="4" s="1"/>
  <c r="AY7" i="4"/>
  <c r="AZ7" i="4" s="1"/>
  <c r="AW7" i="4"/>
  <c r="AX7" i="4" s="1"/>
  <c r="AT7" i="4"/>
  <c r="AU7" i="4" s="1"/>
  <c r="AR7" i="4"/>
  <c r="AS7" i="4" s="1"/>
  <c r="AO7" i="4"/>
  <c r="AP7" i="4" s="1"/>
  <c r="AM7" i="4"/>
  <c r="AN7" i="4" s="1"/>
  <c r="AJ7" i="4"/>
  <c r="AK7" i="4" s="1"/>
  <c r="AH7" i="4"/>
  <c r="AI7" i="4" s="1"/>
  <c r="AE7" i="4"/>
  <c r="AF7" i="4" s="1"/>
  <c r="AC7" i="4"/>
  <c r="AD7" i="4" s="1"/>
  <c r="Z7" i="4"/>
  <c r="AA7" i="4" s="1"/>
  <c r="X7" i="4"/>
  <c r="Y7" i="4" s="1"/>
  <c r="U7" i="4"/>
  <c r="V7" i="4" s="1"/>
  <c r="S7" i="4"/>
  <c r="T7" i="4" s="1"/>
  <c r="P7" i="4"/>
  <c r="Q7" i="4" s="1"/>
  <c r="N7" i="4"/>
  <c r="O7" i="4" s="1"/>
  <c r="K7" i="4"/>
  <c r="L7" i="4" s="1"/>
  <c r="I7" i="4"/>
  <c r="J7" i="4" s="1"/>
  <c r="BN6" i="4"/>
  <c r="BO6" i="4" s="1"/>
  <c r="BL6" i="4"/>
  <c r="BM6" i="4" s="1"/>
  <c r="BI6" i="4"/>
  <c r="BJ6" i="4" s="1"/>
  <c r="BG6" i="4"/>
  <c r="BH6" i="4" s="1"/>
  <c r="BD6" i="4"/>
  <c r="BE6" i="4" s="1"/>
  <c r="BB6" i="4"/>
  <c r="BC6" i="4" s="1"/>
  <c r="AY6" i="4"/>
  <c r="AZ6" i="4" s="1"/>
  <c r="AW6" i="4"/>
  <c r="AX6" i="4" s="1"/>
  <c r="AT6" i="4"/>
  <c r="AU6" i="4" s="1"/>
  <c r="AR6" i="4"/>
  <c r="AS6" i="4" s="1"/>
  <c r="AO6" i="4"/>
  <c r="AP6" i="4" s="1"/>
  <c r="AM6" i="4"/>
  <c r="AN6" i="4" s="1"/>
  <c r="AJ6" i="4"/>
  <c r="AK6" i="4" s="1"/>
  <c r="AH6" i="4"/>
  <c r="AI6" i="4" s="1"/>
  <c r="AE6" i="4"/>
  <c r="AF6" i="4" s="1"/>
  <c r="AC6" i="4"/>
  <c r="AD6" i="4" s="1"/>
  <c r="Z6" i="4"/>
  <c r="AA6" i="4" s="1"/>
  <c r="X6" i="4"/>
  <c r="Y6" i="4" s="1"/>
  <c r="U6" i="4"/>
  <c r="V6" i="4" s="1"/>
  <c r="S6" i="4"/>
  <c r="T6" i="4" s="1"/>
  <c r="P6" i="4"/>
  <c r="Q6" i="4" s="1"/>
  <c r="N6" i="4"/>
  <c r="O6" i="4" s="1"/>
  <c r="K6" i="4"/>
  <c r="L6" i="4" s="1"/>
  <c r="I6" i="4"/>
  <c r="J6" i="4" s="1"/>
  <c r="BN5" i="4"/>
  <c r="BO5" i="4" s="1"/>
  <c r="BL5" i="4"/>
  <c r="BM5" i="4" s="1"/>
  <c r="BI5" i="4"/>
  <c r="BJ5" i="4" s="1"/>
  <c r="BG5" i="4"/>
  <c r="BH5" i="4" s="1"/>
  <c r="BD5" i="4"/>
  <c r="BE5" i="4" s="1"/>
  <c r="BB5" i="4"/>
  <c r="BC5" i="4" s="1"/>
  <c r="AY5" i="4"/>
  <c r="AZ5" i="4" s="1"/>
  <c r="AW5" i="4"/>
  <c r="AX5" i="4" s="1"/>
  <c r="AT5" i="4"/>
  <c r="AU5" i="4" s="1"/>
  <c r="AR5" i="4"/>
  <c r="AS5" i="4" s="1"/>
  <c r="AO5" i="4"/>
  <c r="AP5" i="4" s="1"/>
  <c r="AM5" i="4"/>
  <c r="AN5" i="4" s="1"/>
  <c r="AJ5" i="4"/>
  <c r="AK5" i="4" s="1"/>
  <c r="AH5" i="4"/>
  <c r="AI5" i="4" s="1"/>
  <c r="AE5" i="4"/>
  <c r="AF5" i="4" s="1"/>
  <c r="AC5" i="4"/>
  <c r="AD5" i="4" s="1"/>
  <c r="Z5" i="4"/>
  <c r="AA5" i="4" s="1"/>
  <c r="X5" i="4"/>
  <c r="Y5" i="4" s="1"/>
  <c r="U5" i="4"/>
  <c r="V5" i="4" s="1"/>
  <c r="S5" i="4"/>
  <c r="T5" i="4" s="1"/>
  <c r="P5" i="4"/>
  <c r="Q5" i="4" s="1"/>
  <c r="N5" i="4"/>
  <c r="O5" i="4" s="1"/>
  <c r="K5" i="4"/>
  <c r="L5" i="4" s="1"/>
  <c r="I5" i="4"/>
  <c r="J5" i="4" s="1"/>
  <c r="BN4" i="4"/>
  <c r="BO4" i="4" s="1"/>
  <c r="BL4" i="4"/>
  <c r="BM4" i="4" s="1"/>
  <c r="BI4" i="4"/>
  <c r="BJ4" i="4" s="1"/>
  <c r="BG4" i="4"/>
  <c r="BH4" i="4" s="1"/>
  <c r="BD4" i="4"/>
  <c r="BE4" i="4" s="1"/>
  <c r="BB4" i="4"/>
  <c r="BC4" i="4" s="1"/>
  <c r="AY4" i="4"/>
  <c r="AZ4" i="4" s="1"/>
  <c r="AW4" i="4"/>
  <c r="AX4" i="4" s="1"/>
  <c r="AT4" i="4"/>
  <c r="AU4" i="4" s="1"/>
  <c r="AR4" i="4"/>
  <c r="AS4" i="4" s="1"/>
  <c r="AO4" i="4"/>
  <c r="AP4" i="4" s="1"/>
  <c r="AM4" i="4"/>
  <c r="AN4" i="4" s="1"/>
  <c r="AJ4" i="4"/>
  <c r="AK4" i="4" s="1"/>
  <c r="AH4" i="4"/>
  <c r="AI4" i="4" s="1"/>
  <c r="AE4" i="4"/>
  <c r="AF4" i="4" s="1"/>
  <c r="AC4" i="4"/>
  <c r="AD4" i="4" s="1"/>
  <c r="Z4" i="4"/>
  <c r="AA4" i="4" s="1"/>
  <c r="X4" i="4"/>
  <c r="Y4" i="4" s="1"/>
  <c r="U4" i="4"/>
  <c r="V4" i="4" s="1"/>
  <c r="S4" i="4"/>
  <c r="T4" i="4" s="1"/>
  <c r="P4" i="4"/>
  <c r="Q4" i="4" s="1"/>
  <c r="N4" i="4"/>
  <c r="O4" i="4" s="1"/>
  <c r="K4" i="4"/>
  <c r="L4" i="4" s="1"/>
  <c r="I4" i="4"/>
  <c r="J4" i="4" s="1"/>
  <c r="H13" i="3"/>
  <c r="H14" i="3"/>
  <c r="H15" i="3"/>
  <c r="H24" i="3"/>
  <c r="H23" i="3"/>
  <c r="H22" i="3"/>
  <c r="H21" i="3"/>
  <c r="H20" i="3"/>
  <c r="H19" i="3"/>
  <c r="H18" i="3"/>
  <c r="H17" i="3"/>
  <c r="H16" i="3"/>
  <c r="K5" i="3"/>
  <c r="L5" i="3" s="1"/>
  <c r="K6" i="3"/>
  <c r="L6" i="3" s="1"/>
  <c r="K7" i="3"/>
  <c r="L7" i="3" s="1"/>
  <c r="K8" i="3"/>
  <c r="L8" i="3" s="1"/>
  <c r="K4" i="3"/>
  <c r="L4" i="3" s="1"/>
  <c r="BO4" i="3"/>
  <c r="BN5" i="3"/>
  <c r="BO5" i="3" s="1"/>
  <c r="BN6" i="3"/>
  <c r="BO6" i="3" s="1"/>
  <c r="BN7" i="3"/>
  <c r="BO7" i="3" s="1"/>
  <c r="BN8" i="3"/>
  <c r="BO8" i="3" s="1"/>
  <c r="BN4" i="3"/>
  <c r="BL5" i="3"/>
  <c r="BM5" i="3" s="1"/>
  <c r="BL6" i="3"/>
  <c r="BM6" i="3" s="1"/>
  <c r="BL7" i="3"/>
  <c r="BM7" i="3" s="1"/>
  <c r="BL8" i="3"/>
  <c r="BM8" i="3" s="1"/>
  <c r="BL4" i="3"/>
  <c r="BM4" i="3" s="1"/>
  <c r="BI5" i="3"/>
  <c r="BJ5" i="3" s="1"/>
  <c r="BI6" i="3"/>
  <c r="BJ6" i="3" s="1"/>
  <c r="BI7" i="3"/>
  <c r="BJ7" i="3" s="1"/>
  <c r="BI8" i="3"/>
  <c r="BJ8" i="3" s="1"/>
  <c r="BI4" i="3"/>
  <c r="BJ4" i="3" s="1"/>
  <c r="BH7" i="3"/>
  <c r="BG5" i="3"/>
  <c r="BH5" i="3" s="1"/>
  <c r="BG6" i="3"/>
  <c r="BH6" i="3" s="1"/>
  <c r="BG7" i="3"/>
  <c r="BG8" i="3"/>
  <c r="BH8" i="3" s="1"/>
  <c r="BG4" i="3"/>
  <c r="BH4" i="3" s="1"/>
  <c r="BD5" i="3"/>
  <c r="BE5" i="3" s="1"/>
  <c r="BD6" i="3"/>
  <c r="BE6" i="3" s="1"/>
  <c r="BD7" i="3"/>
  <c r="BE7" i="3" s="1"/>
  <c r="BD8" i="3"/>
  <c r="BE8" i="3" s="1"/>
  <c r="BD4" i="3"/>
  <c r="BE4" i="3" s="1"/>
  <c r="BB5" i="3"/>
  <c r="BC5" i="3" s="1"/>
  <c r="BB6" i="3"/>
  <c r="BC6" i="3" s="1"/>
  <c r="BB7" i="3"/>
  <c r="BC7" i="3" s="1"/>
  <c r="BB8" i="3"/>
  <c r="BC8" i="3" s="1"/>
  <c r="BB4" i="3"/>
  <c r="BC4" i="3" s="1"/>
  <c r="AY5" i="3"/>
  <c r="AZ5" i="3" s="1"/>
  <c r="AY6" i="3"/>
  <c r="AZ6" i="3" s="1"/>
  <c r="AY7" i="3"/>
  <c r="AZ7" i="3" s="1"/>
  <c r="AY8" i="3"/>
  <c r="AZ8" i="3" s="1"/>
  <c r="AY4" i="3"/>
  <c r="AZ4" i="3" s="1"/>
  <c r="AW5" i="3"/>
  <c r="AX5" i="3" s="1"/>
  <c r="AW6" i="3"/>
  <c r="AX6" i="3" s="1"/>
  <c r="AW7" i="3"/>
  <c r="AX7" i="3" s="1"/>
  <c r="AW8" i="3"/>
  <c r="AX8" i="3" s="1"/>
  <c r="AW4" i="3"/>
  <c r="AX4" i="3" s="1"/>
  <c r="AT5" i="3"/>
  <c r="AU5" i="3" s="1"/>
  <c r="AT6" i="3"/>
  <c r="AU6" i="3" s="1"/>
  <c r="AT7" i="3"/>
  <c r="AU7" i="3" s="1"/>
  <c r="AT8" i="3"/>
  <c r="AU8" i="3" s="1"/>
  <c r="AT4" i="3"/>
  <c r="AU4" i="3" s="1"/>
  <c r="AR5" i="3"/>
  <c r="AS5" i="3" s="1"/>
  <c r="AR6" i="3"/>
  <c r="AS6" i="3" s="1"/>
  <c r="AR7" i="3"/>
  <c r="AS7" i="3" s="1"/>
  <c r="AR8" i="3"/>
  <c r="AS8" i="3" s="1"/>
  <c r="AR4" i="3"/>
  <c r="AS4" i="3" s="1"/>
  <c r="AP4" i="3"/>
  <c r="AO5" i="3"/>
  <c r="AP5" i="3" s="1"/>
  <c r="AO6" i="3"/>
  <c r="AP6" i="3" s="1"/>
  <c r="AO7" i="3"/>
  <c r="AP7" i="3" s="1"/>
  <c r="AO8" i="3"/>
  <c r="AP8" i="3" s="1"/>
  <c r="AO4" i="3"/>
  <c r="AM5" i="3"/>
  <c r="AN5" i="3" s="1"/>
  <c r="AM6" i="3"/>
  <c r="AN6" i="3" s="1"/>
  <c r="AM7" i="3"/>
  <c r="AN7" i="3" s="1"/>
  <c r="AM8" i="3"/>
  <c r="AN8" i="3" s="1"/>
  <c r="AM4" i="3"/>
  <c r="AN4" i="3" s="1"/>
  <c r="AJ5" i="3"/>
  <c r="AK5" i="3" s="1"/>
  <c r="AJ6" i="3"/>
  <c r="AK6" i="3" s="1"/>
  <c r="AJ7" i="3"/>
  <c r="AK7" i="3" s="1"/>
  <c r="AJ8" i="3"/>
  <c r="AK8" i="3" s="1"/>
  <c r="AJ4" i="3"/>
  <c r="AK4" i="3" s="1"/>
  <c r="AI7" i="3"/>
  <c r="AH5" i="3"/>
  <c r="AI5" i="3" s="1"/>
  <c r="AH6" i="3"/>
  <c r="AI6" i="3" s="1"/>
  <c r="AH7" i="3"/>
  <c r="AH8" i="3"/>
  <c r="AI8" i="3" s="1"/>
  <c r="AH4" i="3"/>
  <c r="AI4" i="3" s="1"/>
  <c r="AE5" i="3"/>
  <c r="AF5" i="3" s="1"/>
  <c r="AE6" i="3"/>
  <c r="AF6" i="3" s="1"/>
  <c r="AE7" i="3"/>
  <c r="AF7" i="3" s="1"/>
  <c r="AE8" i="3"/>
  <c r="AF8" i="3" s="1"/>
  <c r="AE4" i="3"/>
  <c r="AF4" i="3" s="1"/>
  <c r="Z5" i="3"/>
  <c r="AA5" i="3" s="1"/>
  <c r="Z6" i="3"/>
  <c r="AA6" i="3" s="1"/>
  <c r="Z7" i="3"/>
  <c r="AA7" i="3" s="1"/>
  <c r="Z8" i="3"/>
  <c r="AA8" i="3" s="1"/>
  <c r="Z4" i="3"/>
  <c r="AA4" i="3" s="1"/>
  <c r="U5" i="3"/>
  <c r="V5" i="3" s="1"/>
  <c r="U6" i="3"/>
  <c r="V6" i="3" s="1"/>
  <c r="U7" i="3"/>
  <c r="V7" i="3" s="1"/>
  <c r="U8" i="3"/>
  <c r="V8" i="3" s="1"/>
  <c r="U4" i="3"/>
  <c r="V4" i="3" s="1"/>
  <c r="P5" i="3"/>
  <c r="Q5" i="3" s="1"/>
  <c r="P6" i="3"/>
  <c r="Q6" i="3" s="1"/>
  <c r="P7" i="3"/>
  <c r="Q7" i="3" s="1"/>
  <c r="P8" i="3"/>
  <c r="Q8" i="3" s="1"/>
  <c r="P4" i="3"/>
  <c r="Q4" i="3" s="1"/>
  <c r="AC5" i="3"/>
  <c r="AD5" i="3" s="1"/>
  <c r="AC6" i="3"/>
  <c r="AD6" i="3" s="1"/>
  <c r="AC7" i="3"/>
  <c r="AD7" i="3" s="1"/>
  <c r="AC8" i="3"/>
  <c r="AD8" i="3" s="1"/>
  <c r="AC4" i="3"/>
  <c r="AD4" i="3" s="1"/>
  <c r="X5" i="3"/>
  <c r="Y5" i="3" s="1"/>
  <c r="X6" i="3"/>
  <c r="Y6" i="3" s="1"/>
  <c r="X7" i="3"/>
  <c r="Y7" i="3" s="1"/>
  <c r="X8" i="3"/>
  <c r="Y8" i="3" s="1"/>
  <c r="X4" i="3"/>
  <c r="Y4" i="3" s="1"/>
  <c r="S7" i="3"/>
  <c r="T7" i="3" s="1"/>
  <c r="S5" i="3"/>
  <c r="T5" i="3" s="1"/>
  <c r="S6" i="3"/>
  <c r="T6" i="3" s="1"/>
  <c r="S8" i="3"/>
  <c r="T8" i="3" s="1"/>
  <c r="S4" i="3"/>
  <c r="T4" i="3" s="1"/>
  <c r="N5" i="3"/>
  <c r="O5" i="3" s="1"/>
  <c r="N6" i="3"/>
  <c r="O6" i="3" s="1"/>
  <c r="N7" i="3"/>
  <c r="O7" i="3" s="1"/>
  <c r="N8" i="3"/>
  <c r="O8" i="3" s="1"/>
  <c r="N4" i="3"/>
  <c r="O4" i="3" s="1"/>
  <c r="I5" i="3"/>
  <c r="J5" i="3" s="1"/>
  <c r="I6" i="3"/>
  <c r="J6" i="3" s="1"/>
  <c r="I7" i="3"/>
  <c r="J7" i="3" s="1"/>
  <c r="I8" i="3"/>
  <c r="J8" i="3" s="1"/>
  <c r="I4" i="3"/>
  <c r="J4" i="3" s="1"/>
  <c r="C8" i="7"/>
  <c r="C9" i="7"/>
  <c r="C10" i="7"/>
  <c r="C11" i="7"/>
  <c r="C12" i="7"/>
  <c r="C13" i="7"/>
  <c r="C14" i="7"/>
  <c r="C15" i="7"/>
  <c r="C16" i="7"/>
  <c r="C17" i="7"/>
  <c r="C18" i="7"/>
  <c r="E8" i="7"/>
  <c r="E9" i="7"/>
  <c r="E10" i="7"/>
  <c r="E11" i="7"/>
  <c r="E12" i="7"/>
  <c r="E13" i="7"/>
  <c r="E14" i="7"/>
  <c r="E15" i="7"/>
  <c r="E16" i="7"/>
  <c r="E17" i="7"/>
  <c r="E18" i="7"/>
  <c r="G8" i="7"/>
  <c r="G9" i="7"/>
  <c r="G10" i="7"/>
  <c r="G11" i="7"/>
  <c r="G12" i="7"/>
  <c r="G13" i="7"/>
  <c r="G14" i="7"/>
  <c r="G15" i="7"/>
  <c r="G16" i="7"/>
  <c r="G17" i="7"/>
  <c r="G18" i="7"/>
  <c r="I8" i="7"/>
  <c r="I9" i="7"/>
  <c r="I10" i="7"/>
  <c r="I11" i="7"/>
  <c r="I12" i="7"/>
  <c r="I13" i="7"/>
  <c r="I14" i="7"/>
  <c r="I15" i="7"/>
  <c r="I16" i="7"/>
  <c r="I17" i="7"/>
  <c r="I18" i="7"/>
  <c r="K8" i="7"/>
  <c r="K9" i="7"/>
  <c r="K10" i="7"/>
  <c r="K11" i="7"/>
  <c r="K12" i="7"/>
  <c r="K13" i="7"/>
  <c r="K14" i="7"/>
  <c r="K15" i="7"/>
  <c r="K16" i="7"/>
  <c r="K17" i="7"/>
  <c r="K18" i="7"/>
  <c r="M8" i="7"/>
  <c r="M9" i="7"/>
  <c r="M10" i="7"/>
  <c r="M11" i="7"/>
  <c r="M12" i="7"/>
  <c r="M13" i="7"/>
  <c r="M14" i="7"/>
  <c r="M15" i="7"/>
  <c r="M16" i="7"/>
  <c r="M17" i="7"/>
  <c r="M18" i="7"/>
  <c r="M7" i="7"/>
  <c r="K7" i="7"/>
  <c r="I7" i="7"/>
  <c r="G7" i="7"/>
  <c r="E7" i="7"/>
  <c r="C7" i="7"/>
  <c r="L8" i="7"/>
  <c r="L10" i="7"/>
  <c r="L11" i="7"/>
  <c r="L12" i="7"/>
  <c r="L13" i="7"/>
  <c r="L14" i="7"/>
  <c r="L15" i="7"/>
  <c r="L16" i="7"/>
  <c r="L17" i="7"/>
  <c r="L18" i="7"/>
  <c r="J8" i="7"/>
  <c r="J10" i="7"/>
  <c r="J11" i="7"/>
  <c r="J12" i="7"/>
  <c r="J13" i="7"/>
  <c r="J14" i="7"/>
  <c r="J15" i="7"/>
  <c r="J16" i="7"/>
  <c r="J17" i="7"/>
  <c r="J18" i="7"/>
  <c r="F18" i="7"/>
  <c r="H10" i="7"/>
  <c r="H11" i="7"/>
  <c r="H12" i="7"/>
  <c r="H13" i="7"/>
  <c r="H14" i="7"/>
  <c r="H15" i="7"/>
  <c r="H16" i="7"/>
  <c r="H17" i="7"/>
  <c r="H18" i="7"/>
  <c r="F10" i="7"/>
  <c r="F11" i="7"/>
  <c r="F12" i="7"/>
  <c r="F13" i="7"/>
  <c r="F14" i="7"/>
  <c r="F15" i="7"/>
  <c r="F16" i="7"/>
  <c r="F17" i="7"/>
  <c r="L7" i="7"/>
  <c r="J7" i="7"/>
  <c r="H7" i="7"/>
  <c r="F7" i="7"/>
  <c r="D10" i="7"/>
  <c r="D11" i="7"/>
  <c r="D12" i="7"/>
  <c r="D13" i="7"/>
  <c r="D14" i="7"/>
  <c r="D15" i="7"/>
  <c r="D16" i="7"/>
  <c r="D17" i="7"/>
  <c r="D18" i="7"/>
  <c r="D7" i="7"/>
  <c r="B10" i="7"/>
  <c r="N10" i="7" s="1"/>
  <c r="B11" i="7"/>
  <c r="B12" i="7"/>
  <c r="B13" i="7"/>
  <c r="B14" i="7"/>
  <c r="B15" i="7"/>
  <c r="B16" i="7"/>
  <c r="B17" i="7"/>
  <c r="B18" i="7"/>
  <c r="B7" i="7"/>
  <c r="L4" i="7"/>
  <c r="D4" i="7"/>
  <c r="D25" i="3"/>
  <c r="G14" i="3"/>
  <c r="G15" i="3"/>
  <c r="G16" i="3"/>
  <c r="G17" i="3"/>
  <c r="G18" i="3"/>
  <c r="G19" i="3"/>
  <c r="G20" i="3"/>
  <c r="G21" i="3"/>
  <c r="G22" i="3"/>
  <c r="G23" i="3"/>
  <c r="G24" i="3"/>
  <c r="G13" i="3"/>
  <c r="F9" i="3"/>
  <c r="B4" i="7" s="1"/>
  <c r="G16" i="6"/>
  <c r="G17" i="6"/>
  <c r="G18" i="6"/>
  <c r="G19" i="6"/>
  <c r="G20" i="6"/>
  <c r="G21" i="6"/>
  <c r="G22" i="6"/>
  <c r="G23" i="6"/>
  <c r="G24" i="6"/>
  <c r="G25" i="6"/>
  <c r="G26" i="6"/>
  <c r="G15" i="6"/>
  <c r="G14" i="5"/>
  <c r="G15" i="5"/>
  <c r="G16" i="5"/>
  <c r="G17" i="5"/>
  <c r="G18" i="5"/>
  <c r="G19" i="5"/>
  <c r="G20" i="5"/>
  <c r="G21" i="5"/>
  <c r="G22" i="5"/>
  <c r="G23" i="5"/>
  <c r="G24" i="5"/>
  <c r="G13" i="5"/>
  <c r="G15" i="2"/>
  <c r="G16" i="2"/>
  <c r="G17" i="2"/>
  <c r="G18" i="2"/>
  <c r="G19" i="2"/>
  <c r="G20" i="2"/>
  <c r="G21" i="2"/>
  <c r="G22" i="2"/>
  <c r="G23" i="2"/>
  <c r="G24" i="2"/>
  <c r="G25" i="2"/>
  <c r="G14" i="2"/>
  <c r="G14" i="1"/>
  <c r="G15" i="1"/>
  <c r="G16" i="1"/>
  <c r="G17" i="1"/>
  <c r="G18" i="1"/>
  <c r="G19" i="1"/>
  <c r="G20" i="1"/>
  <c r="G21" i="1"/>
  <c r="G22" i="1"/>
  <c r="G23" i="1"/>
  <c r="G24" i="1"/>
  <c r="G13" i="1"/>
  <c r="G16" i="4"/>
  <c r="G17" i="4"/>
  <c r="G18" i="4"/>
  <c r="G19" i="4"/>
  <c r="G20" i="4"/>
  <c r="G21" i="4"/>
  <c r="G22" i="4"/>
  <c r="G23" i="4"/>
  <c r="G24" i="4"/>
  <c r="G25" i="4"/>
  <c r="G26" i="4"/>
  <c r="G15" i="4"/>
  <c r="F27" i="6"/>
  <c r="F29" i="6"/>
  <c r="F12" i="6"/>
  <c r="F8" i="5"/>
  <c r="J4" i="7" s="1"/>
  <c r="F25" i="5"/>
  <c r="F26" i="2"/>
  <c r="F10" i="2"/>
  <c r="H4" i="7" s="1"/>
  <c r="F27" i="4"/>
  <c r="F8" i="1"/>
  <c r="F4" i="7" s="1"/>
  <c r="F25" i="1"/>
  <c r="E25" i="1"/>
  <c r="D25" i="1"/>
  <c r="G25" i="1" s="1"/>
  <c r="D27" i="6"/>
  <c r="D25" i="5"/>
  <c r="G25" i="5" s="1"/>
  <c r="D26" i="2"/>
  <c r="D27" i="4"/>
  <c r="G27" i="4" s="1"/>
  <c r="E27" i="6"/>
  <c r="C27" i="6"/>
  <c r="B27" i="6"/>
  <c r="E25" i="5"/>
  <c r="C25" i="5"/>
  <c r="B25" i="5"/>
  <c r="E27" i="4"/>
  <c r="C27" i="4"/>
  <c r="B27" i="4"/>
  <c r="F25" i="3"/>
  <c r="B33" i="3" s="1"/>
  <c r="E25" i="3"/>
  <c r="C25" i="3"/>
  <c r="B25" i="3"/>
  <c r="E26" i="2"/>
  <c r="C26" i="2"/>
  <c r="B26" i="2"/>
  <c r="G27" i="6"/>
  <c r="G26" i="2"/>
  <c r="F29" i="4"/>
  <c r="F28" i="2"/>
  <c r="F27" i="1" l="1"/>
  <c r="O18" i="7"/>
  <c r="O16" i="7"/>
  <c r="O14" i="7"/>
  <c r="O12" i="7"/>
  <c r="O10" i="7"/>
  <c r="O8" i="7"/>
  <c r="F27" i="5"/>
  <c r="O7" i="7"/>
  <c r="O17" i="7"/>
  <c r="O15" i="7"/>
  <c r="O13" i="7"/>
  <c r="O11" i="7"/>
  <c r="O9" i="7"/>
  <c r="O19" i="7"/>
  <c r="Q10" i="7"/>
  <c r="P10" i="7"/>
  <c r="B30" i="3"/>
  <c r="N18" i="7"/>
  <c r="E19" i="7"/>
  <c r="M19" i="7"/>
  <c r="K19" i="7"/>
  <c r="B38" i="3"/>
  <c r="B34" i="3"/>
  <c r="B39" i="3"/>
  <c r="B35" i="3"/>
  <c r="B31" i="3"/>
  <c r="B40" i="3"/>
  <c r="B36" i="3"/>
  <c r="B32" i="3"/>
  <c r="B41" i="3"/>
  <c r="B37" i="3"/>
  <c r="C19" i="7"/>
  <c r="G19" i="7"/>
  <c r="N16" i="7"/>
  <c r="N12" i="7"/>
  <c r="N8" i="7"/>
  <c r="I19" i="7"/>
  <c r="N13" i="7"/>
  <c r="N9" i="7"/>
  <c r="N14" i="7"/>
  <c r="N7" i="7"/>
  <c r="N15" i="7"/>
  <c r="N11" i="7"/>
  <c r="N17" i="7"/>
  <c r="H19" i="7"/>
  <c r="H20" i="7" s="1"/>
  <c r="J19" i="7"/>
  <c r="J20" i="7" s="1"/>
  <c r="B19" i="7"/>
  <c r="B20" i="7" s="1"/>
  <c r="D19" i="7"/>
  <c r="D20" i="7" s="1"/>
  <c r="F19" i="7"/>
  <c r="F20" i="7" s="1"/>
  <c r="L19" i="7"/>
  <c r="L20" i="7" s="1"/>
  <c r="N4" i="7"/>
  <c r="G25" i="3"/>
  <c r="C31" i="3" l="1"/>
  <c r="Q12" i="7"/>
  <c r="P12" i="7"/>
  <c r="P9" i="7"/>
  <c r="P8" i="7"/>
  <c r="Q14" i="7"/>
  <c r="P14" i="7"/>
  <c r="P7" i="7"/>
  <c r="Q9" i="7"/>
  <c r="Q11" i="7"/>
  <c r="P11" i="7"/>
  <c r="P17" i="7"/>
  <c r="Q17" i="7"/>
  <c r="Q15" i="7"/>
  <c r="P15" i="7"/>
  <c r="P13" i="7"/>
  <c r="Q13" i="7"/>
  <c r="Q16" i="7"/>
  <c r="P16" i="7"/>
  <c r="Q18" i="7"/>
  <c r="P18" i="7"/>
  <c r="Q7" i="7"/>
  <c r="Q8" i="7"/>
  <c r="C39" i="3"/>
  <c r="C35" i="3"/>
  <c r="C40" i="3"/>
  <c r="C36" i="3"/>
  <c r="C32" i="3"/>
  <c r="C41" i="3"/>
  <c r="C37" i="3"/>
  <c r="C33" i="3"/>
  <c r="C38" i="3"/>
  <c r="C34" i="3"/>
  <c r="N19" i="7"/>
</calcChain>
</file>

<file path=xl/sharedStrings.xml><?xml version="1.0" encoding="utf-8"?>
<sst xmlns="http://schemas.openxmlformats.org/spreadsheetml/2006/main" count="684" uniqueCount="179">
  <si>
    <t>AGENT</t>
  </si>
  <si>
    <t>2014 COMM</t>
  </si>
  <si>
    <t>2014 Budget</t>
  </si>
  <si>
    <t>BJA</t>
  </si>
  <si>
    <t>Belinda</t>
  </si>
  <si>
    <t>Anderson</t>
  </si>
  <si>
    <t>MRS</t>
  </si>
  <si>
    <t>Mark</t>
  </si>
  <si>
    <t>Salvati</t>
  </si>
  <si>
    <t>NBF</t>
  </si>
  <si>
    <t>Nick</t>
  </si>
  <si>
    <t>Fletcher</t>
  </si>
  <si>
    <t>GAB</t>
  </si>
  <si>
    <t>George</t>
  </si>
  <si>
    <t>Bushby</t>
  </si>
  <si>
    <t>N/A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</si>
  <si>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</si>
  <si>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</si>
  <si>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</si>
  <si>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</si>
  <si>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</si>
  <si>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</si>
  <si>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</si>
  <si>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</si>
  <si>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</si>
  <si>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</si>
  <si>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</si>
  <si>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</si>
  <si>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F14</t>
  </si>
  <si>
    <t>F14 Sales</t>
  </si>
  <si>
    <t>F15</t>
  </si>
  <si>
    <t>F15 Sales</t>
  </si>
  <si>
    <t>Office Target</t>
  </si>
  <si>
    <t>JGS</t>
  </si>
  <si>
    <t>Jason</t>
  </si>
  <si>
    <t>Salan</t>
  </si>
  <si>
    <t>TLS</t>
  </si>
  <si>
    <t>Traci</t>
  </si>
  <si>
    <t>Stella</t>
  </si>
  <si>
    <t>SM</t>
  </si>
  <si>
    <t>Stephanie</t>
  </si>
  <si>
    <t>Michael</t>
  </si>
  <si>
    <t>MKW</t>
  </si>
  <si>
    <t>Maurie</t>
  </si>
  <si>
    <t>Walters</t>
  </si>
  <si>
    <t>RTW</t>
  </si>
  <si>
    <t>Robin</t>
  </si>
  <si>
    <t>Waterbury</t>
  </si>
  <si>
    <t>TGL</t>
  </si>
  <si>
    <t xml:space="preserve">Todd </t>
  </si>
  <si>
    <t>Lucas</t>
  </si>
  <si>
    <t>JJD</t>
  </si>
  <si>
    <t>Jeremy</t>
  </si>
  <si>
    <t>Desmier</t>
  </si>
  <si>
    <t>MWD</t>
  </si>
  <si>
    <t>Dehnert</t>
  </si>
  <si>
    <t>JL</t>
  </si>
  <si>
    <t>Jack</t>
  </si>
  <si>
    <t>Lim</t>
  </si>
  <si>
    <t>GJC</t>
  </si>
  <si>
    <t>Guy</t>
  </si>
  <si>
    <t>Coles</t>
  </si>
  <si>
    <t>DBK</t>
  </si>
  <si>
    <t>Daiman</t>
  </si>
  <si>
    <t>Kane</t>
  </si>
  <si>
    <t>TJH</t>
  </si>
  <si>
    <t>Tim</t>
  </si>
  <si>
    <t>Heavyside</t>
  </si>
  <si>
    <t>MNF</t>
  </si>
  <si>
    <t>TKL</t>
  </si>
  <si>
    <t>Thomas</t>
  </si>
  <si>
    <t>Lo</t>
  </si>
  <si>
    <t>GRL</t>
  </si>
  <si>
    <t>Gail</t>
  </si>
  <si>
    <t>Logan</t>
  </si>
  <si>
    <t>DPT</t>
  </si>
  <si>
    <t>David</t>
  </si>
  <si>
    <t>Taylor</t>
  </si>
  <si>
    <t>BEW</t>
  </si>
  <si>
    <t>Brooke</t>
  </si>
  <si>
    <t>Warwick</t>
  </si>
  <si>
    <t>SAZ</t>
  </si>
  <si>
    <t>Steven</t>
  </si>
  <si>
    <t>Zervas</t>
  </si>
  <si>
    <t>ASH</t>
  </si>
  <si>
    <t>Albert</t>
  </si>
  <si>
    <t>Hazelden</t>
  </si>
  <si>
    <t>RJW</t>
  </si>
  <si>
    <t>Reilly</t>
  </si>
  <si>
    <t>Waterfield</t>
  </si>
  <si>
    <t>JLP</t>
  </si>
  <si>
    <t>Jo</t>
  </si>
  <si>
    <t>Parker</t>
  </si>
  <si>
    <t>NJH</t>
  </si>
  <si>
    <t>Nicholas</t>
  </si>
  <si>
    <t>Holmes</t>
  </si>
  <si>
    <t>SLC</t>
  </si>
  <si>
    <t>Sam</t>
  </si>
  <si>
    <t>Camilleri</t>
  </si>
  <si>
    <t>BTW</t>
  </si>
  <si>
    <t>Ben</t>
  </si>
  <si>
    <t>Williams</t>
  </si>
  <si>
    <t>RAS</t>
  </si>
  <si>
    <t>Robert</t>
  </si>
  <si>
    <t>Sheahan</t>
  </si>
  <si>
    <t>GPK</t>
  </si>
  <si>
    <t>Graeme</t>
  </si>
  <si>
    <t>Keogh</t>
  </si>
  <si>
    <t>TN</t>
  </si>
  <si>
    <t>Troy</t>
  </si>
  <si>
    <t>Nelson</t>
  </si>
  <si>
    <t>MER</t>
  </si>
  <si>
    <t>Richardson</t>
  </si>
  <si>
    <t>CCF</t>
  </si>
  <si>
    <t>Cristina</t>
  </si>
  <si>
    <t>Fotia</t>
  </si>
  <si>
    <t>LDW</t>
  </si>
  <si>
    <t>Lachlan</t>
  </si>
  <si>
    <t>HAWTHORN</t>
  </si>
  <si>
    <t>2015 Office BUDGET</t>
  </si>
  <si>
    <t>2015 TRAVEL TARGET</t>
  </si>
  <si>
    <t>FY14</t>
  </si>
  <si>
    <t>FY14 Sales</t>
  </si>
  <si>
    <t>FY15</t>
  </si>
  <si>
    <t>FY15 Sales</t>
  </si>
  <si>
    <t>2015 Office Target</t>
  </si>
  <si>
    <t xml:space="preserve">Difference </t>
  </si>
  <si>
    <t>Difference</t>
  </si>
  <si>
    <t>Balwyn North</t>
  </si>
  <si>
    <t>Canterbury</t>
  </si>
  <si>
    <t>Manningham</t>
  </si>
  <si>
    <t>Maroondah</t>
  </si>
  <si>
    <t>Whitehorse</t>
  </si>
  <si>
    <t xml:space="preserve">   </t>
  </si>
  <si>
    <t>% of Office Target Achieved</t>
  </si>
  <si>
    <t>AH</t>
  </si>
  <si>
    <t>Adam</t>
  </si>
  <si>
    <t>Harris</t>
  </si>
  <si>
    <t>?</t>
  </si>
  <si>
    <t>F&amp;P</t>
  </si>
  <si>
    <t>Hawthorn</t>
  </si>
  <si>
    <t xml:space="preserve">F15 </t>
  </si>
  <si>
    <t xml:space="preserve"> </t>
  </si>
  <si>
    <t>Actual</t>
  </si>
  <si>
    <t>Budget Target</t>
  </si>
  <si>
    <t>Total Achieved</t>
  </si>
  <si>
    <t>YTD % of each office Budget Achieved</t>
  </si>
  <si>
    <t>Target Budget</t>
  </si>
  <si>
    <t>AUG Expected</t>
  </si>
  <si>
    <t>AUG % Achieved</t>
  </si>
  <si>
    <t>YTD Expected</t>
  </si>
  <si>
    <t>YTD % Achieved</t>
  </si>
  <si>
    <t>SEP Expected</t>
  </si>
  <si>
    <t>SEP % Achieved</t>
  </si>
  <si>
    <t>OCT Expected</t>
  </si>
  <si>
    <t>OCT % Achieved</t>
  </si>
  <si>
    <t>NOV Expected</t>
  </si>
  <si>
    <t>NOV % Achieved</t>
  </si>
  <si>
    <t>DEC Expected</t>
  </si>
  <si>
    <t>DEC % Achieved</t>
  </si>
  <si>
    <t>JAN Expected</t>
  </si>
  <si>
    <t>JAN % Achieved</t>
  </si>
  <si>
    <t>FEB Expected</t>
  </si>
  <si>
    <t>FEB % Achieved</t>
  </si>
  <si>
    <t>MAR Expected</t>
  </si>
  <si>
    <t>MAR % Achieved</t>
  </si>
  <si>
    <t>APR Expected</t>
  </si>
  <si>
    <t>APR % Achieved</t>
  </si>
  <si>
    <t>MAY Expected</t>
  </si>
  <si>
    <t>MAY % Achieved</t>
  </si>
  <si>
    <t>JUN Expected</t>
  </si>
  <si>
    <t>JUN % Achieved</t>
  </si>
  <si>
    <t>JUL Expected</t>
  </si>
  <si>
    <t>JUL % Achieved</t>
  </si>
  <si>
    <t>Monthly</t>
  </si>
  <si>
    <t>Cummulative</t>
  </si>
  <si>
    <t xml:space="preserve"> % budget achieved each month</t>
  </si>
  <si>
    <t>Budget</t>
  </si>
  <si>
    <t xml:space="preserve">Data (not needed in the actual report)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</si>
</sst>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$&quot;* #,##0.00_-;\-&quot;$&quot;* #,##0.00_-;_-&quot;$&quot;* &quot;-&quot;??_-;_-@_-"/>
    <numFmt numFmtId="164" formatCode="&quot;$&quot;#,##0.00"/>
    <numFmt numFmtId="165" formatCode="_(&quot;$&quot;* #,##0_);_(&quot;$&quot;* \(#,##0\);_(&quot;$&quot;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70" formatCode="_-&quot;$&quot;* #,##0_-;\-&quot;$&quot;* #,##0_-;_-&quot;$&quot;* &quot;-&quot;??_-;_-@_-"/>
    <numFmt numFmtId="172" formatCode="&quot;$&quot;#,##0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name val="Agfa Rotis Serif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8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2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36" borderId="0" applyNumberFormat="0" applyBorder="0" applyAlignment="0" applyProtection="0"/>
    <xf numFmtId="0" fontId="18" fillId="39" borderId="0" applyNumberFormat="0" applyBorder="0" applyAlignment="0" applyProtection="0"/>
    <xf numFmtId="0" fontId="18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34" borderId="0" applyNumberFormat="0" applyBorder="0" applyAlignment="0" applyProtection="0"/>
    <xf numFmtId="0" fontId="23" fillId="51" borderId="10" applyNumberFormat="0" applyAlignment="0" applyProtection="0"/>
    <xf numFmtId="0" fontId="24" fillId="52" borderId="11" applyNumberFormat="0" applyAlignment="0" applyProtection="0"/>
    <xf numFmtId="44" fontId="18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35" borderId="0" applyNumberFormat="0" applyBorder="0" applyAlignment="0" applyProtection="0"/>
    <xf numFmtId="0" fontId="27" fillId="0" borderId="12" applyNumberFormat="0" applyFill="0" applyAlignment="0" applyProtection="0"/>
    <xf numFmtId="0" fontId="28" fillId="0" borderId="13" applyNumberFormat="0" applyFill="0" applyAlignment="0" applyProtection="0"/>
    <xf numFmtId="0" fontId="29" fillId="0" borderId="14" applyNumberFormat="0" applyFill="0" applyAlignment="0" applyProtection="0"/>
    <xf numFmtId="0" fontId="29" fillId="0" borderId="0" applyNumberFormat="0" applyFill="0" applyBorder="0" applyAlignment="0" applyProtection="0"/>
    <xf numFmtId="0" fontId="30" fillId="38" borderId="10" applyNumberFormat="0" applyAlignment="0" applyProtection="0"/>
    <xf numFmtId="0" fontId="31" fillId="0" borderId="15" applyNumberFormat="0" applyFill="0" applyAlignment="0" applyProtection="0"/>
    <xf numFmtId="0" fontId="32" fillId="53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8" borderId="8" applyNumberFormat="0" applyFont="0" applyAlignment="0" applyProtection="0"/>
    <xf numFmtId="0" fontId="20" fillId="54" borderId="16" applyNumberFormat="0" applyFont="0" applyAlignment="0" applyProtection="0"/>
    <xf numFmtId="0" fontId="33" fillId="51" borderId="17" applyNumberFormat="0" applyAlignment="0" applyProtection="0"/>
    <xf numFmtId="9" fontId="20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8" applyNumberFormat="0" applyFill="0" applyAlignment="0" applyProtection="0"/>
    <xf numFmtId="0" fontId="36" fillId="0" borderId="0" applyNumberForma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1" fillId="8" borderId="8" applyNumberFormat="0" applyFont="0" applyAlignment="0" applyProtection="0"/>
  </cellStyleXfs>
  <cellXfs count="345">
    <xf numFmtId="0" fontId="0" fillId="0" borderId="0" xfId="0"/>
    <xf numFmtId="44" fontId="0" fillId="0" borderId="0" xfId="0" applyNumberFormat="1"/>
    <xf numFmtId="44" fontId="19" fillId="55" borderId="0" xfId="70" applyFont="1" applyFill="1" applyBorder="1" applyAlignment="1">
      <alignment wrapText="1"/>
    </xf>
    <xf numFmtId="0" fontId="0" fillId="0" borderId="0" xfId="0"/>
    <xf numFmtId="44" fontId="0" fillId="0" borderId="38" xfId="1" applyFont="1" applyBorder="1"/>
    <xf numFmtId="0" fontId="0" fillId="0" borderId="39" xfId="0" applyBorder="1" applyAlignment="1">
      <alignment horizontal="center"/>
    </xf>
    <xf numFmtId="44" fontId="0" fillId="0" borderId="34" xfId="1" applyFont="1" applyBorder="1"/>
    <xf numFmtId="0" fontId="0" fillId="0" borderId="33" xfId="0" applyBorder="1" applyAlignment="1">
      <alignment horizontal="center"/>
    </xf>
    <xf numFmtId="168" fontId="41" fillId="60" borderId="30" xfId="123" applyNumberFormat="1" applyFont="1" applyFill="1" applyBorder="1" applyAlignment="1"/>
    <xf numFmtId="168" fontId="41" fillId="60" borderId="34" xfId="123" applyNumberFormat="1" applyFont="1" applyFill="1" applyBorder="1" applyAlignment="1"/>
    <xf numFmtId="0" fontId="0" fillId="0" borderId="44" xfId="0" applyBorder="1"/>
    <xf numFmtId="0" fontId="16" fillId="0" borderId="28" xfId="0" applyFont="1" applyBorder="1"/>
    <xf numFmtId="0" fontId="0" fillId="0" borderId="29" xfId="0" applyBorder="1"/>
    <xf numFmtId="44" fontId="0" fillId="0" borderId="36" xfId="1" applyFont="1" applyBorder="1"/>
    <xf numFmtId="0" fontId="0" fillId="0" borderId="37" xfId="0" applyBorder="1" applyAlignment="1">
      <alignment horizontal="center"/>
    </xf>
    <xf numFmtId="0" fontId="16" fillId="0" borderId="42" xfId="0" applyFont="1" applyBorder="1" applyAlignment="1">
      <alignment horizontal="center"/>
    </xf>
    <xf numFmtId="0" fontId="16" fillId="0" borderId="43" xfId="0" applyFont="1" applyBorder="1" applyAlignment="1">
      <alignment horizontal="center"/>
    </xf>
    <xf numFmtId="44" fontId="0" fillId="56" borderId="36" xfId="1" applyFont="1" applyFill="1" applyBorder="1"/>
    <xf numFmtId="44" fontId="0" fillId="0" borderId="39" xfId="0" applyNumberFormat="1" applyBorder="1"/>
    <xf numFmtId="44" fontId="0" fillId="0" borderId="33" xfId="0" applyNumberFormat="1" applyBorder="1"/>
    <xf numFmtId="44" fontId="0" fillId="0" borderId="32" xfId="1" applyFont="1" applyBorder="1"/>
    <xf numFmtId="165" fontId="41" fillId="60" borderId="38" xfId="124" applyNumberFormat="1" applyFont="1" applyFill="1" applyBorder="1" applyAlignment="1"/>
    <xf numFmtId="3" fontId="41" fillId="60" borderId="39" xfId="98" applyNumberFormat="1" applyFont="1" applyFill="1" applyBorder="1" applyAlignment="1">
      <alignment horizontal="center"/>
    </xf>
    <xf numFmtId="1" fontId="41" fillId="60" borderId="39" xfId="98" applyNumberFormat="1" applyFont="1" applyFill="1" applyBorder="1" applyAlignment="1">
      <alignment horizontal="center"/>
    </xf>
    <xf numFmtId="168" fontId="41" fillId="60" borderId="38" xfId="123" applyNumberFormat="1" applyFont="1" applyFill="1" applyBorder="1" applyAlignment="1"/>
    <xf numFmtId="1" fontId="41" fillId="60" borderId="31" xfId="98" applyNumberFormat="1" applyFont="1" applyFill="1" applyBorder="1" applyAlignment="1">
      <alignment horizontal="center"/>
    </xf>
    <xf numFmtId="0" fontId="0" fillId="0" borderId="45" xfId="0" applyBorder="1" applyAlignment="1">
      <alignment horizontal="center"/>
    </xf>
    <xf numFmtId="44" fontId="0" fillId="0" borderId="42" xfId="1" applyFont="1" applyBorder="1"/>
    <xf numFmtId="0" fontId="0" fillId="0" borderId="43" xfId="0" applyBorder="1" applyAlignment="1">
      <alignment horizontal="center"/>
    </xf>
    <xf numFmtId="164" fontId="19" fillId="55" borderId="0" xfId="0" applyNumberFormat="1" applyFont="1" applyFill="1" applyBorder="1"/>
    <xf numFmtId="0" fontId="19" fillId="55" borderId="0" xfId="0" applyFont="1" applyFill="1" applyBorder="1" applyAlignment="1">
      <alignment wrapText="1"/>
    </xf>
    <xf numFmtId="0" fontId="16" fillId="0" borderId="0" xfId="0" applyFont="1"/>
    <xf numFmtId="0" fontId="0" fillId="0" borderId="0" xfId="0"/>
    <xf numFmtId="1" fontId="41" fillId="60" borderId="33" xfId="98" applyNumberFormat="1" applyFont="1" applyFill="1" applyBorder="1" applyAlignment="1">
      <alignment horizontal="center"/>
    </xf>
    <xf numFmtId="0" fontId="0" fillId="0" borderId="0" xfId="0"/>
    <xf numFmtId="0" fontId="19" fillId="55" borderId="19" xfId="0" applyFont="1" applyFill="1" applyBorder="1" applyAlignment="1">
      <alignment wrapText="1"/>
    </xf>
    <xf numFmtId="44" fontId="19" fillId="55" borderId="20" xfId="70" applyFont="1" applyFill="1" applyBorder="1" applyAlignment="1">
      <alignment wrapText="1"/>
    </xf>
    <xf numFmtId="0" fontId="19" fillId="55" borderId="20" xfId="0" applyFont="1" applyFill="1" applyBorder="1" applyAlignment="1">
      <alignment wrapText="1"/>
    </xf>
    <xf numFmtId="164" fontId="19" fillId="55" borderId="21" xfId="0" applyNumberFormat="1" applyFont="1" applyFill="1" applyBorder="1"/>
    <xf numFmtId="44" fontId="19" fillId="57" borderId="21" xfId="70" applyFont="1" applyFill="1" applyBorder="1"/>
    <xf numFmtId="44" fontId="38" fillId="59" borderId="21" xfId="70" applyFont="1" applyFill="1" applyBorder="1"/>
    <xf numFmtId="0" fontId="0" fillId="0" borderId="0" xfId="0"/>
    <xf numFmtId="0" fontId="19" fillId="55" borderId="19" xfId="0" applyFont="1" applyFill="1" applyBorder="1" applyAlignment="1">
      <alignment wrapText="1"/>
    </xf>
    <xf numFmtId="44" fontId="19" fillId="55" borderId="20" xfId="70" applyFont="1" applyFill="1" applyBorder="1" applyAlignment="1">
      <alignment wrapText="1"/>
    </xf>
    <xf numFmtId="0" fontId="19" fillId="55" borderId="20" xfId="0" applyFont="1" applyFill="1" applyBorder="1" applyAlignment="1">
      <alignment wrapText="1"/>
    </xf>
    <xf numFmtId="164" fontId="19" fillId="55" borderId="21" xfId="0" applyNumberFormat="1" applyFont="1" applyFill="1" applyBorder="1"/>
    <xf numFmtId="44" fontId="19" fillId="57" borderId="21" xfId="70" applyFont="1" applyFill="1" applyBorder="1"/>
    <xf numFmtId="44" fontId="38" fillId="59" borderId="21" xfId="70" applyFont="1" applyFill="1" applyBorder="1"/>
    <xf numFmtId="0" fontId="0" fillId="0" borderId="0" xfId="0"/>
    <xf numFmtId="0" fontId="19" fillId="55" borderId="19" xfId="0" applyFont="1" applyFill="1" applyBorder="1" applyAlignment="1">
      <alignment wrapText="1"/>
    </xf>
    <xf numFmtId="44" fontId="19" fillId="55" borderId="20" xfId="70" applyFont="1" applyFill="1" applyBorder="1" applyAlignment="1">
      <alignment wrapText="1"/>
    </xf>
    <xf numFmtId="0" fontId="19" fillId="55" borderId="20" xfId="0" applyFont="1" applyFill="1" applyBorder="1" applyAlignment="1">
      <alignment wrapText="1"/>
    </xf>
    <xf numFmtId="164" fontId="19" fillId="55" borderId="21" xfId="0" applyNumberFormat="1" applyFont="1" applyFill="1" applyBorder="1"/>
    <xf numFmtId="44" fontId="19" fillId="57" borderId="21" xfId="70" applyFont="1" applyFill="1" applyBorder="1"/>
    <xf numFmtId="44" fontId="38" fillId="59" borderId="21" xfId="70" applyFont="1" applyFill="1" applyBorder="1"/>
    <xf numFmtId="0" fontId="0" fillId="0" borderId="0" xfId="0"/>
    <xf numFmtId="0" fontId="19" fillId="55" borderId="19" xfId="0" applyFont="1" applyFill="1" applyBorder="1" applyAlignment="1">
      <alignment wrapText="1"/>
    </xf>
    <xf numFmtId="44" fontId="19" fillId="55" borderId="20" xfId="70" applyFont="1" applyFill="1" applyBorder="1" applyAlignment="1">
      <alignment wrapText="1"/>
    </xf>
    <xf numFmtId="0" fontId="19" fillId="55" borderId="20" xfId="0" applyFont="1" applyFill="1" applyBorder="1" applyAlignment="1">
      <alignment wrapText="1"/>
    </xf>
    <xf numFmtId="164" fontId="19" fillId="55" borderId="21" xfId="0" applyNumberFormat="1" applyFont="1" applyFill="1" applyBorder="1"/>
    <xf numFmtId="44" fontId="19" fillId="57" borderId="21" xfId="70" applyFont="1" applyFill="1" applyBorder="1"/>
    <xf numFmtId="44" fontId="38" fillId="59" borderId="21" xfId="70" applyFont="1" applyFill="1" applyBorder="1"/>
    <xf numFmtId="0" fontId="0" fillId="0" borderId="0" xfId="0"/>
    <xf numFmtId="0" fontId="19" fillId="55" borderId="24" xfId="0" applyFont="1" applyFill="1" applyBorder="1" applyAlignment="1">
      <alignment wrapText="1"/>
    </xf>
    <xf numFmtId="0" fontId="19" fillId="55" borderId="25" xfId="0" applyFont="1" applyFill="1" applyBorder="1" applyAlignment="1">
      <alignment wrapText="1"/>
    </xf>
    <xf numFmtId="44" fontId="19" fillId="55" borderId="25" xfId="70" applyFont="1" applyFill="1" applyBorder="1" applyAlignment="1">
      <alignment wrapText="1"/>
    </xf>
    <xf numFmtId="44" fontId="19" fillId="57" borderId="26" xfId="70" applyNumberFormat="1" applyFont="1" applyFill="1" applyBorder="1"/>
    <xf numFmtId="164" fontId="19" fillId="55" borderId="26" xfId="0" applyNumberFormat="1" applyFont="1" applyFill="1" applyBorder="1"/>
    <xf numFmtId="44" fontId="40" fillId="59" borderId="21" xfId="70" applyFont="1" applyFill="1" applyBorder="1"/>
    <xf numFmtId="0" fontId="0" fillId="0" borderId="0" xfId="0"/>
    <xf numFmtId="164" fontId="19" fillId="55" borderId="21" xfId="0" applyNumberFormat="1" applyFont="1" applyFill="1" applyBorder="1"/>
    <xf numFmtId="44" fontId="19" fillId="57" borderId="21" xfId="70" applyFont="1" applyFill="1" applyBorder="1"/>
    <xf numFmtId="0" fontId="19" fillId="55" borderId="21" xfId="0" applyFont="1" applyFill="1" applyBorder="1" applyAlignment="1">
      <alignment wrapText="1"/>
    </xf>
    <xf numFmtId="44" fontId="19" fillId="55" borderId="21" xfId="70" applyFont="1" applyFill="1" applyBorder="1" applyAlignment="1">
      <alignment wrapText="1"/>
    </xf>
    <xf numFmtId="0" fontId="0" fillId="0" borderId="0" xfId="0"/>
    <xf numFmtId="165" fontId="41" fillId="60" borderId="38" xfId="124" applyNumberFormat="1" applyFont="1" applyFill="1" applyBorder="1" applyAlignment="1"/>
    <xf numFmtId="3" fontId="41" fillId="60" borderId="39" xfId="98" applyNumberFormat="1" applyFont="1" applyFill="1" applyBorder="1" applyAlignment="1">
      <alignment horizontal="center"/>
    </xf>
    <xf numFmtId="1" fontId="41" fillId="60" borderId="39" xfId="98" applyNumberFormat="1" applyFont="1" applyFill="1" applyBorder="1" applyAlignment="1">
      <alignment horizontal="center"/>
    </xf>
    <xf numFmtId="168" fontId="41" fillId="60" borderId="38" xfId="123" applyNumberFormat="1" applyFont="1" applyFill="1" applyBorder="1" applyAlignment="1"/>
    <xf numFmtId="0" fontId="0" fillId="0" borderId="0" xfId="0" applyAlignment="1">
      <alignment horizontal="right"/>
    </xf>
    <xf numFmtId="44" fontId="38" fillId="59" borderId="21" xfId="70" applyFont="1" applyFill="1" applyBorder="1" applyAlignment="1">
      <alignment horizontal="right"/>
    </xf>
    <xf numFmtId="0" fontId="0" fillId="0" borderId="0" xfId="0"/>
    <xf numFmtId="44" fontId="19" fillId="57" borderId="21" xfId="70" applyFont="1" applyFill="1" applyBorder="1"/>
    <xf numFmtId="44" fontId="19" fillId="57" borderId="21" xfId="70" applyNumberFormat="1" applyFont="1" applyFill="1" applyBorder="1"/>
    <xf numFmtId="0" fontId="19" fillId="55" borderId="21" xfId="0" applyFont="1" applyFill="1" applyBorder="1" applyAlignment="1">
      <alignment wrapText="1"/>
    </xf>
    <xf numFmtId="44" fontId="19" fillId="55" borderId="21" xfId="70" applyFont="1" applyFill="1" applyBorder="1" applyAlignment="1">
      <alignment wrapText="1"/>
    </xf>
    <xf numFmtId="44" fontId="19" fillId="59" borderId="21" xfId="70" applyFont="1" applyFill="1" applyBorder="1"/>
    <xf numFmtId="168" fontId="41" fillId="60" borderId="38" xfId="123" applyNumberFormat="1" applyFont="1" applyFill="1" applyBorder="1" applyAlignment="1"/>
    <xf numFmtId="1" fontId="41" fillId="60" borderId="39" xfId="98" applyNumberFormat="1" applyFont="1" applyFill="1" applyBorder="1" applyAlignment="1">
      <alignment horizontal="center"/>
    </xf>
    <xf numFmtId="3" fontId="41" fillId="60" borderId="39" xfId="98" applyNumberFormat="1" applyFont="1" applyFill="1" applyBorder="1" applyAlignment="1">
      <alignment horizontal="center"/>
    </xf>
    <xf numFmtId="165" fontId="41" fillId="60" borderId="38" xfId="98" applyNumberFormat="1" applyFont="1" applyFill="1" applyBorder="1" applyAlignment="1"/>
    <xf numFmtId="168" fontId="41" fillId="60" borderId="38" xfId="123" applyNumberFormat="1" applyFont="1" applyFill="1" applyBorder="1"/>
    <xf numFmtId="0" fontId="19" fillId="55" borderId="19" xfId="0" applyFont="1" applyFill="1" applyBorder="1" applyAlignment="1">
      <alignment wrapText="1"/>
    </xf>
    <xf numFmtId="44" fontId="19" fillId="55" borderId="20" xfId="70" applyFont="1" applyFill="1" applyBorder="1" applyAlignment="1">
      <alignment wrapText="1"/>
    </xf>
    <xf numFmtId="0" fontId="19" fillId="55" borderId="20" xfId="0" applyFont="1" applyFill="1" applyBorder="1" applyAlignment="1">
      <alignment wrapText="1"/>
    </xf>
    <xf numFmtId="0" fontId="19" fillId="55" borderId="19" xfId="0" applyFont="1" applyFill="1" applyBorder="1" applyAlignment="1">
      <alignment wrapText="1"/>
    </xf>
    <xf numFmtId="44" fontId="19" fillId="55" borderId="20" xfId="70" applyFont="1" applyFill="1" applyBorder="1" applyAlignment="1">
      <alignment wrapText="1"/>
    </xf>
    <xf numFmtId="0" fontId="19" fillId="55" borderId="20" xfId="0" applyFont="1" applyFill="1" applyBorder="1" applyAlignment="1">
      <alignment wrapText="1"/>
    </xf>
    <xf numFmtId="0" fontId="19" fillId="55" borderId="19" xfId="0" applyFont="1" applyFill="1" applyBorder="1" applyAlignment="1">
      <alignment wrapText="1"/>
    </xf>
    <xf numFmtId="44" fontId="19" fillId="55" borderId="20" xfId="70" applyFont="1" applyFill="1" applyBorder="1" applyAlignment="1">
      <alignment wrapText="1"/>
    </xf>
    <xf numFmtId="0" fontId="19" fillId="55" borderId="20" xfId="0" applyFont="1" applyFill="1" applyBorder="1" applyAlignment="1">
      <alignment wrapText="1"/>
    </xf>
    <xf numFmtId="0" fontId="0" fillId="0" borderId="0" xfId="0"/>
    <xf numFmtId="0" fontId="19" fillId="55" borderId="19" xfId="0" applyFont="1" applyFill="1" applyBorder="1" applyAlignment="1">
      <alignment wrapText="1"/>
    </xf>
    <xf numFmtId="44" fontId="19" fillId="55" borderId="20" xfId="70" applyFont="1" applyFill="1" applyBorder="1" applyAlignment="1">
      <alignment wrapText="1"/>
    </xf>
    <xf numFmtId="0" fontId="19" fillId="55" borderId="20" xfId="0" applyFont="1" applyFill="1" applyBorder="1" applyAlignment="1">
      <alignment wrapText="1"/>
    </xf>
    <xf numFmtId="165" fontId="41" fillId="60" borderId="40" xfId="98" applyNumberFormat="1" applyFont="1" applyFill="1" applyBorder="1" applyAlignment="1"/>
    <xf numFmtId="1" fontId="41" fillId="60" borderId="41" xfId="98" applyNumberFormat="1" applyFont="1" applyFill="1" applyBorder="1" applyAlignment="1">
      <alignment horizontal="center"/>
    </xf>
    <xf numFmtId="3" fontId="41" fillId="60" borderId="41" xfId="98" applyNumberFormat="1" applyFont="1" applyFill="1" applyBorder="1" applyAlignment="1">
      <alignment horizontal="center"/>
    </xf>
    <xf numFmtId="168" fontId="41" fillId="60" borderId="40" xfId="123" applyNumberFormat="1" applyFont="1" applyFill="1" applyBorder="1" applyAlignment="1"/>
    <xf numFmtId="1" fontId="41" fillId="60" borderId="39" xfId="98" applyNumberFormat="1" applyFont="1" applyFill="1" applyBorder="1" applyAlignment="1">
      <alignment horizontal="center"/>
    </xf>
    <xf numFmtId="0" fontId="0" fillId="0" borderId="0" xfId="0"/>
    <xf numFmtId="0" fontId="19" fillId="55" borderId="19" xfId="0" applyFont="1" applyFill="1" applyBorder="1" applyAlignment="1">
      <alignment wrapText="1"/>
    </xf>
    <xf numFmtId="44" fontId="19" fillId="55" borderId="20" xfId="70" applyFont="1" applyFill="1" applyBorder="1" applyAlignment="1">
      <alignment wrapText="1"/>
    </xf>
    <xf numFmtId="0" fontId="19" fillId="55" borderId="20" xfId="0" applyFont="1" applyFill="1" applyBorder="1" applyAlignment="1">
      <alignment wrapText="1"/>
    </xf>
    <xf numFmtId="44" fontId="19" fillId="57" borderId="21" xfId="70" applyFont="1" applyFill="1" applyBorder="1"/>
    <xf numFmtId="44" fontId="38" fillId="59" borderId="21" xfId="70" applyFont="1" applyFill="1" applyBorder="1"/>
    <xf numFmtId="0" fontId="19" fillId="55" borderId="19" xfId="0" applyFont="1" applyFill="1" applyBorder="1" applyAlignment="1">
      <alignment wrapText="1"/>
    </xf>
    <xf numFmtId="44" fontId="19" fillId="55" borderId="20" xfId="70" applyFont="1" applyFill="1" applyBorder="1" applyAlignment="1">
      <alignment wrapText="1"/>
    </xf>
    <xf numFmtId="0" fontId="19" fillId="55" borderId="20" xfId="0" applyFont="1" applyFill="1" applyBorder="1" applyAlignment="1">
      <alignment wrapText="1"/>
    </xf>
    <xf numFmtId="44" fontId="19" fillId="57" borderId="21" xfId="70" applyFont="1" applyFill="1" applyBorder="1"/>
    <xf numFmtId="44" fontId="38" fillId="59" borderId="21" xfId="70" applyFont="1" applyFill="1" applyBorder="1"/>
    <xf numFmtId="0" fontId="0" fillId="0" borderId="0" xfId="0"/>
    <xf numFmtId="0" fontId="19" fillId="55" borderId="19" xfId="0" applyFont="1" applyFill="1" applyBorder="1" applyAlignment="1">
      <alignment wrapText="1"/>
    </xf>
    <xf numFmtId="44" fontId="19" fillId="55" borderId="20" xfId="70" applyFont="1" applyFill="1" applyBorder="1" applyAlignment="1">
      <alignment wrapText="1"/>
    </xf>
    <xf numFmtId="0" fontId="19" fillId="55" borderId="20" xfId="0" applyFont="1" applyFill="1" applyBorder="1" applyAlignment="1">
      <alignment wrapText="1"/>
    </xf>
    <xf numFmtId="44" fontId="19" fillId="57" borderId="21" xfId="70" applyFont="1" applyFill="1" applyBorder="1"/>
    <xf numFmtId="44" fontId="38" fillId="59" borderId="21" xfId="70" applyFont="1" applyFill="1" applyBorder="1"/>
    <xf numFmtId="0" fontId="0" fillId="0" borderId="0" xfId="0"/>
    <xf numFmtId="0" fontId="19" fillId="55" borderId="19" xfId="0" applyFont="1" applyFill="1" applyBorder="1" applyAlignment="1">
      <alignment wrapText="1"/>
    </xf>
    <xf numFmtId="44" fontId="19" fillId="55" borderId="20" xfId="70" applyFont="1" applyFill="1" applyBorder="1" applyAlignment="1">
      <alignment wrapText="1"/>
    </xf>
    <xf numFmtId="0" fontId="19" fillId="55" borderId="20" xfId="0" applyFont="1" applyFill="1" applyBorder="1" applyAlignment="1">
      <alignment wrapText="1"/>
    </xf>
    <xf numFmtId="44" fontId="19" fillId="57" borderId="21" xfId="70" applyFont="1" applyFill="1" applyBorder="1"/>
    <xf numFmtId="44" fontId="38" fillId="59" borderId="21" xfId="70" applyFont="1" applyFill="1" applyBorder="1"/>
    <xf numFmtId="0" fontId="0" fillId="0" borderId="0" xfId="0"/>
    <xf numFmtId="0" fontId="19" fillId="55" borderId="19" xfId="0" applyFont="1" applyFill="1" applyBorder="1" applyAlignment="1">
      <alignment wrapText="1"/>
    </xf>
    <xf numFmtId="44" fontId="19" fillId="55" borderId="20" xfId="70" applyFont="1" applyFill="1" applyBorder="1" applyAlignment="1">
      <alignment wrapText="1"/>
    </xf>
    <xf numFmtId="0" fontId="19" fillId="55" borderId="20" xfId="0" applyFont="1" applyFill="1" applyBorder="1" applyAlignment="1">
      <alignment wrapText="1"/>
    </xf>
    <xf numFmtId="44" fontId="19" fillId="57" borderId="21" xfId="70" applyNumberFormat="1" applyFont="1" applyFill="1" applyBorder="1"/>
    <xf numFmtId="44" fontId="19" fillId="59" borderId="21" xfId="70" applyFont="1" applyFill="1" applyBorder="1"/>
    <xf numFmtId="0" fontId="0" fillId="0" borderId="0" xfId="0"/>
    <xf numFmtId="164" fontId="19" fillId="55" borderId="21" xfId="0" applyNumberFormat="1" applyFont="1" applyFill="1" applyBorder="1"/>
    <xf numFmtId="0" fontId="0" fillId="0" borderId="0" xfId="0" applyBorder="1"/>
    <xf numFmtId="9" fontId="0" fillId="0" borderId="0" xfId="2" applyFont="1" applyBorder="1"/>
    <xf numFmtId="44" fontId="0" fillId="0" borderId="42" xfId="2" applyNumberFormat="1" applyFont="1" applyBorder="1" applyAlignment="1">
      <alignment horizontal="center"/>
    </xf>
    <xf numFmtId="44" fontId="0" fillId="0" borderId="35" xfId="2" applyNumberFormat="1" applyFont="1" applyBorder="1" applyAlignment="1">
      <alignment horizontal="center"/>
    </xf>
    <xf numFmtId="9" fontId="0" fillId="0" borderId="27" xfId="2" applyFont="1" applyBorder="1" applyAlignment="1">
      <alignment horizontal="center" vertical="center"/>
    </xf>
    <xf numFmtId="44" fontId="0" fillId="0" borderId="31" xfId="0" applyNumberFormat="1" applyBorder="1"/>
    <xf numFmtId="44" fontId="0" fillId="56" borderId="30" xfId="1" applyFont="1" applyFill="1" applyBorder="1"/>
    <xf numFmtId="0" fontId="0" fillId="0" borderId="0" xfId="0"/>
    <xf numFmtId="0" fontId="42" fillId="0" borderId="0" xfId="0" applyFont="1"/>
    <xf numFmtId="0" fontId="16" fillId="0" borderId="27" xfId="0" applyFont="1" applyBorder="1" applyAlignment="1">
      <alignment horizontal="center" vertical="center" wrapText="1"/>
    </xf>
    <xf numFmtId="0" fontId="19" fillId="55" borderId="19" xfId="0" applyFont="1" applyFill="1" applyBorder="1" applyAlignment="1">
      <alignment wrapText="1"/>
    </xf>
    <xf numFmtId="44" fontId="19" fillId="55" borderId="20" xfId="70" applyFont="1" applyFill="1" applyBorder="1" applyAlignment="1">
      <alignment wrapText="1"/>
    </xf>
    <xf numFmtId="0" fontId="19" fillId="55" borderId="20" xfId="0" applyFont="1" applyFill="1" applyBorder="1" applyAlignment="1">
      <alignment wrapText="1"/>
    </xf>
    <xf numFmtId="44" fontId="19" fillId="57" borderId="21" xfId="70" applyFont="1" applyFill="1" applyBorder="1"/>
    <xf numFmtId="44" fontId="19" fillId="59" borderId="21" xfId="70" applyFont="1" applyFill="1" applyBorder="1"/>
    <xf numFmtId="165" fontId="41" fillId="60" borderId="38" xfId="124" applyNumberFormat="1" applyFont="1" applyFill="1" applyBorder="1" applyAlignment="1"/>
    <xf numFmtId="3" fontId="41" fillId="60" borderId="39" xfId="98" applyNumberFormat="1" applyFont="1" applyFill="1" applyBorder="1" applyAlignment="1">
      <alignment horizontal="center"/>
    </xf>
    <xf numFmtId="1" fontId="41" fillId="60" borderId="39" xfId="98" applyNumberFormat="1" applyFont="1" applyFill="1" applyBorder="1" applyAlignment="1">
      <alignment horizontal="center"/>
    </xf>
    <xf numFmtId="168" fontId="41" fillId="60" borderId="38" xfId="123" applyNumberFormat="1" applyFont="1" applyFill="1" applyBorder="1" applyAlignment="1"/>
    <xf numFmtId="1" fontId="41" fillId="60" borderId="37" xfId="98" applyNumberFormat="1" applyFont="1" applyFill="1" applyBorder="1" applyAlignment="1">
      <alignment horizontal="center"/>
    </xf>
    <xf numFmtId="1" fontId="41" fillId="60" borderId="33" xfId="98" applyNumberFormat="1" applyFont="1" applyFill="1" applyBorder="1" applyAlignment="1">
      <alignment horizontal="center"/>
    </xf>
    <xf numFmtId="9" fontId="0" fillId="0" borderId="21" xfId="2" applyFont="1" applyBorder="1"/>
    <xf numFmtId="0" fontId="0" fillId="0" borderId="21" xfId="0" applyBorder="1"/>
    <xf numFmtId="44" fontId="38" fillId="59" borderId="21" xfId="70" applyFont="1" applyFill="1" applyBorder="1"/>
    <xf numFmtId="164" fontId="19" fillId="55" borderId="21" xfId="0" applyNumberFormat="1" applyFont="1" applyFill="1" applyBorder="1"/>
    <xf numFmtId="44" fontId="19" fillId="57" borderId="21" xfId="70" applyNumberFormat="1" applyFont="1" applyFill="1" applyBorder="1"/>
    <xf numFmtId="44" fontId="0" fillId="0" borderId="38" xfId="1" applyFont="1" applyBorder="1"/>
    <xf numFmtId="44" fontId="0" fillId="0" borderId="34" xfId="1" applyFont="1" applyBorder="1"/>
    <xf numFmtId="168" fontId="41" fillId="60" borderId="34" xfId="123" applyNumberFormat="1" applyFont="1" applyFill="1" applyBorder="1" applyAlignment="1"/>
    <xf numFmtId="0" fontId="0" fillId="0" borderId="44" xfId="0" applyBorder="1"/>
    <xf numFmtId="0" fontId="16" fillId="0" borderId="28" xfId="0" applyFont="1" applyBorder="1"/>
    <xf numFmtId="0" fontId="0" fillId="0" borderId="29" xfId="0" applyBorder="1"/>
    <xf numFmtId="44" fontId="0" fillId="0" borderId="36" xfId="1" applyFont="1" applyBorder="1"/>
    <xf numFmtId="0" fontId="16" fillId="0" borderId="42" xfId="0" applyFont="1" applyBorder="1" applyAlignment="1">
      <alignment horizontal="center"/>
    </xf>
    <xf numFmtId="0" fontId="16" fillId="0" borderId="43" xfId="0" applyFont="1" applyBorder="1" applyAlignment="1">
      <alignment horizontal="center"/>
    </xf>
    <xf numFmtId="44" fontId="0" fillId="0" borderId="37" xfId="0" applyNumberFormat="1" applyBorder="1"/>
    <xf numFmtId="44" fontId="0" fillId="56" borderId="38" xfId="1" applyFont="1" applyFill="1" applyBorder="1"/>
    <xf numFmtId="44" fontId="0" fillId="56" borderId="34" xfId="1" applyFont="1" applyFill="1" applyBorder="1"/>
    <xf numFmtId="168" fontId="41" fillId="60" borderId="36" xfId="123" applyNumberFormat="1" applyFont="1" applyFill="1" applyBorder="1" applyAlignment="1"/>
    <xf numFmtId="44" fontId="0" fillId="0" borderId="42" xfId="1" applyFont="1" applyBorder="1"/>
    <xf numFmtId="0" fontId="0" fillId="0" borderId="43" xfId="0" applyBorder="1" applyAlignment="1">
      <alignment horizontal="center"/>
    </xf>
    <xf numFmtId="44" fontId="0" fillId="0" borderId="35" xfId="2" applyNumberFormat="1" applyFont="1" applyBorder="1" applyAlignment="1">
      <alignment horizontal="center"/>
    </xf>
    <xf numFmtId="9" fontId="0" fillId="0" borderId="27" xfId="2" applyFont="1" applyBorder="1" applyAlignment="1">
      <alignment horizontal="center" vertical="center"/>
    </xf>
    <xf numFmtId="44" fontId="0" fillId="0" borderId="21" xfId="0" applyNumberFormat="1" applyBorder="1"/>
    <xf numFmtId="44" fontId="38" fillId="59" borderId="21" xfId="70" applyFont="1" applyFill="1" applyBorder="1" applyAlignment="1">
      <alignment horizontal="right"/>
    </xf>
    <xf numFmtId="0" fontId="16" fillId="0" borderId="46" xfId="0" applyFont="1" applyBorder="1" applyAlignment="1">
      <alignment horizontal="center"/>
    </xf>
    <xf numFmtId="0" fontId="16" fillId="0" borderId="47" xfId="0" applyFont="1" applyBorder="1" applyAlignment="1">
      <alignment horizontal="center"/>
    </xf>
    <xf numFmtId="44" fontId="0" fillId="0" borderId="43" xfId="0" applyNumberFormat="1" applyBorder="1"/>
    <xf numFmtId="0" fontId="0" fillId="0" borderId="48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9" xfId="0" applyBorder="1" applyAlignment="1">
      <alignment horizontal="center"/>
    </xf>
    <xf numFmtId="44" fontId="0" fillId="56" borderId="50" xfId="1" applyFont="1" applyFill="1" applyBorder="1"/>
    <xf numFmtId="44" fontId="0" fillId="0" borderId="51" xfId="0" applyNumberFormat="1" applyBorder="1"/>
    <xf numFmtId="44" fontId="0" fillId="0" borderId="21" xfId="1" applyFont="1" applyBorder="1"/>
    <xf numFmtId="9" fontId="0" fillId="0" borderId="0" xfId="2" applyFont="1"/>
    <xf numFmtId="164" fontId="19" fillId="55" borderId="21" xfId="0" applyNumberFormat="1" applyFont="1" applyFill="1" applyBorder="1" applyAlignment="1">
      <alignment horizontal="center"/>
    </xf>
    <xf numFmtId="0" fontId="43" fillId="0" borderId="0" xfId="0" applyFont="1"/>
    <xf numFmtId="10" fontId="0" fillId="0" borderId="0" xfId="2" applyNumberFormat="1" applyFont="1"/>
    <xf numFmtId="0" fontId="42" fillId="0" borderId="0" xfId="0" applyFont="1" applyAlignment="1">
      <alignment horizontal="left"/>
    </xf>
    <xf numFmtId="0" fontId="0" fillId="0" borderId="0" xfId="0"/>
    <xf numFmtId="44" fontId="37" fillId="58" borderId="20" xfId="70" applyFont="1" applyFill="1" applyBorder="1" applyAlignment="1">
      <alignment horizontal="center" vertical="center" wrapText="1"/>
    </xf>
    <xf numFmtId="0" fontId="37" fillId="58" borderId="21" xfId="0" applyFont="1" applyFill="1" applyBorder="1" applyAlignment="1">
      <alignment horizontal="center" vertical="center"/>
    </xf>
    <xf numFmtId="44" fontId="37" fillId="58" borderId="21" xfId="70" applyFont="1" applyFill="1" applyBorder="1" applyAlignment="1">
      <alignment horizontal="center" vertical="center"/>
    </xf>
    <xf numFmtId="44" fontId="39" fillId="58" borderId="21" xfId="70" applyFont="1" applyFill="1" applyBorder="1" applyAlignment="1">
      <alignment horizontal="center" vertical="center"/>
    </xf>
    <xf numFmtId="44" fontId="0" fillId="0" borderId="0" xfId="0" applyNumberFormat="1" applyBorder="1"/>
    <xf numFmtId="44" fontId="0" fillId="0" borderId="54" xfId="0" applyNumberFormat="1" applyBorder="1"/>
    <xf numFmtId="168" fontId="41" fillId="60" borderId="57" xfId="123" applyNumberFormat="1" applyFont="1" applyFill="1" applyBorder="1"/>
    <xf numFmtId="3" fontId="41" fillId="60" borderId="58" xfId="98" applyNumberFormat="1" applyFont="1" applyFill="1" applyBorder="1" applyAlignment="1">
      <alignment horizontal="center"/>
    </xf>
    <xf numFmtId="9" fontId="0" fillId="0" borderId="56" xfId="2" applyFont="1" applyBorder="1"/>
    <xf numFmtId="44" fontId="19" fillId="57" borderId="26" xfId="70" applyFont="1" applyFill="1" applyBorder="1"/>
    <xf numFmtId="44" fontId="38" fillId="59" borderId="26" xfId="70" applyFont="1" applyFill="1" applyBorder="1"/>
    <xf numFmtId="44" fontId="0" fillId="0" borderId="56" xfId="0" applyNumberFormat="1" applyBorder="1"/>
    <xf numFmtId="44" fontId="19" fillId="55" borderId="21" xfId="70" applyFont="1" applyFill="1" applyBorder="1" applyAlignment="1">
      <alignment horizontal="center" wrapText="1"/>
    </xf>
    <xf numFmtId="44" fontId="19" fillId="57" borderId="21" xfId="70" applyFont="1" applyFill="1" applyBorder="1" applyAlignment="1">
      <alignment horizontal="center"/>
    </xf>
    <xf numFmtId="44" fontId="38" fillId="59" borderId="21" xfId="70" applyFont="1" applyFill="1" applyBorder="1" applyAlignment="1">
      <alignment horizontal="center"/>
    </xf>
    <xf numFmtId="44" fontId="0" fillId="0" borderId="59" xfId="0" applyNumberFormat="1" applyBorder="1"/>
    <xf numFmtId="0" fontId="16" fillId="0" borderId="60" xfId="0" applyFont="1" applyBorder="1"/>
    <xf numFmtId="0" fontId="16" fillId="0" borderId="61" xfId="0" applyFont="1" applyBorder="1"/>
    <xf numFmtId="0" fontId="0" fillId="0" borderId="62" xfId="0" applyBorder="1"/>
    <xf numFmtId="0" fontId="16" fillId="0" borderId="64" xfId="0" applyFont="1" applyBorder="1"/>
    <xf numFmtId="44" fontId="0" fillId="0" borderId="48" xfId="0" applyNumberFormat="1" applyBorder="1"/>
    <xf numFmtId="0" fontId="16" fillId="0" borderId="42" xfId="0" applyFont="1" applyBorder="1"/>
    <xf numFmtId="44" fontId="0" fillId="0" borderId="67" xfId="0" applyNumberFormat="1" applyBorder="1"/>
    <xf numFmtId="9" fontId="0" fillId="0" borderId="0" xfId="2" applyFont="1" applyBorder="1" applyAlignment="1">
      <alignment horizontal="center" vertical="center"/>
    </xf>
    <xf numFmtId="44" fontId="0" fillId="56" borderId="56" xfId="0" applyNumberFormat="1" applyFill="1" applyBorder="1"/>
    <xf numFmtId="44" fontId="0" fillId="56" borderId="21" xfId="0" applyNumberFormat="1" applyFill="1" applyBorder="1"/>
    <xf numFmtId="44" fontId="0" fillId="56" borderId="26" xfId="0" applyNumberFormat="1" applyFill="1" applyBorder="1"/>
    <xf numFmtId="0" fontId="45" fillId="57" borderId="27" xfId="0" applyFont="1" applyFill="1" applyBorder="1" applyAlignment="1">
      <alignment horizontal="center" vertical="center" wrapText="1"/>
    </xf>
    <xf numFmtId="0" fontId="16" fillId="0" borderId="62" xfId="0" applyFont="1" applyBorder="1" applyAlignment="1">
      <alignment horizontal="center" vertical="center"/>
    </xf>
    <xf numFmtId="0" fontId="0" fillId="56" borderId="54" xfId="0" applyFill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56" borderId="63" xfId="0" applyFill="1" applyBorder="1" applyAlignment="1">
      <alignment horizontal="center" vertical="center"/>
    </xf>
    <xf numFmtId="0" fontId="0" fillId="57" borderId="62" xfId="0" applyFill="1" applyBorder="1" applyAlignment="1">
      <alignment horizontal="center" vertical="center"/>
    </xf>
    <xf numFmtId="44" fontId="0" fillId="56" borderId="64" xfId="0" applyNumberFormat="1" applyFill="1" applyBorder="1"/>
    <xf numFmtId="44" fontId="0" fillId="0" borderId="72" xfId="0" applyNumberFormat="1" applyBorder="1"/>
    <xf numFmtId="44" fontId="0" fillId="0" borderId="53" xfId="0" applyNumberFormat="1" applyBorder="1"/>
    <xf numFmtId="44" fontId="16" fillId="56" borderId="63" xfId="0" applyNumberFormat="1" applyFont="1" applyFill="1" applyBorder="1"/>
    <xf numFmtId="44" fontId="0" fillId="0" borderId="54" xfId="0" applyNumberFormat="1" applyFont="1" applyBorder="1"/>
    <xf numFmtId="44" fontId="0" fillId="0" borderId="69" xfId="0" applyNumberFormat="1" applyFont="1" applyBorder="1"/>
    <xf numFmtId="44" fontId="0" fillId="0" borderId="63" xfId="0" applyNumberFormat="1" applyFont="1" applyBorder="1"/>
    <xf numFmtId="0" fontId="44" fillId="0" borderId="70" xfId="0" applyFont="1" applyFill="1" applyBorder="1" applyAlignment="1">
      <alignment horizontal="left" vertical="center" wrapText="1"/>
    </xf>
    <xf numFmtId="9" fontId="0" fillId="0" borderId="68" xfId="2" applyFont="1" applyBorder="1" applyAlignment="1">
      <alignment horizontal="center" vertical="center"/>
    </xf>
    <xf numFmtId="44" fontId="0" fillId="56" borderId="74" xfId="0" applyNumberFormat="1" applyFill="1" applyBorder="1"/>
    <xf numFmtId="44" fontId="0" fillId="56" borderId="34" xfId="0" applyNumberFormat="1" applyFill="1" applyBorder="1"/>
    <xf numFmtId="44" fontId="38" fillId="59" borderId="56" xfId="70" applyFont="1" applyFill="1" applyBorder="1"/>
    <xf numFmtId="44" fontId="38" fillId="61" borderId="76" xfId="1" applyFont="1" applyFill="1" applyBorder="1" applyAlignment="1">
      <alignment wrapText="1"/>
    </xf>
    <xf numFmtId="44" fontId="38" fillId="61" borderId="77" xfId="1" applyFont="1" applyFill="1" applyBorder="1" applyAlignment="1">
      <alignment wrapText="1"/>
    </xf>
    <xf numFmtId="44" fontId="38" fillId="61" borderId="78" xfId="1" applyFont="1" applyFill="1" applyBorder="1" applyAlignment="1">
      <alignment wrapText="1"/>
    </xf>
    <xf numFmtId="44" fontId="38" fillId="61" borderId="79" xfId="1" applyFont="1" applyFill="1" applyBorder="1" applyAlignment="1">
      <alignment wrapText="1"/>
    </xf>
    <xf numFmtId="44" fontId="0" fillId="0" borderId="75" xfId="1" applyFont="1" applyBorder="1"/>
    <xf numFmtId="44" fontId="38" fillId="56" borderId="21" xfId="1" applyFont="1" applyFill="1" applyBorder="1" applyAlignment="1">
      <alignment wrapText="1"/>
    </xf>
    <xf numFmtId="9" fontId="38" fillId="56" borderId="21" xfId="2" applyFont="1" applyFill="1" applyBorder="1" applyAlignment="1">
      <alignment wrapText="1"/>
    </xf>
    <xf numFmtId="9" fontId="38" fillId="56" borderId="56" xfId="2" applyFont="1" applyFill="1" applyBorder="1" applyAlignment="1">
      <alignment wrapText="1"/>
    </xf>
    <xf numFmtId="9" fontId="0" fillId="56" borderId="56" xfId="2" applyFont="1" applyFill="1" applyBorder="1"/>
    <xf numFmtId="44" fontId="38" fillId="56" borderId="56" xfId="1" applyFont="1" applyFill="1" applyBorder="1" applyAlignment="1">
      <alignment wrapText="1"/>
    </xf>
    <xf numFmtId="44" fontId="0" fillId="56" borderId="56" xfId="1" applyFont="1" applyFill="1" applyBorder="1"/>
    <xf numFmtId="9" fontId="0" fillId="56" borderId="21" xfId="2" applyFont="1" applyFill="1" applyBorder="1"/>
    <xf numFmtId="0" fontId="0" fillId="0" borderId="33" xfId="0" applyBorder="1"/>
    <xf numFmtId="44" fontId="0" fillId="56" borderId="81" xfId="0" applyNumberFormat="1" applyFill="1" applyBorder="1"/>
    <xf numFmtId="9" fontId="0" fillId="0" borderId="37" xfId="0" applyNumberFormat="1" applyBorder="1"/>
    <xf numFmtId="44" fontId="0" fillId="0" borderId="82" xfId="0" applyNumberFormat="1" applyBorder="1"/>
    <xf numFmtId="9" fontId="0" fillId="0" borderId="39" xfId="2" applyFont="1" applyBorder="1"/>
    <xf numFmtId="0" fontId="0" fillId="57" borderId="27" xfId="0" applyFill="1" applyBorder="1" applyAlignment="1">
      <alignment horizontal="center" vertical="center"/>
    </xf>
    <xf numFmtId="44" fontId="0" fillId="0" borderId="54" xfId="0" applyNumberFormat="1" applyBorder="1" applyAlignment="1">
      <alignment horizontal="center" vertical="center"/>
    </xf>
    <xf numFmtId="44" fontId="0" fillId="0" borderId="66" xfId="0" applyNumberFormat="1" applyBorder="1" applyAlignment="1">
      <alignment horizontal="center" vertical="center"/>
    </xf>
    <xf numFmtId="0" fontId="16" fillId="0" borderId="54" xfId="0" applyFont="1" applyBorder="1" applyAlignment="1">
      <alignment horizontal="center"/>
    </xf>
    <xf numFmtId="0" fontId="16" fillId="0" borderId="69" xfId="0" applyFont="1" applyBorder="1" applyAlignment="1">
      <alignment horizontal="center"/>
    </xf>
    <xf numFmtId="0" fontId="16" fillId="57" borderId="73" xfId="0" applyFont="1" applyFill="1" applyBorder="1" applyAlignment="1">
      <alignment horizontal="center"/>
    </xf>
    <xf numFmtId="0" fontId="16" fillId="57" borderId="71" xfId="0" applyFont="1" applyFill="1" applyBorder="1" applyAlignment="1">
      <alignment horizontal="center"/>
    </xf>
    <xf numFmtId="44" fontId="0" fillId="0" borderId="42" xfId="0" applyNumberFormat="1" applyBorder="1" applyAlignment="1">
      <alignment horizontal="center" vertical="center"/>
    </xf>
    <xf numFmtId="44" fontId="0" fillId="0" borderId="43" xfId="0" applyNumberFormat="1" applyBorder="1" applyAlignment="1">
      <alignment horizontal="center" vertical="center"/>
    </xf>
    <xf numFmtId="44" fontId="0" fillId="0" borderId="65" xfId="0" applyNumberFormat="1" applyBorder="1" applyAlignment="1">
      <alignment horizontal="center" vertical="center"/>
    </xf>
    <xf numFmtId="0" fontId="16" fillId="0" borderId="65" xfId="0" applyFont="1" applyBorder="1" applyAlignment="1">
      <alignment horizontal="center"/>
    </xf>
    <xf numFmtId="0" fontId="16" fillId="0" borderId="62" xfId="0" applyFont="1" applyBorder="1" applyAlignment="1">
      <alignment horizontal="center"/>
    </xf>
    <xf numFmtId="0" fontId="37" fillId="58" borderId="20" xfId="0" applyFont="1" applyFill="1" applyBorder="1" applyAlignment="1">
      <alignment horizontal="center" vertical="center" wrapText="1"/>
    </xf>
    <xf numFmtId="0" fontId="37" fillId="58" borderId="22" xfId="0" applyFont="1" applyFill="1" applyBorder="1" applyAlignment="1">
      <alignment horizontal="center" vertical="center" wrapText="1"/>
    </xf>
    <xf numFmtId="0" fontId="37" fillId="58" borderId="23" xfId="0" applyFont="1" applyFill="1" applyBorder="1" applyAlignment="1">
      <alignment horizontal="center" vertical="center" wrapText="1"/>
    </xf>
    <xf numFmtId="44" fontId="38" fillId="59" borderId="0" xfId="70" applyFont="1" applyFill="1" applyBorder="1"/>
    <xf numFmtId="0" fontId="16" fillId="0" borderId="0" xfId="0" applyFont="1" applyBorder="1" applyAlignment="1">
      <alignment horizontal="center"/>
    </xf>
    <xf numFmtId="0" fontId="39" fillId="58" borderId="21" xfId="0" applyFont="1" applyFill="1" applyBorder="1" applyAlignment="1">
      <alignment horizontal="center" vertical="center"/>
    </xf>
    <xf numFmtId="0" fontId="39" fillId="58" borderId="21" xfId="0" applyFont="1" applyFill="1" applyBorder="1" applyAlignment="1">
      <alignment horizontal="center" vertical="center" wrapText="1"/>
    </xf>
    <xf numFmtId="0" fontId="39" fillId="58" borderId="75" xfId="0" applyFont="1" applyFill="1" applyBorder="1" applyAlignment="1">
      <alignment horizontal="center" vertical="center"/>
    </xf>
    <xf numFmtId="0" fontId="38" fillId="0" borderId="0" xfId="0" applyFont="1"/>
    <xf numFmtId="44" fontId="38" fillId="0" borderId="56" xfId="1" applyFont="1" applyBorder="1"/>
    <xf numFmtId="44" fontId="38" fillId="56" borderId="56" xfId="0" applyNumberFormat="1" applyFont="1" applyFill="1" applyBorder="1"/>
    <xf numFmtId="9" fontId="38" fillId="56" borderId="56" xfId="2" applyFont="1" applyFill="1" applyBorder="1"/>
    <xf numFmtId="44" fontId="38" fillId="56" borderId="56" xfId="1" applyFont="1" applyFill="1" applyBorder="1"/>
    <xf numFmtId="0" fontId="38" fillId="0" borderId="56" xfId="0" applyFont="1" applyBorder="1"/>
    <xf numFmtId="44" fontId="38" fillId="56" borderId="21" xfId="0" applyNumberFormat="1" applyFont="1" applyFill="1" applyBorder="1"/>
    <xf numFmtId="9" fontId="38" fillId="56" borderId="21" xfId="2" applyFont="1" applyFill="1" applyBorder="1"/>
    <xf numFmtId="44" fontId="38" fillId="0" borderId="21" xfId="1" applyFont="1" applyBorder="1"/>
    <xf numFmtId="0" fontId="38" fillId="0" borderId="21" xfId="0" applyFont="1" applyBorder="1"/>
    <xf numFmtId="44" fontId="38" fillId="0" borderId="41" xfId="1" applyFont="1" applyBorder="1"/>
    <xf numFmtId="44" fontId="38" fillId="0" borderId="75" xfId="1" applyFont="1" applyBorder="1"/>
    <xf numFmtId="44" fontId="38" fillId="0" borderId="21" xfId="0" applyNumberFormat="1" applyFont="1" applyBorder="1"/>
    <xf numFmtId="44" fontId="38" fillId="0" borderId="0" xfId="0" applyNumberFormat="1" applyFont="1" applyBorder="1"/>
    <xf numFmtId="44" fontId="38" fillId="0" borderId="0" xfId="0" applyNumberFormat="1" applyFont="1"/>
    <xf numFmtId="0" fontId="38" fillId="0" borderId="44" xfId="0" applyFont="1" applyBorder="1"/>
    <xf numFmtId="0" fontId="46" fillId="0" borderId="42" xfId="0" applyFont="1" applyBorder="1" applyAlignment="1">
      <alignment horizontal="center"/>
    </xf>
    <xf numFmtId="0" fontId="46" fillId="0" borderId="43" xfId="0" applyFont="1" applyBorder="1" applyAlignment="1">
      <alignment horizontal="center"/>
    </xf>
    <xf numFmtId="0" fontId="46" fillId="0" borderId="54" xfId="0" applyFont="1" applyBorder="1" applyAlignment="1">
      <alignment horizontal="center"/>
    </xf>
    <xf numFmtId="0" fontId="46" fillId="0" borderId="27" xfId="0" applyFont="1" applyFill="1" applyBorder="1" applyAlignment="1">
      <alignment horizontal="center"/>
    </xf>
    <xf numFmtId="0" fontId="46" fillId="0" borderId="28" xfId="0" applyFont="1" applyBorder="1"/>
    <xf numFmtId="44" fontId="38" fillId="0" borderId="56" xfId="0" applyNumberFormat="1" applyFont="1" applyFill="1" applyBorder="1"/>
    <xf numFmtId="0" fontId="38" fillId="0" borderId="37" xfId="0" applyFont="1" applyBorder="1" applyAlignment="1">
      <alignment horizontal="center"/>
    </xf>
    <xf numFmtId="44" fontId="38" fillId="56" borderId="30" xfId="1" applyFont="1" applyFill="1" applyBorder="1"/>
    <xf numFmtId="44" fontId="38" fillId="0" borderId="80" xfId="0" applyNumberFormat="1" applyFont="1" applyBorder="1"/>
    <xf numFmtId="9" fontId="38" fillId="0" borderId="83" xfId="2" applyFont="1" applyBorder="1"/>
    <xf numFmtId="44" fontId="38" fillId="0" borderId="21" xfId="0" applyNumberFormat="1" applyFont="1" applyFill="1" applyBorder="1"/>
    <xf numFmtId="0" fontId="38" fillId="0" borderId="39" xfId="0" applyFont="1" applyBorder="1" applyAlignment="1">
      <alignment horizontal="center"/>
    </xf>
    <xf numFmtId="44" fontId="38" fillId="56" borderId="38" xfId="1" applyFont="1" applyFill="1" applyBorder="1"/>
    <xf numFmtId="44" fontId="38" fillId="0" borderId="48" xfId="0" applyNumberFormat="1" applyFont="1" applyBorder="1"/>
    <xf numFmtId="9" fontId="38" fillId="0" borderId="28" xfId="2" applyFont="1" applyBorder="1"/>
    <xf numFmtId="44" fontId="38" fillId="0" borderId="38" xfId="1" applyFont="1" applyFill="1" applyBorder="1"/>
    <xf numFmtId="44" fontId="38" fillId="0" borderId="38" xfId="1" applyFont="1" applyBorder="1"/>
    <xf numFmtId="44" fontId="38" fillId="0" borderId="34" xfId="1" applyFont="1" applyBorder="1"/>
    <xf numFmtId="0" fontId="38" fillId="0" borderId="33" xfId="0" applyFont="1" applyBorder="1" applyAlignment="1">
      <alignment horizontal="center"/>
    </xf>
    <xf numFmtId="44" fontId="38" fillId="56" borderId="34" xfId="1" applyFont="1" applyFill="1" applyBorder="1"/>
    <xf numFmtId="44" fontId="38" fillId="0" borderId="45" xfId="0" applyNumberFormat="1" applyFont="1" applyBorder="1"/>
    <xf numFmtId="9" fontId="38" fillId="0" borderId="84" xfId="2" applyFont="1" applyBorder="1"/>
    <xf numFmtId="0" fontId="38" fillId="0" borderId="29" xfId="0" applyFont="1" applyBorder="1"/>
    <xf numFmtId="44" fontId="38" fillId="0" borderId="32" xfId="1" applyFont="1" applyBorder="1"/>
    <xf numFmtId="0" fontId="38" fillId="0" borderId="45" xfId="0" applyFont="1" applyBorder="1" applyAlignment="1">
      <alignment horizontal="center"/>
    </xf>
    <xf numFmtId="44" fontId="38" fillId="0" borderId="42" xfId="1" applyFont="1" applyBorder="1"/>
    <xf numFmtId="0" fontId="38" fillId="0" borderId="43" xfId="0" applyFont="1" applyBorder="1" applyAlignment="1">
      <alignment horizontal="center"/>
    </xf>
    <xf numFmtId="44" fontId="38" fillId="0" borderId="35" xfId="1" applyFont="1" applyBorder="1"/>
    <xf numFmtId="10" fontId="38" fillId="0" borderId="27" xfId="0" applyNumberFormat="1" applyFont="1" applyBorder="1"/>
    <xf numFmtId="10" fontId="38" fillId="0" borderId="0" xfId="2" applyNumberFormat="1" applyFont="1"/>
    <xf numFmtId="10" fontId="38" fillId="0" borderId="0" xfId="0" applyNumberFormat="1" applyFont="1"/>
    <xf numFmtId="170" fontId="38" fillId="56" borderId="56" xfId="0" applyNumberFormat="1" applyFont="1" applyFill="1" applyBorder="1"/>
    <xf numFmtId="170" fontId="38" fillId="56" borderId="21" xfId="0" applyNumberFormat="1" applyFont="1" applyFill="1" applyBorder="1"/>
    <xf numFmtId="170" fontId="38" fillId="56" borderId="56" xfId="1" applyNumberFormat="1" applyFont="1" applyFill="1" applyBorder="1"/>
    <xf numFmtId="172" fontId="19" fillId="55" borderId="21" xfId="0" applyNumberFormat="1" applyFont="1" applyFill="1" applyBorder="1"/>
    <xf numFmtId="170" fontId="19" fillId="57" borderId="21" xfId="70" applyNumberFormat="1" applyFont="1" applyFill="1" applyBorder="1"/>
    <xf numFmtId="170" fontId="38" fillId="59" borderId="21" xfId="70" applyNumberFormat="1" applyFont="1" applyFill="1" applyBorder="1"/>
    <xf numFmtId="170" fontId="38" fillId="59" borderId="21" xfId="70" applyNumberFormat="1" applyFont="1" applyFill="1" applyBorder="1" applyAlignment="1">
      <alignment horizontal="right"/>
    </xf>
    <xf numFmtId="170" fontId="38" fillId="56" borderId="21" xfId="1" applyNumberFormat="1" applyFont="1" applyFill="1" applyBorder="1" applyAlignment="1">
      <alignment wrapText="1"/>
    </xf>
    <xf numFmtId="170" fontId="38" fillId="61" borderId="52" xfId="1" applyNumberFormat="1" applyFont="1" applyFill="1" applyBorder="1" applyAlignment="1">
      <alignment wrapText="1"/>
    </xf>
    <xf numFmtId="170" fontId="38" fillId="61" borderId="78" xfId="1" applyNumberFormat="1" applyFont="1" applyFill="1" applyBorder="1" applyAlignment="1">
      <alignment wrapText="1"/>
    </xf>
    <xf numFmtId="170" fontId="38" fillId="61" borderId="79" xfId="1" applyNumberFormat="1" applyFont="1" applyFill="1" applyBorder="1" applyAlignment="1">
      <alignment wrapText="1"/>
    </xf>
    <xf numFmtId="170" fontId="38" fillId="0" borderId="75" xfId="1" applyNumberFormat="1" applyFont="1" applyBorder="1"/>
    <xf numFmtId="0" fontId="46" fillId="0" borderId="0" xfId="0" applyFont="1"/>
    <xf numFmtId="170" fontId="38" fillId="0" borderId="21" xfId="1" applyNumberFormat="1" applyFont="1" applyBorder="1"/>
    <xf numFmtId="170" fontId="38" fillId="61" borderId="55" xfId="1" applyNumberFormat="1" applyFont="1" applyFill="1" applyBorder="1" applyAlignment="1">
      <alignment wrapText="1"/>
    </xf>
  </cellXfs>
  <cellStyles count="126">
    <cellStyle name="20% - Accent1" xfId="20" builtinId="30" customBuiltin="1"/>
    <cellStyle name="20% - Accent1 2" xfId="43"/>
    <cellStyle name="20% - Accent2" xfId="24" builtinId="34" customBuiltin="1"/>
    <cellStyle name="20% - Accent2 2" xfId="44"/>
    <cellStyle name="20% - Accent3" xfId="28" builtinId="38" customBuiltin="1"/>
    <cellStyle name="20% - Accent3 2" xfId="45"/>
    <cellStyle name="20% - Accent4" xfId="32" builtinId="42" customBuiltin="1"/>
    <cellStyle name="20% - Accent4 2" xfId="46"/>
    <cellStyle name="20% - Accent5" xfId="36" builtinId="46" customBuiltin="1"/>
    <cellStyle name="20% - Accent5 2" xfId="47"/>
    <cellStyle name="20% - Accent6" xfId="40" builtinId="50" customBuiltin="1"/>
    <cellStyle name="20% - Accent6 2" xfId="48"/>
    <cellStyle name="40% - Accent1" xfId="21" builtinId="31" customBuiltin="1"/>
    <cellStyle name="40% - Accent1 2" xfId="49"/>
    <cellStyle name="40% - Accent2" xfId="25" builtinId="35" customBuiltin="1"/>
    <cellStyle name="40% - Accent2 2" xfId="50"/>
    <cellStyle name="40% - Accent3" xfId="29" builtinId="39" customBuiltin="1"/>
    <cellStyle name="40% - Accent3 2" xfId="51"/>
    <cellStyle name="40% - Accent4" xfId="33" builtinId="43" customBuiltin="1"/>
    <cellStyle name="40% - Accent4 2" xfId="52"/>
    <cellStyle name="40% - Accent5" xfId="37" builtinId="47" customBuiltin="1"/>
    <cellStyle name="40% - Accent5 2" xfId="53"/>
    <cellStyle name="40% - Accent6" xfId="41" builtinId="51" customBuiltin="1"/>
    <cellStyle name="40% - Accent6 2" xfId="54"/>
    <cellStyle name="60% - Accent1" xfId="22" builtinId="32" customBuiltin="1"/>
    <cellStyle name="60% - Accent1 2" xfId="55"/>
    <cellStyle name="60% - Accent2" xfId="26" builtinId="36" customBuiltin="1"/>
    <cellStyle name="60% - Accent2 2" xfId="56"/>
    <cellStyle name="60% - Accent3" xfId="30" builtinId="40" customBuiltin="1"/>
    <cellStyle name="60% - Accent3 2" xfId="57"/>
    <cellStyle name="60% - Accent4" xfId="34" builtinId="44" customBuiltin="1"/>
    <cellStyle name="60% - Accent4 2" xfId="58"/>
    <cellStyle name="60% - Accent5" xfId="38" builtinId="48" customBuiltin="1"/>
    <cellStyle name="60% - Accent5 2" xfId="59"/>
    <cellStyle name="60% - Accent6" xfId="42" builtinId="52" customBuiltin="1"/>
    <cellStyle name="60% - Accent6 2" xfId="60"/>
    <cellStyle name="Accent1" xfId="19" builtinId="29" customBuiltin="1"/>
    <cellStyle name="Accent1 2" xfId="61"/>
    <cellStyle name="Accent2" xfId="23" builtinId="33" customBuiltin="1"/>
    <cellStyle name="Accent2 2" xfId="62"/>
    <cellStyle name="Accent3" xfId="27" builtinId="37" customBuiltin="1"/>
    <cellStyle name="Accent3 2" xfId="63"/>
    <cellStyle name="Accent4" xfId="31" builtinId="41" customBuiltin="1"/>
    <cellStyle name="Accent4 2" xfId="64"/>
    <cellStyle name="Accent5" xfId="35" builtinId="45" customBuiltin="1"/>
    <cellStyle name="Accent5 2" xfId="65"/>
    <cellStyle name="Accent6" xfId="39" builtinId="49" customBuiltin="1"/>
    <cellStyle name="Accent6 2" xfId="66"/>
    <cellStyle name="Bad" xfId="9" builtinId="27" customBuiltin="1"/>
    <cellStyle name="Bad 2" xfId="67"/>
    <cellStyle name="Calculation" xfId="13" builtinId="22" customBuiltin="1"/>
    <cellStyle name="Calculation 2" xfId="68"/>
    <cellStyle name="Check Cell" xfId="15" builtinId="23" customBuiltin="1"/>
    <cellStyle name="Check Cell 2" xfId="69"/>
    <cellStyle name="Comma 2" xfId="124"/>
    <cellStyle name="Currency" xfId="1" builtinId="4"/>
    <cellStyle name="Currency 10" xfId="71"/>
    <cellStyle name="Currency 11" xfId="72"/>
    <cellStyle name="Currency 12" xfId="73"/>
    <cellStyle name="Currency 13" xfId="74"/>
    <cellStyle name="Currency 14" xfId="70"/>
    <cellStyle name="Currency 15" xfId="123"/>
    <cellStyle name="Currency 2" xfId="75"/>
    <cellStyle name="Currency 2 2" xfId="76"/>
    <cellStyle name="Currency 2 3" xfId="77"/>
    <cellStyle name="Currency 2 4" xfId="78"/>
    <cellStyle name="Currency 2 5" xfId="79"/>
    <cellStyle name="Currency 2 6" xfId="80"/>
    <cellStyle name="Currency 2 7" xfId="81"/>
    <cellStyle name="Currency 3" xfId="82"/>
    <cellStyle name="Currency 4" xfId="83"/>
    <cellStyle name="Currency 5" xfId="84"/>
    <cellStyle name="Currency 6" xfId="85"/>
    <cellStyle name="Currency 7" xfId="86"/>
    <cellStyle name="Currency 8" xfId="87"/>
    <cellStyle name="Currency 9" xfId="88"/>
    <cellStyle name="Explanatory Text" xfId="17" builtinId="53" customBuiltin="1"/>
    <cellStyle name="Explanatory Text 2" xfId="89"/>
    <cellStyle name="Good" xfId="8" builtinId="26" customBuiltin="1"/>
    <cellStyle name="Good 2" xfId="90"/>
    <cellStyle name="Heading 1" xfId="4" builtinId="16" customBuiltin="1"/>
    <cellStyle name="Heading 1 2" xfId="91"/>
    <cellStyle name="Heading 2" xfId="5" builtinId="17" customBuiltin="1"/>
    <cellStyle name="Heading 2 2" xfId="92"/>
    <cellStyle name="Heading 3" xfId="6" builtinId="18" customBuiltin="1"/>
    <cellStyle name="Heading 3 2" xfId="93"/>
    <cellStyle name="Heading 4" xfId="7" builtinId="19" customBuiltin="1"/>
    <cellStyle name="Heading 4 2" xfId="94"/>
    <cellStyle name="Input" xfId="11" builtinId="20" customBuiltin="1"/>
    <cellStyle name="Input 2" xfId="95"/>
    <cellStyle name="Linked Cell" xfId="14" builtinId="24" customBuiltin="1"/>
    <cellStyle name="Linked Cell 2" xfId="96"/>
    <cellStyle name="Neutral" xfId="10" builtinId="28" customBuiltin="1"/>
    <cellStyle name="Neutral 2" xfId="97"/>
    <cellStyle name="Normal" xfId="0" builtinId="0"/>
    <cellStyle name="Normal 10" xfId="98"/>
    <cellStyle name="Normal 11" xfId="99"/>
    <cellStyle name="Normal 12" xfId="100"/>
    <cellStyle name="Normal 2" xfId="101"/>
    <cellStyle name="Normal 2 2" xfId="102"/>
    <cellStyle name="Normal 2 3" xfId="103"/>
    <cellStyle name="Normal 2 4" xfId="104"/>
    <cellStyle name="Normal 2 5" xfId="105"/>
    <cellStyle name="Normal 2 6" xfId="106"/>
    <cellStyle name="Normal 2 7" xfId="107"/>
    <cellStyle name="Normal 2 8" xfId="108"/>
    <cellStyle name="Normal 3" xfId="109"/>
    <cellStyle name="Normal 4" xfId="110"/>
    <cellStyle name="Normal 5" xfId="111"/>
    <cellStyle name="Normal 6" xfId="112"/>
    <cellStyle name="Normal 7" xfId="113"/>
    <cellStyle name="Normal 8" xfId="114"/>
    <cellStyle name="Normal 9" xfId="115"/>
    <cellStyle name="Note" xfId="125" builtinId="10" customBuiltin="1"/>
    <cellStyle name="Note 2" xfId="117"/>
    <cellStyle name="Note 3" xfId="116"/>
    <cellStyle name="Output" xfId="12" builtinId="21" customBuiltin="1"/>
    <cellStyle name="Output 2" xfId="118"/>
    <cellStyle name="Percent" xfId="2" builtinId="5"/>
    <cellStyle name="Percent 2" xfId="119"/>
    <cellStyle name="Title" xfId="3" builtinId="15" customBuiltin="1"/>
    <cellStyle name="Title 2" xfId="120"/>
    <cellStyle name="Total" xfId="18" builtinId="25" customBuiltin="1"/>
    <cellStyle name="Total 2" xfId="121"/>
    <cellStyle name="Warning Text" xfId="16" builtinId="11" customBuiltin="1"/>
    <cellStyle name="Warning Text 2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RowHeight="15"/>
  <cols>
    <col min="1" max="1" width="13.28515625" style="200" customWidth="1"/>
    <col min="2" max="7" width="14.28515625" bestFit="1" customWidth="1"/>
    <col min="8" max="8" width="15.28515625" bestFit="1" customWidth="1"/>
    <col min="9" max="9" width="14.28515625" bestFit="1" customWidth="1"/>
    <col min="10" max="10" width="12.5703125" bestFit="1" customWidth="1"/>
    <col min="11" max="11" width="14.28515625" style="200" bestFit="1" customWidth="1"/>
    <col min="12" max="12" width="12.5703125" bestFit="1" customWidth="1"/>
    <col min="13" max="13" width="14.28515625" style="200" bestFit="1" customWidth="1"/>
    <col min="14" max="14" width="14.28515625" bestFit="1" customWidth="1"/>
    <col min="15" max="15" width="15" style="200" customWidth="1"/>
    <col min="16" max="16" width="15" customWidth="1"/>
    <col min="17" max="17" width="14.5703125" customWidth="1"/>
  </cols>
  <sheetData>
    <row r="1" spans="1:21" ht="21">
      <c r="A1" s="149" t="s">
        <v>139</v>
      </c>
    </row>
    <row r="2" spans="1:21" ht="15.75" thickBot="1"/>
    <row r="3" spans="1:21" ht="15.75" thickBot="1">
      <c r="B3" s="274" t="s">
        <v>128</v>
      </c>
      <c r="C3" s="273"/>
      <c r="D3" s="266" t="s">
        <v>129</v>
      </c>
      <c r="E3" s="273"/>
      <c r="F3" s="266" t="s">
        <v>140</v>
      </c>
      <c r="G3" s="273"/>
      <c r="H3" s="266" t="s">
        <v>130</v>
      </c>
      <c r="I3" s="273"/>
      <c r="J3" s="266" t="s">
        <v>131</v>
      </c>
      <c r="K3" s="273"/>
      <c r="L3" s="266" t="s">
        <v>132</v>
      </c>
      <c r="M3" s="267"/>
      <c r="N3" s="268" t="s">
        <v>139</v>
      </c>
      <c r="O3" s="269"/>
      <c r="Q3" s="200"/>
      <c r="S3" s="200"/>
      <c r="U3" s="200"/>
    </row>
    <row r="4" spans="1:21" ht="15.75" thickBot="1">
      <c r="A4" s="222" t="s">
        <v>147</v>
      </c>
      <c r="B4" s="264">
        <f>'Balwyn Nth'!F9</f>
        <v>2950000</v>
      </c>
      <c r="C4" s="272"/>
      <c r="D4" s="264">
        <f>Canterbury!F12</f>
        <v>0</v>
      </c>
      <c r="E4" s="272"/>
      <c r="F4" s="264">
        <f>'Hawthorn '!F8</f>
        <v>1850000</v>
      </c>
      <c r="G4" s="272"/>
      <c r="H4" s="264">
        <f>Manningham!F10</f>
        <v>3775000</v>
      </c>
      <c r="I4" s="272"/>
      <c r="J4" s="264">
        <f>Maroondah!F8</f>
        <v>1250000</v>
      </c>
      <c r="K4" s="272"/>
      <c r="L4" s="264">
        <f>Whitehorse!F12</f>
        <v>3250000</v>
      </c>
      <c r="M4" s="265"/>
      <c r="N4" s="270">
        <f>SUM(B4:L4)</f>
        <v>13075000</v>
      </c>
      <c r="O4" s="271"/>
      <c r="Q4" s="200"/>
      <c r="S4" s="200"/>
      <c r="U4" s="200"/>
    </row>
    <row r="5" spans="1:21" ht="15.75" thickBot="1"/>
    <row r="6" spans="1:21" ht="21.75" customHeight="1" thickBot="1">
      <c r="A6" s="229" t="s">
        <v>141</v>
      </c>
      <c r="B6" s="230" t="s">
        <v>143</v>
      </c>
      <c r="C6" s="231" t="s">
        <v>144</v>
      </c>
      <c r="D6" s="232" t="s">
        <v>143</v>
      </c>
      <c r="E6" s="231" t="s">
        <v>144</v>
      </c>
      <c r="F6" s="230" t="s">
        <v>143</v>
      </c>
      <c r="G6" s="231" t="s">
        <v>144</v>
      </c>
      <c r="H6" s="230" t="s">
        <v>143</v>
      </c>
      <c r="I6" s="231" t="s">
        <v>144</v>
      </c>
      <c r="J6" s="230" t="s">
        <v>143</v>
      </c>
      <c r="K6" s="231" t="s">
        <v>144</v>
      </c>
      <c r="L6" s="232" t="s">
        <v>143</v>
      </c>
      <c r="M6" s="231" t="s">
        <v>144</v>
      </c>
      <c r="N6" s="233" t="s">
        <v>145</v>
      </c>
      <c r="O6" s="233" t="s">
        <v>177</v>
      </c>
      <c r="P6" s="228" t="s">
        <v>176</v>
      </c>
      <c r="Q6" s="263" t="s">
        <v>151</v>
      </c>
    </row>
    <row r="7" spans="1:21">
      <c r="A7" s="220" t="s">
        <v>16</v>
      </c>
      <c r="B7" s="225">
        <f>'Balwyn Nth'!D13</f>
        <v>164669</v>
      </c>
      <c r="C7" s="212">
        <f>'Balwyn Nth'!F13</f>
        <v>220000</v>
      </c>
      <c r="D7" s="225">
        <f>Canterbury!D15</f>
        <v>324559</v>
      </c>
      <c r="E7" s="212">
        <f>Canterbury!F15</f>
        <v>230000</v>
      </c>
      <c r="F7" s="225">
        <f>'Hawthorn '!D13</f>
        <v>56662</v>
      </c>
      <c r="G7" s="212">
        <f>'Hawthorn '!F13</f>
        <v>115000</v>
      </c>
      <c r="H7" s="225">
        <f>Manningham!D14</f>
        <v>162133</v>
      </c>
      <c r="I7" s="212">
        <f>Manningham!F14</f>
        <v>210000</v>
      </c>
      <c r="J7" s="225">
        <f>Maroondah!D13</f>
        <v>70216</v>
      </c>
      <c r="K7" s="221">
        <f>Maroondah!F13</f>
        <v>70000</v>
      </c>
      <c r="L7" s="225">
        <f>Whitehorse!D15</f>
        <v>127047</v>
      </c>
      <c r="M7" s="223">
        <f>Whitehorse!F15</f>
        <v>125000</v>
      </c>
      <c r="N7" s="243">
        <f>SUM(B7,D7,F7,H7,J7,L7)</f>
        <v>905286</v>
      </c>
      <c r="O7" s="225">
        <f>SUM(C7,E7,G7,I7,K7,M7)</f>
        <v>970000</v>
      </c>
      <c r="P7" s="209">
        <f>IF(N7=0,"",N7/O7)</f>
        <v>0.93328453608247419</v>
      </c>
      <c r="Q7" s="260">
        <f>N7/O7</f>
        <v>0.93328453608247419</v>
      </c>
    </row>
    <row r="8" spans="1:21">
      <c r="A8" s="217" t="s">
        <v>17</v>
      </c>
      <c r="B8" s="226">
        <v>183710</v>
      </c>
      <c r="C8" s="212">
        <f>'Balwyn Nth'!F14</f>
        <v>175000</v>
      </c>
      <c r="D8" s="226">
        <v>368322</v>
      </c>
      <c r="E8" s="212">
        <f>Canterbury!F16</f>
        <v>410000</v>
      </c>
      <c r="F8" s="226">
        <v>111519</v>
      </c>
      <c r="G8" s="212">
        <f>'Hawthorn '!F14</f>
        <v>60000</v>
      </c>
      <c r="H8" s="226">
        <v>378329</v>
      </c>
      <c r="I8" s="212">
        <f>Manningham!F15</f>
        <v>215000</v>
      </c>
      <c r="J8" s="226">
        <f>Maroondah!D14</f>
        <v>61327</v>
      </c>
      <c r="K8" s="221">
        <f>Maroondah!F14</f>
        <v>80000</v>
      </c>
      <c r="L8" s="226">
        <f>Whitehorse!D16</f>
        <v>97616</v>
      </c>
      <c r="M8" s="223">
        <f>Whitehorse!F16</f>
        <v>185000</v>
      </c>
      <c r="N8" s="234">
        <f>SUM(B8,D8,F8,H8,J8,L8)</f>
        <v>1200823</v>
      </c>
      <c r="O8" s="226">
        <f t="shared" ref="O8:O18" si="0">SUM(C8,E8,G8,I8,K8,M8)</f>
        <v>1125000</v>
      </c>
      <c r="P8" s="162">
        <f>IF(N9=0,"",N8/O8)</f>
        <v>1.0673982222222222</v>
      </c>
      <c r="Q8" s="262">
        <f>SUM(N7:N8)/SUM(O7:O8)</f>
        <v>1.0053026252983293</v>
      </c>
    </row>
    <row r="9" spans="1:21">
      <c r="A9" s="217" t="s">
        <v>18</v>
      </c>
      <c r="B9" s="226">
        <v>183663</v>
      </c>
      <c r="C9" s="212">
        <f>'Balwyn Nth'!F15</f>
        <v>245000</v>
      </c>
      <c r="D9" s="226">
        <v>414798</v>
      </c>
      <c r="E9" s="212">
        <f>Canterbury!F17</f>
        <v>485000</v>
      </c>
      <c r="F9" s="226">
        <v>75572</v>
      </c>
      <c r="G9" s="212">
        <f>'Hawthorn '!F15</f>
        <v>270000</v>
      </c>
      <c r="H9" s="226">
        <v>334276</v>
      </c>
      <c r="I9" s="212">
        <f>Manningham!F16</f>
        <v>555000</v>
      </c>
      <c r="J9" s="226">
        <v>42065</v>
      </c>
      <c r="K9" s="221">
        <f>Maroondah!F15</f>
        <v>150000</v>
      </c>
      <c r="L9" s="226">
        <v>282801</v>
      </c>
      <c r="M9" s="223">
        <f>Whitehorse!F17</f>
        <v>425000</v>
      </c>
      <c r="N9" s="234">
        <f t="shared" ref="N9:N16" si="1">SUM(B9,D9,F9,H9,J9,L9)</f>
        <v>1333175</v>
      </c>
      <c r="O9" s="226">
        <f t="shared" si="0"/>
        <v>2130000</v>
      </c>
      <c r="P9" s="162">
        <f t="shared" ref="P9:P18" si="2">IF(N9=0,"",N9/O9)</f>
        <v>0.62590375586854463</v>
      </c>
      <c r="Q9" s="262">
        <f>SUM(N7:N9)/SUM(O7:O9)</f>
        <v>0.81403171597633139</v>
      </c>
    </row>
    <row r="10" spans="1:21">
      <c r="A10" s="217" t="s">
        <v>19</v>
      </c>
      <c r="B10" s="226">
        <f>'Balwyn Nth'!D16</f>
        <v>0</v>
      </c>
      <c r="C10" s="212">
        <f>'Balwyn Nth'!F16</f>
        <v>215000</v>
      </c>
      <c r="D10" s="226">
        <f>Canterbury!D18</f>
        <v>0</v>
      </c>
      <c r="E10" s="212">
        <f>Canterbury!F18</f>
        <v>580000</v>
      </c>
      <c r="F10" s="226">
        <f>'Hawthorn '!D16</f>
        <v>0</v>
      </c>
      <c r="G10" s="212">
        <f>'Hawthorn '!F16</f>
        <v>145000</v>
      </c>
      <c r="H10" s="226">
        <f>Manningham!D17</f>
        <v>0</v>
      </c>
      <c r="I10" s="212">
        <f>Manningham!F17</f>
        <v>350000</v>
      </c>
      <c r="J10" s="226">
        <f>Maroondah!D16</f>
        <v>0</v>
      </c>
      <c r="K10" s="221">
        <f>Maroondah!F16</f>
        <v>160000</v>
      </c>
      <c r="L10" s="226">
        <f>Whitehorse!D18</f>
        <v>0</v>
      </c>
      <c r="M10" s="223">
        <f>Whitehorse!F18</f>
        <v>365000</v>
      </c>
      <c r="N10" s="234">
        <f>SUM(B10,D10,F10,H10,J10,L10)</f>
        <v>0</v>
      </c>
      <c r="O10" s="226">
        <f t="shared" si="0"/>
        <v>1815000</v>
      </c>
      <c r="P10" s="162" t="str">
        <f t="shared" si="2"/>
        <v/>
      </c>
      <c r="Q10" s="262" t="str">
        <f>IF(N10=0,"",SUM(N7:N10)/SUM(O7:O10))</f>
        <v/>
      </c>
    </row>
    <row r="11" spans="1:21">
      <c r="A11" s="217" t="s">
        <v>20</v>
      </c>
      <c r="B11" s="226">
        <f>'Balwyn Nth'!D17</f>
        <v>0</v>
      </c>
      <c r="C11" s="212">
        <f>'Balwyn Nth'!F17</f>
        <v>325000</v>
      </c>
      <c r="D11" s="226">
        <f>Canterbury!D19</f>
        <v>0</v>
      </c>
      <c r="E11" s="212">
        <f>Canterbury!F19</f>
        <v>365000</v>
      </c>
      <c r="F11" s="226">
        <f>'Hawthorn '!D17</f>
        <v>0</v>
      </c>
      <c r="G11" s="212">
        <f>'Hawthorn '!F17</f>
        <v>145000</v>
      </c>
      <c r="H11" s="226">
        <f>Manningham!D18</f>
        <v>0</v>
      </c>
      <c r="I11" s="212">
        <f>Manningham!F18</f>
        <v>420000</v>
      </c>
      <c r="J11" s="226">
        <f>Maroondah!D17</f>
        <v>0</v>
      </c>
      <c r="K11" s="221">
        <f>Maroondah!F17</f>
        <v>120000</v>
      </c>
      <c r="L11" s="226">
        <f>Whitehorse!D19</f>
        <v>0</v>
      </c>
      <c r="M11" s="223">
        <f>Whitehorse!F19</f>
        <v>235000</v>
      </c>
      <c r="N11" s="234">
        <f t="shared" si="1"/>
        <v>0</v>
      </c>
      <c r="O11" s="226">
        <f t="shared" si="0"/>
        <v>1610000</v>
      </c>
      <c r="P11" s="162" t="str">
        <f t="shared" si="2"/>
        <v/>
      </c>
      <c r="Q11" s="262" t="str">
        <f>IF(N11=0,"",SUM(N7:N11)/SUM(O7:O11))</f>
        <v/>
      </c>
    </row>
    <row r="12" spans="1:21">
      <c r="A12" s="217" t="s">
        <v>21</v>
      </c>
      <c r="B12" s="226">
        <f>'Balwyn Nth'!D18</f>
        <v>0</v>
      </c>
      <c r="C12" s="212">
        <f>'Balwyn Nth'!F18</f>
        <v>355000</v>
      </c>
      <c r="D12" s="226">
        <f>Canterbury!D20</f>
        <v>0</v>
      </c>
      <c r="E12" s="212">
        <f>Canterbury!F20</f>
        <v>720000</v>
      </c>
      <c r="F12" s="226">
        <f>'Hawthorn '!D18</f>
        <v>0</v>
      </c>
      <c r="G12" s="212">
        <f>'Hawthorn '!F18</f>
        <v>215000</v>
      </c>
      <c r="H12" s="226">
        <f>Manningham!D19</f>
        <v>0</v>
      </c>
      <c r="I12" s="212">
        <f>Manningham!F19</f>
        <v>435000</v>
      </c>
      <c r="J12" s="226">
        <f>Maroondah!D18</f>
        <v>0</v>
      </c>
      <c r="K12" s="221">
        <f>Maroondah!F18</f>
        <v>100000</v>
      </c>
      <c r="L12" s="226">
        <f>Whitehorse!D20</f>
        <v>0</v>
      </c>
      <c r="M12" s="223">
        <f>Whitehorse!F20</f>
        <v>415000</v>
      </c>
      <c r="N12" s="234">
        <f t="shared" si="1"/>
        <v>0</v>
      </c>
      <c r="O12" s="226">
        <f t="shared" si="0"/>
        <v>2240000</v>
      </c>
      <c r="P12" s="162" t="str">
        <f t="shared" si="2"/>
        <v/>
      </c>
      <c r="Q12" s="262" t="str">
        <f>IF(N12=0,"",SUM(N7:N12)/SUM(O7:O12))</f>
        <v/>
      </c>
    </row>
    <row r="13" spans="1:21">
      <c r="A13" s="217" t="s">
        <v>22</v>
      </c>
      <c r="B13" s="226">
        <f>'Balwyn Nth'!D19</f>
        <v>0</v>
      </c>
      <c r="C13" s="212">
        <f>'Balwyn Nth'!F19</f>
        <v>100000</v>
      </c>
      <c r="D13" s="226">
        <f>Canterbury!D21</f>
        <v>0</v>
      </c>
      <c r="E13" s="212">
        <f>Canterbury!F21</f>
        <v>100000</v>
      </c>
      <c r="F13" s="226">
        <f>'Hawthorn '!D19</f>
        <v>0</v>
      </c>
      <c r="G13" s="212">
        <f>'Hawthorn '!F19</f>
        <v>40000</v>
      </c>
      <c r="H13" s="226">
        <f>Manningham!D20</f>
        <v>0</v>
      </c>
      <c r="I13" s="212">
        <f>Manningham!F20</f>
        <v>145000</v>
      </c>
      <c r="J13" s="226">
        <f>Maroondah!D19</f>
        <v>0</v>
      </c>
      <c r="K13" s="221">
        <f>Maroondah!F19</f>
        <v>70000</v>
      </c>
      <c r="L13" s="226">
        <f>Whitehorse!D21</f>
        <v>0</v>
      </c>
      <c r="M13" s="223">
        <f>Whitehorse!F21</f>
        <v>40000</v>
      </c>
      <c r="N13" s="234">
        <f t="shared" si="1"/>
        <v>0</v>
      </c>
      <c r="O13" s="226">
        <f t="shared" si="0"/>
        <v>495000</v>
      </c>
      <c r="P13" s="162" t="str">
        <f t="shared" si="2"/>
        <v/>
      </c>
      <c r="Q13" s="262" t="str">
        <f>IF(N13=0,"",SUM(N7:N13)/SUM(O7:O13))</f>
        <v/>
      </c>
    </row>
    <row r="14" spans="1:21">
      <c r="A14" s="217" t="s">
        <v>23</v>
      </c>
      <c r="B14" s="226">
        <f>'Balwyn Nth'!D20</f>
        <v>0</v>
      </c>
      <c r="C14" s="212">
        <f>'Balwyn Nth'!F20</f>
        <v>290000</v>
      </c>
      <c r="D14" s="226">
        <f>Canterbury!D22</f>
        <v>0</v>
      </c>
      <c r="E14" s="212">
        <f>Canterbury!F22</f>
        <v>285000</v>
      </c>
      <c r="F14" s="226">
        <f>'Hawthorn '!D20</f>
        <v>0</v>
      </c>
      <c r="G14" s="212">
        <f>'Hawthorn '!F20</f>
        <v>95000</v>
      </c>
      <c r="H14" s="226">
        <f>Manningham!D21</f>
        <v>0</v>
      </c>
      <c r="I14" s="212">
        <f>Manningham!F21</f>
        <v>185000</v>
      </c>
      <c r="J14" s="226">
        <f>Maroondah!D20</f>
        <v>0</v>
      </c>
      <c r="K14" s="221">
        <f>Maroondah!F20</f>
        <v>120000</v>
      </c>
      <c r="L14" s="226">
        <f>Whitehorse!D22</f>
        <v>0</v>
      </c>
      <c r="M14" s="223">
        <f>Whitehorse!F22</f>
        <v>105000</v>
      </c>
      <c r="N14" s="234">
        <f t="shared" si="1"/>
        <v>0</v>
      </c>
      <c r="O14" s="226">
        <f t="shared" si="0"/>
        <v>1080000</v>
      </c>
      <c r="P14" s="162" t="str">
        <f t="shared" si="2"/>
        <v/>
      </c>
      <c r="Q14" s="262" t="str">
        <f>IF(N14=0,"",SUM(N7:N14)/SUM(O7:O14))</f>
        <v/>
      </c>
    </row>
    <row r="15" spans="1:21">
      <c r="A15" s="217" t="s">
        <v>24</v>
      </c>
      <c r="B15" s="226">
        <f>'Balwyn Nth'!D21</f>
        <v>0</v>
      </c>
      <c r="C15" s="212">
        <f>'Balwyn Nth'!F21</f>
        <v>320000</v>
      </c>
      <c r="D15" s="226">
        <f>Canterbury!D23</f>
        <v>0</v>
      </c>
      <c r="E15" s="212">
        <f>Canterbury!F23</f>
        <v>550000</v>
      </c>
      <c r="F15" s="226">
        <f>'Hawthorn '!D21</f>
        <v>0</v>
      </c>
      <c r="G15" s="212">
        <f>'Hawthorn '!F21</f>
        <v>255000</v>
      </c>
      <c r="H15" s="226">
        <f>Manningham!D22</f>
        <v>0</v>
      </c>
      <c r="I15" s="212">
        <f>Manningham!F22</f>
        <v>410000</v>
      </c>
      <c r="J15" s="226">
        <f>Maroondah!D21</f>
        <v>0</v>
      </c>
      <c r="K15" s="221">
        <f>Maroondah!F21</f>
        <v>160000</v>
      </c>
      <c r="L15" s="226">
        <f>Whitehorse!D23</f>
        <v>0</v>
      </c>
      <c r="M15" s="223">
        <f>Whitehorse!F23</f>
        <v>450000</v>
      </c>
      <c r="N15" s="234">
        <f t="shared" si="1"/>
        <v>0</v>
      </c>
      <c r="O15" s="226">
        <f t="shared" si="0"/>
        <v>2145000</v>
      </c>
      <c r="P15" s="162" t="str">
        <f t="shared" si="2"/>
        <v/>
      </c>
      <c r="Q15" s="262" t="str">
        <f>IF(N15=0,"",SUM(N7:N15)/SUM(O7:O15))</f>
        <v/>
      </c>
      <c r="U15" s="200" t="s">
        <v>142</v>
      </c>
    </row>
    <row r="16" spans="1:21">
      <c r="A16" s="217" t="s">
        <v>25</v>
      </c>
      <c r="B16" s="226">
        <f>'Balwyn Nth'!D22</f>
        <v>0</v>
      </c>
      <c r="C16" s="212">
        <f>'Balwyn Nth'!F22</f>
        <v>180000</v>
      </c>
      <c r="D16" s="226">
        <f>Canterbury!D24</f>
        <v>0</v>
      </c>
      <c r="E16" s="212">
        <f>Canterbury!F24</f>
        <v>470000</v>
      </c>
      <c r="F16" s="226">
        <f>'Hawthorn '!D22</f>
        <v>0</v>
      </c>
      <c r="G16" s="212">
        <f>'Hawthorn '!F22</f>
        <v>150000</v>
      </c>
      <c r="H16" s="226">
        <f>Manningham!D23</f>
        <v>0</v>
      </c>
      <c r="I16" s="212">
        <f>Manningham!F23</f>
        <v>205000</v>
      </c>
      <c r="J16" s="226">
        <f>Maroondah!D22</f>
        <v>0</v>
      </c>
      <c r="K16" s="221">
        <f>Maroondah!F22</f>
        <v>60000</v>
      </c>
      <c r="L16" s="226">
        <f>Whitehorse!D24</f>
        <v>0</v>
      </c>
      <c r="M16" s="223">
        <f>Whitehorse!F24</f>
        <v>330000</v>
      </c>
      <c r="N16" s="234">
        <f t="shared" si="1"/>
        <v>0</v>
      </c>
      <c r="O16" s="226">
        <f t="shared" si="0"/>
        <v>1395000</v>
      </c>
      <c r="P16" s="162" t="str">
        <f t="shared" si="2"/>
        <v/>
      </c>
      <c r="Q16" s="262" t="str">
        <f>IF(N16=0,"",SUM(N7:N16)/SUM(O7:O16))</f>
        <v/>
      </c>
    </row>
    <row r="17" spans="1:17">
      <c r="A17" s="217" t="s">
        <v>26</v>
      </c>
      <c r="B17" s="226">
        <f>'Balwyn Nth'!D23</f>
        <v>0</v>
      </c>
      <c r="C17" s="212">
        <f>'Balwyn Nth'!F23</f>
        <v>190000</v>
      </c>
      <c r="D17" s="226">
        <f>Canterbury!D25</f>
        <v>0</v>
      </c>
      <c r="E17" s="212">
        <f>Canterbury!F25</f>
        <v>330000</v>
      </c>
      <c r="F17" s="226">
        <f>'Hawthorn '!D23</f>
        <v>0</v>
      </c>
      <c r="G17" s="212">
        <f>'Hawthorn '!F23</f>
        <v>170000</v>
      </c>
      <c r="H17" s="226">
        <f>Manningham!D24</f>
        <v>0</v>
      </c>
      <c r="I17" s="212">
        <f>Manningham!F24</f>
        <v>240000</v>
      </c>
      <c r="J17" s="226">
        <f>Maroondah!D23</f>
        <v>0</v>
      </c>
      <c r="K17" s="221">
        <f>Maroondah!F23</f>
        <v>75000</v>
      </c>
      <c r="L17" s="226">
        <f>Whitehorse!D25</f>
        <v>0</v>
      </c>
      <c r="M17" s="223">
        <f>Whitehorse!F25</f>
        <v>295000</v>
      </c>
      <c r="N17" s="234">
        <f>SUM(B17,D17,F17,H17,J17,L17)</f>
        <v>0</v>
      </c>
      <c r="O17" s="226">
        <f t="shared" si="0"/>
        <v>1300000</v>
      </c>
      <c r="P17" s="162" t="str">
        <f t="shared" si="2"/>
        <v/>
      </c>
      <c r="Q17" s="262" t="str">
        <f>IF(N17=0,"",SUM(N7:N17)/SUM(O7:O17))</f>
        <v/>
      </c>
    </row>
    <row r="18" spans="1:17" ht="15.75" thickBot="1">
      <c r="A18" s="218" t="s">
        <v>27</v>
      </c>
      <c r="B18" s="227">
        <f>'Balwyn Nth'!D24</f>
        <v>0</v>
      </c>
      <c r="C18" s="235">
        <f>'Balwyn Nth'!F24</f>
        <v>335000</v>
      </c>
      <c r="D18" s="227">
        <f>Canterbury!D26</f>
        <v>0</v>
      </c>
      <c r="E18" s="235">
        <f>Canterbury!F26</f>
        <v>500000</v>
      </c>
      <c r="F18" s="227">
        <f>'Hawthorn '!D24</f>
        <v>0</v>
      </c>
      <c r="G18" s="235">
        <f>'Hawthorn '!F24</f>
        <v>190000</v>
      </c>
      <c r="H18" s="227">
        <f>Manningham!D25</f>
        <v>0</v>
      </c>
      <c r="I18" s="235">
        <f>Manningham!F25</f>
        <v>405000</v>
      </c>
      <c r="J18" s="227">
        <f>Maroondah!D24</f>
        <v>0</v>
      </c>
      <c r="K18" s="236">
        <f>Maroondah!F24</f>
        <v>85000</v>
      </c>
      <c r="L18" s="227">
        <f>Whitehorse!D26</f>
        <v>0</v>
      </c>
      <c r="M18" s="205">
        <f>Whitehorse!F26</f>
        <v>280000</v>
      </c>
      <c r="N18" s="234">
        <f>SUM(B18,D18,F18,H18,J18,L18)</f>
        <v>0</v>
      </c>
      <c r="O18" s="226">
        <f t="shared" si="0"/>
        <v>1795000</v>
      </c>
      <c r="P18" s="162" t="str">
        <f t="shared" si="2"/>
        <v/>
      </c>
      <c r="Q18" s="262" t="str">
        <f>IF(N18=0,"",SUM(N7:N18)/SUM(O7:O18))</f>
        <v/>
      </c>
    </row>
    <row r="19" spans="1:17" ht="15.75" thickBot="1">
      <c r="A19" s="219"/>
      <c r="B19" s="237">
        <f t="shared" ref="B19:L19" si="3">SUM(B7:B18)</f>
        <v>532042</v>
      </c>
      <c r="C19" s="240">
        <f>SUM(C7:C18)</f>
        <v>2950000</v>
      </c>
      <c r="D19" s="237">
        <f t="shared" si="3"/>
        <v>1107679</v>
      </c>
      <c r="E19" s="240">
        <f>SUM(E7:E18)</f>
        <v>5025000</v>
      </c>
      <c r="F19" s="237">
        <f t="shared" si="3"/>
        <v>243753</v>
      </c>
      <c r="G19" s="240">
        <f>SUM(G7:G18)</f>
        <v>1850000</v>
      </c>
      <c r="H19" s="237">
        <f t="shared" si="3"/>
        <v>874738</v>
      </c>
      <c r="I19" s="240">
        <f>SUM(I7:I18)</f>
        <v>3775000</v>
      </c>
      <c r="J19" s="237">
        <f t="shared" si="3"/>
        <v>173608</v>
      </c>
      <c r="K19" s="238">
        <f>SUM(K7:K18)</f>
        <v>1250000</v>
      </c>
      <c r="L19" s="237">
        <f t="shared" si="3"/>
        <v>507464</v>
      </c>
      <c r="M19" s="239">
        <f>SUM(M7:M18)</f>
        <v>3250000</v>
      </c>
      <c r="N19" s="244">
        <f>SUM(N7:N18)</f>
        <v>3439284</v>
      </c>
      <c r="O19" s="259">
        <f>SUM(O7:O18)</f>
        <v>18100000</v>
      </c>
      <c r="P19" s="261"/>
      <c r="Q19" s="258"/>
    </row>
    <row r="20" spans="1:17" ht="34.5" thickBot="1">
      <c r="A20" s="241" t="s">
        <v>146</v>
      </c>
      <c r="B20" s="242">
        <f>B19/B4</f>
        <v>0.18035322033898304</v>
      </c>
      <c r="C20" s="224"/>
      <c r="D20" s="242" t="e">
        <f>D19/D4</f>
        <v>#DIV/0!</v>
      </c>
      <c r="E20" s="224"/>
      <c r="F20" s="242">
        <f>F19/F4</f>
        <v>0.13175837837837837</v>
      </c>
      <c r="G20" s="224"/>
      <c r="H20" s="242">
        <f>H19/H4</f>
        <v>0.23171867549668873</v>
      </c>
      <c r="I20" s="224"/>
      <c r="J20" s="242">
        <f>J19/J4</f>
        <v>0.13888639999999999</v>
      </c>
      <c r="K20" s="224"/>
      <c r="L20" s="242">
        <f>L19/L4</f>
        <v>0.15614276923076922</v>
      </c>
      <c r="M20" s="224"/>
    </row>
    <row r="21" spans="1:17">
      <c r="M21"/>
      <c r="O21"/>
    </row>
    <row r="22" spans="1:17" ht="47.25" customHeight="1">
      <c r="M22"/>
      <c r="O22"/>
    </row>
    <row r="23" spans="1:17">
      <c r="M23"/>
      <c r="O23"/>
    </row>
    <row r="24" spans="1:17">
      <c r="M24"/>
      <c r="O24"/>
    </row>
    <row r="25" spans="1:17">
      <c r="M25"/>
      <c r="O25"/>
    </row>
    <row r="26" spans="1:17">
      <c r="M26"/>
      <c r="O26"/>
    </row>
    <row r="27" spans="1:17">
      <c r="G27" s="200"/>
    </row>
  </sheetData>
  <mergeCells count="14">
    <mergeCell ref="B3:C3"/>
    <mergeCell ref="B4:C4"/>
    <mergeCell ref="D3:E3"/>
    <mergeCell ref="D4:E4"/>
    <mergeCell ref="F3:G3"/>
    <mergeCell ref="F4:G4"/>
    <mergeCell ref="L4:M4"/>
    <mergeCell ref="L3:M3"/>
    <mergeCell ref="N3:O3"/>
    <mergeCell ref="N4:O4"/>
    <mergeCell ref="H4:I4"/>
    <mergeCell ref="H3:I3"/>
    <mergeCell ref="J4:K4"/>
    <mergeCell ref="J3:K3"/>
  </mergeCells>
  <pageMargins left="0.7" right="0.7" top="0.75" bottom="0.75" header="0.3" footer="0.3"/>
  <pageSetup paperSize="9" orientation="portrait" r:id="rId1"/>
  <ignoredErrors>
    <ignoredError sqref="P10 P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51"/>
  <sheetViews>
    <sheetView tabSelected="1" workbookViewId="0">
      <pane xSplit="3" ySplit="3" topLeftCell="BC4" activePane="bottomRight" state="frozen"/>
      <selection pane="topRight" activeCell="D1" sqref="D1"/>
      <selection pane="bottomLeft" activeCell="A4" sqref="A4"/>
      <selection pane="bottomRight" activeCell="H3" sqref="H3:BO7"/>
    </sheetView>
  </sheetViews>
  <sheetFormatPr defaultRowHeight="15"/>
  <cols>
    <col min="1" max="1" width="7.5703125" style="69" customWidth="1"/>
    <col min="2" max="2" width="13.85546875" style="69" customWidth="1"/>
    <col min="3" max="3" width="9" style="69" customWidth="1"/>
    <col min="4" max="4" width="13" style="69" customWidth="1"/>
    <col min="5" max="5" width="12" style="69" customWidth="1"/>
    <col min="6" max="6" width="16.85546875" style="69" customWidth="1"/>
    <col min="7" max="7" width="18.140625" style="69" customWidth="1"/>
    <col min="8" max="8" width="15.42578125" customWidth="1"/>
    <col min="9" max="9" width="13.85546875" style="200" customWidth="1"/>
    <col min="10" max="12" width="11.85546875" style="200" customWidth="1"/>
    <col min="13" max="13" width="11.7109375" customWidth="1"/>
    <col min="14" max="14" width="13" style="200" customWidth="1"/>
    <col min="15" max="17" width="11.7109375" style="200" customWidth="1"/>
    <col min="18" max="18" width="11.7109375" customWidth="1"/>
    <col min="19" max="20" width="11.7109375" style="200" customWidth="1"/>
    <col min="21" max="21" width="13" style="200" customWidth="1"/>
    <col min="22" max="22" width="11.7109375" style="200" customWidth="1"/>
    <col min="23" max="23" width="11.7109375" customWidth="1"/>
    <col min="24" max="25" width="11.7109375" style="200" customWidth="1"/>
    <col min="26" max="26" width="13" style="200" customWidth="1"/>
    <col min="27" max="27" width="11.7109375" style="200" customWidth="1"/>
    <col min="28" max="28" width="11.7109375" customWidth="1"/>
    <col min="29" max="29" width="12.5703125" style="200" customWidth="1"/>
    <col min="30" max="30" width="11.7109375" style="200" customWidth="1"/>
    <col min="31" max="31" width="12.7109375" style="200" customWidth="1"/>
    <col min="32" max="32" width="11.7109375" style="200" customWidth="1"/>
    <col min="33" max="33" width="11.7109375" customWidth="1"/>
    <col min="34" max="34" width="13.42578125" style="200" customWidth="1"/>
    <col min="35" max="35" width="11.7109375" style="200" customWidth="1"/>
    <col min="36" max="36" width="12.5703125" style="200" customWidth="1"/>
    <col min="37" max="37" width="11.7109375" style="200" customWidth="1"/>
    <col min="38" max="38" width="11.7109375" customWidth="1"/>
    <col min="39" max="40" width="11.7109375" style="200" customWidth="1"/>
    <col min="41" max="41" width="13.140625" style="200" customWidth="1"/>
    <col min="42" max="42" width="11.7109375" style="200" customWidth="1"/>
    <col min="43" max="43" width="11.7109375" customWidth="1"/>
    <col min="44" max="44" width="12.28515625" style="200" customWidth="1"/>
    <col min="45" max="45" width="11.7109375" style="200" customWidth="1"/>
    <col min="46" max="46" width="12.85546875" style="200" customWidth="1"/>
    <col min="47" max="47" width="11.7109375" style="200" customWidth="1"/>
    <col min="48" max="48" width="11.7109375" customWidth="1"/>
    <col min="49" max="49" width="12.42578125" style="200" customWidth="1"/>
    <col min="50" max="50" width="11.7109375" style="200" customWidth="1"/>
    <col min="51" max="51" width="12.7109375" style="200" customWidth="1"/>
    <col min="52" max="52" width="11.7109375" style="200" customWidth="1"/>
    <col min="53" max="53" width="11.7109375" customWidth="1"/>
    <col min="54" max="55" width="11.7109375" style="200" customWidth="1"/>
    <col min="56" max="56" width="13.28515625" style="200" customWidth="1"/>
    <col min="57" max="57" width="11.7109375" style="200" customWidth="1"/>
    <col min="58" max="58" width="11.7109375" customWidth="1"/>
    <col min="59" max="60" width="11.7109375" style="200" customWidth="1"/>
    <col min="61" max="61" width="14.42578125" style="200" customWidth="1"/>
    <col min="62" max="62" width="11.7109375" style="200" customWidth="1"/>
    <col min="63" max="63" width="11.7109375" customWidth="1"/>
    <col min="64" max="64" width="13.85546875" style="200" customWidth="1"/>
    <col min="65" max="65" width="11.7109375" style="200" customWidth="1"/>
    <col min="66" max="66" width="15.7109375" style="200" customWidth="1"/>
    <col min="67" max="67" width="11.7109375" style="200" customWidth="1"/>
    <col min="72" max="16384" width="9.140625" style="69"/>
  </cols>
  <sheetData>
    <row r="1" spans="1:67" ht="21">
      <c r="A1" s="149" t="s">
        <v>128</v>
      </c>
    </row>
    <row r="2" spans="1:67" s="200" customFormat="1" ht="15" customHeight="1">
      <c r="A2" s="149"/>
    </row>
    <row r="3" spans="1:67" s="283" customFormat="1" ht="25.5">
      <c r="A3" s="275" t="s">
        <v>0</v>
      </c>
      <c r="B3" s="276"/>
      <c r="C3" s="277"/>
      <c r="D3" s="201" t="s">
        <v>1</v>
      </c>
      <c r="E3" s="202" t="s">
        <v>2</v>
      </c>
      <c r="F3" s="203" t="s">
        <v>119</v>
      </c>
      <c r="G3" s="204" t="s">
        <v>120</v>
      </c>
      <c r="H3" s="280" t="s">
        <v>16</v>
      </c>
      <c r="I3" s="281" t="s">
        <v>172</v>
      </c>
      <c r="J3" s="281" t="s">
        <v>173</v>
      </c>
      <c r="K3" s="281" t="s">
        <v>150</v>
      </c>
      <c r="L3" s="281" t="s">
        <v>151</v>
      </c>
      <c r="M3" s="282" t="s">
        <v>17</v>
      </c>
      <c r="N3" s="281" t="s">
        <v>148</v>
      </c>
      <c r="O3" s="281" t="s">
        <v>149</v>
      </c>
      <c r="P3" s="281" t="s">
        <v>150</v>
      </c>
      <c r="Q3" s="281" t="s">
        <v>151</v>
      </c>
      <c r="R3" s="280" t="s">
        <v>18</v>
      </c>
      <c r="S3" s="281" t="s">
        <v>152</v>
      </c>
      <c r="T3" s="281" t="s">
        <v>153</v>
      </c>
      <c r="U3" s="281" t="s">
        <v>150</v>
      </c>
      <c r="V3" s="281" t="s">
        <v>151</v>
      </c>
      <c r="W3" s="280" t="s">
        <v>19</v>
      </c>
      <c r="X3" s="281" t="s">
        <v>154</v>
      </c>
      <c r="Y3" s="281" t="s">
        <v>155</v>
      </c>
      <c r="Z3" s="281" t="s">
        <v>150</v>
      </c>
      <c r="AA3" s="281" t="s">
        <v>151</v>
      </c>
      <c r="AB3" s="280" t="s">
        <v>20</v>
      </c>
      <c r="AC3" s="281" t="s">
        <v>156</v>
      </c>
      <c r="AD3" s="281" t="s">
        <v>157</v>
      </c>
      <c r="AE3" s="281" t="s">
        <v>150</v>
      </c>
      <c r="AF3" s="281" t="s">
        <v>151</v>
      </c>
      <c r="AG3" s="280" t="s">
        <v>21</v>
      </c>
      <c r="AH3" s="281" t="s">
        <v>158</v>
      </c>
      <c r="AI3" s="281" t="s">
        <v>159</v>
      </c>
      <c r="AJ3" s="281" t="s">
        <v>150</v>
      </c>
      <c r="AK3" s="281" t="s">
        <v>151</v>
      </c>
      <c r="AL3" s="280" t="s">
        <v>22</v>
      </c>
      <c r="AM3" s="281" t="s">
        <v>160</v>
      </c>
      <c r="AN3" s="281" t="s">
        <v>161</v>
      </c>
      <c r="AO3" s="281" t="s">
        <v>150</v>
      </c>
      <c r="AP3" s="281" t="s">
        <v>151</v>
      </c>
      <c r="AQ3" s="280" t="s">
        <v>23</v>
      </c>
      <c r="AR3" s="281" t="s">
        <v>162</v>
      </c>
      <c r="AS3" s="281" t="s">
        <v>163</v>
      </c>
      <c r="AT3" s="281" t="s">
        <v>150</v>
      </c>
      <c r="AU3" s="281" t="s">
        <v>151</v>
      </c>
      <c r="AV3" s="280" t="s">
        <v>24</v>
      </c>
      <c r="AW3" s="281" t="s">
        <v>164</v>
      </c>
      <c r="AX3" s="281" t="s">
        <v>165</v>
      </c>
      <c r="AY3" s="281" t="s">
        <v>150</v>
      </c>
      <c r="AZ3" s="281" t="s">
        <v>151</v>
      </c>
      <c r="BA3" s="280" t="s">
        <v>25</v>
      </c>
      <c r="BB3" s="281" t="s">
        <v>166</v>
      </c>
      <c r="BC3" s="281" t="s">
        <v>167</v>
      </c>
      <c r="BD3" s="281" t="s">
        <v>150</v>
      </c>
      <c r="BE3" s="281" t="s">
        <v>151</v>
      </c>
      <c r="BF3" s="280" t="s">
        <v>26</v>
      </c>
      <c r="BG3" s="281" t="s">
        <v>168</v>
      </c>
      <c r="BH3" s="281" t="s">
        <v>169</v>
      </c>
      <c r="BI3" s="281" t="s">
        <v>150</v>
      </c>
      <c r="BJ3" s="281" t="s">
        <v>151</v>
      </c>
      <c r="BK3" s="280" t="s">
        <v>27</v>
      </c>
      <c r="BL3" s="281" t="s">
        <v>170</v>
      </c>
      <c r="BM3" s="281" t="s">
        <v>171</v>
      </c>
      <c r="BN3" s="281" t="s">
        <v>150</v>
      </c>
      <c r="BO3" s="281" t="s">
        <v>151</v>
      </c>
    </row>
    <row r="4" spans="1:67" s="283" customFormat="1" ht="12.75">
      <c r="A4" s="151" t="s">
        <v>51</v>
      </c>
      <c r="B4" s="153" t="s">
        <v>52</v>
      </c>
      <c r="C4" s="153" t="s">
        <v>53</v>
      </c>
      <c r="D4" s="152">
        <v>810591.29</v>
      </c>
      <c r="E4" s="165">
        <v>750000</v>
      </c>
      <c r="F4" s="154">
        <v>950000</v>
      </c>
      <c r="G4" s="245">
        <v>1100000</v>
      </c>
      <c r="H4" s="246">
        <v>44629.999356190798</v>
      </c>
      <c r="I4" s="251">
        <f>F4*7.46%</f>
        <v>70870</v>
      </c>
      <c r="J4" s="252">
        <f>H4/I4</f>
        <v>0.62974459370947933</v>
      </c>
      <c r="K4" s="251">
        <f>F4*7.46%</f>
        <v>70870</v>
      </c>
      <c r="L4" s="252">
        <f>H4/K4</f>
        <v>0.62974459370947933</v>
      </c>
      <c r="M4" s="248">
        <v>90685.244555172496</v>
      </c>
      <c r="N4" s="251">
        <f>F4*5.93%</f>
        <v>56335</v>
      </c>
      <c r="O4" s="253">
        <f>M4/N4</f>
        <v>1.6097496148961126</v>
      </c>
      <c r="P4" s="255">
        <f>F4*13.39%</f>
        <v>127205.00000000001</v>
      </c>
      <c r="Q4" s="253">
        <f>SUM(H4,M4)/P4</f>
        <v>1.0637572729952698</v>
      </c>
      <c r="R4" s="284">
        <v>42539</v>
      </c>
      <c r="S4" s="285">
        <f>F4*8.31%</f>
        <v>78945</v>
      </c>
      <c r="T4" s="286">
        <f>R4/S4</f>
        <v>0.53884349863829251</v>
      </c>
      <c r="U4" s="287">
        <f>F4*21.69%</f>
        <v>206055</v>
      </c>
      <c r="V4" s="286">
        <f>SUM(H4,M4,R4)/U4</f>
        <v>0.86313966616371018</v>
      </c>
      <c r="W4" s="288"/>
      <c r="X4" s="285">
        <f>F4*7.29%</f>
        <v>69255</v>
      </c>
      <c r="Y4" s="286">
        <f>W4/X4</f>
        <v>0</v>
      </c>
      <c r="Z4" s="287">
        <f>F4*28.98%</f>
        <v>275310</v>
      </c>
      <c r="AA4" s="286">
        <f>SUM(H4,M4,R4,W4)/Z4</f>
        <v>0.64601447063805639</v>
      </c>
      <c r="AB4" s="288"/>
      <c r="AC4" s="285">
        <f>F4*11.02%</f>
        <v>104690</v>
      </c>
      <c r="AD4" s="286">
        <f>AB4/AC4</f>
        <v>0</v>
      </c>
      <c r="AE4" s="332">
        <f>F4*40%</f>
        <v>380000</v>
      </c>
      <c r="AF4" s="286">
        <f>SUM(H4,M4,R4,W4,AB4)/AE4</f>
        <v>0.46803748397727185</v>
      </c>
      <c r="AG4" s="288"/>
      <c r="AH4" s="330">
        <f>F4*12.03%</f>
        <v>114284.99999999999</v>
      </c>
      <c r="AI4" s="286">
        <f>AG4/AH4</f>
        <v>0</v>
      </c>
      <c r="AJ4" s="330">
        <f>F4*52.03%</f>
        <v>494285</v>
      </c>
      <c r="AK4" s="286">
        <f>SUM(H4,M4,R4,W4,AB4,AG4)/AJ4</f>
        <v>0.3598212446490654</v>
      </c>
      <c r="AL4" s="288"/>
      <c r="AM4" s="330">
        <f>F4*3.39%</f>
        <v>32205</v>
      </c>
      <c r="AN4" s="286">
        <f>AL4/AM4</f>
        <v>0</v>
      </c>
      <c r="AO4" s="330">
        <f>F4*55.42%</f>
        <v>526490</v>
      </c>
      <c r="AP4" s="286">
        <f>SUM(H4,M4,R4,W4,AB4,AG4,AL4)/AO4</f>
        <v>0.33781124790853256</v>
      </c>
      <c r="AQ4" s="288"/>
      <c r="AR4" s="330">
        <f>F4*9.83%</f>
        <v>93385</v>
      </c>
      <c r="AS4" s="286">
        <f>AQ4/AR4</f>
        <v>0</v>
      </c>
      <c r="AT4" s="330">
        <f>F4*65.25%</f>
        <v>619875</v>
      </c>
      <c r="AU4" s="286">
        <f>SUM(H4,M4,R4,W4,AB4,AG4,AL4,AQ4)/AT4</f>
        <v>0.28691953040752299</v>
      </c>
      <c r="AV4" s="288"/>
      <c r="AW4" s="330">
        <f>F4*10.85%</f>
        <v>103075</v>
      </c>
      <c r="AX4" s="286">
        <f>AV4/AW4</f>
        <v>0</v>
      </c>
      <c r="AY4" s="330">
        <f>F4*76.1%</f>
        <v>722949.99999999988</v>
      </c>
      <c r="AZ4" s="286">
        <f>SUM(H4,M4,R4,W4,AB4,AG4,AL4,AQ4,AV4)/AY4</f>
        <v>0.24601181812208775</v>
      </c>
      <c r="BA4" s="288"/>
      <c r="BB4" s="330">
        <f>F4*6.1%</f>
        <v>57950</v>
      </c>
      <c r="BC4" s="286">
        <f>BA4/BB4</f>
        <v>0</v>
      </c>
      <c r="BD4" s="330">
        <f>F4*82.2%</f>
        <v>780900.00000000012</v>
      </c>
      <c r="BE4" s="286">
        <f>SUM(H4,M4,R4,W4,AB4,AG4,AL4,AQ4,AV4,BA4)/BD4</f>
        <v>0.2277554666556067</v>
      </c>
      <c r="BF4" s="288"/>
      <c r="BG4" s="330">
        <f>F4*6.44%</f>
        <v>61180</v>
      </c>
      <c r="BH4" s="286">
        <f>BF4/BG4</f>
        <v>0</v>
      </c>
      <c r="BI4" s="330">
        <f>F4*88.64%</f>
        <v>842080</v>
      </c>
      <c r="BJ4" s="286">
        <f>SUM(H4,M4,R4,W4,AB4,AG4,AL4,AQ4,AV4,BA4,BF4)/BI4</f>
        <v>0.21120825089227069</v>
      </c>
      <c r="BK4" s="288"/>
      <c r="BL4" s="330">
        <f>F4*11.36%</f>
        <v>107920</v>
      </c>
      <c r="BM4" s="286">
        <f>BK4/BL4</f>
        <v>0</v>
      </c>
      <c r="BN4" s="331">
        <f>F4*100%</f>
        <v>950000</v>
      </c>
      <c r="BO4" s="290">
        <f>SUM(H4,M4,R4,W4,AB4,AG4,AL4,AQ4,AV4,BA4,BF4,BK4)/BN4</f>
        <v>0.18721499359090873</v>
      </c>
    </row>
    <row r="5" spans="1:67" s="283" customFormat="1" ht="12.75">
      <c r="A5" s="151" t="s">
        <v>62</v>
      </c>
      <c r="B5" s="153" t="s">
        <v>63</v>
      </c>
      <c r="C5" s="153" t="s">
        <v>64</v>
      </c>
      <c r="D5" s="152">
        <v>1015833.87</v>
      </c>
      <c r="E5" s="165">
        <v>700000</v>
      </c>
      <c r="F5" s="154">
        <v>1200000</v>
      </c>
      <c r="G5" s="164">
        <v>1300000</v>
      </c>
      <c r="H5" s="247">
        <v>104422.37</v>
      </c>
      <c r="I5" s="251">
        <f t="shared" ref="I5:I8" si="0">F5*7.46%</f>
        <v>89520</v>
      </c>
      <c r="J5" s="252">
        <f t="shared" ref="J5:J8" si="1">H5/I5</f>
        <v>1.16646972743521</v>
      </c>
      <c r="K5" s="251">
        <f t="shared" ref="K5:K8" si="2">F5*7.46%</f>
        <v>89520</v>
      </c>
      <c r="L5" s="252">
        <f t="shared" ref="L5:L8" si="3">H5/K5</f>
        <v>1.16646972743521</v>
      </c>
      <c r="M5" s="249">
        <v>58526.815000000002</v>
      </c>
      <c r="N5" s="251">
        <f t="shared" ref="N5:N8" si="4">F5*5.93%</f>
        <v>71160</v>
      </c>
      <c r="O5" s="253">
        <f t="shared" ref="O5:O8" si="5">M5/N5</f>
        <v>0.82246788926363124</v>
      </c>
      <c r="P5" s="255">
        <f>F5*13.39%</f>
        <v>160680.00000000003</v>
      </c>
      <c r="Q5" s="253">
        <f>SUM(H5,M5)/P5</f>
        <v>1.0141223861090365</v>
      </c>
      <c r="R5" s="291">
        <v>61699</v>
      </c>
      <c r="S5" s="285">
        <f t="shared" ref="S5:S8" si="6">F5*8.31%</f>
        <v>99720.000000000015</v>
      </c>
      <c r="T5" s="286">
        <f t="shared" ref="T5:T8" si="7">R5/S5</f>
        <v>0.61872242278379452</v>
      </c>
      <c r="U5" s="287">
        <f t="shared" ref="U5:U8" si="8">F5*21.69%</f>
        <v>260280</v>
      </c>
      <c r="V5" s="286">
        <f t="shared" ref="V5:V8" si="9">SUM(H5,M5,R5)/U5</f>
        <v>0.86310198632242197</v>
      </c>
      <c r="W5" s="292"/>
      <c r="X5" s="285">
        <f t="shared" ref="X5:X8" si="10">F5*7.29%</f>
        <v>87480.000000000015</v>
      </c>
      <c r="Y5" s="286">
        <f t="shared" ref="Y5:Y8" si="11">W5/X5</f>
        <v>0</v>
      </c>
      <c r="Z5" s="287">
        <f t="shared" ref="Z5:Z8" si="12">F5*28.98%</f>
        <v>347760</v>
      </c>
      <c r="AA5" s="286">
        <f t="shared" ref="AA5:AA8" si="13">SUM(H5,M5,R5,W5)/Z5</f>
        <v>0.64598626926616054</v>
      </c>
      <c r="AB5" s="292"/>
      <c r="AC5" s="285">
        <f t="shared" ref="AC5:AC8" si="14">F5*11.02%</f>
        <v>132240</v>
      </c>
      <c r="AD5" s="286">
        <f t="shared" ref="AD5:AD8" si="15">AB5/AC5</f>
        <v>0</v>
      </c>
      <c r="AE5" s="332">
        <f t="shared" ref="AE5:AE8" si="16">F5*40%</f>
        <v>480000</v>
      </c>
      <c r="AF5" s="286">
        <f t="shared" ref="AF5:AF8" si="17">SUM(H5,M5,R5,W5,AB5)/AE5</f>
        <v>0.46801705208333333</v>
      </c>
      <c r="AG5" s="292"/>
      <c r="AH5" s="330">
        <f t="shared" ref="AH5:AH8" si="18">F5*12.03%</f>
        <v>144360</v>
      </c>
      <c r="AI5" s="286">
        <f t="shared" ref="AI5:AI8" si="19">AG5/AH5</f>
        <v>0</v>
      </c>
      <c r="AJ5" s="330">
        <f t="shared" ref="AJ5:AJ8" si="20">F5*52.03%</f>
        <v>624360</v>
      </c>
      <c r="AK5" s="286">
        <f t="shared" ref="AK5:AK8" si="21">SUM(H5,M5,R5,W5,AB5,AG5)/AJ5</f>
        <v>0.35980553686975464</v>
      </c>
      <c r="AL5" s="292"/>
      <c r="AM5" s="330">
        <f t="shared" ref="AM5:AM8" si="22">F5*3.39%</f>
        <v>40680</v>
      </c>
      <c r="AN5" s="286">
        <f t="shared" ref="AN5:AN8" si="23">AL5/AM5</f>
        <v>0</v>
      </c>
      <c r="AO5" s="330">
        <f t="shared" ref="AO5:AO8" si="24">F5*55.42%</f>
        <v>665040</v>
      </c>
      <c r="AP5" s="286">
        <f t="shared" ref="AP5:AP8" si="25">SUM(H5,M5,R5,W5,AB5,AG5,AL5)/AO5</f>
        <v>0.33779650096234815</v>
      </c>
      <c r="AQ5" s="292"/>
      <c r="AR5" s="330">
        <f t="shared" ref="AR5:AR8" si="26">F5*9.83%</f>
        <v>117960</v>
      </c>
      <c r="AS5" s="286">
        <f t="shared" ref="AS5:AS8" si="27">AQ5/AR5</f>
        <v>0</v>
      </c>
      <c r="AT5" s="330">
        <f t="shared" ref="AT5:AT8" si="28">F5*65.25%</f>
        <v>783000</v>
      </c>
      <c r="AU5" s="286">
        <f t="shared" ref="AU5:AU8" si="29">SUM(H5,M5,R5,W5,AB5,AG5,AL5,AQ5)/AT5</f>
        <v>0.28690700510855682</v>
      </c>
      <c r="AV5" s="292"/>
      <c r="AW5" s="330">
        <f t="shared" ref="AW5:AW8" si="30">F5*10.85%</f>
        <v>130200</v>
      </c>
      <c r="AX5" s="286">
        <f t="shared" ref="AX5:AX8" si="31">AV5/AW5</f>
        <v>0</v>
      </c>
      <c r="AY5" s="330">
        <f t="shared" ref="AY5:AY8" si="32">F5*76.1%</f>
        <v>913199.99999999988</v>
      </c>
      <c r="AZ5" s="286">
        <f t="shared" ref="AZ5:AZ8" si="33">SUM(H5,M5,R5,W5,AB5,AG5,AL5,AQ5,AV5)/AY5</f>
        <v>0.24600107862461676</v>
      </c>
      <c r="BA5" s="292"/>
      <c r="BB5" s="330">
        <f t="shared" ref="BB5:BB8" si="34">F5*6.1%</f>
        <v>73200</v>
      </c>
      <c r="BC5" s="286">
        <f t="shared" ref="BC5:BC8" si="35">BA5/BB5</f>
        <v>0</v>
      </c>
      <c r="BD5" s="330">
        <f t="shared" ref="BD5:BD8" si="36">F5*82.2%</f>
        <v>986400.00000000012</v>
      </c>
      <c r="BE5" s="286">
        <f t="shared" ref="BE5:BE8" si="37">SUM(H5,M5,R5,W5,AB5,AG5,AL5,AQ5,AV5,BA5)/BD5</f>
        <v>0.22774552412814272</v>
      </c>
      <c r="BF5" s="292"/>
      <c r="BG5" s="330">
        <f t="shared" ref="BG5:BG8" si="38">F5*6.44%</f>
        <v>77280</v>
      </c>
      <c r="BH5" s="286">
        <f t="shared" ref="BH5:BH8" si="39">BF5/BG5</f>
        <v>0</v>
      </c>
      <c r="BI5" s="330">
        <f t="shared" ref="BI5:BI8" si="40">F5*88.64%</f>
        <v>1063680</v>
      </c>
      <c r="BJ5" s="286">
        <f t="shared" ref="BJ5:BJ8" si="41">SUM(H5,M5,R5,W5,AB5,AG5,AL5,AQ5,AV5,BA5,BF5)/BI5</f>
        <v>0.21119903072352586</v>
      </c>
      <c r="BK5" s="292"/>
      <c r="BL5" s="330">
        <f t="shared" ref="BL5:BL8" si="42">F5*11.36%</f>
        <v>136320</v>
      </c>
      <c r="BM5" s="286">
        <f t="shared" ref="BM5:BM8" si="43">BK5/BL5</f>
        <v>0</v>
      </c>
      <c r="BN5" s="331">
        <f t="shared" ref="BN5:BN8" si="44">F5*100%</f>
        <v>1200000</v>
      </c>
      <c r="BO5" s="290">
        <f t="shared" ref="BO5:BO8" si="45">SUM(H5,M5,R5,W5,AB5,AG5,AL5,AQ5,AV5,BA5,BF5,BK5)/BN5</f>
        <v>0.18720682083333334</v>
      </c>
    </row>
    <row r="6" spans="1:67" s="283" customFormat="1" ht="12.75">
      <c r="A6" s="151" t="s">
        <v>54</v>
      </c>
      <c r="B6" s="153" t="s">
        <v>41</v>
      </c>
      <c r="C6" s="153" t="s">
        <v>55</v>
      </c>
      <c r="D6" s="152">
        <v>217422.8</v>
      </c>
      <c r="E6" s="165">
        <v>300000</v>
      </c>
      <c r="F6" s="154">
        <v>300000</v>
      </c>
      <c r="G6" s="155">
        <v>400000</v>
      </c>
      <c r="H6" s="293">
        <v>0</v>
      </c>
      <c r="I6" s="251">
        <f t="shared" si="0"/>
        <v>22380</v>
      </c>
      <c r="J6" s="252">
        <f t="shared" si="1"/>
        <v>0</v>
      </c>
      <c r="K6" s="251">
        <f t="shared" si="2"/>
        <v>22380</v>
      </c>
      <c r="L6" s="252">
        <f t="shared" si="3"/>
        <v>0</v>
      </c>
      <c r="M6" s="249">
        <v>4625.0006000000003</v>
      </c>
      <c r="N6" s="251">
        <f t="shared" si="4"/>
        <v>17790</v>
      </c>
      <c r="O6" s="253">
        <f t="shared" si="5"/>
        <v>0.25997754918493537</v>
      </c>
      <c r="P6" s="255">
        <f t="shared" ref="P6:P8" si="46">F6*13.39%</f>
        <v>40170.000000000007</v>
      </c>
      <c r="Q6" s="253">
        <f t="shared" ref="Q6:Q8" si="47">SUM(H6,M6)/P6</f>
        <v>0.11513568832462034</v>
      </c>
      <c r="R6" s="291">
        <v>47679</v>
      </c>
      <c r="S6" s="285">
        <f t="shared" si="6"/>
        <v>24930.000000000004</v>
      </c>
      <c r="T6" s="286">
        <f t="shared" si="7"/>
        <v>1.91251504211793</v>
      </c>
      <c r="U6" s="287">
        <f t="shared" si="8"/>
        <v>65070</v>
      </c>
      <c r="V6" s="286">
        <f t="shared" si="9"/>
        <v>0.80381128938066693</v>
      </c>
      <c r="W6" s="292"/>
      <c r="X6" s="285">
        <f t="shared" si="10"/>
        <v>21870.000000000004</v>
      </c>
      <c r="Y6" s="286">
        <f t="shared" si="11"/>
        <v>0</v>
      </c>
      <c r="Z6" s="287">
        <f t="shared" si="12"/>
        <v>86940</v>
      </c>
      <c r="AA6" s="286">
        <f t="shared" si="13"/>
        <v>0.60161031285944333</v>
      </c>
      <c r="AB6" s="292"/>
      <c r="AC6" s="285">
        <f t="shared" si="14"/>
        <v>33060</v>
      </c>
      <c r="AD6" s="286">
        <f t="shared" si="15"/>
        <v>0</v>
      </c>
      <c r="AE6" s="332">
        <f t="shared" si="16"/>
        <v>120000</v>
      </c>
      <c r="AF6" s="286">
        <f t="shared" si="17"/>
        <v>0.43586667166666665</v>
      </c>
      <c r="AG6" s="292"/>
      <c r="AH6" s="330">
        <f t="shared" si="18"/>
        <v>36090</v>
      </c>
      <c r="AI6" s="286">
        <f t="shared" si="19"/>
        <v>0</v>
      </c>
      <c r="AJ6" s="330">
        <f t="shared" si="20"/>
        <v>156090</v>
      </c>
      <c r="AK6" s="286">
        <f t="shared" si="21"/>
        <v>0.33508873470433725</v>
      </c>
      <c r="AL6" s="292"/>
      <c r="AM6" s="330">
        <f t="shared" si="22"/>
        <v>10170</v>
      </c>
      <c r="AN6" s="286">
        <f t="shared" si="23"/>
        <v>0</v>
      </c>
      <c r="AO6" s="330">
        <f t="shared" si="24"/>
        <v>166260</v>
      </c>
      <c r="AP6" s="286">
        <f t="shared" si="25"/>
        <v>0.31459160712137613</v>
      </c>
      <c r="AQ6" s="292"/>
      <c r="AR6" s="330">
        <f t="shared" si="26"/>
        <v>29490</v>
      </c>
      <c r="AS6" s="286">
        <f t="shared" si="27"/>
        <v>0</v>
      </c>
      <c r="AT6" s="330">
        <f t="shared" si="28"/>
        <v>195750</v>
      </c>
      <c r="AU6" s="286">
        <f t="shared" si="29"/>
        <v>0.26719795964240101</v>
      </c>
      <c r="AV6" s="292"/>
      <c r="AW6" s="330">
        <f t="shared" si="30"/>
        <v>32550</v>
      </c>
      <c r="AX6" s="286">
        <f t="shared" si="31"/>
        <v>0</v>
      </c>
      <c r="AY6" s="330">
        <f t="shared" si="32"/>
        <v>228299.99999999997</v>
      </c>
      <c r="AZ6" s="286">
        <f t="shared" si="33"/>
        <v>0.22910206132282088</v>
      </c>
      <c r="BA6" s="292"/>
      <c r="BB6" s="330">
        <f t="shared" si="34"/>
        <v>18300</v>
      </c>
      <c r="BC6" s="286">
        <f t="shared" si="35"/>
        <v>0</v>
      </c>
      <c r="BD6" s="330">
        <f t="shared" si="36"/>
        <v>246600.00000000003</v>
      </c>
      <c r="BE6" s="286">
        <f t="shared" si="37"/>
        <v>0.21210057015409567</v>
      </c>
      <c r="BF6" s="292"/>
      <c r="BG6" s="330">
        <f t="shared" si="38"/>
        <v>19320</v>
      </c>
      <c r="BH6" s="286">
        <f t="shared" si="39"/>
        <v>0</v>
      </c>
      <c r="BI6" s="330">
        <f t="shared" si="40"/>
        <v>265920</v>
      </c>
      <c r="BJ6" s="286">
        <f t="shared" si="41"/>
        <v>0.19669073631167269</v>
      </c>
      <c r="BK6" s="292"/>
      <c r="BL6" s="330">
        <f t="shared" si="42"/>
        <v>34080</v>
      </c>
      <c r="BM6" s="286">
        <f t="shared" si="43"/>
        <v>0</v>
      </c>
      <c r="BN6" s="331">
        <f t="shared" si="44"/>
        <v>300000</v>
      </c>
      <c r="BO6" s="290">
        <f t="shared" si="45"/>
        <v>0.17434666866666668</v>
      </c>
    </row>
    <row r="7" spans="1:67" s="283" customFormat="1" ht="12.75">
      <c r="A7" s="151" t="s">
        <v>56</v>
      </c>
      <c r="B7" s="153" t="s">
        <v>57</v>
      </c>
      <c r="C7" s="153" t="s">
        <v>58</v>
      </c>
      <c r="D7" s="152">
        <v>16700.84</v>
      </c>
      <c r="E7" s="165">
        <v>0</v>
      </c>
      <c r="F7" s="154">
        <v>200000</v>
      </c>
      <c r="G7" s="155">
        <v>250000</v>
      </c>
      <c r="H7" s="293">
        <v>0</v>
      </c>
      <c r="I7" s="251">
        <f t="shared" si="0"/>
        <v>14920</v>
      </c>
      <c r="J7" s="252">
        <f t="shared" si="1"/>
        <v>0</v>
      </c>
      <c r="K7" s="251">
        <f t="shared" si="2"/>
        <v>14920</v>
      </c>
      <c r="L7" s="252">
        <f t="shared" si="3"/>
        <v>0</v>
      </c>
      <c r="M7" s="249">
        <v>28718.2168206026</v>
      </c>
      <c r="N7" s="251">
        <f t="shared" si="4"/>
        <v>11860</v>
      </c>
      <c r="O7" s="253">
        <f t="shared" si="5"/>
        <v>2.4214348078079766</v>
      </c>
      <c r="P7" s="255">
        <f t="shared" si="46"/>
        <v>26780.000000000004</v>
      </c>
      <c r="Q7" s="253">
        <f t="shared" si="47"/>
        <v>1.0723755347499102</v>
      </c>
      <c r="R7" s="291">
        <v>1950</v>
      </c>
      <c r="S7" s="285">
        <f>F7*8.31%</f>
        <v>16620</v>
      </c>
      <c r="T7" s="286">
        <f t="shared" si="7"/>
        <v>0.11732851985559567</v>
      </c>
      <c r="U7" s="287">
        <f t="shared" si="8"/>
        <v>43380</v>
      </c>
      <c r="V7" s="286">
        <f t="shared" si="9"/>
        <v>0.70696673168747348</v>
      </c>
      <c r="W7" s="292"/>
      <c r="X7" s="285">
        <f t="shared" si="10"/>
        <v>14580.000000000002</v>
      </c>
      <c r="Y7" s="286">
        <f t="shared" si="11"/>
        <v>0</v>
      </c>
      <c r="Z7" s="287">
        <f t="shared" si="12"/>
        <v>57960</v>
      </c>
      <c r="AA7" s="286">
        <f t="shared" si="13"/>
        <v>0.52912727433751894</v>
      </c>
      <c r="AB7" s="292"/>
      <c r="AC7" s="285">
        <f t="shared" si="14"/>
        <v>22040</v>
      </c>
      <c r="AD7" s="286">
        <f t="shared" si="15"/>
        <v>0</v>
      </c>
      <c r="AE7" s="332">
        <f t="shared" si="16"/>
        <v>80000</v>
      </c>
      <c r="AF7" s="286">
        <f t="shared" si="17"/>
        <v>0.38335271025753248</v>
      </c>
      <c r="AG7" s="292"/>
      <c r="AH7" s="330">
        <f t="shared" si="18"/>
        <v>24059.999999999996</v>
      </c>
      <c r="AI7" s="286">
        <f t="shared" si="19"/>
        <v>0</v>
      </c>
      <c r="AJ7" s="330">
        <f t="shared" si="20"/>
        <v>104060</v>
      </c>
      <c r="AK7" s="286">
        <f t="shared" si="21"/>
        <v>0.29471667134924656</v>
      </c>
      <c r="AL7" s="292"/>
      <c r="AM7" s="330">
        <f t="shared" si="22"/>
        <v>6780</v>
      </c>
      <c r="AN7" s="286">
        <f t="shared" si="23"/>
        <v>0</v>
      </c>
      <c r="AO7" s="330">
        <f t="shared" si="24"/>
        <v>110840</v>
      </c>
      <c r="AP7" s="286">
        <f t="shared" si="25"/>
        <v>0.27668907272286719</v>
      </c>
      <c r="AQ7" s="292"/>
      <c r="AR7" s="330">
        <f t="shared" si="26"/>
        <v>19660</v>
      </c>
      <c r="AS7" s="286">
        <f t="shared" si="27"/>
        <v>0</v>
      </c>
      <c r="AT7" s="330">
        <f t="shared" si="28"/>
        <v>130500</v>
      </c>
      <c r="AU7" s="286">
        <f t="shared" si="29"/>
        <v>0.23500549287818084</v>
      </c>
      <c r="AV7" s="292"/>
      <c r="AW7" s="330">
        <f t="shared" si="30"/>
        <v>21700</v>
      </c>
      <c r="AX7" s="286">
        <f t="shared" si="31"/>
        <v>0</v>
      </c>
      <c r="AY7" s="330">
        <f t="shared" si="32"/>
        <v>152199.99999999997</v>
      </c>
      <c r="AZ7" s="286">
        <f t="shared" si="33"/>
        <v>0.20149945348621948</v>
      </c>
      <c r="BA7" s="292"/>
      <c r="BB7" s="330">
        <f t="shared" si="34"/>
        <v>12200</v>
      </c>
      <c r="BC7" s="286">
        <f t="shared" si="35"/>
        <v>0</v>
      </c>
      <c r="BD7" s="330">
        <f t="shared" si="36"/>
        <v>164400</v>
      </c>
      <c r="BE7" s="286">
        <f t="shared" si="37"/>
        <v>0.18654633102556326</v>
      </c>
      <c r="BF7" s="292"/>
      <c r="BG7" s="330">
        <f t="shared" si="38"/>
        <v>12880</v>
      </c>
      <c r="BH7" s="286">
        <f t="shared" si="39"/>
        <v>0</v>
      </c>
      <c r="BI7" s="330">
        <f t="shared" si="40"/>
        <v>177280</v>
      </c>
      <c r="BJ7" s="286">
        <f t="shared" si="41"/>
        <v>0.17299310029672044</v>
      </c>
      <c r="BK7" s="292"/>
      <c r="BL7" s="330">
        <f t="shared" si="42"/>
        <v>22720</v>
      </c>
      <c r="BM7" s="286">
        <f t="shared" si="43"/>
        <v>0</v>
      </c>
      <c r="BN7" s="331">
        <f t="shared" si="44"/>
        <v>200000</v>
      </c>
      <c r="BO7" s="290">
        <f t="shared" si="45"/>
        <v>0.153341084103013</v>
      </c>
    </row>
    <row r="8" spans="1:67" s="283" customFormat="1" ht="12.75">
      <c r="A8" s="151" t="s">
        <v>59</v>
      </c>
      <c r="B8" s="153" t="s">
        <v>60</v>
      </c>
      <c r="C8" s="153" t="s">
        <v>61</v>
      </c>
      <c r="D8" s="152">
        <v>197237.39</v>
      </c>
      <c r="E8" s="165">
        <v>300000</v>
      </c>
      <c r="F8" s="154">
        <v>300000</v>
      </c>
      <c r="G8" s="155">
        <v>380000</v>
      </c>
      <c r="H8" s="247">
        <v>15616.3366202364</v>
      </c>
      <c r="I8" s="251">
        <f t="shared" si="0"/>
        <v>22380</v>
      </c>
      <c r="J8" s="252">
        <f t="shared" si="1"/>
        <v>0.69778090349581767</v>
      </c>
      <c r="K8" s="251">
        <f t="shared" si="2"/>
        <v>22380</v>
      </c>
      <c r="L8" s="252">
        <f t="shared" si="3"/>
        <v>0.69778090349581767</v>
      </c>
      <c r="M8" s="294">
        <v>0</v>
      </c>
      <c r="N8" s="251">
        <f t="shared" si="4"/>
        <v>17790</v>
      </c>
      <c r="O8" s="253">
        <f t="shared" si="5"/>
        <v>0</v>
      </c>
      <c r="P8" s="255">
        <f t="shared" si="46"/>
        <v>40170.000000000007</v>
      </c>
      <c r="Q8" s="253">
        <f t="shared" si="47"/>
        <v>0.38875620164890207</v>
      </c>
      <c r="R8" s="291">
        <v>29795</v>
      </c>
      <c r="S8" s="285">
        <f t="shared" si="6"/>
        <v>24930.000000000004</v>
      </c>
      <c r="T8" s="286">
        <f t="shared" si="7"/>
        <v>1.1951464099478539</v>
      </c>
      <c r="U8" s="287">
        <f t="shared" si="8"/>
        <v>65070</v>
      </c>
      <c r="V8" s="286">
        <f t="shared" si="9"/>
        <v>0.697884380209565</v>
      </c>
      <c r="W8" s="292"/>
      <c r="X8" s="285">
        <f t="shared" si="10"/>
        <v>21870.000000000004</v>
      </c>
      <c r="Y8" s="286">
        <f t="shared" si="11"/>
        <v>0</v>
      </c>
      <c r="Z8" s="287">
        <f t="shared" si="12"/>
        <v>86940</v>
      </c>
      <c r="AA8" s="286">
        <f t="shared" si="13"/>
        <v>0.52232961375933284</v>
      </c>
      <c r="AB8" s="292"/>
      <c r="AC8" s="285">
        <f t="shared" si="14"/>
        <v>33060</v>
      </c>
      <c r="AD8" s="286">
        <f t="shared" si="15"/>
        <v>0</v>
      </c>
      <c r="AE8" s="332">
        <f t="shared" si="16"/>
        <v>120000</v>
      </c>
      <c r="AF8" s="286">
        <f t="shared" si="17"/>
        <v>0.37842780516863667</v>
      </c>
      <c r="AG8" s="292"/>
      <c r="AH8" s="330">
        <f t="shared" si="18"/>
        <v>36090</v>
      </c>
      <c r="AI8" s="286">
        <f t="shared" si="19"/>
        <v>0</v>
      </c>
      <c r="AJ8" s="330">
        <f t="shared" si="20"/>
        <v>156090</v>
      </c>
      <c r="AK8" s="286">
        <f t="shared" si="21"/>
        <v>0.29093046716789289</v>
      </c>
      <c r="AL8" s="292"/>
      <c r="AM8" s="330">
        <f t="shared" si="22"/>
        <v>10170</v>
      </c>
      <c r="AN8" s="286">
        <f t="shared" si="23"/>
        <v>0</v>
      </c>
      <c r="AO8" s="330">
        <f t="shared" si="24"/>
        <v>166260</v>
      </c>
      <c r="AP8" s="286">
        <f t="shared" si="25"/>
        <v>0.27313446782290629</v>
      </c>
      <c r="AQ8" s="292"/>
      <c r="AR8" s="330">
        <f t="shared" si="26"/>
        <v>29490</v>
      </c>
      <c r="AS8" s="286">
        <f t="shared" si="27"/>
        <v>0</v>
      </c>
      <c r="AT8" s="330">
        <f t="shared" si="28"/>
        <v>195750</v>
      </c>
      <c r="AU8" s="286">
        <f t="shared" si="29"/>
        <v>0.23198639397311058</v>
      </c>
      <c r="AV8" s="292"/>
      <c r="AW8" s="330">
        <f t="shared" si="30"/>
        <v>32550</v>
      </c>
      <c r="AX8" s="286">
        <f t="shared" si="31"/>
        <v>0</v>
      </c>
      <c r="AY8" s="330">
        <f t="shared" si="32"/>
        <v>228299.99999999997</v>
      </c>
      <c r="AZ8" s="286">
        <f t="shared" si="33"/>
        <v>0.19891080429363295</v>
      </c>
      <c r="BA8" s="292"/>
      <c r="BB8" s="330">
        <f t="shared" si="34"/>
        <v>18300</v>
      </c>
      <c r="BC8" s="286">
        <f t="shared" si="35"/>
        <v>0</v>
      </c>
      <c r="BD8" s="330">
        <f t="shared" si="36"/>
        <v>246600.00000000003</v>
      </c>
      <c r="BE8" s="286">
        <f t="shared" si="37"/>
        <v>0.18414978353704944</v>
      </c>
      <c r="BF8" s="292"/>
      <c r="BG8" s="330">
        <f t="shared" si="38"/>
        <v>19320</v>
      </c>
      <c r="BH8" s="286">
        <f t="shared" si="39"/>
        <v>0</v>
      </c>
      <c r="BI8" s="330">
        <f t="shared" si="40"/>
        <v>265920</v>
      </c>
      <c r="BJ8" s="286">
        <f t="shared" si="41"/>
        <v>0.17077067020245337</v>
      </c>
      <c r="BK8" s="292"/>
      <c r="BL8" s="330">
        <f t="shared" si="42"/>
        <v>34080</v>
      </c>
      <c r="BM8" s="286">
        <f t="shared" si="43"/>
        <v>0</v>
      </c>
      <c r="BN8" s="331">
        <f t="shared" si="44"/>
        <v>300000</v>
      </c>
      <c r="BO8" s="290">
        <f t="shared" si="45"/>
        <v>0.15137112206745465</v>
      </c>
    </row>
    <row r="9" spans="1:67" s="283" customFormat="1" ht="12.75">
      <c r="F9" s="295">
        <f>SUM(F4:F8)</f>
        <v>2950000</v>
      </c>
      <c r="G9" s="296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297"/>
    </row>
    <row r="10" spans="1:67" s="283" customFormat="1" ht="12.75">
      <c r="F10" s="296"/>
      <c r="G10" s="296"/>
      <c r="I10" s="297"/>
      <c r="J10" s="297"/>
      <c r="K10" s="297"/>
      <c r="L10" s="297"/>
      <c r="M10" s="297"/>
      <c r="N10" s="297"/>
      <c r="O10" s="297"/>
      <c r="P10" s="297"/>
      <c r="Q10" s="297"/>
      <c r="R10" s="297"/>
      <c r="S10" s="297"/>
      <c r="T10" s="297"/>
      <c r="U10" s="297"/>
      <c r="V10" s="297"/>
    </row>
    <row r="11" spans="1:67" s="283" customFormat="1" ht="13.5" thickBot="1">
      <c r="N11" s="297"/>
    </row>
    <row r="12" spans="1:67" s="283" customFormat="1" ht="13.5" thickBot="1">
      <c r="A12" s="298"/>
      <c r="B12" s="299" t="s">
        <v>28</v>
      </c>
      <c r="C12" s="300" t="s">
        <v>29</v>
      </c>
      <c r="D12" s="299" t="s">
        <v>30</v>
      </c>
      <c r="E12" s="300" t="s">
        <v>31</v>
      </c>
      <c r="F12" s="299" t="s">
        <v>32</v>
      </c>
      <c r="G12" s="301" t="s">
        <v>127</v>
      </c>
      <c r="H12" s="302" t="s">
        <v>151</v>
      </c>
    </row>
    <row r="13" spans="1:67" s="283" customFormat="1" ht="12.75">
      <c r="A13" s="303" t="s">
        <v>16</v>
      </c>
      <c r="B13" s="159">
        <v>184714</v>
      </c>
      <c r="C13" s="158">
        <v>11</v>
      </c>
      <c r="D13" s="304">
        <v>164669</v>
      </c>
      <c r="E13" s="305">
        <v>8</v>
      </c>
      <c r="F13" s="306">
        <v>220000</v>
      </c>
      <c r="G13" s="307">
        <f>IF(D13=0,"",D13-F13)</f>
        <v>-55331</v>
      </c>
      <c r="H13" s="308">
        <f>IF(D13=0,"",D13/F13)</f>
        <v>0.74849545454545452</v>
      </c>
      <c r="J13" s="297"/>
      <c r="K13" s="297"/>
      <c r="L13" s="297"/>
    </row>
    <row r="14" spans="1:67" s="283" customFormat="1" ht="12.75">
      <c r="A14" s="303" t="s">
        <v>17</v>
      </c>
      <c r="B14" s="159">
        <v>144568</v>
      </c>
      <c r="C14" s="158">
        <v>8</v>
      </c>
      <c r="D14" s="309">
        <v>183710</v>
      </c>
      <c r="E14" s="310">
        <v>14</v>
      </c>
      <c r="F14" s="311">
        <v>175000</v>
      </c>
      <c r="G14" s="312">
        <f t="shared" ref="G14:G25" si="48">IF(D14=0,"",D14-F14)</f>
        <v>8710</v>
      </c>
      <c r="H14" s="313">
        <f>IF(D14=0,"",SUM(D13:D14)/SUM(F13:F14))</f>
        <v>0.88197215189873412</v>
      </c>
      <c r="J14" s="297"/>
      <c r="K14" s="297"/>
      <c r="L14" s="297"/>
    </row>
    <row r="15" spans="1:67" s="283" customFormat="1" ht="12.75">
      <c r="A15" s="303" t="s">
        <v>18</v>
      </c>
      <c r="B15" s="159">
        <v>199648</v>
      </c>
      <c r="C15" s="158">
        <v>14</v>
      </c>
      <c r="D15" s="309">
        <v>183663</v>
      </c>
      <c r="E15" s="310"/>
      <c r="F15" s="311">
        <v>245000</v>
      </c>
      <c r="G15" s="312">
        <f t="shared" si="48"/>
        <v>-61337</v>
      </c>
      <c r="H15" s="313">
        <f>IF(D15=0,"",SUM(D13:D15)/SUM(F13:F15))</f>
        <v>0.831315625</v>
      </c>
      <c r="J15" s="297"/>
      <c r="K15" s="297"/>
      <c r="L15" s="297"/>
    </row>
    <row r="16" spans="1:67" s="283" customFormat="1" ht="12.75">
      <c r="A16" s="303" t="s">
        <v>19</v>
      </c>
      <c r="B16" s="159">
        <v>176642</v>
      </c>
      <c r="C16" s="158">
        <v>10</v>
      </c>
      <c r="D16" s="314"/>
      <c r="E16" s="310"/>
      <c r="F16" s="311">
        <v>215000</v>
      </c>
      <c r="G16" s="312" t="str">
        <f t="shared" si="48"/>
        <v/>
      </c>
      <c r="H16" s="313" t="str">
        <f>IF(D16=0,"",SUM(D13:D16)/SUM(F13:F16))</f>
        <v/>
      </c>
      <c r="J16" s="297"/>
      <c r="K16" s="297"/>
      <c r="L16" s="297"/>
    </row>
    <row r="17" spans="1:12" s="283" customFormat="1" ht="12.75">
      <c r="A17" s="303" t="s">
        <v>20</v>
      </c>
      <c r="B17" s="156">
        <v>266145</v>
      </c>
      <c r="C17" s="158">
        <v>16</v>
      </c>
      <c r="D17" s="314"/>
      <c r="E17" s="310"/>
      <c r="F17" s="311">
        <v>325000</v>
      </c>
      <c r="G17" s="312" t="str">
        <f t="shared" si="48"/>
        <v/>
      </c>
      <c r="H17" s="313" t="str">
        <f>IF(D17=0,"",SUM(D13:D17)/SUM(F13:F17))</f>
        <v/>
      </c>
      <c r="J17" s="297"/>
      <c r="K17" s="297"/>
      <c r="L17" s="297"/>
    </row>
    <row r="18" spans="1:12" s="283" customFormat="1" ht="12.75">
      <c r="A18" s="303" t="s">
        <v>21</v>
      </c>
      <c r="B18" s="159">
        <v>291664</v>
      </c>
      <c r="C18" s="158">
        <v>17</v>
      </c>
      <c r="D18" s="315"/>
      <c r="E18" s="310"/>
      <c r="F18" s="311">
        <v>355000</v>
      </c>
      <c r="G18" s="312" t="str">
        <f t="shared" si="48"/>
        <v/>
      </c>
      <c r="H18" s="313" t="str">
        <f>IF(D18=0,"",SUM(D13:D18)/SUM(F13:F18))</f>
        <v/>
      </c>
      <c r="J18" s="297"/>
      <c r="K18" s="297"/>
      <c r="L18" s="297"/>
    </row>
    <row r="19" spans="1:12" s="283" customFormat="1" ht="12.75">
      <c r="A19" s="303" t="s">
        <v>22</v>
      </c>
      <c r="B19" s="159">
        <v>0</v>
      </c>
      <c r="C19" s="158">
        <v>0</v>
      </c>
      <c r="D19" s="315"/>
      <c r="E19" s="310"/>
      <c r="F19" s="311">
        <v>100000</v>
      </c>
      <c r="G19" s="312" t="str">
        <f t="shared" si="48"/>
        <v/>
      </c>
      <c r="H19" s="313" t="str">
        <f>IF(D19=0,"",SUM(D13:D19)/SUM(F13:F19))</f>
        <v/>
      </c>
      <c r="J19" s="297"/>
      <c r="K19" s="297"/>
      <c r="L19" s="297"/>
    </row>
    <row r="20" spans="1:12" s="283" customFormat="1" ht="12.75">
      <c r="A20" s="303" t="s">
        <v>23</v>
      </c>
      <c r="B20" s="159">
        <v>237324</v>
      </c>
      <c r="C20" s="158">
        <v>12</v>
      </c>
      <c r="D20" s="315"/>
      <c r="E20" s="310"/>
      <c r="F20" s="311">
        <v>290000</v>
      </c>
      <c r="G20" s="312" t="str">
        <f t="shared" si="48"/>
        <v/>
      </c>
      <c r="H20" s="313" t="str">
        <f>IF(D20=0,"",SUM(D13:D20)/SUM(F13:F20))</f>
        <v/>
      </c>
      <c r="J20" s="297"/>
      <c r="K20" s="297"/>
      <c r="L20" s="297"/>
    </row>
    <row r="21" spans="1:12" s="283" customFormat="1" ht="12.75">
      <c r="A21" s="303" t="s">
        <v>24</v>
      </c>
      <c r="B21" s="159">
        <v>262623</v>
      </c>
      <c r="C21" s="158">
        <v>12</v>
      </c>
      <c r="D21" s="315"/>
      <c r="E21" s="310"/>
      <c r="F21" s="311">
        <v>320000</v>
      </c>
      <c r="G21" s="312" t="str">
        <f t="shared" si="48"/>
        <v/>
      </c>
      <c r="H21" s="313" t="str">
        <f>IF(D21=0,"",SUM(D13:D21)/SUM(F13:F21))</f>
        <v/>
      </c>
      <c r="J21" s="297"/>
      <c r="K21" s="297"/>
      <c r="L21" s="297"/>
    </row>
    <row r="22" spans="1:12" s="283" customFormat="1" ht="12.75">
      <c r="A22" s="303" t="s">
        <v>25</v>
      </c>
      <c r="B22" s="159">
        <v>147976</v>
      </c>
      <c r="C22" s="158">
        <v>7</v>
      </c>
      <c r="D22" s="315"/>
      <c r="E22" s="310"/>
      <c r="F22" s="311">
        <v>180000</v>
      </c>
      <c r="G22" s="312" t="str">
        <f t="shared" si="48"/>
        <v/>
      </c>
      <c r="H22" s="313" t="str">
        <f>IF(D22=0,"",SUM(D13:D22)/SUM(F13:F22))</f>
        <v/>
      </c>
      <c r="J22" s="297"/>
      <c r="K22" s="297"/>
      <c r="L22" s="297"/>
    </row>
    <row r="23" spans="1:12" s="283" customFormat="1" ht="12.75">
      <c r="A23" s="303" t="s">
        <v>26</v>
      </c>
      <c r="B23" s="159">
        <v>154546</v>
      </c>
      <c r="C23" s="157">
        <v>8</v>
      </c>
      <c r="D23" s="315"/>
      <c r="E23" s="310"/>
      <c r="F23" s="311">
        <v>190000</v>
      </c>
      <c r="G23" s="312" t="str">
        <f t="shared" si="48"/>
        <v/>
      </c>
      <c r="H23" s="313" t="str">
        <f>IF(D23=0,"",SUM(D13:D23)/SUM(F13:F23))</f>
        <v/>
      </c>
      <c r="J23" s="297"/>
      <c r="K23" s="297"/>
      <c r="L23" s="297"/>
    </row>
    <row r="24" spans="1:12" s="283" customFormat="1" ht="13.5" thickBot="1">
      <c r="A24" s="303" t="s">
        <v>27</v>
      </c>
      <c r="B24" s="159">
        <v>274680</v>
      </c>
      <c r="C24" s="158">
        <v>14</v>
      </c>
      <c r="D24" s="316"/>
      <c r="E24" s="317"/>
      <c r="F24" s="318">
        <v>335000</v>
      </c>
      <c r="G24" s="319" t="str">
        <f t="shared" si="48"/>
        <v/>
      </c>
      <c r="H24" s="320" t="str">
        <f>IF(D24=0,"",SUM(D13:D24)/SUM(F13:F24))</f>
        <v/>
      </c>
      <c r="J24" s="297"/>
      <c r="K24" s="297"/>
      <c r="L24" s="297"/>
    </row>
    <row r="25" spans="1:12" s="283" customFormat="1" ht="13.5" thickBot="1">
      <c r="A25" s="321"/>
      <c r="B25" s="322">
        <f>SUM(B13:B24)</f>
        <v>2340530</v>
      </c>
      <c r="C25" s="323">
        <f>SUM(C13:C24)</f>
        <v>129</v>
      </c>
      <c r="D25" s="324">
        <f>SUM(D13:D24)</f>
        <v>532042</v>
      </c>
      <c r="E25" s="325">
        <f>SUM(E13:E24)</f>
        <v>22</v>
      </c>
      <c r="F25" s="326">
        <f>SUM(F13:F24)</f>
        <v>2950000</v>
      </c>
      <c r="G25" s="319">
        <f t="shared" si="48"/>
        <v>-2417958</v>
      </c>
      <c r="H25" s="327"/>
      <c r="I25" s="297"/>
      <c r="J25" s="297"/>
      <c r="K25" s="297"/>
      <c r="L25" s="297"/>
    </row>
    <row r="26" spans="1:12" s="283" customFormat="1" ht="12.75"/>
    <row r="27" spans="1:12" s="283" customFormat="1" ht="12.75"/>
    <row r="28" spans="1:12" s="283" customFormat="1" ht="12.75">
      <c r="A28" s="283" t="s">
        <v>178</v>
      </c>
    </row>
    <row r="29" spans="1:12" s="283" customFormat="1" ht="12.75">
      <c r="B29" s="283" t="s">
        <v>174</v>
      </c>
      <c r="C29" s="283" t="s">
        <v>175</v>
      </c>
    </row>
    <row r="30" spans="1:12" s="283" customFormat="1" ht="12.75">
      <c r="A30" s="303" t="s">
        <v>16</v>
      </c>
      <c r="B30" s="328">
        <f t="shared" ref="B30:B41" si="49">F13/$F$25</f>
        <v>7.4576271186440682E-2</v>
      </c>
      <c r="C30" s="329">
        <v>7.46E-2</v>
      </c>
    </row>
    <row r="31" spans="1:12" s="283" customFormat="1" ht="12.75">
      <c r="A31" s="303" t="s">
        <v>17</v>
      </c>
      <c r="B31" s="328">
        <f t="shared" si="49"/>
        <v>5.9322033898305086E-2</v>
      </c>
      <c r="C31" s="329">
        <f>B30+B31</f>
        <v>0.13389830508474576</v>
      </c>
    </row>
    <row r="32" spans="1:12" s="283" customFormat="1" ht="12.75">
      <c r="A32" s="303" t="s">
        <v>18</v>
      </c>
      <c r="B32" s="328">
        <f t="shared" si="49"/>
        <v>8.3050847457627114E-2</v>
      </c>
      <c r="C32" s="329">
        <f>B30+B31+B32</f>
        <v>0.21694915254237288</v>
      </c>
    </row>
    <row r="33" spans="1:3" s="283" customFormat="1" ht="12.75">
      <c r="A33" s="303" t="s">
        <v>19</v>
      </c>
      <c r="B33" s="328">
        <f t="shared" si="49"/>
        <v>7.2881355932203393E-2</v>
      </c>
      <c r="C33" s="329">
        <f>B30+B31+B32+B33</f>
        <v>0.28983050847457625</v>
      </c>
    </row>
    <row r="34" spans="1:3" s="283" customFormat="1" ht="12.75">
      <c r="A34" s="303" t="s">
        <v>20</v>
      </c>
      <c r="B34" s="328">
        <f t="shared" si="49"/>
        <v>0.11016949152542373</v>
      </c>
      <c r="C34" s="329">
        <f>B30+B31+B32+B33+B34</f>
        <v>0.39999999999999997</v>
      </c>
    </row>
    <row r="35" spans="1:3" s="283" customFormat="1" ht="12.75">
      <c r="A35" s="303" t="s">
        <v>21</v>
      </c>
      <c r="B35" s="328">
        <f t="shared" si="49"/>
        <v>0.12033898305084746</v>
      </c>
      <c r="C35" s="329">
        <f>B30+B31+B32+B33+B34+B35</f>
        <v>0.52033898305084747</v>
      </c>
    </row>
    <row r="36" spans="1:3" s="283" customFormat="1" ht="12.75">
      <c r="A36" s="303" t="s">
        <v>22</v>
      </c>
      <c r="B36" s="328">
        <f t="shared" si="49"/>
        <v>3.3898305084745763E-2</v>
      </c>
      <c r="C36" s="329">
        <f>B30+B31+B32+B33+B34+B35+B36</f>
        <v>0.55423728813559325</v>
      </c>
    </row>
    <row r="37" spans="1:3" s="283" customFormat="1" ht="12.75">
      <c r="A37" s="303" t="s">
        <v>23</v>
      </c>
      <c r="B37" s="328">
        <f t="shared" si="49"/>
        <v>9.8305084745762716E-2</v>
      </c>
      <c r="C37" s="329">
        <f>B30+B31+B32+B33+B34+B35+B36+B37</f>
        <v>0.65254237288135597</v>
      </c>
    </row>
    <row r="38" spans="1:3" s="283" customFormat="1" ht="12.75">
      <c r="A38" s="303" t="s">
        <v>24</v>
      </c>
      <c r="B38" s="328">
        <f t="shared" si="49"/>
        <v>0.10847457627118644</v>
      </c>
      <c r="C38" s="329">
        <f>B30+B31+B32+B33+B34+B35+B36+B37+B38</f>
        <v>0.76101694915254237</v>
      </c>
    </row>
    <row r="39" spans="1:3" s="283" customFormat="1" ht="12.75">
      <c r="A39" s="303" t="s">
        <v>25</v>
      </c>
      <c r="B39" s="328">
        <f t="shared" si="49"/>
        <v>6.1016949152542375E-2</v>
      </c>
      <c r="C39" s="329">
        <f>B30+B31+B32+B33+B34+B35+B36+B37+B38+B39</f>
        <v>0.82203389830508478</v>
      </c>
    </row>
    <row r="40" spans="1:3" s="283" customFormat="1" ht="12.75">
      <c r="A40" s="303" t="s">
        <v>26</v>
      </c>
      <c r="B40" s="328">
        <f t="shared" si="49"/>
        <v>6.4406779661016947E-2</v>
      </c>
      <c r="C40" s="329">
        <f>B30+B31+B32+B33+B34+B35+B36+B37+B38+B39+B40</f>
        <v>0.88644067796610171</v>
      </c>
    </row>
    <row r="41" spans="1:3" s="283" customFormat="1" ht="12.75">
      <c r="A41" s="303" t="s">
        <v>27</v>
      </c>
      <c r="B41" s="328">
        <f t="shared" si="49"/>
        <v>0.11355932203389831</v>
      </c>
      <c r="C41" s="329">
        <f>B30+B31+B32+B33+B34+B35+B36+B37+B38+B39+B40+B41</f>
        <v>1</v>
      </c>
    </row>
    <row r="42" spans="1:3" s="283" customFormat="1" ht="12.75"/>
    <row r="43" spans="1:3" s="283" customFormat="1" ht="12.75"/>
    <row r="44" spans="1:3" s="283" customFormat="1" ht="12.75"/>
    <row r="45" spans="1:3" s="283" customFormat="1" ht="12.75"/>
    <row r="46" spans="1:3" s="283" customFormat="1" ht="12.75"/>
    <row r="47" spans="1:3" s="283" customFormat="1" ht="12.75"/>
    <row r="48" spans="1:3" s="283" customFormat="1" ht="12.75"/>
    <row r="49" s="283" customFormat="1" ht="12.75"/>
    <row r="50" s="283" customFormat="1" ht="12.75"/>
    <row r="51" s="283" customFormat="1" ht="12.75"/>
  </sheetData>
  <mergeCells count="1">
    <mergeCell ref="A3:C3"/>
  </mergeCells>
  <pageMargins left="0.7" right="0.7" top="0.75" bottom="0.75" header="0.3" footer="0.3"/>
  <pageSetup paperSize="9" scale="56" orientation="landscape" r:id="rId1"/>
  <ignoredErrors>
    <ignoredError sqref="H15:H23 H1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O29"/>
  <sheetViews>
    <sheetView topLeftCell="AX1" workbookViewId="0">
      <selection activeCell="H3" sqref="H3:BO11"/>
    </sheetView>
  </sheetViews>
  <sheetFormatPr defaultRowHeight="15"/>
  <cols>
    <col min="1" max="1" width="10.5703125" style="74" customWidth="1"/>
    <col min="2" max="2" width="14.28515625" style="74" bestFit="1" customWidth="1"/>
    <col min="3" max="3" width="9.42578125" style="74" customWidth="1"/>
    <col min="4" max="4" width="13.28515625" style="74" customWidth="1"/>
    <col min="5" max="5" width="14.28515625" style="74" customWidth="1"/>
    <col min="6" max="6" width="18" style="74" customWidth="1"/>
    <col min="7" max="7" width="19.85546875" style="74" customWidth="1"/>
    <col min="8" max="8" width="19.85546875" style="200" customWidth="1"/>
    <col min="9" max="9" width="15.140625" customWidth="1"/>
    <col min="10" max="10" width="13.42578125" customWidth="1"/>
    <col min="11" max="11" width="11.85546875" bestFit="1" customWidth="1"/>
    <col min="12" max="12" width="9.28515625" bestFit="1" customWidth="1"/>
    <col min="13" max="14" width="10.85546875" bestFit="1" customWidth="1"/>
    <col min="15" max="15" width="9.28515625" bestFit="1" customWidth="1"/>
    <col min="16" max="16" width="11.85546875" bestFit="1" customWidth="1"/>
    <col min="17" max="17" width="9.28515625" style="74" bestFit="1" customWidth="1"/>
    <col min="18" max="18" width="11.7109375" style="74" bestFit="1" customWidth="1"/>
    <col min="19" max="19" width="12.7109375" style="74" bestFit="1" customWidth="1"/>
    <col min="20" max="20" width="9.28515625" style="74" bestFit="1" customWidth="1"/>
    <col min="21" max="21" width="12.7109375" style="74" bestFit="1" customWidth="1"/>
    <col min="22" max="22" width="9.28515625" style="74" bestFit="1" customWidth="1"/>
    <col min="23" max="23" width="9.140625" style="74"/>
    <col min="24" max="24" width="12.7109375" style="74" bestFit="1" customWidth="1"/>
    <col min="25" max="25" width="9.28515625" style="74" bestFit="1" customWidth="1"/>
    <col min="26" max="26" width="12" style="74" bestFit="1" customWidth="1"/>
    <col min="27" max="27" width="9.28515625" style="74" bestFit="1" customWidth="1"/>
    <col min="28" max="28" width="9.140625" style="74"/>
    <col min="29" max="29" width="12" style="74" bestFit="1" customWidth="1"/>
    <col min="30" max="30" width="9.28515625" style="74" bestFit="1" customWidth="1"/>
    <col min="31" max="31" width="12" style="74" bestFit="1" customWidth="1"/>
    <col min="32" max="32" width="9.28515625" style="74" bestFit="1" customWidth="1"/>
    <col min="33" max="33" width="9.140625" style="74"/>
    <col min="34" max="34" width="12" style="74" bestFit="1" customWidth="1"/>
    <col min="35" max="35" width="9.28515625" style="74" bestFit="1" customWidth="1"/>
    <col min="36" max="36" width="12" style="74" bestFit="1" customWidth="1"/>
    <col min="37" max="37" width="9.28515625" style="74" bestFit="1" customWidth="1"/>
    <col min="38" max="38" width="9.140625" style="74"/>
    <col min="39" max="39" width="11" style="74" bestFit="1" customWidth="1"/>
    <col min="40" max="40" width="9.28515625" style="74" bestFit="1" customWidth="1"/>
    <col min="41" max="41" width="12" style="74" bestFit="1" customWidth="1"/>
    <col min="42" max="42" width="9.28515625" style="74" bestFit="1" customWidth="1"/>
    <col min="43" max="43" width="9.140625" style="74"/>
    <col min="44" max="44" width="12" style="74" bestFit="1" customWidth="1"/>
    <col min="45" max="45" width="9.28515625" style="74" bestFit="1" customWidth="1"/>
    <col min="46" max="46" width="12" style="74" bestFit="1" customWidth="1"/>
    <col min="47" max="47" width="9.28515625" style="74" bestFit="1" customWidth="1"/>
    <col min="48" max="48" width="9.140625" style="74"/>
    <col min="49" max="49" width="12" style="74" bestFit="1" customWidth="1"/>
    <col min="50" max="50" width="9.28515625" style="74" bestFit="1" customWidth="1"/>
    <col min="51" max="51" width="13.5703125" style="74" bestFit="1" customWidth="1"/>
    <col min="52" max="52" width="9.28515625" style="74" bestFit="1" customWidth="1"/>
    <col min="53" max="53" width="9.140625" style="74"/>
    <col min="54" max="54" width="11" style="74" bestFit="1" customWidth="1"/>
    <col min="55" max="55" width="9.28515625" style="74" bestFit="1" customWidth="1"/>
    <col min="56" max="56" width="13.5703125" style="74" bestFit="1" customWidth="1"/>
    <col min="57" max="57" width="9.28515625" style="74" bestFit="1" customWidth="1"/>
    <col min="58" max="58" width="9.140625" style="74"/>
    <col min="59" max="59" width="11" style="74" bestFit="1" customWidth="1"/>
    <col min="60" max="60" width="9.28515625" style="74" bestFit="1" customWidth="1"/>
    <col min="61" max="61" width="13.5703125" style="74" bestFit="1" customWidth="1"/>
    <col min="62" max="62" width="9.28515625" style="74" bestFit="1" customWidth="1"/>
    <col min="63" max="63" width="9.140625" style="74"/>
    <col min="64" max="64" width="12" style="74" bestFit="1" customWidth="1"/>
    <col min="65" max="65" width="9.28515625" style="74" bestFit="1" customWidth="1"/>
    <col min="66" max="66" width="13.5703125" style="74" bestFit="1" customWidth="1"/>
    <col min="67" max="67" width="9.28515625" style="74" bestFit="1" customWidth="1"/>
    <col min="68" max="16384" width="9.140625" style="74"/>
  </cols>
  <sheetData>
    <row r="1" spans="1:171" ht="21">
      <c r="A1" s="149" t="s">
        <v>129</v>
      </c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0"/>
      <c r="AP1" s="200"/>
      <c r="AQ1" s="200"/>
      <c r="AR1" s="200"/>
      <c r="AS1" s="200"/>
      <c r="AT1" s="200"/>
      <c r="AU1" s="200"/>
      <c r="AV1" s="200"/>
      <c r="AW1" s="200"/>
      <c r="AX1" s="200"/>
      <c r="AY1" s="200"/>
      <c r="AZ1" s="200"/>
      <c r="BA1" s="200"/>
      <c r="BB1" s="200"/>
      <c r="BC1" s="200"/>
      <c r="BD1" s="200"/>
      <c r="BE1" s="200"/>
      <c r="BF1" s="200"/>
      <c r="BG1" s="200"/>
      <c r="BH1" s="200"/>
      <c r="BI1" s="200"/>
      <c r="BJ1" s="200"/>
      <c r="BK1" s="200"/>
      <c r="BL1" s="200"/>
      <c r="BM1" s="200"/>
      <c r="BN1" s="200"/>
      <c r="BO1" s="200"/>
    </row>
    <row r="2" spans="1:171" s="200" customFormat="1" ht="15" customHeight="1">
      <c r="A2" s="149"/>
    </row>
    <row r="3" spans="1:171" s="283" customFormat="1" ht="25.5">
      <c r="A3" s="275" t="s">
        <v>0</v>
      </c>
      <c r="B3" s="276"/>
      <c r="C3" s="277"/>
      <c r="D3" s="201" t="s">
        <v>1</v>
      </c>
      <c r="E3" s="202" t="s">
        <v>2</v>
      </c>
      <c r="F3" s="203" t="s">
        <v>119</v>
      </c>
      <c r="G3" s="204" t="s">
        <v>120</v>
      </c>
      <c r="H3" s="204" t="s">
        <v>16</v>
      </c>
      <c r="I3" s="281" t="s">
        <v>172</v>
      </c>
      <c r="J3" s="281" t="s">
        <v>173</v>
      </c>
      <c r="K3" s="281" t="s">
        <v>150</v>
      </c>
      <c r="L3" s="281" t="s">
        <v>151</v>
      </c>
      <c r="M3" s="282" t="s">
        <v>17</v>
      </c>
      <c r="N3" s="281" t="s">
        <v>148</v>
      </c>
      <c r="O3" s="281" t="s">
        <v>149</v>
      </c>
      <c r="P3" s="281" t="s">
        <v>150</v>
      </c>
      <c r="Q3" s="281" t="s">
        <v>151</v>
      </c>
      <c r="R3" s="280" t="s">
        <v>18</v>
      </c>
      <c r="S3" s="281" t="s">
        <v>152</v>
      </c>
      <c r="T3" s="281" t="s">
        <v>153</v>
      </c>
      <c r="U3" s="281" t="s">
        <v>150</v>
      </c>
      <c r="V3" s="281" t="s">
        <v>151</v>
      </c>
      <c r="W3" s="280" t="s">
        <v>19</v>
      </c>
      <c r="X3" s="281" t="s">
        <v>154</v>
      </c>
      <c r="Y3" s="281" t="s">
        <v>155</v>
      </c>
      <c r="Z3" s="281" t="s">
        <v>150</v>
      </c>
      <c r="AA3" s="281" t="s">
        <v>151</v>
      </c>
      <c r="AB3" s="280" t="s">
        <v>20</v>
      </c>
      <c r="AC3" s="281" t="s">
        <v>156</v>
      </c>
      <c r="AD3" s="281" t="s">
        <v>157</v>
      </c>
      <c r="AE3" s="281" t="s">
        <v>150</v>
      </c>
      <c r="AF3" s="281" t="s">
        <v>151</v>
      </c>
      <c r="AG3" s="280" t="s">
        <v>21</v>
      </c>
      <c r="AH3" s="281" t="s">
        <v>158</v>
      </c>
      <c r="AI3" s="281" t="s">
        <v>159</v>
      </c>
      <c r="AJ3" s="281" t="s">
        <v>150</v>
      </c>
      <c r="AK3" s="281" t="s">
        <v>151</v>
      </c>
      <c r="AL3" s="280" t="s">
        <v>22</v>
      </c>
      <c r="AM3" s="281" t="s">
        <v>160</v>
      </c>
      <c r="AN3" s="281" t="s">
        <v>161</v>
      </c>
      <c r="AO3" s="281" t="s">
        <v>150</v>
      </c>
      <c r="AP3" s="281" t="s">
        <v>151</v>
      </c>
      <c r="AQ3" s="280" t="s">
        <v>23</v>
      </c>
      <c r="AR3" s="281" t="s">
        <v>162</v>
      </c>
      <c r="AS3" s="281" t="s">
        <v>163</v>
      </c>
      <c r="AT3" s="281" t="s">
        <v>150</v>
      </c>
      <c r="AU3" s="281" t="s">
        <v>151</v>
      </c>
      <c r="AV3" s="280" t="s">
        <v>24</v>
      </c>
      <c r="AW3" s="281" t="s">
        <v>164</v>
      </c>
      <c r="AX3" s="281" t="s">
        <v>165</v>
      </c>
      <c r="AY3" s="281" t="s">
        <v>150</v>
      </c>
      <c r="AZ3" s="281" t="s">
        <v>151</v>
      </c>
      <c r="BA3" s="280" t="s">
        <v>25</v>
      </c>
      <c r="BB3" s="281" t="s">
        <v>166</v>
      </c>
      <c r="BC3" s="281" t="s">
        <v>167</v>
      </c>
      <c r="BD3" s="281" t="s">
        <v>150</v>
      </c>
      <c r="BE3" s="281" t="s">
        <v>151</v>
      </c>
      <c r="BF3" s="280" t="s">
        <v>26</v>
      </c>
      <c r="BG3" s="281" t="s">
        <v>168</v>
      </c>
      <c r="BH3" s="281" t="s">
        <v>169</v>
      </c>
      <c r="BI3" s="281" t="s">
        <v>150</v>
      </c>
      <c r="BJ3" s="281" t="s">
        <v>151</v>
      </c>
      <c r="BK3" s="280" t="s">
        <v>27</v>
      </c>
      <c r="BL3" s="281" t="s">
        <v>170</v>
      </c>
      <c r="BM3" s="281" t="s">
        <v>171</v>
      </c>
      <c r="BN3" s="281" t="s">
        <v>150</v>
      </c>
      <c r="BO3" s="281" t="s">
        <v>151</v>
      </c>
    </row>
    <row r="4" spans="1:171" s="283" customFormat="1" ht="12.75">
      <c r="A4" s="151" t="s">
        <v>65</v>
      </c>
      <c r="B4" s="153" t="s">
        <v>66</v>
      </c>
      <c r="C4" s="153" t="s">
        <v>67</v>
      </c>
      <c r="D4" s="152">
        <v>1724571.47</v>
      </c>
      <c r="E4" s="333">
        <v>1500000</v>
      </c>
      <c r="F4" s="334">
        <v>2000000</v>
      </c>
      <c r="G4" s="335">
        <v>2020000</v>
      </c>
      <c r="H4" s="164"/>
      <c r="I4" s="337">
        <f>E4*7.46%</f>
        <v>111900</v>
      </c>
      <c r="J4" s="252">
        <f>G4/I4</f>
        <v>18.051831992850758</v>
      </c>
      <c r="K4" s="337">
        <f>E4*7.46%</f>
        <v>111900</v>
      </c>
      <c r="L4" s="252">
        <f>G4/K4</f>
        <v>18.051831992850758</v>
      </c>
      <c r="M4" s="339">
        <v>90685.244555172496</v>
      </c>
      <c r="N4" s="337">
        <f>E4*5.93%</f>
        <v>88950</v>
      </c>
      <c r="O4" s="253">
        <f>M4/N4</f>
        <v>1.0195080894342046</v>
      </c>
      <c r="P4" s="255">
        <f>E4*13.39%</f>
        <v>200850.00000000003</v>
      </c>
      <c r="Q4" s="253">
        <f>SUM(G4,M4)/P4</f>
        <v>10.508763975878377</v>
      </c>
      <c r="R4" s="284">
        <v>42539</v>
      </c>
      <c r="S4" s="330">
        <f>E4*8.31%</f>
        <v>124650.00000000001</v>
      </c>
      <c r="T4" s="286">
        <f>R4/S4</f>
        <v>0.34126754913758522</v>
      </c>
      <c r="U4" s="332">
        <f>E4*21.69%</f>
        <v>325350</v>
      </c>
      <c r="V4" s="286">
        <f>SUM(G4,M4,R4)/U4</f>
        <v>6.6181780991399188</v>
      </c>
      <c r="W4" s="288"/>
      <c r="X4" s="330">
        <f>E4*7.29%</f>
        <v>109350.00000000001</v>
      </c>
      <c r="Y4" s="286">
        <f>W4/X4</f>
        <v>0</v>
      </c>
      <c r="Z4" s="332">
        <f>E4*28.98%</f>
        <v>434700</v>
      </c>
      <c r="AA4" s="286">
        <f>SUM(G4,M4,R4,W4)/Z4</f>
        <v>4.9533569002879512</v>
      </c>
      <c r="AB4" s="288"/>
      <c r="AC4" s="330">
        <f>E4*11.02%</f>
        <v>165300</v>
      </c>
      <c r="AD4" s="286">
        <f>AB4/AC4</f>
        <v>0</v>
      </c>
      <c r="AE4" s="332">
        <f>E4*40%</f>
        <v>600000</v>
      </c>
      <c r="AF4" s="286">
        <f>SUM(G4,M4,R4,W4,AB4)/AE4</f>
        <v>3.5887070742586209</v>
      </c>
      <c r="AG4" s="288"/>
      <c r="AH4" s="330">
        <f>E4*12.03%</f>
        <v>180449.99999999997</v>
      </c>
      <c r="AI4" s="286">
        <f>AG4/AH4</f>
        <v>0</v>
      </c>
      <c r="AJ4" s="330">
        <f>E4*52.03%</f>
        <v>780450</v>
      </c>
      <c r="AK4" s="286">
        <f>SUM(G4,M4,R4,W4,AB4,AG4)/AJ4</f>
        <v>2.7589522000835065</v>
      </c>
      <c r="AL4" s="288"/>
      <c r="AM4" s="330">
        <f>E4*3.39%</f>
        <v>50850</v>
      </c>
      <c r="AN4" s="286">
        <f>AL4/AM4</f>
        <v>0</v>
      </c>
      <c r="AO4" s="330">
        <f>E4*55.42%</f>
        <v>831300</v>
      </c>
      <c r="AP4" s="286">
        <f>SUM(G4,M4,R4,W4,AB4,AG4,AL4)/AO4</f>
        <v>2.5901891550044178</v>
      </c>
      <c r="AQ4" s="288"/>
      <c r="AR4" s="330">
        <f>E4*9.83%</f>
        <v>147450</v>
      </c>
      <c r="AS4" s="286">
        <f>AQ4/AR4</f>
        <v>0</v>
      </c>
      <c r="AT4" s="330">
        <f>E4*65.25%</f>
        <v>978750</v>
      </c>
      <c r="AU4" s="286">
        <f>SUM(G4,M4,R4,W4,AB4,AG4,AL4,AQ4)/AT4</f>
        <v>2.1999736853692693</v>
      </c>
      <c r="AV4" s="288"/>
      <c r="AW4" s="330">
        <f>E4*10.85%</f>
        <v>162750</v>
      </c>
      <c r="AX4" s="286">
        <f>AV4/AW4</f>
        <v>0</v>
      </c>
      <c r="AY4" s="330">
        <f>E4*76.1%</f>
        <v>1141499.9999999998</v>
      </c>
      <c r="AZ4" s="286">
        <f>SUM(G4,M4,R4,W4,AB4,AG4,AL4,AQ4,AV4)/AY4</f>
        <v>1.8863112085459246</v>
      </c>
      <c r="BA4" s="288"/>
      <c r="BB4" s="330">
        <f>E4*6.1%</f>
        <v>91500</v>
      </c>
      <c r="BC4" s="286">
        <f>BA4/BB4</f>
        <v>0</v>
      </c>
      <c r="BD4" s="330">
        <f>E4*82.2%</f>
        <v>1233000</v>
      </c>
      <c r="BE4" s="286">
        <f>SUM(G4,M4,R4,W4,AB4,AG4,AL4,AQ4,AV4,BA4)/BD4</f>
        <v>1.7463294765248762</v>
      </c>
      <c r="BF4" s="288"/>
      <c r="BG4" s="330">
        <f>E4*6.44%</f>
        <v>96600</v>
      </c>
      <c r="BH4" s="286">
        <f>BF4/BG4</f>
        <v>0</v>
      </c>
      <c r="BI4" s="330">
        <f>E4*88.64%</f>
        <v>1329600</v>
      </c>
      <c r="BJ4" s="286">
        <f>SUM(G4,M4,R4,W4,AB4,AG4,AL4,AQ4,AV4,BA4,BF4)/BI4</f>
        <v>1.6194526508387279</v>
      </c>
      <c r="BK4" s="288"/>
      <c r="BL4" s="330">
        <f>E4*11.36%</f>
        <v>170400</v>
      </c>
      <c r="BM4" s="286">
        <f>BK4/BL4</f>
        <v>0</v>
      </c>
      <c r="BN4" s="331">
        <f>E4*100%</f>
        <v>1500000</v>
      </c>
      <c r="BO4" s="290">
        <f>SUM(G4,M4,R4,W4,AB4,AG4,AL4,AQ4,AV4,BA4,BF4,BK4)/BN4</f>
        <v>1.4354828297034483</v>
      </c>
    </row>
    <row r="5" spans="1:171" s="283" customFormat="1" ht="12.75">
      <c r="A5" s="151" t="s">
        <v>68</v>
      </c>
      <c r="B5" s="153" t="s">
        <v>7</v>
      </c>
      <c r="C5" s="153" t="s">
        <v>11</v>
      </c>
      <c r="D5" s="152">
        <v>424326.9</v>
      </c>
      <c r="E5" s="333">
        <v>375000</v>
      </c>
      <c r="F5" s="334">
        <v>550000</v>
      </c>
      <c r="G5" s="335">
        <v>600000</v>
      </c>
      <c r="H5" s="164"/>
      <c r="I5" s="337">
        <f t="shared" ref="I5:I8" si="0">E5*7.46%</f>
        <v>27975</v>
      </c>
      <c r="J5" s="252">
        <f t="shared" ref="J5:J11" si="1">G5/I5</f>
        <v>21.447721179624665</v>
      </c>
      <c r="K5" s="337">
        <f t="shared" ref="K5:K11" si="2">E5*7.46%</f>
        <v>27975</v>
      </c>
      <c r="L5" s="252">
        <f t="shared" ref="L5:L8" si="3">G5/K5</f>
        <v>21.447721179624665</v>
      </c>
      <c r="M5" s="340">
        <v>58526.815000000002</v>
      </c>
      <c r="N5" s="337">
        <f t="shared" ref="N5:N8" si="4">E5*5.93%</f>
        <v>22237.5</v>
      </c>
      <c r="O5" s="253">
        <f t="shared" ref="O5:O8" si="5">M5/N5</f>
        <v>2.63189724564362</v>
      </c>
      <c r="P5" s="255">
        <f>E5*13.39%</f>
        <v>50212.500000000007</v>
      </c>
      <c r="Q5" s="253">
        <f>SUM(G5,M5)/P5</f>
        <v>13.11479840677122</v>
      </c>
      <c r="R5" s="291">
        <v>61699</v>
      </c>
      <c r="S5" s="330">
        <f t="shared" ref="S5:S8" si="6">E5*8.31%</f>
        <v>31162.500000000004</v>
      </c>
      <c r="T5" s="286">
        <f t="shared" ref="T5:T8" si="7">R5/S5</f>
        <v>1.9799117529081425</v>
      </c>
      <c r="U5" s="332">
        <f t="shared" ref="U5:U8" si="8">E5*21.69%</f>
        <v>81337.5</v>
      </c>
      <c r="V5" s="286">
        <f t="shared" ref="V5:V8" si="9">SUM(G5,M5,R5)/U5</f>
        <v>8.8547818042108499</v>
      </c>
      <c r="W5" s="292"/>
      <c r="X5" s="330">
        <f t="shared" ref="X5:X8" si="10">E5*7.29%</f>
        <v>27337.500000000004</v>
      </c>
      <c r="Y5" s="286">
        <f t="shared" ref="Y5:Y8" si="11">W5/X5</f>
        <v>0</v>
      </c>
      <c r="Z5" s="332">
        <f t="shared" ref="Z5:Z8" si="12">E5*28.98%</f>
        <v>108675</v>
      </c>
      <c r="AA5" s="286">
        <f t="shared" ref="AA5:AA8" si="13">SUM(G5,M5,R5,W5)/Z5</f>
        <v>6.6273366919714745</v>
      </c>
      <c r="AB5" s="292"/>
      <c r="AC5" s="330">
        <f t="shared" ref="AC5:AC8" si="14">E5*11.02%</f>
        <v>41325</v>
      </c>
      <c r="AD5" s="286">
        <f t="shared" ref="AD5:AD8" si="15">AB5/AC5</f>
        <v>0</v>
      </c>
      <c r="AE5" s="332">
        <f t="shared" ref="AE5:AE8" si="16">E5*40%</f>
        <v>150000</v>
      </c>
      <c r="AF5" s="286">
        <f t="shared" ref="AF5:AF8" si="17">SUM(G5,M5,R5,W5,AB5)/AE5</f>
        <v>4.8015054333333334</v>
      </c>
      <c r="AG5" s="292"/>
      <c r="AH5" s="330">
        <f t="shared" ref="AH5:AH8" si="18">E5*12.03%</f>
        <v>45112.499999999993</v>
      </c>
      <c r="AI5" s="286">
        <f t="shared" ref="AI5:AI8" si="19">AG5/AH5</f>
        <v>0</v>
      </c>
      <c r="AJ5" s="330">
        <f t="shared" ref="AJ5:AJ8" si="20">E5*52.03%</f>
        <v>195112.5</v>
      </c>
      <c r="AK5" s="286">
        <f t="shared" ref="AK5:AK8" si="21">SUM(G5,M5,R5,W5,AB5,AG5)/AJ5</f>
        <v>3.6913361009673902</v>
      </c>
      <c r="AL5" s="292"/>
      <c r="AM5" s="330">
        <f t="shared" ref="AM5:AM8" si="22">E5*3.39%</f>
        <v>12712.5</v>
      </c>
      <c r="AN5" s="286">
        <f t="shared" ref="AN5:AN8" si="23">AL5/AM5</f>
        <v>0</v>
      </c>
      <c r="AO5" s="330">
        <f t="shared" ref="AO5:AO8" si="24">E5*55.42%</f>
        <v>207825</v>
      </c>
      <c r="AP5" s="286">
        <f t="shared" ref="AP5:AP8" si="25">SUM(G5,M5,R5,W5,AB5,AG5,AL5)/AO5</f>
        <v>3.4655398291832067</v>
      </c>
      <c r="AQ5" s="292"/>
      <c r="AR5" s="330">
        <f t="shared" ref="AR5:AR8" si="26">E5*9.83%</f>
        <v>36862.5</v>
      </c>
      <c r="AS5" s="286">
        <f t="shared" ref="AS5:AS8" si="27">AQ5/AR5</f>
        <v>0</v>
      </c>
      <c r="AT5" s="330">
        <f t="shared" ref="AT5:AT8" si="28">E5*65.25%</f>
        <v>244687.5</v>
      </c>
      <c r="AU5" s="286">
        <f t="shared" ref="AU5:AU8" si="29">SUM(G5,M5,R5,W5,AB5,AG5,AL5,AQ5)/AT5</f>
        <v>2.9434516066411236</v>
      </c>
      <c r="AV5" s="292"/>
      <c r="AW5" s="330">
        <f t="shared" ref="AW5:AW8" si="30">E5*10.85%</f>
        <v>40687.5</v>
      </c>
      <c r="AX5" s="286">
        <f t="shared" ref="AX5:AX8" si="31">AV5/AW5</f>
        <v>0</v>
      </c>
      <c r="AY5" s="330">
        <f t="shared" ref="AY5:AY8" si="32">E5*76.1%</f>
        <v>285374.99999999994</v>
      </c>
      <c r="AZ5" s="286">
        <f t="shared" ref="AZ5:AZ8" si="33">SUM(G5,M5,R5,W5,AB5,AG5,AL5,AQ5,AV5)/AY5</f>
        <v>2.5237873499780994</v>
      </c>
      <c r="BA5" s="292"/>
      <c r="BB5" s="330">
        <f t="shared" ref="BB5:BB8" si="34">E5*6.1%</f>
        <v>22875</v>
      </c>
      <c r="BC5" s="286">
        <f t="shared" ref="BC5:BC8" si="35">BA5/BB5</f>
        <v>0</v>
      </c>
      <c r="BD5" s="330">
        <f t="shared" ref="BD5:BD8" si="36">E5*82.2%</f>
        <v>308250</v>
      </c>
      <c r="BE5" s="286">
        <f t="shared" ref="BE5:BE8" si="37">SUM(G5,M5,R5,W5,AB5,AG5,AL5,AQ5,AV5,BA5)/BD5</f>
        <v>2.3364989943227896</v>
      </c>
      <c r="BF5" s="292"/>
      <c r="BG5" s="330">
        <f t="shared" ref="BG5:BG8" si="38">E5*6.44%</f>
        <v>24150</v>
      </c>
      <c r="BH5" s="286">
        <f t="shared" ref="BH5:BH8" si="39">BF5/BG5</f>
        <v>0</v>
      </c>
      <c r="BI5" s="330">
        <f t="shared" ref="BI5:BI8" si="40">E5*88.64%</f>
        <v>332400</v>
      </c>
      <c r="BJ5" s="286">
        <f t="shared" ref="BJ5:BJ8" si="41">SUM(G5,M5,R5,W5,AB5,AG5,AL5,AQ5,AV5,BA5,BF5)/BI5</f>
        <v>2.1667443291215402</v>
      </c>
      <c r="BK5" s="292"/>
      <c r="BL5" s="330">
        <f t="shared" ref="BL5:BL8" si="42">E5*11.36%</f>
        <v>42600</v>
      </c>
      <c r="BM5" s="286">
        <f t="shared" ref="BM5:BM8" si="43">BK5/BL5</f>
        <v>0</v>
      </c>
      <c r="BN5" s="331">
        <f t="shared" ref="BN5:BN8" si="44">E5*100%</f>
        <v>375000</v>
      </c>
      <c r="BO5" s="290">
        <f t="shared" ref="BO5:BO8" si="45">SUM(G5,M5,R5,W5,AB5,AG5,AL5,AQ5,AV5,BA5,BF5,BK5)/BN5</f>
        <v>1.9206021733333332</v>
      </c>
    </row>
    <row r="6" spans="1:171" s="283" customFormat="1" ht="12.75">
      <c r="A6" s="151" t="s">
        <v>69</v>
      </c>
      <c r="B6" s="153" t="s">
        <v>70</v>
      </c>
      <c r="C6" s="153" t="s">
        <v>71</v>
      </c>
      <c r="D6" s="152">
        <v>222325.64</v>
      </c>
      <c r="E6" s="333">
        <v>300000</v>
      </c>
      <c r="F6" s="334">
        <v>300000</v>
      </c>
      <c r="G6" s="335">
        <v>400000</v>
      </c>
      <c r="H6" s="164"/>
      <c r="I6" s="337">
        <f t="shared" si="0"/>
        <v>22380</v>
      </c>
      <c r="J6" s="252">
        <f t="shared" si="1"/>
        <v>17.873100983020553</v>
      </c>
      <c r="K6" s="337">
        <f t="shared" si="2"/>
        <v>22380</v>
      </c>
      <c r="L6" s="252">
        <f t="shared" si="3"/>
        <v>17.873100983020553</v>
      </c>
      <c r="M6" s="340">
        <v>4625.0006000000003</v>
      </c>
      <c r="N6" s="337">
        <f t="shared" si="4"/>
        <v>17790</v>
      </c>
      <c r="O6" s="253">
        <f t="shared" si="5"/>
        <v>0.25997754918493537</v>
      </c>
      <c r="P6" s="255">
        <f t="shared" ref="P6:P8" si="46">E6*13.39%</f>
        <v>40170.000000000007</v>
      </c>
      <c r="Q6" s="253">
        <f t="shared" ref="Q6:Q8" si="47">SUM(G6,M6)/P6</f>
        <v>10.072815548917101</v>
      </c>
      <c r="R6" s="291">
        <v>47679</v>
      </c>
      <c r="S6" s="330">
        <f t="shared" si="6"/>
        <v>24930.000000000004</v>
      </c>
      <c r="T6" s="286">
        <f t="shared" si="7"/>
        <v>1.91251504211793</v>
      </c>
      <c r="U6" s="332">
        <f t="shared" si="8"/>
        <v>65070</v>
      </c>
      <c r="V6" s="286">
        <f t="shared" si="9"/>
        <v>6.9510373536191796</v>
      </c>
      <c r="W6" s="292"/>
      <c r="X6" s="330">
        <f t="shared" si="10"/>
        <v>21870.000000000004</v>
      </c>
      <c r="Y6" s="286">
        <f t="shared" si="11"/>
        <v>0</v>
      </c>
      <c r="Z6" s="332">
        <f t="shared" si="12"/>
        <v>86940</v>
      </c>
      <c r="AA6" s="286">
        <f t="shared" si="13"/>
        <v>5.2024844789510007</v>
      </c>
      <c r="AB6" s="292"/>
      <c r="AC6" s="330">
        <f t="shared" si="14"/>
        <v>33060</v>
      </c>
      <c r="AD6" s="286">
        <f t="shared" si="15"/>
        <v>0</v>
      </c>
      <c r="AE6" s="332">
        <f t="shared" si="16"/>
        <v>120000</v>
      </c>
      <c r="AF6" s="286">
        <f t="shared" si="17"/>
        <v>3.7692000050000001</v>
      </c>
      <c r="AG6" s="292"/>
      <c r="AH6" s="330">
        <f t="shared" si="18"/>
        <v>36090</v>
      </c>
      <c r="AI6" s="286">
        <f t="shared" si="19"/>
        <v>0</v>
      </c>
      <c r="AJ6" s="330">
        <f t="shared" si="20"/>
        <v>156090</v>
      </c>
      <c r="AK6" s="286">
        <f t="shared" si="21"/>
        <v>2.8977128618104939</v>
      </c>
      <c r="AL6" s="292"/>
      <c r="AM6" s="330">
        <f t="shared" si="22"/>
        <v>10170</v>
      </c>
      <c r="AN6" s="286">
        <f t="shared" si="23"/>
        <v>0</v>
      </c>
      <c r="AO6" s="330">
        <f t="shared" si="24"/>
        <v>166260</v>
      </c>
      <c r="AP6" s="286">
        <f t="shared" si="25"/>
        <v>2.7204619307109348</v>
      </c>
      <c r="AQ6" s="292"/>
      <c r="AR6" s="330">
        <f t="shared" si="26"/>
        <v>29490</v>
      </c>
      <c r="AS6" s="286">
        <f t="shared" si="27"/>
        <v>0</v>
      </c>
      <c r="AT6" s="330">
        <f t="shared" si="28"/>
        <v>195750</v>
      </c>
      <c r="AU6" s="286">
        <f t="shared" si="29"/>
        <v>2.3106206927203066</v>
      </c>
      <c r="AV6" s="292"/>
      <c r="AW6" s="330">
        <f t="shared" si="30"/>
        <v>32550</v>
      </c>
      <c r="AX6" s="286">
        <f t="shared" si="31"/>
        <v>0</v>
      </c>
      <c r="AY6" s="330">
        <f t="shared" si="32"/>
        <v>228299.99999999997</v>
      </c>
      <c r="AZ6" s="286">
        <f t="shared" si="33"/>
        <v>1.9811826570302238</v>
      </c>
      <c r="BA6" s="292"/>
      <c r="BB6" s="330">
        <f t="shared" si="34"/>
        <v>18300</v>
      </c>
      <c r="BC6" s="286">
        <f t="shared" si="35"/>
        <v>0</v>
      </c>
      <c r="BD6" s="330">
        <f t="shared" si="36"/>
        <v>246600.00000000003</v>
      </c>
      <c r="BE6" s="286">
        <f t="shared" si="37"/>
        <v>1.8341605863746957</v>
      </c>
      <c r="BF6" s="292"/>
      <c r="BG6" s="330">
        <f t="shared" si="38"/>
        <v>19320</v>
      </c>
      <c r="BH6" s="286">
        <f t="shared" si="39"/>
        <v>0</v>
      </c>
      <c r="BI6" s="330">
        <f t="shared" si="40"/>
        <v>265920</v>
      </c>
      <c r="BJ6" s="286">
        <f t="shared" si="41"/>
        <v>1.70090252933213</v>
      </c>
      <c r="BK6" s="292"/>
      <c r="BL6" s="330">
        <f t="shared" si="42"/>
        <v>34080</v>
      </c>
      <c r="BM6" s="286">
        <f t="shared" si="43"/>
        <v>0</v>
      </c>
      <c r="BN6" s="331">
        <f t="shared" si="44"/>
        <v>300000</v>
      </c>
      <c r="BO6" s="290">
        <f t="shared" si="45"/>
        <v>1.5076800020000001</v>
      </c>
    </row>
    <row r="7" spans="1:171" s="283" customFormat="1" ht="12.75">
      <c r="A7" s="151" t="s">
        <v>72</v>
      </c>
      <c r="B7" s="153" t="s">
        <v>73</v>
      </c>
      <c r="C7" s="153" t="s">
        <v>74</v>
      </c>
      <c r="D7" s="152">
        <v>560456.78</v>
      </c>
      <c r="E7" s="333">
        <v>300000</v>
      </c>
      <c r="F7" s="334">
        <v>650000</v>
      </c>
      <c r="G7" s="335">
        <v>730000</v>
      </c>
      <c r="H7" s="164"/>
      <c r="I7" s="337">
        <f t="shared" si="0"/>
        <v>22380</v>
      </c>
      <c r="J7" s="252">
        <f t="shared" si="1"/>
        <v>32.618409294012508</v>
      </c>
      <c r="K7" s="337">
        <f t="shared" si="2"/>
        <v>22380</v>
      </c>
      <c r="L7" s="252">
        <f t="shared" si="3"/>
        <v>32.618409294012508</v>
      </c>
      <c r="M7" s="340">
        <v>28718.2168206026</v>
      </c>
      <c r="N7" s="337">
        <f t="shared" si="4"/>
        <v>17790</v>
      </c>
      <c r="O7" s="253">
        <f t="shared" si="5"/>
        <v>1.6142898718719842</v>
      </c>
      <c r="P7" s="255">
        <f t="shared" si="46"/>
        <v>40170.000000000007</v>
      </c>
      <c r="Q7" s="253">
        <f t="shared" si="47"/>
        <v>18.887682768747883</v>
      </c>
      <c r="R7" s="291">
        <v>1950</v>
      </c>
      <c r="S7" s="330">
        <f>E7*8.31%</f>
        <v>24930.000000000004</v>
      </c>
      <c r="T7" s="286">
        <f t="shared" si="7"/>
        <v>7.8219013237063761E-2</v>
      </c>
      <c r="U7" s="332">
        <f t="shared" si="8"/>
        <v>65070</v>
      </c>
      <c r="V7" s="286">
        <f t="shared" si="9"/>
        <v>11.689998721693602</v>
      </c>
      <c r="W7" s="292"/>
      <c r="X7" s="330">
        <f t="shared" si="10"/>
        <v>21870.000000000004</v>
      </c>
      <c r="Y7" s="286">
        <f t="shared" si="11"/>
        <v>0</v>
      </c>
      <c r="Z7" s="332">
        <f t="shared" si="12"/>
        <v>86940</v>
      </c>
      <c r="AA7" s="286">
        <f t="shared" si="13"/>
        <v>8.749346869342105</v>
      </c>
      <c r="AB7" s="292"/>
      <c r="AC7" s="330">
        <f t="shared" si="14"/>
        <v>33060</v>
      </c>
      <c r="AD7" s="286">
        <f t="shared" si="15"/>
        <v>0</v>
      </c>
      <c r="AE7" s="332">
        <f t="shared" si="16"/>
        <v>120000</v>
      </c>
      <c r="AF7" s="286">
        <f t="shared" si="17"/>
        <v>6.3389018068383551</v>
      </c>
      <c r="AG7" s="292"/>
      <c r="AH7" s="330">
        <f t="shared" si="18"/>
        <v>36090</v>
      </c>
      <c r="AI7" s="286">
        <f t="shared" si="19"/>
        <v>0</v>
      </c>
      <c r="AJ7" s="330">
        <f t="shared" si="20"/>
        <v>156090</v>
      </c>
      <c r="AK7" s="286">
        <f t="shared" si="21"/>
        <v>4.8732668128682342</v>
      </c>
      <c r="AL7" s="292"/>
      <c r="AM7" s="330">
        <f t="shared" si="22"/>
        <v>10170</v>
      </c>
      <c r="AN7" s="286">
        <f t="shared" si="23"/>
        <v>0</v>
      </c>
      <c r="AO7" s="330">
        <f t="shared" si="24"/>
        <v>166260</v>
      </c>
      <c r="AP7" s="286">
        <f t="shared" si="25"/>
        <v>4.5751727223661893</v>
      </c>
      <c r="AQ7" s="292"/>
      <c r="AR7" s="330">
        <f t="shared" si="26"/>
        <v>29490</v>
      </c>
      <c r="AS7" s="286">
        <f t="shared" si="27"/>
        <v>0</v>
      </c>
      <c r="AT7" s="330">
        <f t="shared" si="28"/>
        <v>195750</v>
      </c>
      <c r="AU7" s="286">
        <f t="shared" si="29"/>
        <v>3.8859168164526317</v>
      </c>
      <c r="AV7" s="292"/>
      <c r="AW7" s="330">
        <f t="shared" si="30"/>
        <v>32550</v>
      </c>
      <c r="AX7" s="286">
        <f t="shared" si="31"/>
        <v>0</v>
      </c>
      <c r="AY7" s="330">
        <f t="shared" si="32"/>
        <v>228299.99999999997</v>
      </c>
      <c r="AZ7" s="286">
        <f t="shared" si="33"/>
        <v>3.3318800561568231</v>
      </c>
      <c r="BA7" s="292"/>
      <c r="BB7" s="330">
        <f t="shared" si="34"/>
        <v>18300</v>
      </c>
      <c r="BC7" s="286">
        <f t="shared" si="35"/>
        <v>0</v>
      </c>
      <c r="BD7" s="330">
        <f t="shared" si="36"/>
        <v>246600.00000000003</v>
      </c>
      <c r="BE7" s="286">
        <f t="shared" si="37"/>
        <v>3.0846237502863039</v>
      </c>
      <c r="BF7" s="292"/>
      <c r="BG7" s="330">
        <f t="shared" si="38"/>
        <v>19320</v>
      </c>
      <c r="BH7" s="286">
        <f t="shared" si="39"/>
        <v>0</v>
      </c>
      <c r="BI7" s="330">
        <f t="shared" si="40"/>
        <v>265920</v>
      </c>
      <c r="BJ7" s="286">
        <f t="shared" si="41"/>
        <v>2.8605152557934819</v>
      </c>
      <c r="BK7" s="292"/>
      <c r="BL7" s="330">
        <f t="shared" si="42"/>
        <v>34080</v>
      </c>
      <c r="BM7" s="286">
        <f t="shared" si="43"/>
        <v>0</v>
      </c>
      <c r="BN7" s="331">
        <f t="shared" si="44"/>
        <v>300000</v>
      </c>
      <c r="BO7" s="290">
        <f t="shared" si="45"/>
        <v>2.5355607227353421</v>
      </c>
    </row>
    <row r="8" spans="1:171" s="283" customFormat="1" ht="12.75">
      <c r="A8" s="151" t="s">
        <v>75</v>
      </c>
      <c r="B8" s="153" t="s">
        <v>76</v>
      </c>
      <c r="C8" s="153" t="s">
        <v>77</v>
      </c>
      <c r="D8" s="152">
        <v>652643.46</v>
      </c>
      <c r="E8" s="333">
        <v>600000</v>
      </c>
      <c r="F8" s="334">
        <v>700000</v>
      </c>
      <c r="G8" s="335">
        <v>770000</v>
      </c>
      <c r="H8" s="164"/>
      <c r="I8" s="337">
        <f t="shared" si="0"/>
        <v>44760</v>
      </c>
      <c r="J8" s="252">
        <f t="shared" si="1"/>
        <v>17.202859696157283</v>
      </c>
      <c r="K8" s="337">
        <f t="shared" si="2"/>
        <v>44760</v>
      </c>
      <c r="L8" s="252">
        <f t="shared" si="3"/>
        <v>17.202859696157283</v>
      </c>
      <c r="M8" s="341">
        <v>0</v>
      </c>
      <c r="N8" s="337">
        <f t="shared" si="4"/>
        <v>35580</v>
      </c>
      <c r="O8" s="253">
        <f t="shared" si="5"/>
        <v>0</v>
      </c>
      <c r="P8" s="255">
        <f t="shared" si="46"/>
        <v>80340.000000000015</v>
      </c>
      <c r="Q8" s="253">
        <f t="shared" si="47"/>
        <v>9.584266865820263</v>
      </c>
      <c r="R8" s="291">
        <v>29795</v>
      </c>
      <c r="S8" s="330">
        <f t="shared" si="6"/>
        <v>49860.000000000007</v>
      </c>
      <c r="T8" s="286">
        <f t="shared" si="7"/>
        <v>0.59757320497392696</v>
      </c>
      <c r="U8" s="332">
        <f t="shared" si="8"/>
        <v>130140</v>
      </c>
      <c r="V8" s="286">
        <f t="shared" si="9"/>
        <v>6.1456508375595513</v>
      </c>
      <c r="W8" s="292"/>
      <c r="X8" s="330">
        <f t="shared" si="10"/>
        <v>43740.000000000007</v>
      </c>
      <c r="Y8" s="286">
        <f t="shared" si="11"/>
        <v>0</v>
      </c>
      <c r="Z8" s="332">
        <f t="shared" si="12"/>
        <v>173880</v>
      </c>
      <c r="AA8" s="286">
        <f t="shared" si="13"/>
        <v>4.5996951920864966</v>
      </c>
      <c r="AB8" s="292"/>
      <c r="AC8" s="330">
        <f t="shared" si="14"/>
        <v>66120</v>
      </c>
      <c r="AD8" s="286">
        <f t="shared" si="15"/>
        <v>0</v>
      </c>
      <c r="AE8" s="332">
        <f t="shared" si="16"/>
        <v>240000</v>
      </c>
      <c r="AF8" s="286">
        <f t="shared" si="17"/>
        <v>3.3324791666666669</v>
      </c>
      <c r="AG8" s="292"/>
      <c r="AH8" s="330">
        <f t="shared" si="18"/>
        <v>72180</v>
      </c>
      <c r="AI8" s="286">
        <f t="shared" si="19"/>
        <v>0</v>
      </c>
      <c r="AJ8" s="330">
        <f t="shared" si="20"/>
        <v>312180</v>
      </c>
      <c r="AK8" s="286">
        <f t="shared" si="21"/>
        <v>2.5619674546735856</v>
      </c>
      <c r="AL8" s="292"/>
      <c r="AM8" s="330">
        <f t="shared" si="22"/>
        <v>20340</v>
      </c>
      <c r="AN8" s="286">
        <f t="shared" si="23"/>
        <v>0</v>
      </c>
      <c r="AO8" s="330">
        <f t="shared" si="24"/>
        <v>332520</v>
      </c>
      <c r="AP8" s="286">
        <f t="shared" si="25"/>
        <v>2.4052538193191388</v>
      </c>
      <c r="AQ8" s="292"/>
      <c r="AR8" s="330">
        <f t="shared" si="26"/>
        <v>58980</v>
      </c>
      <c r="AS8" s="286">
        <f t="shared" si="27"/>
        <v>0</v>
      </c>
      <c r="AT8" s="330">
        <f t="shared" si="28"/>
        <v>391500</v>
      </c>
      <c r="AU8" s="286">
        <f t="shared" si="29"/>
        <v>2.0428991060025541</v>
      </c>
      <c r="AV8" s="292"/>
      <c r="AW8" s="330">
        <f t="shared" si="30"/>
        <v>65100</v>
      </c>
      <c r="AX8" s="286">
        <f t="shared" si="31"/>
        <v>0</v>
      </c>
      <c r="AY8" s="330">
        <f t="shared" si="32"/>
        <v>456599.99999999994</v>
      </c>
      <c r="AZ8" s="286">
        <f t="shared" si="33"/>
        <v>1.7516316250547528</v>
      </c>
      <c r="BA8" s="292"/>
      <c r="BB8" s="330">
        <f t="shared" si="34"/>
        <v>36600</v>
      </c>
      <c r="BC8" s="286">
        <f t="shared" si="35"/>
        <v>0</v>
      </c>
      <c r="BD8" s="330">
        <f t="shared" si="36"/>
        <v>493200.00000000006</v>
      </c>
      <c r="BE8" s="286">
        <f t="shared" si="37"/>
        <v>1.6216443633414435</v>
      </c>
      <c r="BF8" s="292"/>
      <c r="BG8" s="330">
        <f t="shared" si="38"/>
        <v>38640</v>
      </c>
      <c r="BH8" s="286">
        <f t="shared" si="39"/>
        <v>0</v>
      </c>
      <c r="BI8" s="330">
        <f t="shared" si="40"/>
        <v>531840</v>
      </c>
      <c r="BJ8" s="286">
        <f t="shared" si="41"/>
        <v>1.5038263387484958</v>
      </c>
      <c r="BK8" s="292"/>
      <c r="BL8" s="330">
        <f t="shared" si="42"/>
        <v>68160</v>
      </c>
      <c r="BM8" s="286">
        <f t="shared" si="43"/>
        <v>0</v>
      </c>
      <c r="BN8" s="331">
        <f t="shared" si="44"/>
        <v>600000</v>
      </c>
      <c r="BO8" s="290">
        <f t="shared" si="45"/>
        <v>1.3329916666666666</v>
      </c>
    </row>
    <row r="9" spans="1:171" s="283" customFormat="1" ht="12.75">
      <c r="A9" s="151" t="s">
        <v>78</v>
      </c>
      <c r="B9" s="153" t="s">
        <v>79</v>
      </c>
      <c r="C9" s="153" t="s">
        <v>80</v>
      </c>
      <c r="D9" s="152">
        <v>226938.06</v>
      </c>
      <c r="E9" s="333">
        <v>200000</v>
      </c>
      <c r="F9" s="334">
        <v>300000</v>
      </c>
      <c r="G9" s="335">
        <v>350000</v>
      </c>
      <c r="H9" s="278"/>
      <c r="I9" s="338">
        <v>26309.940717769601</v>
      </c>
      <c r="J9" s="252">
        <f t="shared" si="1"/>
        <v>13.302956618355729</v>
      </c>
      <c r="K9" s="337">
        <f t="shared" si="2"/>
        <v>14920</v>
      </c>
      <c r="L9" s="252">
        <f>G9/K9</f>
        <v>23.458445040214478</v>
      </c>
      <c r="M9" s="341">
        <v>1</v>
      </c>
      <c r="N9" s="337">
        <f>E9*5.93%</f>
        <v>11860</v>
      </c>
      <c r="O9" s="253">
        <f t="shared" ref="O9:O11" si="48">M9/N9</f>
        <v>8.4317032040472176E-5</v>
      </c>
      <c r="P9" s="255">
        <f>E9*13.39%</f>
        <v>26780.000000000004</v>
      </c>
      <c r="Q9" s="253">
        <f>SUM(G9,M9)/P9</f>
        <v>13.069492158327108</v>
      </c>
      <c r="R9" s="291">
        <v>29796</v>
      </c>
      <c r="S9" s="330">
        <f>E9*8.31%</f>
        <v>16620</v>
      </c>
      <c r="T9" s="286">
        <f t="shared" ref="T9:T11" si="49">R9/S9</f>
        <v>1.7927797833935017</v>
      </c>
      <c r="U9" s="332">
        <f>E9*21.69%</f>
        <v>43380</v>
      </c>
      <c r="V9" s="286">
        <f>SUM(G9,M9,R9)/U9</f>
        <v>8.7551175656984785</v>
      </c>
      <c r="W9" s="292"/>
      <c r="X9" s="330">
        <f>E9*7.29%</f>
        <v>14580.000000000002</v>
      </c>
      <c r="Y9" s="286">
        <f t="shared" ref="Y9:Y11" si="50">W9/X9</f>
        <v>0</v>
      </c>
      <c r="Z9" s="332">
        <f>E9*28.98%</f>
        <v>57960</v>
      </c>
      <c r="AA9" s="286">
        <f>SUM(G9,M9,R9,W9)/Z9</f>
        <v>6.5527432712215319</v>
      </c>
      <c r="AB9" s="292"/>
      <c r="AC9" s="330">
        <f>E9*11.02%</f>
        <v>22040</v>
      </c>
      <c r="AD9" s="286">
        <f t="shared" ref="AD9:AD11" si="51">AB9/AC9</f>
        <v>0</v>
      </c>
      <c r="AE9" s="332">
        <f>E9*40%</f>
        <v>80000</v>
      </c>
      <c r="AF9" s="286">
        <f>SUM(G9,M9,R9,W9,AB9)/AE9</f>
        <v>4.7474625000000001</v>
      </c>
      <c r="AG9" s="292"/>
      <c r="AH9" s="330">
        <f>E9*12.03%</f>
        <v>24059.999999999996</v>
      </c>
      <c r="AI9" s="286">
        <f t="shared" ref="AI9:AI11" si="52">AG9/AH9</f>
        <v>0</v>
      </c>
      <c r="AJ9" s="330">
        <f>E9*52.03%</f>
        <v>104060</v>
      </c>
      <c r="AK9" s="286">
        <f>SUM(G9,M9,R9,W9,AB9,AG9)/AJ9</f>
        <v>3.6497885835095136</v>
      </c>
      <c r="AL9" s="292"/>
      <c r="AM9" s="330">
        <f>E9*3.39%</f>
        <v>6780</v>
      </c>
      <c r="AN9" s="286">
        <f t="shared" ref="AN9:AN11" si="53">AL9/AM9</f>
        <v>0</v>
      </c>
      <c r="AO9" s="330">
        <f>E9*55.42%</f>
        <v>110840</v>
      </c>
      <c r="AP9" s="286">
        <f>SUM(G9,M9,R9,W9,AB9,AG9,AL9)/AO9</f>
        <v>3.4265337423312885</v>
      </c>
      <c r="AQ9" s="292"/>
      <c r="AR9" s="330">
        <f>E9*9.83%</f>
        <v>19660</v>
      </c>
      <c r="AS9" s="286">
        <f t="shared" ref="AS9:AS11" si="54">AQ9/AR9</f>
        <v>0</v>
      </c>
      <c r="AT9" s="330">
        <f>E9*65.25%</f>
        <v>130500</v>
      </c>
      <c r="AU9" s="286">
        <f>SUM(G9,M9,R9,W9,AB9,AG9,AL9,AQ9)/AT9</f>
        <v>2.9103218390804599</v>
      </c>
      <c r="AV9" s="292"/>
      <c r="AW9" s="330">
        <f>E9*10.85%</f>
        <v>21700</v>
      </c>
      <c r="AX9" s="286">
        <f t="shared" ref="AX9:AX11" si="55">AV9/AW9</f>
        <v>0</v>
      </c>
      <c r="AY9" s="330">
        <f>E9*76.1%</f>
        <v>152199.99999999997</v>
      </c>
      <c r="AZ9" s="286">
        <f>SUM(G9,M9,R9,W9,AB9,AG9,AL9,AQ9,AV9)/AY9</f>
        <v>2.4953810775295668</v>
      </c>
      <c r="BA9" s="292"/>
      <c r="BB9" s="330">
        <f>E9*6.1%</f>
        <v>12200</v>
      </c>
      <c r="BC9" s="286">
        <f t="shared" ref="BC9:BC11" si="56">BA9/BB9</f>
        <v>0</v>
      </c>
      <c r="BD9" s="330">
        <f>E9*82.2%</f>
        <v>164400</v>
      </c>
      <c r="BE9" s="286">
        <f>SUM(G9,M9,R9,W9,AB9,AG9,AL9,AQ9,AV9,BA9)/BD9</f>
        <v>2.3102007299270073</v>
      </c>
      <c r="BF9" s="292"/>
      <c r="BG9" s="330">
        <f>E9*6.44%</f>
        <v>12880</v>
      </c>
      <c r="BH9" s="286">
        <f t="shared" ref="BH9:BH11" si="57">BF9/BG9</f>
        <v>0</v>
      </c>
      <c r="BI9" s="330">
        <f>E9*88.64%</f>
        <v>177280</v>
      </c>
      <c r="BJ9" s="286">
        <f>SUM(G9,M9,R9,W9,AB9,AG9,AL9,AQ9,AV9,BA9,BF9)/BI9</f>
        <v>2.1423567238267149</v>
      </c>
      <c r="BK9" s="292"/>
      <c r="BL9" s="330">
        <f>E9*11.36%</f>
        <v>22720</v>
      </c>
      <c r="BM9" s="286">
        <f t="shared" ref="BM9:BM11" si="58">BK9/BL9</f>
        <v>0</v>
      </c>
      <c r="BN9" s="331">
        <f>E9*100%</f>
        <v>200000</v>
      </c>
      <c r="BO9" s="290">
        <f>SUM(G9,M9,R9,W9,AB9,AG9,AL9,AQ9,AV9,BA9,BF9,BK9)/BN9</f>
        <v>1.8989849999999999</v>
      </c>
    </row>
    <row r="10" spans="1:171" s="342" customFormat="1" ht="12.75">
      <c r="A10" s="84" t="s">
        <v>81</v>
      </c>
      <c r="B10" s="84" t="s">
        <v>82</v>
      </c>
      <c r="C10" s="84" t="s">
        <v>83</v>
      </c>
      <c r="D10" s="85">
        <v>213577.61</v>
      </c>
      <c r="E10" s="333">
        <v>200000</v>
      </c>
      <c r="F10" s="334">
        <v>325000</v>
      </c>
      <c r="G10" s="335">
        <v>350000</v>
      </c>
      <c r="H10" s="164"/>
      <c r="I10" s="344">
        <v>9074.5499999999993</v>
      </c>
      <c r="J10" s="252">
        <f t="shared" si="1"/>
        <v>38.569405645459007</v>
      </c>
      <c r="K10" s="337">
        <f t="shared" si="2"/>
        <v>14920</v>
      </c>
      <c r="L10" s="252">
        <f>G10/K10</f>
        <v>23.458445040214478</v>
      </c>
      <c r="M10" s="341">
        <v>2</v>
      </c>
      <c r="N10" s="337">
        <f>E10*5.93%</f>
        <v>11860</v>
      </c>
      <c r="O10" s="253">
        <f t="shared" si="48"/>
        <v>1.6863406408094435E-4</v>
      </c>
      <c r="P10" s="255">
        <f>E10*13.39%</f>
        <v>26780.000000000004</v>
      </c>
      <c r="Q10" s="253">
        <f>SUM(G10,M10)/P10</f>
        <v>13.069529499626585</v>
      </c>
      <c r="R10" s="291">
        <v>29797</v>
      </c>
      <c r="S10" s="330">
        <f>E10*8.31%</f>
        <v>16620</v>
      </c>
      <c r="T10" s="286">
        <f t="shared" si="49"/>
        <v>1.7928399518652227</v>
      </c>
      <c r="U10" s="332">
        <f>E10*21.69%</f>
        <v>43380</v>
      </c>
      <c r="V10" s="286">
        <f>SUM(G10,M10,R10)/U10</f>
        <v>8.7551636698939603</v>
      </c>
      <c r="W10" s="292"/>
      <c r="X10" s="330">
        <f>E10*7.29%</f>
        <v>14580.000000000002</v>
      </c>
      <c r="Y10" s="286">
        <f t="shared" si="50"/>
        <v>0</v>
      </c>
      <c r="Z10" s="332">
        <f>E10*28.98%</f>
        <v>57960</v>
      </c>
      <c r="AA10" s="286">
        <f>SUM(G10,M10,R10,W10)/Z10</f>
        <v>6.552777777777778</v>
      </c>
      <c r="AB10" s="292"/>
      <c r="AC10" s="330">
        <f>E10*11.02%</f>
        <v>22040</v>
      </c>
      <c r="AD10" s="286">
        <f t="shared" si="51"/>
        <v>0</v>
      </c>
      <c r="AE10" s="332">
        <f>E10*40%</f>
        <v>80000</v>
      </c>
      <c r="AF10" s="286">
        <f>SUM(G10,M10,R10,W10,AB10)/AE10</f>
        <v>4.7474875000000001</v>
      </c>
      <c r="AG10" s="292"/>
      <c r="AH10" s="330">
        <f>E10*12.03%</f>
        <v>24059.999999999996</v>
      </c>
      <c r="AI10" s="286">
        <f t="shared" si="52"/>
        <v>0</v>
      </c>
      <c r="AJ10" s="330">
        <f>E10*52.03%</f>
        <v>104060</v>
      </c>
      <c r="AK10" s="286">
        <f>SUM(G10,M10,R10,W10,AB10,AG10)/AJ10</f>
        <v>3.649807803190467</v>
      </c>
      <c r="AL10" s="292"/>
      <c r="AM10" s="330">
        <f>E10*3.39%</f>
        <v>6780</v>
      </c>
      <c r="AN10" s="286">
        <f t="shared" si="53"/>
        <v>0</v>
      </c>
      <c r="AO10" s="330">
        <f>E10*55.42%</f>
        <v>110840</v>
      </c>
      <c r="AP10" s="286">
        <f>SUM(G10,M10,R10,W10,AB10,AG10,AL10)/AO10</f>
        <v>3.4265517863587154</v>
      </c>
      <c r="AQ10" s="292"/>
      <c r="AR10" s="330">
        <f>E10*9.83%</f>
        <v>19660</v>
      </c>
      <c r="AS10" s="286">
        <f t="shared" si="54"/>
        <v>0</v>
      </c>
      <c r="AT10" s="330">
        <f>E10*65.25%</f>
        <v>130500</v>
      </c>
      <c r="AU10" s="286">
        <f>SUM(G10,M10,R10,W10,AB10,AG10,AL10,AQ10)/AT10</f>
        <v>2.9103371647509579</v>
      </c>
      <c r="AV10" s="292"/>
      <c r="AW10" s="330">
        <f>E10*10.85%</f>
        <v>21700</v>
      </c>
      <c r="AX10" s="286">
        <f t="shared" si="55"/>
        <v>0</v>
      </c>
      <c r="AY10" s="330">
        <f>E10*76.1%</f>
        <v>152199.99999999997</v>
      </c>
      <c r="AZ10" s="286">
        <f>SUM(G10,M10,R10,W10,AB10,AG10,AL10,AQ10,AV10)/AY10</f>
        <v>2.4953942181340345</v>
      </c>
      <c r="BA10" s="292"/>
      <c r="BB10" s="330">
        <f>E10*6.1%</f>
        <v>12200</v>
      </c>
      <c r="BC10" s="286">
        <f t="shared" si="56"/>
        <v>0</v>
      </c>
      <c r="BD10" s="330">
        <f>E10*82.2%</f>
        <v>164400</v>
      </c>
      <c r="BE10" s="286">
        <f>SUM(G10,M10,R10,W10,AB10,AG10,AL10,AQ10,AV10,BA10)/BD10</f>
        <v>2.3102128953771288</v>
      </c>
      <c r="BF10" s="292"/>
      <c r="BG10" s="330">
        <f>E10*6.44%</f>
        <v>12880</v>
      </c>
      <c r="BH10" s="286">
        <f t="shared" si="57"/>
        <v>0</v>
      </c>
      <c r="BI10" s="330">
        <f>E10*88.64%</f>
        <v>177280</v>
      </c>
      <c r="BJ10" s="286">
        <f>SUM(G10,M10,R10,W10,AB10,AG10,AL10,AQ10,AV10,BA10,BF10)/BI10</f>
        <v>2.1423680054151624</v>
      </c>
      <c r="BK10" s="292"/>
      <c r="BL10" s="330">
        <f>E10*11.36%</f>
        <v>22720</v>
      </c>
      <c r="BM10" s="286">
        <f t="shared" si="58"/>
        <v>0</v>
      </c>
      <c r="BN10" s="331">
        <f>E10*100%</f>
        <v>200000</v>
      </c>
      <c r="BO10" s="290">
        <f>SUM(G10,M10,R10,W10,AB10,AG10,AL10,AQ10,AV10,BA10,BF10,BK10)/BN10</f>
        <v>1.898995</v>
      </c>
      <c r="BP10" s="283"/>
      <c r="BQ10" s="283"/>
      <c r="BR10" s="283"/>
      <c r="BS10" s="283"/>
      <c r="BT10" s="283"/>
      <c r="BU10" s="283"/>
      <c r="BV10" s="283"/>
      <c r="BW10" s="283"/>
      <c r="BX10" s="283"/>
      <c r="BY10" s="283"/>
      <c r="BZ10" s="283"/>
      <c r="CA10" s="283"/>
      <c r="CB10" s="283"/>
      <c r="CC10" s="283"/>
      <c r="CD10" s="283"/>
      <c r="CE10" s="283"/>
      <c r="CF10" s="283"/>
      <c r="CG10" s="283"/>
      <c r="CH10" s="283"/>
      <c r="CI10" s="283"/>
      <c r="CJ10" s="283"/>
      <c r="CK10" s="283"/>
      <c r="CL10" s="283"/>
      <c r="CM10" s="283"/>
      <c r="CN10" s="283"/>
      <c r="CO10" s="283"/>
      <c r="CP10" s="283"/>
      <c r="CQ10" s="283"/>
      <c r="CR10" s="283"/>
      <c r="CS10" s="283"/>
      <c r="CT10" s="283"/>
      <c r="CU10" s="283"/>
      <c r="CV10" s="283"/>
      <c r="CW10" s="283"/>
      <c r="CX10" s="283"/>
      <c r="CY10" s="283"/>
      <c r="CZ10" s="283"/>
      <c r="DA10" s="283"/>
      <c r="DB10" s="283"/>
      <c r="DC10" s="283"/>
      <c r="DD10" s="283"/>
      <c r="DE10" s="283"/>
      <c r="DF10" s="283"/>
      <c r="DG10" s="283"/>
      <c r="DH10" s="283"/>
      <c r="DI10" s="283"/>
      <c r="DJ10" s="283"/>
      <c r="DK10" s="283"/>
      <c r="DL10" s="283"/>
      <c r="DM10" s="283"/>
      <c r="DN10" s="283"/>
      <c r="DO10" s="283"/>
      <c r="DP10" s="283"/>
      <c r="DQ10" s="283"/>
      <c r="DR10" s="283"/>
      <c r="DS10" s="283"/>
      <c r="DT10" s="283"/>
      <c r="DU10" s="283"/>
      <c r="DV10" s="283"/>
      <c r="DW10" s="283"/>
      <c r="DX10" s="283"/>
      <c r="DY10" s="283"/>
      <c r="DZ10" s="283"/>
      <c r="EA10" s="283"/>
      <c r="EB10" s="283"/>
      <c r="EC10" s="283"/>
      <c r="ED10" s="283"/>
      <c r="EE10" s="283"/>
      <c r="EF10" s="283"/>
      <c r="EG10" s="283"/>
      <c r="EH10" s="283"/>
      <c r="EI10" s="283"/>
      <c r="EJ10" s="283"/>
      <c r="EK10" s="283"/>
      <c r="EL10" s="283"/>
      <c r="EM10" s="283"/>
      <c r="EN10" s="283"/>
      <c r="EO10" s="283"/>
      <c r="EP10" s="283"/>
      <c r="EQ10" s="283"/>
      <c r="ER10" s="283"/>
      <c r="ES10" s="283"/>
      <c r="ET10" s="283"/>
      <c r="EU10" s="283"/>
      <c r="EV10" s="283"/>
      <c r="EW10" s="283"/>
      <c r="EX10" s="283"/>
      <c r="EY10" s="283"/>
      <c r="EZ10" s="283"/>
      <c r="FA10" s="283"/>
      <c r="FB10" s="283"/>
      <c r="FC10" s="283"/>
      <c r="FD10" s="283"/>
      <c r="FE10" s="283"/>
      <c r="FF10" s="283"/>
      <c r="FG10" s="283"/>
      <c r="FH10" s="283"/>
      <c r="FI10" s="283"/>
      <c r="FJ10" s="283"/>
      <c r="FK10" s="283"/>
      <c r="FL10" s="283"/>
      <c r="FM10" s="283"/>
      <c r="FN10" s="283"/>
      <c r="FO10" s="283"/>
    </row>
    <row r="11" spans="1:171" s="283" customFormat="1" ht="12.75">
      <c r="A11" s="84" t="s">
        <v>84</v>
      </c>
      <c r="B11" s="84" t="s">
        <v>85</v>
      </c>
      <c r="C11" s="84" t="s">
        <v>86</v>
      </c>
      <c r="D11" s="85">
        <v>0</v>
      </c>
      <c r="E11" s="333">
        <v>0</v>
      </c>
      <c r="F11" s="334">
        <v>200000</v>
      </c>
      <c r="G11" s="336" t="s">
        <v>15</v>
      </c>
      <c r="H11" s="185"/>
      <c r="I11" s="343">
        <v>0</v>
      </c>
      <c r="J11" s="252" t="e">
        <f t="shared" si="1"/>
        <v>#VALUE!</v>
      </c>
      <c r="K11" s="251">
        <f t="shared" si="2"/>
        <v>0</v>
      </c>
      <c r="L11" s="252" t="e">
        <f>G11/K11</f>
        <v>#VALUE!</v>
      </c>
      <c r="M11" s="294">
        <v>3</v>
      </c>
      <c r="N11" s="251">
        <f>E11*5.93%</f>
        <v>0</v>
      </c>
      <c r="O11" s="253" t="e">
        <f t="shared" si="48"/>
        <v>#DIV/0!</v>
      </c>
      <c r="P11" s="255">
        <f>E11*13.39%</f>
        <v>0</v>
      </c>
      <c r="Q11" s="253" t="e">
        <f>SUM(G11,M11)/P11</f>
        <v>#DIV/0!</v>
      </c>
      <c r="R11" s="291">
        <v>29798</v>
      </c>
      <c r="S11" s="330">
        <f>E11*8.31%</f>
        <v>0</v>
      </c>
      <c r="T11" s="286" t="e">
        <f t="shared" si="49"/>
        <v>#DIV/0!</v>
      </c>
      <c r="U11" s="332">
        <f>E11*21.69%</f>
        <v>0</v>
      </c>
      <c r="V11" s="286" t="e">
        <f>SUM(G11,M11,R11)/U11</f>
        <v>#DIV/0!</v>
      </c>
      <c r="W11" s="292"/>
      <c r="X11" s="330">
        <f>E11*7.29%</f>
        <v>0</v>
      </c>
      <c r="Y11" s="286" t="e">
        <f t="shared" si="50"/>
        <v>#DIV/0!</v>
      </c>
      <c r="Z11" s="332">
        <f>E11*28.98%</f>
        <v>0</v>
      </c>
      <c r="AA11" s="286" t="e">
        <f>SUM(G11,M11,R11,W11)/Z11</f>
        <v>#DIV/0!</v>
      </c>
      <c r="AB11" s="292"/>
      <c r="AC11" s="330">
        <f>E11*11.02%</f>
        <v>0</v>
      </c>
      <c r="AD11" s="286" t="e">
        <f t="shared" si="51"/>
        <v>#DIV/0!</v>
      </c>
      <c r="AE11" s="332">
        <f>E11*40%</f>
        <v>0</v>
      </c>
      <c r="AF11" s="286" t="e">
        <f>SUM(G11,M11,R11,W11,AB11)/AE11</f>
        <v>#DIV/0!</v>
      </c>
      <c r="AG11" s="292"/>
      <c r="AH11" s="330">
        <f>E11*12.03%</f>
        <v>0</v>
      </c>
      <c r="AI11" s="286" t="e">
        <f t="shared" si="52"/>
        <v>#DIV/0!</v>
      </c>
      <c r="AJ11" s="330">
        <f>E11*52.03%</f>
        <v>0</v>
      </c>
      <c r="AK11" s="286" t="e">
        <f>SUM(G11,M11,R11,W11,AB11,AG11)/AJ11</f>
        <v>#DIV/0!</v>
      </c>
      <c r="AL11" s="292"/>
      <c r="AM11" s="330">
        <f>E11*3.39%</f>
        <v>0</v>
      </c>
      <c r="AN11" s="286" t="e">
        <f t="shared" si="53"/>
        <v>#DIV/0!</v>
      </c>
      <c r="AO11" s="330">
        <f>E11*55.42%</f>
        <v>0</v>
      </c>
      <c r="AP11" s="286" t="e">
        <f>SUM(G11,M11,R11,W11,AB11,AG11,AL11)/AO11</f>
        <v>#DIV/0!</v>
      </c>
      <c r="AQ11" s="292"/>
      <c r="AR11" s="330">
        <f>E11*9.83%</f>
        <v>0</v>
      </c>
      <c r="AS11" s="286" t="e">
        <f t="shared" si="54"/>
        <v>#DIV/0!</v>
      </c>
      <c r="AT11" s="330">
        <f>E11*65.25%</f>
        <v>0</v>
      </c>
      <c r="AU11" s="286" t="e">
        <f>SUM(G11,M11,R11,W11,AB11,AG11,AL11,AQ11)/AT11</f>
        <v>#DIV/0!</v>
      </c>
      <c r="AV11" s="292"/>
      <c r="AW11" s="330">
        <f>E11*10.85%</f>
        <v>0</v>
      </c>
      <c r="AX11" s="286" t="e">
        <f t="shared" si="55"/>
        <v>#DIV/0!</v>
      </c>
      <c r="AY11" s="330">
        <f>E11*76.1%</f>
        <v>0</v>
      </c>
      <c r="AZ11" s="286" t="e">
        <f>SUM(G11,M11,R11,W11,AB11,AG11,AL11,AQ11,AV11)/AY11</f>
        <v>#DIV/0!</v>
      </c>
      <c r="BA11" s="292"/>
      <c r="BB11" s="330">
        <f>E11*6.1%</f>
        <v>0</v>
      </c>
      <c r="BC11" s="286" t="e">
        <f t="shared" si="56"/>
        <v>#DIV/0!</v>
      </c>
      <c r="BD11" s="330">
        <f>E11*82.2%</f>
        <v>0</v>
      </c>
      <c r="BE11" s="286" t="e">
        <f>SUM(G11,M11,R11,W11,AB11,AG11,AL11,AQ11,AV11,BA11)/BD11</f>
        <v>#DIV/0!</v>
      </c>
      <c r="BF11" s="292"/>
      <c r="BG11" s="330">
        <f>E11*6.44%</f>
        <v>0</v>
      </c>
      <c r="BH11" s="286" t="e">
        <f t="shared" si="57"/>
        <v>#DIV/0!</v>
      </c>
      <c r="BI11" s="330">
        <f>E11*88.64%</f>
        <v>0</v>
      </c>
      <c r="BJ11" s="286" t="e">
        <f>SUM(G11,M11,R11,W11,AB11,AG11,AL11,AQ11,AV11,BA11,BF11)/BI11</f>
        <v>#DIV/0!</v>
      </c>
      <c r="BK11" s="292"/>
      <c r="BL11" s="330">
        <f>E11*11.36%</f>
        <v>0</v>
      </c>
      <c r="BM11" s="286" t="e">
        <f t="shared" si="58"/>
        <v>#DIV/0!</v>
      </c>
      <c r="BN11" s="331">
        <f>E11*100%</f>
        <v>0</v>
      </c>
      <c r="BO11" s="290" t="e">
        <f>SUM(G11,M11,R11,W11,AB11,AG11,AL11,AQ11,AV11,BA11,BF11,BK11)/BN11</f>
        <v>#DIV/0!</v>
      </c>
    </row>
    <row r="12" spans="1:171">
      <c r="F12" s="184"/>
      <c r="G12" s="79"/>
      <c r="H12" s="79"/>
      <c r="I12" s="1"/>
      <c r="J12" s="1"/>
      <c r="L12" s="252"/>
      <c r="M12" s="250"/>
      <c r="N12" s="251"/>
      <c r="O12" s="253"/>
      <c r="P12" s="255"/>
      <c r="Q12" s="253"/>
      <c r="R12" s="194"/>
      <c r="S12" s="225"/>
      <c r="T12" s="254"/>
      <c r="U12" s="256"/>
      <c r="V12" s="254"/>
      <c r="W12" s="163"/>
      <c r="X12" s="225"/>
      <c r="Y12" s="254"/>
      <c r="Z12" s="256"/>
      <c r="AA12" s="254"/>
      <c r="AB12" s="163"/>
      <c r="AC12" s="225"/>
      <c r="AD12" s="254"/>
      <c r="AE12" s="256"/>
      <c r="AF12" s="254"/>
      <c r="AG12" s="163"/>
      <c r="AH12" s="225"/>
      <c r="AI12" s="254"/>
      <c r="AJ12" s="225"/>
      <c r="AK12" s="254"/>
      <c r="AL12" s="163"/>
      <c r="AM12" s="225"/>
      <c r="AN12" s="254"/>
      <c r="AO12" s="225"/>
      <c r="AP12" s="254"/>
      <c r="AQ12" s="163"/>
      <c r="AR12" s="225"/>
      <c r="AS12" s="254"/>
      <c r="AT12" s="225"/>
      <c r="AU12" s="254"/>
      <c r="AV12" s="163"/>
      <c r="AW12" s="225"/>
      <c r="AX12" s="254"/>
      <c r="AY12" s="225"/>
      <c r="AZ12" s="254"/>
      <c r="BA12" s="163"/>
      <c r="BB12" s="225"/>
      <c r="BC12" s="254"/>
      <c r="BD12" s="225"/>
      <c r="BE12" s="254"/>
      <c r="BF12" s="163"/>
      <c r="BG12" s="225"/>
      <c r="BH12" s="254"/>
      <c r="BI12" s="225"/>
      <c r="BJ12" s="254"/>
      <c r="BK12" s="163"/>
      <c r="BL12" s="225"/>
      <c r="BM12" s="254"/>
      <c r="BN12" s="226"/>
      <c r="BO12" s="257"/>
    </row>
    <row r="13" spans="1:171" s="148" customFormat="1" ht="15.75" thickBot="1">
      <c r="F13" s="1"/>
      <c r="G13" s="79"/>
      <c r="H13" s="79"/>
    </row>
    <row r="14" spans="1:171" ht="15.75" thickBot="1">
      <c r="A14" s="170"/>
      <c r="B14" s="174" t="s">
        <v>121</v>
      </c>
      <c r="C14" s="175" t="s">
        <v>122</v>
      </c>
      <c r="D14" s="174" t="s">
        <v>123</v>
      </c>
      <c r="E14" s="175" t="s">
        <v>124</v>
      </c>
      <c r="F14" s="187" t="s">
        <v>125</v>
      </c>
      <c r="G14" s="186" t="s">
        <v>126</v>
      </c>
      <c r="H14" s="279"/>
    </row>
    <row r="15" spans="1:171">
      <c r="A15" s="11" t="s">
        <v>16</v>
      </c>
      <c r="B15" s="78">
        <v>200190</v>
      </c>
      <c r="C15" s="77">
        <v>13</v>
      </c>
      <c r="D15" s="13">
        <v>324559</v>
      </c>
      <c r="E15" s="14">
        <v>21</v>
      </c>
      <c r="F15" s="147">
        <v>230000</v>
      </c>
      <c r="G15" s="146">
        <f>IF(D15=0, "",D15-F15)</f>
        <v>94559</v>
      </c>
      <c r="H15" s="205"/>
      <c r="I15" s="198"/>
    </row>
    <row r="16" spans="1:171">
      <c r="A16" s="11" t="s">
        <v>17</v>
      </c>
      <c r="B16" s="78">
        <v>366293</v>
      </c>
      <c r="C16" s="77">
        <v>26</v>
      </c>
      <c r="D16" s="4">
        <v>372530</v>
      </c>
      <c r="E16" s="5">
        <v>30</v>
      </c>
      <c r="F16" s="177">
        <v>410000</v>
      </c>
      <c r="G16" s="18">
        <f t="shared" ref="G16:G27" si="59">IF(D16=0, "",D16-F16)</f>
        <v>-37470</v>
      </c>
      <c r="H16" s="205"/>
      <c r="I16" s="198"/>
    </row>
    <row r="17" spans="1:9">
      <c r="A17" s="11" t="s">
        <v>18</v>
      </c>
      <c r="B17" s="78">
        <v>429444</v>
      </c>
      <c r="C17" s="77">
        <v>26</v>
      </c>
      <c r="D17" s="4"/>
      <c r="E17" s="5"/>
      <c r="F17" s="177">
        <v>485000</v>
      </c>
      <c r="G17" s="18" t="str">
        <f t="shared" si="59"/>
        <v/>
      </c>
      <c r="H17" s="205"/>
      <c r="I17" s="198"/>
    </row>
    <row r="18" spans="1:9">
      <c r="A18" s="11" t="s">
        <v>19</v>
      </c>
      <c r="B18" s="78">
        <v>516130</v>
      </c>
      <c r="C18" s="77">
        <v>26</v>
      </c>
      <c r="D18" s="4"/>
      <c r="E18" s="5"/>
      <c r="F18" s="177">
        <v>580000</v>
      </c>
      <c r="G18" s="18" t="str">
        <f t="shared" si="59"/>
        <v/>
      </c>
      <c r="H18" s="205"/>
      <c r="I18" s="198"/>
    </row>
    <row r="19" spans="1:9">
      <c r="A19" s="11" t="s">
        <v>20</v>
      </c>
      <c r="B19" s="75">
        <v>323952</v>
      </c>
      <c r="C19" s="77">
        <v>22</v>
      </c>
      <c r="D19" s="4"/>
      <c r="E19" s="5"/>
      <c r="F19" s="177">
        <v>365000</v>
      </c>
      <c r="G19" s="18" t="str">
        <f t="shared" si="59"/>
        <v/>
      </c>
      <c r="H19" s="205"/>
      <c r="I19" s="198"/>
    </row>
    <row r="20" spans="1:9">
      <c r="A20" s="11" t="s">
        <v>21</v>
      </c>
      <c r="B20" s="78">
        <v>641009</v>
      </c>
      <c r="C20" s="77">
        <v>39</v>
      </c>
      <c r="D20" s="4"/>
      <c r="E20" s="5"/>
      <c r="F20" s="177">
        <v>720000</v>
      </c>
      <c r="G20" s="18" t="str">
        <f t="shared" si="59"/>
        <v/>
      </c>
      <c r="H20" s="205"/>
      <c r="I20" s="198"/>
    </row>
    <row r="21" spans="1:9">
      <c r="A21" s="11" t="s">
        <v>22</v>
      </c>
      <c r="B21" s="78">
        <v>90014</v>
      </c>
      <c r="C21" s="77">
        <v>7</v>
      </c>
      <c r="D21" s="4"/>
      <c r="E21" s="5"/>
      <c r="F21" s="177">
        <v>100000</v>
      </c>
      <c r="G21" s="18" t="str">
        <f t="shared" si="59"/>
        <v/>
      </c>
      <c r="H21" s="205"/>
      <c r="I21" s="198"/>
    </row>
    <row r="22" spans="1:9">
      <c r="A22" s="11" t="s">
        <v>23</v>
      </c>
      <c r="B22" s="78">
        <v>253705</v>
      </c>
      <c r="C22" s="77">
        <v>16</v>
      </c>
      <c r="D22" s="4"/>
      <c r="E22" s="5"/>
      <c r="F22" s="177">
        <v>285000</v>
      </c>
      <c r="G22" s="18" t="str">
        <f t="shared" si="59"/>
        <v/>
      </c>
      <c r="H22" s="205"/>
      <c r="I22" s="198"/>
    </row>
    <row r="23" spans="1:9">
      <c r="A23" s="11" t="s">
        <v>24</v>
      </c>
      <c r="B23" s="78">
        <v>490393</v>
      </c>
      <c r="C23" s="77">
        <v>30</v>
      </c>
      <c r="D23" s="4"/>
      <c r="E23" s="5"/>
      <c r="F23" s="177">
        <v>550000</v>
      </c>
      <c r="G23" s="18" t="str">
        <f t="shared" si="59"/>
        <v/>
      </c>
      <c r="H23" s="205"/>
      <c r="I23" s="198"/>
    </row>
    <row r="24" spans="1:9">
      <c r="A24" s="11" t="s">
        <v>25</v>
      </c>
      <c r="B24" s="78">
        <v>415694</v>
      </c>
      <c r="C24" s="77">
        <v>28</v>
      </c>
      <c r="D24" s="4"/>
      <c r="E24" s="5"/>
      <c r="F24" s="177">
        <v>470000</v>
      </c>
      <c r="G24" s="18" t="str">
        <f t="shared" si="59"/>
        <v/>
      </c>
      <c r="H24" s="205"/>
      <c r="I24" s="198"/>
    </row>
    <row r="25" spans="1:9">
      <c r="A25" s="11" t="s">
        <v>26</v>
      </c>
      <c r="B25" s="78">
        <v>292075</v>
      </c>
      <c r="C25" s="76">
        <v>20</v>
      </c>
      <c r="D25" s="4"/>
      <c r="E25" s="5"/>
      <c r="F25" s="177">
        <v>330000</v>
      </c>
      <c r="G25" s="18" t="str">
        <f t="shared" si="59"/>
        <v/>
      </c>
      <c r="H25" s="205"/>
      <c r="I25" s="198"/>
    </row>
    <row r="26" spans="1:9" ht="15.75" thickBot="1">
      <c r="A26" s="11" t="s">
        <v>27</v>
      </c>
      <c r="B26" s="78">
        <v>444686</v>
      </c>
      <c r="C26" s="77">
        <v>23</v>
      </c>
      <c r="D26" s="6"/>
      <c r="E26" s="7"/>
      <c r="F26" s="178">
        <v>500000</v>
      </c>
      <c r="G26" s="19" t="str">
        <f t="shared" si="59"/>
        <v/>
      </c>
      <c r="H26" s="205"/>
      <c r="I26" s="198"/>
    </row>
    <row r="27" spans="1:9" ht="15.75" thickBot="1">
      <c r="A27" s="12"/>
      <c r="B27" s="20">
        <f>SUM(B15:B26)</f>
        <v>4463585</v>
      </c>
      <c r="C27" s="26">
        <f>SUM(C15:C26)</f>
        <v>276</v>
      </c>
      <c r="D27" s="143">
        <f>SUM(D15:D26)</f>
        <v>697089</v>
      </c>
      <c r="E27" s="28">
        <f>SUM(E15:E26)</f>
        <v>51</v>
      </c>
      <c r="F27" s="180">
        <f>SUM(F15:F26)</f>
        <v>5025000</v>
      </c>
      <c r="G27" s="188">
        <f t="shared" si="59"/>
        <v>-4327911</v>
      </c>
      <c r="H27" s="205"/>
    </row>
    <row r="28" spans="1:9" ht="15.75" thickBot="1"/>
    <row r="29" spans="1:9" ht="45.75" thickBot="1">
      <c r="E29" s="150" t="s">
        <v>134</v>
      </c>
      <c r="F29" s="145">
        <f>D27/F27</f>
        <v>0.13872417910447762</v>
      </c>
    </row>
  </sheetData>
  <mergeCells count="1">
    <mergeCell ref="A3:C3"/>
  </mergeCells>
  <pageMargins left="0.7" right="0.7" top="0.75" bottom="0.75" header="0.3" footer="0.3"/>
  <pageSetup paperSize="9" scale="5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N27"/>
  <sheetViews>
    <sheetView topLeftCell="U1" workbookViewId="0">
      <selection activeCell="Z4" sqref="Z4:Z8"/>
    </sheetView>
  </sheetViews>
  <sheetFormatPr defaultRowHeight="15"/>
  <cols>
    <col min="1" max="1" width="10.5703125" customWidth="1"/>
    <col min="2" max="2" width="14.28515625" bestFit="1" customWidth="1"/>
    <col min="3" max="3" width="10.85546875" customWidth="1"/>
    <col min="4" max="4" width="12.5703125" bestFit="1" customWidth="1"/>
    <col min="5" max="5" width="12.42578125" style="3" customWidth="1"/>
    <col min="6" max="6" width="19" customWidth="1"/>
    <col min="7" max="7" width="20.5703125" bestFit="1" customWidth="1"/>
    <col min="8" max="8" width="11.7109375" bestFit="1" customWidth="1"/>
    <col min="9" max="9" width="12.5703125" bestFit="1" customWidth="1"/>
    <col min="11" max="11" width="11.7109375" bestFit="1" customWidth="1"/>
    <col min="13" max="13" width="10.7109375" bestFit="1" customWidth="1"/>
    <col min="14" max="14" width="11.7109375" bestFit="1" customWidth="1"/>
    <col min="16" max="16" width="11.7109375" bestFit="1" customWidth="1"/>
    <col min="18" max="18" width="11" bestFit="1" customWidth="1"/>
    <col min="19" max="19" width="12" bestFit="1" customWidth="1"/>
    <col min="20" max="20" width="12.42578125" customWidth="1"/>
    <col min="21" max="21" width="12" bestFit="1" customWidth="1"/>
    <col min="24" max="24" width="12" bestFit="1" customWidth="1"/>
    <col min="26" max="26" width="12" bestFit="1" customWidth="1"/>
    <col min="29" max="29" width="12" bestFit="1" customWidth="1"/>
    <col min="31" max="31" width="12" bestFit="1" customWidth="1"/>
  </cols>
  <sheetData>
    <row r="1" spans="1:170" ht="21">
      <c r="A1" s="149" t="s">
        <v>118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48"/>
      <c r="AV1" s="148"/>
      <c r="AW1" s="148"/>
      <c r="AX1" s="148"/>
      <c r="AY1" s="148"/>
      <c r="AZ1" s="148"/>
      <c r="BA1" s="148"/>
      <c r="BB1" s="148"/>
      <c r="BC1" s="148"/>
      <c r="BD1" s="148"/>
      <c r="BE1" s="148"/>
      <c r="BF1" s="148"/>
      <c r="BG1" s="148"/>
      <c r="BH1" s="148"/>
      <c r="BI1" s="148"/>
      <c r="BJ1" s="148"/>
      <c r="BK1" s="148"/>
      <c r="BL1" s="148"/>
      <c r="BM1" s="148"/>
      <c r="BN1" s="148"/>
      <c r="BO1" s="148"/>
      <c r="BP1" s="148"/>
      <c r="BQ1" s="148"/>
      <c r="BR1" s="148"/>
      <c r="BS1" s="148"/>
      <c r="BT1" s="148"/>
      <c r="BU1" s="148"/>
      <c r="BV1" s="148"/>
      <c r="BW1" s="148"/>
      <c r="BX1" s="148"/>
      <c r="BY1" s="148"/>
      <c r="BZ1" s="148"/>
      <c r="CA1" s="148"/>
      <c r="CB1" s="148"/>
      <c r="CC1" s="148"/>
      <c r="CD1" s="148"/>
      <c r="CE1" s="148"/>
      <c r="CF1" s="148"/>
      <c r="CG1" s="148"/>
      <c r="CH1" s="148"/>
      <c r="CI1" s="148"/>
      <c r="CJ1" s="148"/>
      <c r="CK1" s="148"/>
      <c r="CL1" s="148"/>
      <c r="CM1" s="148"/>
      <c r="CN1" s="148"/>
      <c r="CO1" s="148"/>
      <c r="CP1" s="148"/>
      <c r="CQ1" s="148"/>
      <c r="CR1" s="148"/>
      <c r="CS1" s="148"/>
      <c r="CT1" s="148"/>
      <c r="CU1" s="148"/>
      <c r="CV1" s="148"/>
      <c r="CW1" s="148"/>
      <c r="CX1" s="148"/>
      <c r="CY1" s="148"/>
      <c r="CZ1" s="148"/>
      <c r="DA1" s="148"/>
      <c r="DB1" s="148"/>
      <c r="DC1" s="148"/>
      <c r="DD1" s="148"/>
      <c r="DE1" s="148"/>
      <c r="DF1" s="148"/>
      <c r="DG1" s="148"/>
      <c r="DH1" s="148"/>
      <c r="DI1" s="148"/>
      <c r="DJ1" s="148"/>
      <c r="DK1" s="148"/>
      <c r="DL1" s="148"/>
      <c r="DM1" s="148"/>
      <c r="DN1" s="148"/>
      <c r="DO1" s="148"/>
      <c r="DP1" s="148"/>
      <c r="DQ1" s="148"/>
      <c r="DR1" s="148"/>
      <c r="DS1" s="148"/>
      <c r="DT1" s="148"/>
      <c r="DU1" s="148"/>
      <c r="DV1" s="148"/>
      <c r="DW1" s="148"/>
      <c r="DX1" s="148"/>
      <c r="DY1" s="148"/>
      <c r="DZ1" s="148"/>
      <c r="EA1" s="148"/>
      <c r="EB1" s="148"/>
      <c r="EC1" s="148"/>
      <c r="ED1" s="148"/>
      <c r="EE1" s="148"/>
      <c r="EF1" s="148"/>
      <c r="EG1" s="148"/>
      <c r="EH1" s="148"/>
      <c r="EI1" s="148"/>
      <c r="EJ1" s="148"/>
      <c r="EK1" s="148"/>
      <c r="EL1" s="148"/>
      <c r="EM1" s="148"/>
      <c r="EN1" s="148"/>
      <c r="EO1" s="148"/>
      <c r="EP1" s="148"/>
      <c r="EQ1" s="148"/>
      <c r="ER1" s="148"/>
      <c r="ES1" s="148"/>
      <c r="ET1" s="148"/>
      <c r="EU1" s="148"/>
      <c r="EV1" s="148"/>
      <c r="EW1" s="148"/>
      <c r="EX1" s="148"/>
      <c r="EY1" s="148"/>
      <c r="EZ1" s="148"/>
      <c r="FA1" s="148"/>
      <c r="FB1" s="148"/>
      <c r="FC1" s="148"/>
      <c r="FD1" s="148"/>
      <c r="FE1" s="148"/>
      <c r="FF1" s="148"/>
      <c r="FG1" s="148"/>
      <c r="FH1" s="148"/>
      <c r="FI1" s="148"/>
      <c r="FJ1" s="148"/>
      <c r="FK1" s="148"/>
      <c r="FL1" s="148"/>
      <c r="FM1" s="148"/>
      <c r="FN1" s="148"/>
    </row>
    <row r="2" spans="1:170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  <c r="AU2" s="139"/>
      <c r="AV2" s="139"/>
      <c r="AW2" s="139"/>
      <c r="AX2" s="139"/>
      <c r="AY2" s="139"/>
      <c r="AZ2" s="139"/>
      <c r="BA2" s="139"/>
      <c r="BB2" s="139"/>
      <c r="BC2" s="139"/>
      <c r="BD2" s="139"/>
      <c r="BE2" s="139"/>
      <c r="BF2" s="139"/>
      <c r="BG2" s="139"/>
      <c r="BH2" s="139"/>
      <c r="BI2" s="139"/>
      <c r="BJ2" s="139"/>
      <c r="BK2" s="139"/>
      <c r="BL2" s="139"/>
      <c r="BM2" s="139"/>
      <c r="BN2" s="139"/>
      <c r="BO2" s="139"/>
      <c r="BP2" s="139"/>
      <c r="BQ2" s="139"/>
      <c r="BR2" s="139"/>
      <c r="BS2" s="139"/>
      <c r="BT2" s="139"/>
      <c r="BU2" s="139"/>
      <c r="BV2" s="139"/>
      <c r="BW2" s="139"/>
      <c r="BX2" s="139"/>
      <c r="BY2" s="139"/>
      <c r="BZ2" s="139"/>
      <c r="CA2" s="139"/>
      <c r="CB2" s="139"/>
      <c r="CC2" s="139"/>
      <c r="CD2" s="139"/>
      <c r="CE2" s="139"/>
      <c r="CF2" s="139"/>
      <c r="CG2" s="139"/>
      <c r="CH2" s="139"/>
      <c r="CI2" s="139"/>
      <c r="CJ2" s="139"/>
      <c r="CK2" s="139"/>
      <c r="CL2" s="139"/>
      <c r="CM2" s="139"/>
      <c r="CN2" s="139"/>
      <c r="CO2" s="139"/>
      <c r="CP2" s="139"/>
      <c r="CQ2" s="139"/>
      <c r="CR2" s="139"/>
      <c r="CS2" s="139"/>
      <c r="CT2" s="139"/>
      <c r="CU2" s="139"/>
      <c r="CV2" s="139"/>
      <c r="CW2" s="139"/>
      <c r="CX2" s="139"/>
      <c r="CY2" s="139"/>
      <c r="CZ2" s="139"/>
      <c r="DA2" s="139"/>
      <c r="DB2" s="139"/>
      <c r="DC2" s="139"/>
      <c r="DD2" s="139"/>
      <c r="DE2" s="139"/>
      <c r="DF2" s="139"/>
      <c r="DG2" s="139"/>
      <c r="DH2" s="139"/>
      <c r="DI2" s="139"/>
      <c r="DJ2" s="139"/>
      <c r="DK2" s="139"/>
      <c r="DL2" s="139"/>
      <c r="DM2" s="139"/>
      <c r="DN2" s="139"/>
      <c r="DO2" s="139"/>
      <c r="DP2" s="139"/>
      <c r="DQ2" s="139"/>
      <c r="DR2" s="139"/>
      <c r="DS2" s="139"/>
      <c r="DT2" s="139"/>
      <c r="DU2" s="139"/>
      <c r="DV2" s="139"/>
      <c r="DW2" s="139"/>
      <c r="DX2" s="139"/>
      <c r="DY2" s="139"/>
      <c r="DZ2" s="139"/>
      <c r="EA2" s="139"/>
      <c r="EB2" s="139"/>
      <c r="EC2" s="139"/>
      <c r="ED2" s="139"/>
      <c r="EE2" s="139"/>
      <c r="EF2" s="139"/>
      <c r="EG2" s="139"/>
      <c r="EH2" s="139"/>
      <c r="EI2" s="139"/>
      <c r="EJ2" s="139"/>
      <c r="EK2" s="139"/>
      <c r="EL2" s="139"/>
      <c r="EM2" s="139"/>
      <c r="EN2" s="139"/>
      <c r="EO2" s="139"/>
      <c r="EP2" s="139"/>
      <c r="EQ2" s="139"/>
      <c r="ER2" s="139"/>
      <c r="ES2" s="139"/>
      <c r="ET2" s="139"/>
      <c r="EU2" s="139"/>
      <c r="EV2" s="139"/>
      <c r="EW2" s="139"/>
      <c r="EX2" s="139"/>
      <c r="EY2" s="139"/>
      <c r="EZ2" s="139"/>
      <c r="FA2" s="139"/>
      <c r="FB2" s="139"/>
      <c r="FC2" s="139"/>
      <c r="FD2" s="139"/>
      <c r="FE2" s="139"/>
      <c r="FF2" s="139"/>
      <c r="FG2" s="139"/>
      <c r="FH2" s="139"/>
      <c r="FI2" s="139"/>
      <c r="FJ2" s="139"/>
      <c r="FK2" s="139"/>
      <c r="FL2" s="139"/>
      <c r="FM2" s="139"/>
      <c r="FN2" s="139"/>
    </row>
    <row r="3" spans="1:170" ht="25.5">
      <c r="A3" s="275" t="s">
        <v>0</v>
      </c>
      <c r="B3" s="276"/>
      <c r="C3" s="277"/>
      <c r="D3" s="201" t="s">
        <v>1</v>
      </c>
      <c r="E3" s="202" t="s">
        <v>2</v>
      </c>
      <c r="F3" s="203" t="s">
        <v>119</v>
      </c>
      <c r="G3" s="204" t="s">
        <v>120</v>
      </c>
      <c r="H3" s="280" t="s">
        <v>16</v>
      </c>
      <c r="I3" s="281" t="s">
        <v>172</v>
      </c>
      <c r="J3" s="281" t="s">
        <v>173</v>
      </c>
      <c r="K3" s="281" t="s">
        <v>150</v>
      </c>
      <c r="L3" s="281" t="s">
        <v>151</v>
      </c>
      <c r="M3" s="282" t="s">
        <v>17</v>
      </c>
      <c r="N3" s="281" t="s">
        <v>148</v>
      </c>
      <c r="O3" s="281" t="s">
        <v>149</v>
      </c>
      <c r="P3" s="281" t="s">
        <v>150</v>
      </c>
      <c r="Q3" s="281" t="s">
        <v>151</v>
      </c>
      <c r="R3" s="280" t="s">
        <v>18</v>
      </c>
      <c r="S3" s="281" t="s">
        <v>152</v>
      </c>
      <c r="T3" s="281" t="s">
        <v>153</v>
      </c>
      <c r="U3" s="281" t="s">
        <v>150</v>
      </c>
      <c r="V3" s="281" t="s">
        <v>151</v>
      </c>
      <c r="W3" s="280" t="s">
        <v>19</v>
      </c>
      <c r="X3" s="281" t="s">
        <v>154</v>
      </c>
      <c r="Y3" s="281" t="s">
        <v>155</v>
      </c>
      <c r="Z3" s="281" t="s">
        <v>150</v>
      </c>
      <c r="AA3" s="281" t="s">
        <v>151</v>
      </c>
      <c r="AB3" s="280" t="s">
        <v>20</v>
      </c>
      <c r="AC3" s="281" t="s">
        <v>156</v>
      </c>
      <c r="AD3" s="281" t="s">
        <v>157</v>
      </c>
      <c r="AE3" s="281" t="s">
        <v>150</v>
      </c>
      <c r="AF3" s="281" t="s">
        <v>151</v>
      </c>
      <c r="AG3" s="280" t="s">
        <v>21</v>
      </c>
      <c r="AH3" s="281" t="s">
        <v>158</v>
      </c>
      <c r="AI3" s="281" t="s">
        <v>159</v>
      </c>
      <c r="AJ3" s="281" t="s">
        <v>150</v>
      </c>
      <c r="AK3" s="281" t="s">
        <v>151</v>
      </c>
      <c r="AL3" s="280" t="s">
        <v>22</v>
      </c>
      <c r="AM3" s="281" t="s">
        <v>160</v>
      </c>
      <c r="AN3" s="281" t="s">
        <v>161</v>
      </c>
      <c r="AO3" s="281" t="s">
        <v>150</v>
      </c>
      <c r="AP3" s="281" t="s">
        <v>151</v>
      </c>
      <c r="AQ3" s="280" t="s">
        <v>23</v>
      </c>
      <c r="AR3" s="281" t="s">
        <v>162</v>
      </c>
      <c r="AS3" s="281" t="s">
        <v>163</v>
      </c>
      <c r="AT3" s="281" t="s">
        <v>150</v>
      </c>
      <c r="AU3" s="281" t="s">
        <v>151</v>
      </c>
      <c r="AV3" s="280" t="s">
        <v>24</v>
      </c>
      <c r="AW3" s="281" t="s">
        <v>164</v>
      </c>
      <c r="AX3" s="281" t="s">
        <v>165</v>
      </c>
      <c r="AY3" s="281" t="s">
        <v>150</v>
      </c>
      <c r="AZ3" s="281" t="s">
        <v>151</v>
      </c>
      <c r="BA3" s="280" t="s">
        <v>25</v>
      </c>
      <c r="BB3" s="281" t="s">
        <v>166</v>
      </c>
      <c r="BC3" s="281" t="s">
        <v>167</v>
      </c>
      <c r="BD3" s="281" t="s">
        <v>150</v>
      </c>
      <c r="BE3" s="281" t="s">
        <v>151</v>
      </c>
      <c r="BF3" s="280" t="s">
        <v>26</v>
      </c>
      <c r="BG3" s="281" t="s">
        <v>168</v>
      </c>
      <c r="BH3" s="281" t="s">
        <v>169</v>
      </c>
      <c r="BI3" s="281" t="s">
        <v>150</v>
      </c>
      <c r="BJ3" s="281" t="s">
        <v>151</v>
      </c>
      <c r="BK3" s="280" t="s">
        <v>27</v>
      </c>
      <c r="BL3" s="281" t="s">
        <v>170</v>
      </c>
      <c r="BM3" s="281" t="s">
        <v>171</v>
      </c>
      <c r="BN3" s="281" t="s">
        <v>150</v>
      </c>
      <c r="BO3" s="281" t="s">
        <v>151</v>
      </c>
      <c r="BP3" s="148"/>
      <c r="BQ3" s="148"/>
      <c r="BR3" s="148"/>
      <c r="BS3" s="148"/>
      <c r="BT3" s="148"/>
      <c r="BU3" s="148"/>
      <c r="BV3" s="148"/>
      <c r="BW3" s="148"/>
      <c r="BX3" s="148"/>
      <c r="BY3" s="148"/>
      <c r="BZ3" s="148"/>
      <c r="CA3" s="148"/>
      <c r="CB3" s="148"/>
      <c r="CC3" s="148"/>
      <c r="CD3" s="148"/>
      <c r="CE3" s="148"/>
      <c r="CF3" s="148"/>
      <c r="CG3" s="148"/>
      <c r="CH3" s="148"/>
      <c r="CI3" s="148"/>
      <c r="CJ3" s="148"/>
      <c r="CK3" s="148"/>
      <c r="CL3" s="148"/>
      <c r="CM3" s="148"/>
      <c r="CN3" s="148"/>
      <c r="CO3" s="148"/>
      <c r="CP3" s="148"/>
      <c r="CQ3" s="148"/>
      <c r="CR3" s="148"/>
      <c r="CS3" s="148"/>
      <c r="CT3" s="148"/>
      <c r="CU3" s="148"/>
      <c r="CV3" s="148"/>
      <c r="CW3" s="148"/>
      <c r="CX3" s="148"/>
      <c r="CY3" s="148"/>
      <c r="CZ3" s="148"/>
      <c r="DA3" s="148"/>
      <c r="DB3" s="148"/>
      <c r="DC3" s="148"/>
      <c r="DD3" s="148"/>
      <c r="DE3" s="148"/>
      <c r="DF3" s="148"/>
      <c r="DG3" s="148"/>
      <c r="DH3" s="148"/>
      <c r="DI3" s="148"/>
      <c r="DJ3" s="148"/>
      <c r="DK3" s="148"/>
      <c r="DL3" s="148"/>
      <c r="DM3" s="148"/>
      <c r="DN3" s="148"/>
      <c r="DO3" s="148"/>
      <c r="DP3" s="148"/>
      <c r="DQ3" s="148"/>
      <c r="DR3" s="148"/>
      <c r="DS3" s="148"/>
      <c r="DT3" s="148"/>
      <c r="DU3" s="148"/>
      <c r="DV3" s="148"/>
      <c r="DW3" s="148"/>
      <c r="DX3" s="148"/>
      <c r="DY3" s="148"/>
      <c r="DZ3" s="148"/>
      <c r="EA3" s="148"/>
      <c r="EB3" s="148"/>
      <c r="EC3" s="148"/>
      <c r="ED3" s="148"/>
      <c r="EE3" s="148"/>
      <c r="EF3" s="148"/>
      <c r="EG3" s="148"/>
      <c r="EH3" s="148"/>
      <c r="EI3" s="148"/>
      <c r="EJ3" s="148"/>
      <c r="EK3" s="148"/>
      <c r="EL3" s="148"/>
      <c r="EM3" s="148"/>
      <c r="EN3" s="148"/>
      <c r="EO3" s="148"/>
      <c r="EP3" s="148"/>
      <c r="EQ3" s="148"/>
      <c r="ER3" s="148"/>
      <c r="ES3" s="148"/>
      <c r="ET3" s="148"/>
      <c r="EU3" s="148"/>
      <c r="EV3" s="148"/>
      <c r="EW3" s="148"/>
      <c r="EX3" s="148"/>
      <c r="EY3" s="148"/>
      <c r="EZ3" s="148"/>
      <c r="FA3" s="148"/>
      <c r="FB3" s="148"/>
      <c r="FC3" s="148"/>
      <c r="FD3" s="148"/>
      <c r="FE3" s="148"/>
      <c r="FF3" s="148"/>
      <c r="FG3" s="148"/>
      <c r="FH3" s="148"/>
      <c r="FI3" s="148"/>
      <c r="FJ3" s="148"/>
      <c r="FK3" s="148"/>
      <c r="FL3" s="148"/>
      <c r="FM3" s="148"/>
      <c r="FN3" s="148"/>
    </row>
    <row r="4" spans="1:170">
      <c r="A4" s="151" t="s">
        <v>3</v>
      </c>
      <c r="B4" s="153" t="s">
        <v>4</v>
      </c>
      <c r="C4" s="153" t="s">
        <v>5</v>
      </c>
      <c r="D4" s="152">
        <v>286696.81</v>
      </c>
      <c r="E4" s="165">
        <v>400000</v>
      </c>
      <c r="F4" s="154">
        <v>300000</v>
      </c>
      <c r="G4" s="155">
        <v>440000</v>
      </c>
      <c r="H4" s="246">
        <v>44629.999356190798</v>
      </c>
      <c r="I4" s="251">
        <f>F4*7.46%</f>
        <v>22380</v>
      </c>
      <c r="J4" s="252">
        <f>H4/I4</f>
        <v>1.994191213413351</v>
      </c>
      <c r="K4" s="251">
        <f>F4*7.46%</f>
        <v>22380</v>
      </c>
      <c r="L4" s="252">
        <f>H4/K4</f>
        <v>1.994191213413351</v>
      </c>
      <c r="M4" s="248">
        <v>90685.244555172496</v>
      </c>
      <c r="N4" s="251">
        <f>F4*5.93%</f>
        <v>17790</v>
      </c>
      <c r="O4" s="253">
        <f>M4/N4</f>
        <v>5.0975404471710224</v>
      </c>
      <c r="P4" s="255">
        <f>F4*13.39%</f>
        <v>40170.000000000007</v>
      </c>
      <c r="Q4" s="253">
        <f>SUM(H4,M4)/P4</f>
        <v>3.3685646978183539</v>
      </c>
      <c r="R4" s="284">
        <v>42539</v>
      </c>
      <c r="S4" s="285">
        <f>F4*8.31%</f>
        <v>24930.000000000004</v>
      </c>
      <c r="T4" s="286">
        <f>R4/S4</f>
        <v>1.7063377456879258</v>
      </c>
      <c r="U4" s="287">
        <f>F4*21.69%</f>
        <v>65070</v>
      </c>
      <c r="V4" s="286">
        <f>SUM(H4,M4,R4)/U4</f>
        <v>2.7332756095184156</v>
      </c>
      <c r="W4" s="288"/>
      <c r="X4" s="330">
        <f>F4*7.29%</f>
        <v>21870.000000000004</v>
      </c>
      <c r="Y4" s="286">
        <f>W4/X4</f>
        <v>0</v>
      </c>
      <c r="Z4" s="332">
        <f>F4*28.98%</f>
        <v>86940</v>
      </c>
      <c r="AA4" s="286">
        <f>SUM(H4,M4,R4,W4)/Z4</f>
        <v>2.0457124903538451</v>
      </c>
      <c r="AB4" s="288"/>
      <c r="AC4" s="285">
        <f>F4*11.02%</f>
        <v>33060</v>
      </c>
      <c r="AD4" s="286">
        <f>AB4/AC4</f>
        <v>0</v>
      </c>
      <c r="AE4" s="287">
        <f>F4*40%</f>
        <v>120000</v>
      </c>
      <c r="AF4" s="286">
        <f>SUM(H4,M4,R4,W4,AB4)/AE4</f>
        <v>1.4821186992613609</v>
      </c>
      <c r="AG4" s="288"/>
      <c r="AH4" s="285">
        <f>F4*12.03%</f>
        <v>36090</v>
      </c>
      <c r="AI4" s="286">
        <f>AG4/AH4</f>
        <v>0</v>
      </c>
      <c r="AJ4" s="285">
        <f>F4*52.03%</f>
        <v>156090</v>
      </c>
      <c r="AK4" s="286">
        <f>SUM(H4,M4,R4,W4,AB4,AG4)/AJ4</f>
        <v>1.1394339413887071</v>
      </c>
      <c r="AL4" s="288"/>
      <c r="AM4" s="285">
        <f>F4*3.39%</f>
        <v>10170</v>
      </c>
      <c r="AN4" s="286">
        <f>AL4/AM4</f>
        <v>0</v>
      </c>
      <c r="AO4" s="285">
        <f>F4*55.42%</f>
        <v>166260</v>
      </c>
      <c r="AP4" s="286">
        <f>SUM(H4,M4,R4,W4,AB4,AG4,AL4)/AO4</f>
        <v>1.0697356183770197</v>
      </c>
      <c r="AQ4" s="288"/>
      <c r="AR4" s="285">
        <f>F4*9.83%</f>
        <v>29490</v>
      </c>
      <c r="AS4" s="286">
        <f>AQ4/AR4</f>
        <v>0</v>
      </c>
      <c r="AT4" s="285">
        <f>F4*65.25%</f>
        <v>195750</v>
      </c>
      <c r="AU4" s="286">
        <f>SUM(H4,M4,R4,W4,AB4,AG4,AL4,AQ4)/AT4</f>
        <v>0.90857851295715608</v>
      </c>
      <c r="AV4" s="288"/>
      <c r="AW4" s="285">
        <f>F4*10.85%</f>
        <v>32550</v>
      </c>
      <c r="AX4" s="286">
        <f>AV4/AW4</f>
        <v>0</v>
      </c>
      <c r="AY4" s="285">
        <f>F4*76.1%</f>
        <v>228299.99999999997</v>
      </c>
      <c r="AZ4" s="286">
        <f>SUM(H4,M4,R4,W4,AB4,AG4,AL4,AQ4,AV4)/AY4</f>
        <v>0.7790374240532778</v>
      </c>
      <c r="BA4" s="288"/>
      <c r="BB4" s="285">
        <f>F4*6.1%</f>
        <v>18300</v>
      </c>
      <c r="BC4" s="286">
        <f>BA4/BB4</f>
        <v>0</v>
      </c>
      <c r="BD4" s="285">
        <f>F4*82.2%</f>
        <v>246600.00000000003</v>
      </c>
      <c r="BE4" s="286">
        <f>SUM(H4,M4,R4,W4,AB4,AG4,AL4,AQ4,AV4,BA4)/BD4</f>
        <v>0.72122564440942127</v>
      </c>
      <c r="BF4" s="288"/>
      <c r="BG4" s="285">
        <f>F4*6.44%</f>
        <v>19320</v>
      </c>
      <c r="BH4" s="286">
        <f>BF4/BG4</f>
        <v>0</v>
      </c>
      <c r="BI4" s="285">
        <f>F4*88.64%</f>
        <v>265920</v>
      </c>
      <c r="BJ4" s="286">
        <f>SUM(H4,M4,R4,W4,AB4,AG4,AL4,AQ4,AV4,BA4,BF4)/BI4</f>
        <v>0.66882612782552386</v>
      </c>
      <c r="BK4" s="288"/>
      <c r="BL4" s="285">
        <f>F4*11.36%</f>
        <v>34080</v>
      </c>
      <c r="BM4" s="286">
        <f>BK4/BL4</f>
        <v>0</v>
      </c>
      <c r="BN4" s="289">
        <f>F4*100%</f>
        <v>300000</v>
      </c>
      <c r="BO4" s="290">
        <f>SUM(H4,M4,R4,W4,AB4,AG4,AL4,AQ4,AV4,BA4,BF4,BK4)/BN4</f>
        <v>0.59284747970454432</v>
      </c>
      <c r="BP4" s="148"/>
      <c r="BQ4" s="148"/>
      <c r="BR4" s="148"/>
      <c r="BS4" s="148"/>
      <c r="BT4" s="148"/>
      <c r="BU4" s="148"/>
      <c r="BV4" s="148"/>
      <c r="BW4" s="148"/>
      <c r="BX4" s="148"/>
      <c r="BY4" s="148"/>
      <c r="BZ4" s="148"/>
      <c r="CA4" s="148"/>
      <c r="CB4" s="148"/>
      <c r="CC4" s="148"/>
      <c r="CD4" s="148"/>
      <c r="CE4" s="148"/>
      <c r="CF4" s="148"/>
      <c r="CG4" s="148"/>
      <c r="CH4" s="148"/>
      <c r="CI4" s="148"/>
      <c r="CJ4" s="148"/>
      <c r="CK4" s="148"/>
      <c r="CL4" s="148"/>
      <c r="CM4" s="148"/>
      <c r="CN4" s="148"/>
      <c r="CO4" s="148"/>
      <c r="CP4" s="148"/>
      <c r="CQ4" s="148"/>
      <c r="CR4" s="148"/>
      <c r="CS4" s="148"/>
      <c r="CT4" s="148"/>
      <c r="CU4" s="148"/>
      <c r="CV4" s="148"/>
      <c r="CW4" s="148"/>
      <c r="CX4" s="148"/>
      <c r="CY4" s="148"/>
      <c r="CZ4" s="148"/>
      <c r="DA4" s="148"/>
      <c r="DB4" s="148"/>
      <c r="DC4" s="148"/>
      <c r="DD4" s="148"/>
      <c r="DE4" s="148"/>
      <c r="DF4" s="148"/>
      <c r="DG4" s="148"/>
      <c r="DH4" s="148"/>
      <c r="DI4" s="148"/>
      <c r="DJ4" s="148"/>
      <c r="DK4" s="148"/>
      <c r="DL4" s="148"/>
      <c r="DM4" s="148"/>
      <c r="DN4" s="148"/>
      <c r="DO4" s="148"/>
      <c r="DP4" s="148"/>
      <c r="DQ4" s="148"/>
      <c r="DR4" s="148"/>
      <c r="DS4" s="148"/>
      <c r="DT4" s="148"/>
      <c r="DU4" s="148"/>
      <c r="DV4" s="148"/>
      <c r="DW4" s="148"/>
      <c r="DX4" s="148"/>
      <c r="DY4" s="148"/>
      <c r="DZ4" s="148"/>
      <c r="EA4" s="148"/>
      <c r="EB4" s="148"/>
      <c r="EC4" s="148"/>
      <c r="ED4" s="148"/>
      <c r="EE4" s="148"/>
      <c r="EF4" s="148"/>
      <c r="EG4" s="148"/>
      <c r="EH4" s="148"/>
      <c r="EI4" s="148"/>
      <c r="EJ4" s="148"/>
      <c r="EK4" s="148"/>
      <c r="EL4" s="148"/>
      <c r="EM4" s="148"/>
      <c r="EN4" s="148"/>
      <c r="EO4" s="148"/>
      <c r="EP4" s="148"/>
      <c r="EQ4" s="148"/>
      <c r="ER4" s="148"/>
      <c r="ES4" s="148"/>
      <c r="ET4" s="148"/>
      <c r="EU4" s="148"/>
      <c r="EV4" s="148"/>
      <c r="EW4" s="148"/>
      <c r="EX4" s="148"/>
      <c r="EY4" s="148"/>
      <c r="EZ4" s="148"/>
      <c r="FA4" s="148"/>
      <c r="FB4" s="148"/>
      <c r="FC4" s="148"/>
      <c r="FD4" s="148"/>
      <c r="FE4" s="148"/>
      <c r="FF4" s="148"/>
      <c r="FG4" s="148"/>
      <c r="FH4" s="148"/>
      <c r="FI4" s="148"/>
      <c r="FJ4" s="148"/>
      <c r="FK4" s="148"/>
      <c r="FL4" s="148"/>
      <c r="FM4" s="148"/>
      <c r="FN4" s="148"/>
    </row>
    <row r="5" spans="1:170">
      <c r="A5" s="151" t="s">
        <v>6</v>
      </c>
      <c r="B5" s="153" t="s">
        <v>7</v>
      </c>
      <c r="C5" s="153" t="s">
        <v>8</v>
      </c>
      <c r="D5" s="152">
        <v>618549.5</v>
      </c>
      <c r="E5" s="165">
        <v>400000</v>
      </c>
      <c r="F5" s="154">
        <v>700000</v>
      </c>
      <c r="G5" s="164">
        <v>800000</v>
      </c>
      <c r="H5" s="247">
        <v>104422.37</v>
      </c>
      <c r="I5" s="251">
        <f t="shared" ref="I5:I8" si="0">F5*7.46%</f>
        <v>52220</v>
      </c>
      <c r="J5" s="252">
        <f t="shared" ref="J5:J8" si="1">H5/I5</f>
        <v>1.9996623898889314</v>
      </c>
      <c r="K5" s="251">
        <f t="shared" ref="K5:K8" si="2">F5*7.46%</f>
        <v>52220</v>
      </c>
      <c r="L5" s="252">
        <f t="shared" ref="L5:L8" si="3">H5/K5</f>
        <v>1.9996623898889314</v>
      </c>
      <c r="M5" s="249">
        <v>58526.815000000002</v>
      </c>
      <c r="N5" s="251">
        <f t="shared" ref="N5:N8" si="4">F5*5.93%</f>
        <v>41510</v>
      </c>
      <c r="O5" s="253">
        <f t="shared" ref="O5:O8" si="5">M5/N5</f>
        <v>1.4099449530233679</v>
      </c>
      <c r="P5" s="255">
        <f>F5*13.39%</f>
        <v>93730.000000000015</v>
      </c>
      <c r="Q5" s="253">
        <f>SUM(H5,M5)/P5</f>
        <v>1.7384955190440625</v>
      </c>
      <c r="R5" s="291">
        <v>61699</v>
      </c>
      <c r="S5" s="285">
        <f t="shared" ref="S5:S8" si="6">F5*8.31%</f>
        <v>58170.000000000007</v>
      </c>
      <c r="T5" s="286">
        <f t="shared" ref="T5:T8" si="7">R5/S5</f>
        <v>1.060667010486505</v>
      </c>
      <c r="U5" s="287">
        <f t="shared" ref="U5:U8" si="8">F5*21.69%</f>
        <v>151830</v>
      </c>
      <c r="V5" s="286">
        <f t="shared" ref="V5:V8" si="9">SUM(H5,M5,R5)/U5</f>
        <v>1.479603405124152</v>
      </c>
      <c r="W5" s="292"/>
      <c r="X5" s="330">
        <f t="shared" ref="X5:X8" si="10">F5*7.29%</f>
        <v>51030.000000000007</v>
      </c>
      <c r="Y5" s="286">
        <f t="shared" ref="Y5:Y8" si="11">W5/X5</f>
        <v>0</v>
      </c>
      <c r="Z5" s="332">
        <f t="shared" ref="Z5:Z8" si="12">F5*28.98%</f>
        <v>202860</v>
      </c>
      <c r="AA5" s="286">
        <f t="shared" ref="AA5:AA8" si="13">SUM(H5,M5,R5,W5)/Z5</f>
        <v>1.1074050330277039</v>
      </c>
      <c r="AB5" s="292"/>
      <c r="AC5" s="285">
        <f t="shared" ref="AC5:AC8" si="14">F5*11.02%</f>
        <v>77140</v>
      </c>
      <c r="AD5" s="286">
        <f t="shared" ref="AD5:AD8" si="15">AB5/AC5</f>
        <v>0</v>
      </c>
      <c r="AE5" s="287">
        <f t="shared" ref="AE5:AE8" si="16">F5*40%</f>
        <v>280000</v>
      </c>
      <c r="AF5" s="286">
        <f t="shared" ref="AF5:AF8" si="17">SUM(H5,M5,R5,W5,AB5)/AE5</f>
        <v>0.80231494642857137</v>
      </c>
      <c r="AG5" s="292"/>
      <c r="AH5" s="285">
        <f t="shared" ref="AH5:AH8" si="18">F5*12.03%</f>
        <v>84210</v>
      </c>
      <c r="AI5" s="286">
        <f t="shared" ref="AI5:AI8" si="19">AG5/AH5</f>
        <v>0</v>
      </c>
      <c r="AJ5" s="285">
        <f t="shared" ref="AJ5:AJ8" si="20">F5*52.03%</f>
        <v>364210</v>
      </c>
      <c r="AK5" s="286">
        <f t="shared" ref="AK5:AK8" si="21">SUM(H5,M5,R5,W5,AB5,AG5)/AJ5</f>
        <v>0.61680949177672217</v>
      </c>
      <c r="AL5" s="292"/>
      <c r="AM5" s="285">
        <f t="shared" ref="AM5:AM8" si="22">F5*3.39%</f>
        <v>23730</v>
      </c>
      <c r="AN5" s="286">
        <f t="shared" ref="AN5:AN8" si="23">AL5/AM5</f>
        <v>0</v>
      </c>
      <c r="AO5" s="285">
        <f t="shared" ref="AO5:AO8" si="24">F5*55.42%</f>
        <v>387940</v>
      </c>
      <c r="AP5" s="286">
        <f t="shared" ref="AP5:AP8" si="25">SUM(H5,M5,R5,W5,AB5,AG5,AL5)/AO5</f>
        <v>0.57907971593545393</v>
      </c>
      <c r="AQ5" s="292"/>
      <c r="AR5" s="285">
        <f t="shared" ref="AR5:AR8" si="26">F5*9.83%</f>
        <v>68810</v>
      </c>
      <c r="AS5" s="286">
        <f t="shared" ref="AS5:AS8" si="27">AQ5/AR5</f>
        <v>0</v>
      </c>
      <c r="AT5" s="285">
        <f t="shared" ref="AT5:AT8" si="28">F5*65.25%</f>
        <v>456750</v>
      </c>
      <c r="AU5" s="286">
        <f t="shared" ref="AU5:AU8" si="29">SUM(H5,M5,R5,W5,AB5,AG5,AL5,AQ5)/AT5</f>
        <v>0.49184058018609744</v>
      </c>
      <c r="AV5" s="292"/>
      <c r="AW5" s="285">
        <f t="shared" ref="AW5:AW8" si="30">F5*10.85%</f>
        <v>75950</v>
      </c>
      <c r="AX5" s="286">
        <f t="shared" ref="AX5:AX8" si="31">AV5/AW5</f>
        <v>0</v>
      </c>
      <c r="AY5" s="285">
        <f t="shared" ref="AY5:AY8" si="32">F5*76.1%</f>
        <v>532699.99999999988</v>
      </c>
      <c r="AZ5" s="286">
        <f t="shared" ref="AZ5:AZ8" si="33">SUM(H5,M5,R5,W5,AB5,AG5,AL5,AQ5,AV5)/AY5</f>
        <v>0.42171613478505732</v>
      </c>
      <c r="BA5" s="292"/>
      <c r="BB5" s="285">
        <f t="shared" ref="BB5:BB8" si="34">F5*6.1%</f>
        <v>42700</v>
      </c>
      <c r="BC5" s="286">
        <f t="shared" ref="BC5:BC8" si="35">BA5/BB5</f>
        <v>0</v>
      </c>
      <c r="BD5" s="285">
        <f t="shared" ref="BD5:BD8" si="36">F5*82.2%</f>
        <v>575400</v>
      </c>
      <c r="BE5" s="286">
        <f t="shared" ref="BE5:BE8" si="37">SUM(H5,M5,R5,W5,AB5,AG5,AL5,AQ5,AV5,BA5)/BD5</f>
        <v>0.39042089850538753</v>
      </c>
      <c r="BF5" s="292"/>
      <c r="BG5" s="285">
        <f t="shared" ref="BG5:BG8" si="38">F5*6.44%</f>
        <v>45080</v>
      </c>
      <c r="BH5" s="286">
        <f t="shared" ref="BH5:BH8" si="39">BF5/BG5</f>
        <v>0</v>
      </c>
      <c r="BI5" s="285">
        <f t="shared" ref="BI5:BI8" si="40">F5*88.64%</f>
        <v>620480</v>
      </c>
      <c r="BJ5" s="286">
        <f t="shared" ref="BJ5:BJ8" si="41">SUM(H5,M5,R5,W5,AB5,AG5,AL5,AQ5,AV5,BA5,BF5)/BI5</f>
        <v>0.36205548124033005</v>
      </c>
      <c r="BK5" s="292"/>
      <c r="BL5" s="285">
        <f t="shared" ref="BL5:BL8" si="42">F5*11.36%</f>
        <v>79520</v>
      </c>
      <c r="BM5" s="286">
        <f t="shared" ref="BM5:BM8" si="43">BK5/BL5</f>
        <v>0</v>
      </c>
      <c r="BN5" s="289">
        <f t="shared" ref="BN5:BN8" si="44">F5*100%</f>
        <v>700000</v>
      </c>
      <c r="BO5" s="290">
        <f t="shared" ref="BO5:BO8" si="45">SUM(H5,M5,R5,W5,AB5,AG5,AL5,AQ5,AV5,BA5,BF5,BK5)/BN5</f>
        <v>0.32092597857142857</v>
      </c>
      <c r="BP5" s="148"/>
      <c r="BQ5" s="148"/>
      <c r="BR5" s="148"/>
      <c r="BS5" s="148"/>
      <c r="BT5" s="148"/>
      <c r="BU5" s="148"/>
      <c r="BV5" s="148"/>
      <c r="BW5" s="148"/>
      <c r="BX5" s="148"/>
      <c r="BY5" s="148"/>
      <c r="BZ5" s="148"/>
      <c r="CA5" s="148"/>
      <c r="CB5" s="148"/>
      <c r="CC5" s="148"/>
      <c r="CD5" s="148"/>
      <c r="CE5" s="148"/>
      <c r="CF5" s="148"/>
      <c r="CG5" s="148"/>
      <c r="CH5" s="148"/>
      <c r="CI5" s="148"/>
      <c r="CJ5" s="148"/>
      <c r="CK5" s="148"/>
      <c r="CL5" s="148"/>
      <c r="CM5" s="148"/>
      <c r="CN5" s="148"/>
      <c r="CO5" s="148"/>
      <c r="CP5" s="148"/>
      <c r="CQ5" s="148"/>
      <c r="CR5" s="148"/>
      <c r="CS5" s="148"/>
      <c r="CT5" s="148"/>
      <c r="CU5" s="148"/>
      <c r="CV5" s="148"/>
      <c r="CW5" s="148"/>
      <c r="CX5" s="148"/>
      <c r="CY5" s="148"/>
      <c r="CZ5" s="148"/>
      <c r="DA5" s="148"/>
      <c r="DB5" s="148"/>
      <c r="DC5" s="148"/>
      <c r="DD5" s="148"/>
      <c r="DE5" s="148"/>
      <c r="DF5" s="148"/>
      <c r="DG5" s="148"/>
      <c r="DH5" s="148"/>
      <c r="DI5" s="148"/>
      <c r="DJ5" s="148"/>
      <c r="DK5" s="148"/>
      <c r="DL5" s="148"/>
      <c r="DM5" s="148"/>
      <c r="DN5" s="148"/>
      <c r="DO5" s="148"/>
      <c r="DP5" s="148"/>
      <c r="DQ5" s="148"/>
      <c r="DR5" s="148"/>
      <c r="DS5" s="148"/>
      <c r="DT5" s="148"/>
      <c r="DU5" s="148"/>
      <c r="DV5" s="148"/>
      <c r="DW5" s="148"/>
      <c r="DX5" s="148"/>
      <c r="DY5" s="148"/>
      <c r="DZ5" s="148"/>
      <c r="EA5" s="148"/>
      <c r="EB5" s="148"/>
      <c r="EC5" s="148"/>
      <c r="ED5" s="148"/>
      <c r="EE5" s="148"/>
      <c r="EF5" s="148"/>
      <c r="EG5" s="148"/>
      <c r="EH5" s="148"/>
      <c r="EI5" s="148"/>
      <c r="EJ5" s="148"/>
      <c r="EK5" s="148"/>
      <c r="EL5" s="148"/>
      <c r="EM5" s="148"/>
      <c r="EN5" s="148"/>
      <c r="EO5" s="148"/>
      <c r="EP5" s="148"/>
      <c r="EQ5" s="148"/>
      <c r="ER5" s="148"/>
      <c r="ES5" s="148"/>
      <c r="ET5" s="148"/>
      <c r="EU5" s="148"/>
      <c r="EV5" s="148"/>
      <c r="EW5" s="148"/>
      <c r="EX5" s="148"/>
      <c r="EY5" s="148"/>
      <c r="EZ5" s="148"/>
      <c r="FA5" s="148"/>
      <c r="FB5" s="148"/>
      <c r="FC5" s="148"/>
      <c r="FD5" s="148"/>
      <c r="FE5" s="148"/>
      <c r="FF5" s="148"/>
      <c r="FG5" s="148"/>
      <c r="FH5" s="148"/>
      <c r="FI5" s="148"/>
      <c r="FJ5" s="148"/>
      <c r="FK5" s="148"/>
      <c r="FL5" s="148"/>
      <c r="FM5" s="148"/>
      <c r="FN5" s="148"/>
    </row>
    <row r="6" spans="1:170">
      <c r="A6" s="151" t="s">
        <v>9</v>
      </c>
      <c r="B6" s="153" t="s">
        <v>10</v>
      </c>
      <c r="C6" s="153" t="s">
        <v>11</v>
      </c>
      <c r="D6" s="152">
        <v>547365.67000000004</v>
      </c>
      <c r="E6" s="165">
        <v>475000</v>
      </c>
      <c r="F6" s="154">
        <v>650000</v>
      </c>
      <c r="G6" s="164">
        <v>725000</v>
      </c>
      <c r="H6" s="293">
        <v>0</v>
      </c>
      <c r="I6" s="251">
        <f t="shared" si="0"/>
        <v>48490</v>
      </c>
      <c r="J6" s="252">
        <f t="shared" si="1"/>
        <v>0</v>
      </c>
      <c r="K6" s="251">
        <f t="shared" si="2"/>
        <v>48490</v>
      </c>
      <c r="L6" s="252">
        <f t="shared" si="3"/>
        <v>0</v>
      </c>
      <c r="M6" s="249">
        <v>4625.0006000000003</v>
      </c>
      <c r="N6" s="251">
        <f t="shared" si="4"/>
        <v>38545</v>
      </c>
      <c r="O6" s="253">
        <f t="shared" si="5"/>
        <v>0.11998963808535479</v>
      </c>
      <c r="P6" s="255">
        <f t="shared" ref="P6:P8" si="46">F6*13.39%</f>
        <v>87035.000000000015</v>
      </c>
      <c r="Q6" s="253">
        <f t="shared" ref="Q6:Q8" si="47">SUM(H6,M6)/P6</f>
        <v>5.3139548457517088E-2</v>
      </c>
      <c r="R6" s="291">
        <v>47679</v>
      </c>
      <c r="S6" s="285">
        <f t="shared" si="6"/>
        <v>54015.000000000007</v>
      </c>
      <c r="T6" s="286">
        <f t="shared" si="7"/>
        <v>0.88269925020827533</v>
      </c>
      <c r="U6" s="287">
        <f t="shared" si="8"/>
        <v>140985</v>
      </c>
      <c r="V6" s="286">
        <f t="shared" si="9"/>
        <v>0.37098982586800011</v>
      </c>
      <c r="W6" s="292"/>
      <c r="X6" s="330">
        <f t="shared" si="10"/>
        <v>47385.000000000007</v>
      </c>
      <c r="Y6" s="286">
        <f t="shared" si="11"/>
        <v>0</v>
      </c>
      <c r="Z6" s="332">
        <f t="shared" si="12"/>
        <v>188370</v>
      </c>
      <c r="AA6" s="286">
        <f t="shared" si="13"/>
        <v>0.27766629824281996</v>
      </c>
      <c r="AB6" s="292"/>
      <c r="AC6" s="285">
        <f t="shared" si="14"/>
        <v>71630</v>
      </c>
      <c r="AD6" s="286">
        <f t="shared" si="15"/>
        <v>0</v>
      </c>
      <c r="AE6" s="287">
        <f t="shared" si="16"/>
        <v>260000</v>
      </c>
      <c r="AF6" s="286">
        <f t="shared" si="17"/>
        <v>0.20116923307692308</v>
      </c>
      <c r="AG6" s="292"/>
      <c r="AH6" s="285">
        <f t="shared" si="18"/>
        <v>78195</v>
      </c>
      <c r="AI6" s="286">
        <f t="shared" si="19"/>
        <v>0</v>
      </c>
      <c r="AJ6" s="285">
        <f t="shared" si="20"/>
        <v>338195</v>
      </c>
      <c r="AK6" s="286">
        <f t="shared" si="21"/>
        <v>0.15465633909430948</v>
      </c>
      <c r="AL6" s="292"/>
      <c r="AM6" s="285">
        <f t="shared" si="22"/>
        <v>22035</v>
      </c>
      <c r="AN6" s="286">
        <f t="shared" si="23"/>
        <v>0</v>
      </c>
      <c r="AO6" s="285">
        <f t="shared" si="24"/>
        <v>360230</v>
      </c>
      <c r="AP6" s="286">
        <f t="shared" si="25"/>
        <v>0.14519612636371207</v>
      </c>
      <c r="AQ6" s="292"/>
      <c r="AR6" s="285">
        <f t="shared" si="26"/>
        <v>63895</v>
      </c>
      <c r="AS6" s="286">
        <f t="shared" si="27"/>
        <v>0</v>
      </c>
      <c r="AT6" s="285">
        <f t="shared" si="28"/>
        <v>424125</v>
      </c>
      <c r="AU6" s="286">
        <f t="shared" si="29"/>
        <v>0.1233221352195697</v>
      </c>
      <c r="AV6" s="292"/>
      <c r="AW6" s="285">
        <f t="shared" si="30"/>
        <v>70525</v>
      </c>
      <c r="AX6" s="286">
        <f t="shared" si="31"/>
        <v>0</v>
      </c>
      <c r="AY6" s="285">
        <f t="shared" si="32"/>
        <v>494649.99999999994</v>
      </c>
      <c r="AZ6" s="286">
        <f t="shared" si="33"/>
        <v>0.10573941291822501</v>
      </c>
      <c r="BA6" s="292"/>
      <c r="BB6" s="285">
        <f t="shared" si="34"/>
        <v>39650</v>
      </c>
      <c r="BC6" s="286">
        <f t="shared" si="35"/>
        <v>0</v>
      </c>
      <c r="BD6" s="285">
        <f t="shared" si="36"/>
        <v>534300</v>
      </c>
      <c r="BE6" s="286">
        <f t="shared" si="37"/>
        <v>9.7892570840351856E-2</v>
      </c>
      <c r="BF6" s="292"/>
      <c r="BG6" s="285">
        <f t="shared" si="38"/>
        <v>41860</v>
      </c>
      <c r="BH6" s="286">
        <f t="shared" si="39"/>
        <v>0</v>
      </c>
      <c r="BI6" s="285">
        <f t="shared" si="40"/>
        <v>576160</v>
      </c>
      <c r="BJ6" s="286">
        <f t="shared" si="41"/>
        <v>9.0780339836156618E-2</v>
      </c>
      <c r="BK6" s="292"/>
      <c r="BL6" s="285">
        <f t="shared" si="42"/>
        <v>73840</v>
      </c>
      <c r="BM6" s="286">
        <f t="shared" si="43"/>
        <v>0</v>
      </c>
      <c r="BN6" s="289">
        <f t="shared" si="44"/>
        <v>650000</v>
      </c>
      <c r="BO6" s="290">
        <f t="shared" si="45"/>
        <v>8.046769323076923E-2</v>
      </c>
      <c r="BP6" s="148"/>
      <c r="BQ6" s="148"/>
      <c r="BR6" s="148"/>
      <c r="BS6" s="148"/>
      <c r="BT6" s="148"/>
      <c r="BU6" s="148"/>
      <c r="BV6" s="148"/>
      <c r="BW6" s="148"/>
      <c r="BX6" s="148"/>
      <c r="BY6" s="148"/>
      <c r="BZ6" s="148"/>
      <c r="CA6" s="148"/>
      <c r="CB6" s="148"/>
      <c r="CC6" s="148"/>
      <c r="CD6" s="148"/>
      <c r="CE6" s="148"/>
      <c r="CF6" s="148"/>
      <c r="CG6" s="148"/>
      <c r="CH6" s="148"/>
      <c r="CI6" s="148"/>
      <c r="CJ6" s="148"/>
      <c r="CK6" s="148"/>
      <c r="CL6" s="148"/>
      <c r="CM6" s="148"/>
      <c r="CN6" s="148"/>
      <c r="CO6" s="148"/>
      <c r="CP6" s="148"/>
      <c r="CQ6" s="148"/>
      <c r="CR6" s="148"/>
      <c r="CS6" s="148"/>
      <c r="CT6" s="148"/>
      <c r="CU6" s="148"/>
      <c r="CV6" s="148"/>
      <c r="CW6" s="148"/>
      <c r="CX6" s="148"/>
      <c r="CY6" s="148"/>
      <c r="CZ6" s="148"/>
      <c r="DA6" s="148"/>
      <c r="DB6" s="148"/>
      <c r="DC6" s="148"/>
      <c r="DD6" s="148"/>
      <c r="DE6" s="148"/>
      <c r="DF6" s="148"/>
      <c r="DG6" s="148"/>
      <c r="DH6" s="148"/>
      <c r="DI6" s="148"/>
      <c r="DJ6" s="148"/>
      <c r="DK6" s="148"/>
      <c r="DL6" s="148"/>
      <c r="DM6" s="148"/>
      <c r="DN6" s="148"/>
      <c r="DO6" s="148"/>
      <c r="DP6" s="148"/>
      <c r="DQ6" s="148"/>
      <c r="DR6" s="148"/>
      <c r="DS6" s="148"/>
      <c r="DT6" s="148"/>
      <c r="DU6" s="148"/>
      <c r="DV6" s="148"/>
      <c r="DW6" s="148"/>
      <c r="DX6" s="148"/>
      <c r="DY6" s="148"/>
      <c r="DZ6" s="148"/>
      <c r="EA6" s="148"/>
      <c r="EB6" s="148"/>
      <c r="EC6" s="148"/>
      <c r="ED6" s="148"/>
      <c r="EE6" s="148"/>
      <c r="EF6" s="148"/>
      <c r="EG6" s="148"/>
      <c r="EH6" s="148"/>
      <c r="EI6" s="148"/>
      <c r="EJ6" s="148"/>
      <c r="EK6" s="148"/>
      <c r="EL6" s="148"/>
      <c r="EM6" s="148"/>
      <c r="EN6" s="148"/>
      <c r="EO6" s="148"/>
      <c r="EP6" s="148"/>
      <c r="EQ6" s="148"/>
      <c r="ER6" s="148"/>
      <c r="ES6" s="148"/>
      <c r="ET6" s="148"/>
      <c r="EU6" s="148"/>
      <c r="EV6" s="148"/>
      <c r="EW6" s="148"/>
      <c r="EX6" s="148"/>
      <c r="EY6" s="148"/>
      <c r="EZ6" s="148"/>
      <c r="FA6" s="148"/>
      <c r="FB6" s="148"/>
      <c r="FC6" s="148"/>
      <c r="FD6" s="148"/>
      <c r="FE6" s="148"/>
      <c r="FF6" s="148"/>
      <c r="FG6" s="148"/>
      <c r="FH6" s="148"/>
      <c r="FI6" s="148"/>
      <c r="FJ6" s="148"/>
      <c r="FK6" s="148"/>
      <c r="FL6" s="148"/>
      <c r="FM6" s="148"/>
      <c r="FN6" s="148"/>
    </row>
    <row r="7" spans="1:170">
      <c r="A7" s="151" t="s">
        <v>12</v>
      </c>
      <c r="B7" s="153" t="s">
        <v>13</v>
      </c>
      <c r="C7" s="153" t="s">
        <v>14</v>
      </c>
      <c r="D7" s="152">
        <v>0</v>
      </c>
      <c r="E7" s="165">
        <v>0</v>
      </c>
      <c r="F7" s="166">
        <v>200000</v>
      </c>
      <c r="G7" s="185" t="s">
        <v>15</v>
      </c>
      <c r="H7" s="293">
        <v>0</v>
      </c>
      <c r="I7" s="251">
        <f t="shared" si="0"/>
        <v>14920</v>
      </c>
      <c r="J7" s="252">
        <f t="shared" si="1"/>
        <v>0</v>
      </c>
      <c r="K7" s="251">
        <f t="shared" si="2"/>
        <v>14920</v>
      </c>
      <c r="L7" s="252">
        <f t="shared" si="3"/>
        <v>0</v>
      </c>
      <c r="M7" s="249">
        <v>28718.2168206026</v>
      </c>
      <c r="N7" s="251">
        <f t="shared" si="4"/>
        <v>11860</v>
      </c>
      <c r="O7" s="253">
        <f t="shared" si="5"/>
        <v>2.4214348078079766</v>
      </c>
      <c r="P7" s="255">
        <f t="shared" si="46"/>
        <v>26780.000000000004</v>
      </c>
      <c r="Q7" s="253">
        <f t="shared" si="47"/>
        <v>1.0723755347499102</v>
      </c>
      <c r="R7" s="291">
        <v>1950</v>
      </c>
      <c r="S7" s="285">
        <f>F7*8.31%</f>
        <v>16620</v>
      </c>
      <c r="T7" s="286">
        <f t="shared" si="7"/>
        <v>0.11732851985559567</v>
      </c>
      <c r="U7" s="287">
        <f t="shared" si="8"/>
        <v>43380</v>
      </c>
      <c r="V7" s="286">
        <f t="shared" si="9"/>
        <v>0.70696673168747348</v>
      </c>
      <c r="W7" s="292"/>
      <c r="X7" s="330">
        <f t="shared" si="10"/>
        <v>14580.000000000002</v>
      </c>
      <c r="Y7" s="286">
        <f t="shared" si="11"/>
        <v>0</v>
      </c>
      <c r="Z7" s="332">
        <f t="shared" si="12"/>
        <v>57960</v>
      </c>
      <c r="AA7" s="286">
        <f t="shared" si="13"/>
        <v>0.52912727433751894</v>
      </c>
      <c r="AB7" s="292"/>
      <c r="AC7" s="285">
        <f t="shared" si="14"/>
        <v>22040</v>
      </c>
      <c r="AD7" s="286">
        <f t="shared" si="15"/>
        <v>0</v>
      </c>
      <c r="AE7" s="287">
        <f t="shared" si="16"/>
        <v>80000</v>
      </c>
      <c r="AF7" s="286">
        <f t="shared" si="17"/>
        <v>0.38335271025753248</v>
      </c>
      <c r="AG7" s="292"/>
      <c r="AH7" s="285">
        <f t="shared" si="18"/>
        <v>24059.999999999996</v>
      </c>
      <c r="AI7" s="286">
        <f t="shared" si="19"/>
        <v>0</v>
      </c>
      <c r="AJ7" s="285">
        <f t="shared" si="20"/>
        <v>104060</v>
      </c>
      <c r="AK7" s="286">
        <f t="shared" si="21"/>
        <v>0.29471667134924656</v>
      </c>
      <c r="AL7" s="292"/>
      <c r="AM7" s="285">
        <f t="shared" si="22"/>
        <v>6780</v>
      </c>
      <c r="AN7" s="286">
        <f t="shared" si="23"/>
        <v>0</v>
      </c>
      <c r="AO7" s="285">
        <f t="shared" si="24"/>
        <v>110840</v>
      </c>
      <c r="AP7" s="286">
        <f t="shared" si="25"/>
        <v>0.27668907272286719</v>
      </c>
      <c r="AQ7" s="292"/>
      <c r="AR7" s="285">
        <f t="shared" si="26"/>
        <v>19660</v>
      </c>
      <c r="AS7" s="286">
        <f t="shared" si="27"/>
        <v>0</v>
      </c>
      <c r="AT7" s="285">
        <f t="shared" si="28"/>
        <v>130500</v>
      </c>
      <c r="AU7" s="286">
        <f t="shared" si="29"/>
        <v>0.23500549287818084</v>
      </c>
      <c r="AV7" s="292"/>
      <c r="AW7" s="285">
        <f t="shared" si="30"/>
        <v>21700</v>
      </c>
      <c r="AX7" s="286">
        <f t="shared" si="31"/>
        <v>0</v>
      </c>
      <c r="AY7" s="285">
        <f t="shared" si="32"/>
        <v>152199.99999999997</v>
      </c>
      <c r="AZ7" s="286">
        <f t="shared" si="33"/>
        <v>0.20149945348621948</v>
      </c>
      <c r="BA7" s="292"/>
      <c r="BB7" s="285">
        <f t="shared" si="34"/>
        <v>12200</v>
      </c>
      <c r="BC7" s="286">
        <f t="shared" si="35"/>
        <v>0</v>
      </c>
      <c r="BD7" s="285">
        <f t="shared" si="36"/>
        <v>164400</v>
      </c>
      <c r="BE7" s="286">
        <f t="shared" si="37"/>
        <v>0.18654633102556326</v>
      </c>
      <c r="BF7" s="292"/>
      <c r="BG7" s="285">
        <f t="shared" si="38"/>
        <v>12880</v>
      </c>
      <c r="BH7" s="286">
        <f t="shared" si="39"/>
        <v>0</v>
      </c>
      <c r="BI7" s="285">
        <f t="shared" si="40"/>
        <v>177280</v>
      </c>
      <c r="BJ7" s="286">
        <f t="shared" si="41"/>
        <v>0.17299310029672044</v>
      </c>
      <c r="BK7" s="292"/>
      <c r="BL7" s="285">
        <f t="shared" si="42"/>
        <v>22720</v>
      </c>
      <c r="BM7" s="286">
        <f t="shared" si="43"/>
        <v>0</v>
      </c>
      <c r="BN7" s="289">
        <f t="shared" si="44"/>
        <v>200000</v>
      </c>
      <c r="BO7" s="290">
        <f t="shared" si="45"/>
        <v>0.153341084103013</v>
      </c>
      <c r="BP7" s="148"/>
      <c r="BQ7" s="148"/>
      <c r="BR7" s="148"/>
      <c r="BS7" s="148"/>
      <c r="BT7" s="148"/>
      <c r="BU7" s="148"/>
      <c r="BV7" s="148"/>
      <c r="BW7" s="148"/>
      <c r="BX7" s="148"/>
      <c r="BY7" s="148"/>
      <c r="BZ7" s="148"/>
      <c r="CA7" s="148"/>
      <c r="CB7" s="148"/>
      <c r="CC7" s="148"/>
      <c r="CD7" s="148"/>
      <c r="CE7" s="148"/>
      <c r="CF7" s="148"/>
      <c r="CG7" s="148"/>
      <c r="CH7" s="148"/>
      <c r="CI7" s="148"/>
      <c r="CJ7" s="148"/>
      <c r="CK7" s="148"/>
      <c r="CL7" s="148"/>
      <c r="CM7" s="148"/>
      <c r="CN7" s="148"/>
      <c r="CO7" s="148"/>
      <c r="CP7" s="148"/>
      <c r="CQ7" s="148"/>
      <c r="CR7" s="148"/>
      <c r="CS7" s="148"/>
      <c r="CT7" s="148"/>
      <c r="CU7" s="148"/>
      <c r="CV7" s="148"/>
      <c r="CW7" s="148"/>
      <c r="CX7" s="148"/>
      <c r="CY7" s="148"/>
      <c r="CZ7" s="148"/>
      <c r="DA7" s="148"/>
      <c r="DB7" s="148"/>
      <c r="DC7" s="148"/>
      <c r="DD7" s="148"/>
      <c r="DE7" s="148"/>
      <c r="DF7" s="148"/>
      <c r="DG7" s="148"/>
      <c r="DH7" s="148"/>
      <c r="DI7" s="148"/>
      <c r="DJ7" s="148"/>
      <c r="DK7" s="148"/>
      <c r="DL7" s="148"/>
      <c r="DM7" s="148"/>
      <c r="DN7" s="148"/>
      <c r="DO7" s="148"/>
      <c r="DP7" s="148"/>
      <c r="DQ7" s="148"/>
      <c r="DR7" s="148"/>
      <c r="DS7" s="148"/>
      <c r="DT7" s="148"/>
      <c r="DU7" s="148"/>
      <c r="DV7" s="148"/>
      <c r="DW7" s="148"/>
      <c r="DX7" s="148"/>
      <c r="DY7" s="148"/>
      <c r="DZ7" s="148"/>
      <c r="EA7" s="148"/>
      <c r="EB7" s="148"/>
      <c r="EC7" s="148"/>
      <c r="ED7" s="148"/>
      <c r="EE7" s="148"/>
      <c r="EF7" s="148"/>
      <c r="EG7" s="148"/>
      <c r="EH7" s="148"/>
      <c r="EI7" s="148"/>
      <c r="EJ7" s="148"/>
      <c r="EK7" s="148"/>
      <c r="EL7" s="148"/>
      <c r="EM7" s="148"/>
      <c r="EN7" s="148"/>
      <c r="EO7" s="148"/>
      <c r="EP7" s="148"/>
      <c r="EQ7" s="148"/>
      <c r="ER7" s="148"/>
      <c r="ES7" s="148"/>
      <c r="ET7" s="148"/>
      <c r="EU7" s="148"/>
      <c r="EV7" s="148"/>
      <c r="EW7" s="148"/>
      <c r="EX7" s="148"/>
      <c r="EY7" s="148"/>
      <c r="EZ7" s="148"/>
      <c r="FA7" s="148"/>
      <c r="FB7" s="148"/>
      <c r="FC7" s="148"/>
      <c r="FD7" s="148"/>
      <c r="FE7" s="148"/>
      <c r="FF7" s="148"/>
      <c r="FG7" s="148"/>
      <c r="FH7" s="148"/>
      <c r="FI7" s="148"/>
      <c r="FJ7" s="148"/>
      <c r="FK7" s="148"/>
      <c r="FL7" s="148"/>
      <c r="FM7" s="148"/>
      <c r="FN7" s="148"/>
    </row>
    <row r="8" spans="1:170">
      <c r="A8" s="148"/>
      <c r="B8" s="148"/>
      <c r="C8" s="148"/>
      <c r="D8" s="148"/>
      <c r="E8" s="148"/>
      <c r="F8" s="184">
        <f>SUM(F4:F7)</f>
        <v>1850000</v>
      </c>
      <c r="G8" s="148"/>
      <c r="H8" s="247">
        <v>15616.3366202364</v>
      </c>
      <c r="I8" s="251">
        <f t="shared" si="0"/>
        <v>138010</v>
      </c>
      <c r="J8" s="252">
        <f t="shared" si="1"/>
        <v>0.11315366002634882</v>
      </c>
      <c r="K8" s="251">
        <f t="shared" si="2"/>
        <v>138010</v>
      </c>
      <c r="L8" s="252">
        <f t="shared" si="3"/>
        <v>0.11315366002634882</v>
      </c>
      <c r="M8" s="294">
        <v>0</v>
      </c>
      <c r="N8" s="251">
        <f t="shared" si="4"/>
        <v>109705</v>
      </c>
      <c r="O8" s="253">
        <f t="shared" si="5"/>
        <v>0</v>
      </c>
      <c r="P8" s="255">
        <f t="shared" si="46"/>
        <v>247715.00000000003</v>
      </c>
      <c r="Q8" s="253">
        <f t="shared" si="47"/>
        <v>6.3041546213335478E-2</v>
      </c>
      <c r="R8" s="291">
        <v>29795</v>
      </c>
      <c r="S8" s="285">
        <f t="shared" si="6"/>
        <v>153735</v>
      </c>
      <c r="T8" s="286">
        <f t="shared" si="7"/>
        <v>0.19380752593748984</v>
      </c>
      <c r="U8" s="287">
        <f t="shared" si="8"/>
        <v>401265</v>
      </c>
      <c r="V8" s="286">
        <f t="shared" si="9"/>
        <v>0.11317044003398352</v>
      </c>
      <c r="W8" s="292"/>
      <c r="X8" s="330">
        <f t="shared" si="10"/>
        <v>134865</v>
      </c>
      <c r="Y8" s="286">
        <f t="shared" si="11"/>
        <v>0</v>
      </c>
      <c r="Z8" s="332">
        <f t="shared" si="12"/>
        <v>536130</v>
      </c>
      <c r="AA8" s="286">
        <f t="shared" si="13"/>
        <v>8.4702099528540464E-2</v>
      </c>
      <c r="AB8" s="292"/>
      <c r="AC8" s="285">
        <f t="shared" si="14"/>
        <v>203870</v>
      </c>
      <c r="AD8" s="286">
        <f t="shared" si="15"/>
        <v>0</v>
      </c>
      <c r="AE8" s="287">
        <f t="shared" si="16"/>
        <v>740000</v>
      </c>
      <c r="AF8" s="286">
        <f t="shared" si="17"/>
        <v>6.1366671108427563E-2</v>
      </c>
      <c r="AG8" s="292"/>
      <c r="AH8" s="285">
        <f t="shared" si="18"/>
        <v>222554.99999999997</v>
      </c>
      <c r="AI8" s="286">
        <f t="shared" si="19"/>
        <v>0</v>
      </c>
      <c r="AJ8" s="285">
        <f t="shared" si="20"/>
        <v>962555</v>
      </c>
      <c r="AK8" s="286">
        <f t="shared" si="21"/>
        <v>4.7177913594793439E-2</v>
      </c>
      <c r="AL8" s="292"/>
      <c r="AM8" s="285">
        <f t="shared" si="22"/>
        <v>62715</v>
      </c>
      <c r="AN8" s="286">
        <f t="shared" si="23"/>
        <v>0</v>
      </c>
      <c r="AO8" s="285">
        <f t="shared" si="24"/>
        <v>1025270</v>
      </c>
      <c r="AP8" s="286">
        <f t="shared" si="25"/>
        <v>4.4292075863173991E-2</v>
      </c>
      <c r="AQ8" s="292"/>
      <c r="AR8" s="285">
        <f t="shared" si="26"/>
        <v>181855</v>
      </c>
      <c r="AS8" s="286">
        <f t="shared" si="27"/>
        <v>0</v>
      </c>
      <c r="AT8" s="285">
        <f t="shared" si="28"/>
        <v>1207125</v>
      </c>
      <c r="AU8" s="286">
        <f t="shared" si="29"/>
        <v>3.7619415238882799E-2</v>
      </c>
      <c r="AV8" s="292"/>
      <c r="AW8" s="285">
        <f t="shared" si="30"/>
        <v>200725</v>
      </c>
      <c r="AX8" s="286">
        <f t="shared" si="31"/>
        <v>0</v>
      </c>
      <c r="AY8" s="285">
        <f t="shared" si="32"/>
        <v>1407849.9999999998</v>
      </c>
      <c r="AZ8" s="286">
        <f t="shared" si="33"/>
        <v>3.2255806101670212E-2</v>
      </c>
      <c r="BA8" s="292"/>
      <c r="BB8" s="285">
        <f t="shared" si="34"/>
        <v>112850</v>
      </c>
      <c r="BC8" s="286">
        <f t="shared" si="35"/>
        <v>0</v>
      </c>
      <c r="BD8" s="285">
        <f t="shared" si="36"/>
        <v>1520700.0000000002</v>
      </c>
      <c r="BE8" s="286">
        <f t="shared" si="37"/>
        <v>2.9862127060062072E-2</v>
      </c>
      <c r="BF8" s="292"/>
      <c r="BG8" s="285">
        <f t="shared" si="38"/>
        <v>119140</v>
      </c>
      <c r="BH8" s="286">
        <f t="shared" si="39"/>
        <v>0</v>
      </c>
      <c r="BI8" s="285">
        <f t="shared" si="40"/>
        <v>1639840</v>
      </c>
      <c r="BJ8" s="286">
        <f t="shared" si="41"/>
        <v>2.7692541113911357E-2</v>
      </c>
      <c r="BK8" s="292"/>
      <c r="BL8" s="285">
        <f t="shared" si="42"/>
        <v>210160</v>
      </c>
      <c r="BM8" s="286">
        <f t="shared" si="43"/>
        <v>0</v>
      </c>
      <c r="BN8" s="289">
        <f t="shared" si="44"/>
        <v>1850000</v>
      </c>
      <c r="BO8" s="290">
        <f t="shared" si="45"/>
        <v>2.4546668443371025E-2</v>
      </c>
      <c r="BP8" s="148"/>
      <c r="BQ8" s="148"/>
      <c r="BR8" s="148"/>
      <c r="BS8" s="148"/>
      <c r="BT8" s="148"/>
      <c r="BU8" s="148"/>
      <c r="BV8" s="148"/>
      <c r="BW8" s="148"/>
      <c r="BX8" s="148"/>
      <c r="BY8" s="148"/>
      <c r="BZ8" s="148"/>
      <c r="CA8" s="148"/>
      <c r="CB8" s="148"/>
      <c r="CC8" s="148"/>
      <c r="CD8" s="148"/>
      <c r="CE8" s="148"/>
      <c r="CF8" s="148"/>
      <c r="CG8" s="148"/>
      <c r="CH8" s="148"/>
      <c r="CI8" s="148"/>
      <c r="CJ8" s="148"/>
      <c r="CK8" s="148"/>
      <c r="CL8" s="148"/>
      <c r="CM8" s="148"/>
      <c r="CN8" s="148"/>
      <c r="CO8" s="148"/>
      <c r="CP8" s="148"/>
      <c r="CQ8" s="148"/>
      <c r="CR8" s="148"/>
      <c r="CS8" s="148"/>
      <c r="CT8" s="148"/>
      <c r="CU8" s="148"/>
      <c r="CV8" s="148"/>
      <c r="CW8" s="148"/>
      <c r="CX8" s="148"/>
      <c r="CY8" s="148"/>
      <c r="CZ8" s="148"/>
      <c r="DA8" s="148"/>
      <c r="DB8" s="148"/>
      <c r="DC8" s="148"/>
      <c r="DD8" s="148"/>
      <c r="DE8" s="148"/>
      <c r="DF8" s="148"/>
      <c r="DG8" s="148"/>
      <c r="DH8" s="148"/>
      <c r="DI8" s="148"/>
      <c r="DJ8" s="148"/>
      <c r="DK8" s="148"/>
      <c r="DL8" s="148"/>
      <c r="DM8" s="148"/>
      <c r="DN8" s="148"/>
      <c r="DO8" s="148"/>
      <c r="DP8" s="148"/>
      <c r="DQ8" s="148"/>
      <c r="DR8" s="148"/>
      <c r="DS8" s="148"/>
      <c r="DT8" s="148"/>
      <c r="DU8" s="148"/>
      <c r="DV8" s="148"/>
      <c r="DW8" s="148"/>
      <c r="DX8" s="148"/>
      <c r="DY8" s="148"/>
      <c r="DZ8" s="148"/>
      <c r="EA8" s="148"/>
      <c r="EB8" s="148"/>
      <c r="EC8" s="148"/>
      <c r="ED8" s="148"/>
      <c r="EE8" s="148"/>
      <c r="EF8" s="148"/>
      <c r="EG8" s="148"/>
      <c r="EH8" s="148"/>
      <c r="EI8" s="148"/>
      <c r="EJ8" s="148"/>
      <c r="EK8" s="148"/>
      <c r="EL8" s="148"/>
      <c r="EM8" s="148"/>
      <c r="EN8" s="148"/>
      <c r="EO8" s="148"/>
      <c r="EP8" s="148"/>
      <c r="EQ8" s="148"/>
      <c r="ER8" s="148"/>
      <c r="ES8" s="148"/>
      <c r="ET8" s="148"/>
      <c r="EU8" s="148"/>
      <c r="EV8" s="148"/>
      <c r="EW8" s="148"/>
      <c r="EX8" s="148"/>
      <c r="EY8" s="148"/>
      <c r="EZ8" s="148"/>
      <c r="FA8" s="148"/>
      <c r="FB8" s="148"/>
      <c r="FC8" s="148"/>
      <c r="FD8" s="148"/>
      <c r="FE8" s="148"/>
      <c r="FF8" s="148"/>
      <c r="FG8" s="148"/>
      <c r="FH8" s="148"/>
      <c r="FI8" s="148"/>
      <c r="FJ8" s="148"/>
      <c r="FK8" s="148"/>
      <c r="FL8" s="148"/>
      <c r="FM8" s="148"/>
      <c r="FN8" s="148"/>
    </row>
    <row r="9" spans="1:170">
      <c r="A9" s="139"/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139"/>
      <c r="AT9" s="139"/>
      <c r="AU9" s="139"/>
      <c r="AV9" s="139"/>
      <c r="AW9" s="139"/>
      <c r="AX9" s="139"/>
      <c r="AY9" s="139"/>
      <c r="AZ9" s="139"/>
      <c r="BA9" s="139"/>
      <c r="BB9" s="139"/>
      <c r="BC9" s="139"/>
      <c r="BD9" s="139"/>
      <c r="BE9" s="139"/>
      <c r="BF9" s="139"/>
      <c r="BG9" s="139"/>
      <c r="BH9" s="139"/>
      <c r="BI9" s="139"/>
      <c r="BJ9" s="139"/>
      <c r="BK9" s="139"/>
      <c r="BL9" s="139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I9" s="139"/>
      <c r="CJ9" s="139"/>
      <c r="CK9" s="139"/>
      <c r="CL9" s="139"/>
      <c r="CM9" s="139"/>
      <c r="CN9" s="139"/>
      <c r="CO9" s="139"/>
      <c r="CP9" s="139"/>
      <c r="CQ9" s="139"/>
      <c r="CR9" s="139"/>
      <c r="CS9" s="139"/>
      <c r="CT9" s="139"/>
      <c r="CU9" s="139"/>
      <c r="CV9" s="139"/>
      <c r="CW9" s="139"/>
      <c r="CX9" s="139"/>
      <c r="CY9" s="139"/>
      <c r="CZ9" s="139"/>
      <c r="DA9" s="139"/>
      <c r="DB9" s="139"/>
      <c r="DC9" s="139"/>
      <c r="DD9" s="139"/>
      <c r="DE9" s="139"/>
      <c r="DF9" s="139"/>
      <c r="DG9" s="139"/>
      <c r="DH9" s="139"/>
      <c r="DI9" s="139"/>
      <c r="DJ9" s="139"/>
      <c r="DK9" s="139"/>
      <c r="DL9" s="139"/>
      <c r="DM9" s="139"/>
      <c r="DN9" s="139"/>
      <c r="DO9" s="139"/>
      <c r="DP9" s="139"/>
      <c r="DQ9" s="139"/>
      <c r="DR9" s="139"/>
      <c r="DS9" s="139"/>
      <c r="DT9" s="139"/>
      <c r="DU9" s="139"/>
      <c r="DV9" s="139"/>
      <c r="DW9" s="139"/>
      <c r="DX9" s="139"/>
      <c r="DY9" s="139"/>
      <c r="DZ9" s="139"/>
      <c r="EA9" s="139"/>
      <c r="EB9" s="139"/>
      <c r="EC9" s="139"/>
      <c r="ED9" s="139"/>
      <c r="EE9" s="139"/>
      <c r="EF9" s="139"/>
      <c r="EG9" s="139"/>
      <c r="EH9" s="139"/>
      <c r="EI9" s="139"/>
      <c r="EJ9" s="139"/>
      <c r="EK9" s="139"/>
      <c r="EL9" s="139"/>
      <c r="EM9" s="139"/>
      <c r="EN9" s="139"/>
      <c r="EO9" s="139"/>
      <c r="EP9" s="139"/>
      <c r="EQ9" s="139"/>
      <c r="ER9" s="139"/>
      <c r="ES9" s="139"/>
      <c r="ET9" s="139"/>
      <c r="EU9" s="139"/>
      <c r="EV9" s="139"/>
      <c r="EW9" s="139"/>
      <c r="EX9" s="139"/>
      <c r="EY9" s="139"/>
      <c r="EZ9" s="139"/>
      <c r="FA9" s="139"/>
      <c r="FB9" s="139"/>
      <c r="FC9" s="139"/>
      <c r="FD9" s="139"/>
      <c r="FE9" s="139"/>
      <c r="FF9" s="139"/>
      <c r="FG9" s="139"/>
      <c r="FH9" s="139"/>
      <c r="FI9" s="139"/>
      <c r="FJ9" s="139"/>
      <c r="FK9" s="139"/>
      <c r="FL9" s="139"/>
      <c r="FM9" s="139"/>
      <c r="FN9" s="139"/>
    </row>
    <row r="10" spans="1:170">
      <c r="A10" s="139"/>
      <c r="B10" s="139"/>
      <c r="C10" s="139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39"/>
      <c r="BA10" s="139"/>
      <c r="BB10" s="139"/>
      <c r="BC10" s="139"/>
      <c r="BD10" s="139"/>
      <c r="BE10" s="139"/>
      <c r="BF10" s="139"/>
      <c r="BG10" s="139"/>
      <c r="BH10" s="139"/>
      <c r="BI10" s="139"/>
      <c r="BJ10" s="139"/>
      <c r="BK10" s="139"/>
      <c r="BL10" s="139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I10" s="139"/>
      <c r="CJ10" s="139"/>
      <c r="CK10" s="139"/>
      <c r="CL10" s="139"/>
      <c r="CM10" s="139"/>
      <c r="CN10" s="139"/>
      <c r="CO10" s="139"/>
      <c r="CP10" s="139"/>
      <c r="CQ10" s="139"/>
      <c r="CR10" s="139"/>
      <c r="CS10" s="139"/>
      <c r="CT10" s="139"/>
      <c r="CU10" s="139"/>
      <c r="CV10" s="139"/>
      <c r="CW10" s="139"/>
      <c r="CX10" s="139"/>
      <c r="CY10" s="139"/>
      <c r="CZ10" s="139"/>
      <c r="DA10" s="139"/>
      <c r="DB10" s="139"/>
      <c r="DC10" s="139"/>
      <c r="DD10" s="139"/>
      <c r="DE10" s="139"/>
      <c r="DF10" s="139"/>
      <c r="DG10" s="139"/>
      <c r="DH10" s="139"/>
      <c r="DI10" s="139"/>
      <c r="DJ10" s="139"/>
      <c r="DK10" s="139"/>
      <c r="DL10" s="139"/>
      <c r="DM10" s="139"/>
      <c r="DN10" s="139"/>
      <c r="DO10" s="139"/>
      <c r="DP10" s="139"/>
      <c r="DQ10" s="139"/>
      <c r="DR10" s="139"/>
      <c r="DS10" s="139"/>
      <c r="DT10" s="139"/>
      <c r="DU10" s="139"/>
      <c r="DV10" s="139"/>
      <c r="DW10" s="139"/>
      <c r="DX10" s="139"/>
      <c r="DY10" s="139"/>
      <c r="DZ10" s="139"/>
      <c r="EA10" s="139"/>
      <c r="EB10" s="139"/>
      <c r="EC10" s="139"/>
      <c r="ED10" s="139"/>
      <c r="EE10" s="139"/>
      <c r="EF10" s="139"/>
      <c r="EG10" s="139"/>
      <c r="EH10" s="139"/>
      <c r="EI10" s="139"/>
      <c r="EJ10" s="139"/>
      <c r="EK10" s="139"/>
      <c r="EL10" s="139"/>
      <c r="EM10" s="139"/>
      <c r="EN10" s="139"/>
      <c r="EO10" s="139"/>
      <c r="EP10" s="139"/>
      <c r="EQ10" s="139"/>
      <c r="ER10" s="139"/>
      <c r="ES10" s="139"/>
      <c r="ET10" s="139"/>
      <c r="EU10" s="139"/>
      <c r="EV10" s="139"/>
      <c r="EW10" s="139"/>
      <c r="EX10" s="139"/>
      <c r="EY10" s="139"/>
      <c r="EZ10" s="139"/>
      <c r="FA10" s="139"/>
      <c r="FB10" s="139"/>
      <c r="FC10" s="139"/>
      <c r="FD10" s="139"/>
      <c r="FE10" s="139"/>
      <c r="FF10" s="139"/>
      <c r="FG10" s="139"/>
      <c r="FH10" s="139"/>
      <c r="FI10" s="139"/>
      <c r="FJ10" s="139"/>
      <c r="FK10" s="139"/>
      <c r="FL10" s="139"/>
      <c r="FM10" s="139"/>
      <c r="FN10" s="139"/>
    </row>
    <row r="11" spans="1:170" ht="15.75" thickBot="1">
      <c r="A11" s="148"/>
      <c r="B11" s="148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148"/>
      <c r="AT11" s="148"/>
      <c r="AU11" s="148"/>
      <c r="AV11" s="148"/>
      <c r="AW11" s="148"/>
      <c r="AX11" s="148"/>
      <c r="AY11" s="148"/>
      <c r="AZ11" s="148"/>
      <c r="BA11" s="148"/>
      <c r="BB11" s="148"/>
      <c r="BC11" s="148"/>
      <c r="BD11" s="148"/>
      <c r="BE11" s="148"/>
      <c r="BF11" s="148"/>
      <c r="BG11" s="148"/>
      <c r="BH11" s="148"/>
      <c r="BI11" s="148"/>
      <c r="BJ11" s="148"/>
      <c r="BK11" s="148"/>
      <c r="BL11" s="148"/>
      <c r="BM11" s="148"/>
      <c r="BN11" s="148"/>
      <c r="BO11" s="148"/>
      <c r="BP11" s="148"/>
      <c r="BQ11" s="148"/>
      <c r="BR11" s="148"/>
      <c r="BS11" s="148"/>
      <c r="BT11" s="148"/>
      <c r="BU11" s="148"/>
      <c r="BV11" s="148"/>
      <c r="BW11" s="148"/>
      <c r="BX11" s="148"/>
      <c r="BY11" s="148"/>
      <c r="BZ11" s="148"/>
      <c r="CA11" s="148"/>
      <c r="CB11" s="148"/>
      <c r="CC11" s="148"/>
      <c r="CD11" s="148"/>
      <c r="CE11" s="148"/>
      <c r="CF11" s="148"/>
      <c r="CG11" s="148"/>
      <c r="CH11" s="148"/>
      <c r="CI11" s="148"/>
      <c r="CJ11" s="148"/>
      <c r="CK11" s="148"/>
      <c r="CL11" s="148"/>
      <c r="CM11" s="148"/>
      <c r="CN11" s="148"/>
      <c r="CO11" s="148"/>
      <c r="CP11" s="148"/>
      <c r="CQ11" s="148"/>
      <c r="CR11" s="148"/>
      <c r="CS11" s="148"/>
      <c r="CT11" s="148"/>
      <c r="CU11" s="148"/>
      <c r="CV11" s="148"/>
      <c r="CW11" s="148"/>
      <c r="CX11" s="148"/>
      <c r="CY11" s="148"/>
      <c r="CZ11" s="148"/>
      <c r="DA11" s="148"/>
      <c r="DB11" s="148"/>
      <c r="DC11" s="148"/>
      <c r="DD11" s="148"/>
      <c r="DE11" s="148"/>
      <c r="DF11" s="148"/>
      <c r="DG11" s="148"/>
      <c r="DH11" s="148"/>
      <c r="DI11" s="148"/>
      <c r="DJ11" s="148"/>
      <c r="DK11" s="148"/>
      <c r="DL11" s="148"/>
      <c r="DM11" s="148"/>
      <c r="DN11" s="148"/>
      <c r="DO11" s="148"/>
      <c r="DP11" s="148"/>
      <c r="DQ11" s="148"/>
      <c r="DR11" s="148"/>
      <c r="DS11" s="148"/>
      <c r="DT11" s="148"/>
      <c r="DU11" s="148"/>
      <c r="DV11" s="148"/>
      <c r="DW11" s="148"/>
      <c r="DX11" s="148"/>
      <c r="DY11" s="148"/>
      <c r="DZ11" s="148"/>
      <c r="EA11" s="148"/>
      <c r="EB11" s="148"/>
      <c r="EC11" s="148"/>
      <c r="ED11" s="148"/>
      <c r="EE11" s="148"/>
      <c r="EF11" s="148"/>
      <c r="EG11" s="148"/>
      <c r="EH11" s="148"/>
      <c r="EI11" s="148"/>
      <c r="EJ11" s="148"/>
      <c r="EK11" s="148"/>
      <c r="EL11" s="148"/>
      <c r="EM11" s="148"/>
      <c r="EN11" s="148"/>
      <c r="EO11" s="148"/>
      <c r="EP11" s="148"/>
      <c r="EQ11" s="148"/>
      <c r="ER11" s="148"/>
      <c r="ES11" s="148"/>
      <c r="ET11" s="148"/>
      <c r="EU11" s="148"/>
      <c r="EV11" s="148"/>
      <c r="EW11" s="148"/>
      <c r="EX11" s="148"/>
      <c r="EY11" s="148"/>
      <c r="EZ11" s="148"/>
      <c r="FA11" s="148"/>
      <c r="FB11" s="148"/>
      <c r="FC11" s="148"/>
      <c r="FD11" s="148"/>
      <c r="FE11" s="148"/>
      <c r="FF11" s="148"/>
      <c r="FG11" s="148"/>
      <c r="FH11" s="148"/>
      <c r="FI11" s="148"/>
      <c r="FJ11" s="148"/>
      <c r="FK11" s="148"/>
      <c r="FL11" s="148"/>
      <c r="FM11" s="148"/>
      <c r="FN11" s="148"/>
    </row>
    <row r="12" spans="1:170" ht="15.75" thickBot="1">
      <c r="A12" s="170"/>
      <c r="B12" s="174" t="s">
        <v>121</v>
      </c>
      <c r="C12" s="175" t="s">
        <v>122</v>
      </c>
      <c r="D12" s="174" t="s">
        <v>123</v>
      </c>
      <c r="E12" s="175" t="s">
        <v>124</v>
      </c>
      <c r="F12" s="187" t="s">
        <v>125</v>
      </c>
      <c r="G12" s="186" t="s">
        <v>126</v>
      </c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8"/>
      <c r="BB12" s="148"/>
      <c r="BC12" s="148"/>
      <c r="BD12" s="148"/>
      <c r="BE12" s="148"/>
      <c r="BF12" s="148"/>
      <c r="BG12" s="148"/>
      <c r="BH12" s="148"/>
      <c r="BI12" s="148"/>
      <c r="BJ12" s="148"/>
      <c r="BK12" s="148"/>
      <c r="BL12" s="148"/>
      <c r="BM12" s="148"/>
      <c r="BN12" s="148"/>
      <c r="BO12" s="148"/>
      <c r="BP12" s="148"/>
      <c r="BQ12" s="148"/>
      <c r="BR12" s="148"/>
      <c r="BS12" s="148"/>
      <c r="BT12" s="148"/>
      <c r="BU12" s="148"/>
      <c r="BV12" s="148"/>
      <c r="BW12" s="148"/>
      <c r="BX12" s="148"/>
      <c r="BY12" s="148"/>
      <c r="BZ12" s="148"/>
      <c r="CA12" s="148"/>
      <c r="CB12" s="148"/>
      <c r="CC12" s="148"/>
      <c r="CD12" s="148"/>
      <c r="CE12" s="148"/>
      <c r="CF12" s="148"/>
      <c r="CG12" s="148"/>
      <c r="CH12" s="148"/>
      <c r="CI12" s="148"/>
      <c r="CJ12" s="148"/>
      <c r="CK12" s="148"/>
      <c r="CL12" s="148"/>
      <c r="CM12" s="148"/>
      <c r="CN12" s="148"/>
      <c r="CO12" s="148"/>
      <c r="CP12" s="148"/>
      <c r="CQ12" s="148"/>
      <c r="CR12" s="148"/>
      <c r="CS12" s="148"/>
      <c r="CT12" s="148"/>
      <c r="CU12" s="148"/>
      <c r="CV12" s="148"/>
      <c r="CW12" s="148"/>
      <c r="CX12" s="148"/>
      <c r="CY12" s="148"/>
      <c r="CZ12" s="148"/>
      <c r="DA12" s="148"/>
      <c r="DB12" s="148"/>
      <c r="DC12" s="148"/>
      <c r="DD12" s="148"/>
      <c r="DE12" s="148"/>
      <c r="DF12" s="148"/>
      <c r="DG12" s="148"/>
      <c r="DH12" s="148"/>
      <c r="DI12" s="148"/>
      <c r="DJ12" s="148"/>
      <c r="DK12" s="148"/>
      <c r="DL12" s="148"/>
      <c r="DM12" s="148"/>
      <c r="DN12" s="148"/>
      <c r="DO12" s="148"/>
      <c r="DP12" s="148"/>
      <c r="DQ12" s="148"/>
      <c r="DR12" s="148"/>
      <c r="DS12" s="148"/>
      <c r="DT12" s="148"/>
      <c r="DU12" s="148"/>
      <c r="DV12" s="148"/>
      <c r="DW12" s="148"/>
      <c r="DX12" s="148"/>
      <c r="DY12" s="148"/>
      <c r="DZ12" s="148"/>
      <c r="EA12" s="148"/>
      <c r="EB12" s="148"/>
      <c r="EC12" s="148"/>
      <c r="ED12" s="148"/>
      <c r="EE12" s="148"/>
      <c r="EF12" s="148"/>
      <c r="EG12" s="148"/>
      <c r="EH12" s="148"/>
      <c r="EI12" s="148"/>
      <c r="EJ12" s="148"/>
      <c r="EK12" s="148"/>
      <c r="EL12" s="148"/>
      <c r="EM12" s="148"/>
      <c r="EN12" s="148"/>
      <c r="EO12" s="148"/>
      <c r="EP12" s="148"/>
      <c r="EQ12" s="148"/>
      <c r="ER12" s="148"/>
      <c r="ES12" s="148"/>
      <c r="ET12" s="148"/>
      <c r="EU12" s="148"/>
      <c r="EV12" s="148"/>
      <c r="EW12" s="148"/>
      <c r="EX12" s="148"/>
      <c r="EY12" s="148"/>
      <c r="EZ12" s="148"/>
      <c r="FA12" s="148"/>
      <c r="FB12" s="148"/>
      <c r="FC12" s="148"/>
      <c r="FD12" s="148"/>
      <c r="FE12" s="148"/>
      <c r="FF12" s="148"/>
      <c r="FG12" s="148"/>
      <c r="FH12" s="148"/>
      <c r="FI12" s="148"/>
      <c r="FJ12" s="148"/>
      <c r="FK12" s="148"/>
      <c r="FL12" s="148"/>
      <c r="FM12" s="148"/>
      <c r="FN12" s="148"/>
    </row>
    <row r="13" spans="1:170">
      <c r="A13" s="171" t="s">
        <v>16</v>
      </c>
      <c r="B13" s="179">
        <v>96177</v>
      </c>
      <c r="C13" s="160">
        <v>6</v>
      </c>
      <c r="D13" s="173">
        <v>56662</v>
      </c>
      <c r="E13" s="189">
        <v>6</v>
      </c>
      <c r="F13" s="147">
        <v>115000</v>
      </c>
      <c r="G13" s="146">
        <f>IF(D13=0,"",D13-F13)</f>
        <v>-58338</v>
      </c>
      <c r="H13" s="195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A13" s="148"/>
      <c r="BB13" s="148"/>
      <c r="BC13" s="148"/>
      <c r="BD13" s="148"/>
      <c r="BE13" s="148"/>
      <c r="BF13" s="148"/>
      <c r="BG13" s="148"/>
      <c r="BH13" s="148"/>
      <c r="BI13" s="148"/>
      <c r="BJ13" s="148"/>
      <c r="BK13" s="148"/>
      <c r="BL13" s="148"/>
      <c r="BM13" s="148"/>
      <c r="BN13" s="148"/>
      <c r="BO13" s="148"/>
      <c r="BP13" s="148"/>
      <c r="BQ13" s="148"/>
      <c r="BR13" s="148"/>
      <c r="BS13" s="148"/>
      <c r="BT13" s="148"/>
      <c r="BU13" s="148"/>
      <c r="BV13" s="148"/>
      <c r="BW13" s="148"/>
      <c r="BX13" s="148"/>
      <c r="BY13" s="148"/>
      <c r="BZ13" s="148"/>
      <c r="CA13" s="148"/>
      <c r="CB13" s="148"/>
      <c r="CC13" s="148"/>
      <c r="CD13" s="148"/>
      <c r="CE13" s="148"/>
      <c r="CF13" s="148"/>
      <c r="CG13" s="148"/>
      <c r="CH13" s="148"/>
      <c r="CI13" s="148"/>
      <c r="CJ13" s="148"/>
      <c r="CK13" s="148"/>
      <c r="CL13" s="148"/>
      <c r="CM13" s="148"/>
      <c r="CN13" s="148"/>
      <c r="CO13" s="148"/>
      <c r="CP13" s="148"/>
      <c r="CQ13" s="148"/>
      <c r="CR13" s="148"/>
      <c r="CS13" s="148"/>
      <c r="CT13" s="148"/>
      <c r="CU13" s="148"/>
      <c r="CV13" s="148"/>
      <c r="CW13" s="148"/>
      <c r="CX13" s="148"/>
      <c r="CY13" s="148"/>
      <c r="CZ13" s="148"/>
      <c r="DA13" s="148"/>
      <c r="DB13" s="148"/>
      <c r="DC13" s="148"/>
      <c r="DD13" s="148"/>
      <c r="DE13" s="148"/>
      <c r="DF13" s="148"/>
      <c r="DG13" s="148"/>
      <c r="DH13" s="148"/>
      <c r="DI13" s="148"/>
      <c r="DJ13" s="148"/>
      <c r="DK13" s="148"/>
      <c r="DL13" s="148"/>
      <c r="DM13" s="148"/>
      <c r="DN13" s="148"/>
      <c r="DO13" s="148"/>
      <c r="DP13" s="148"/>
      <c r="DQ13" s="148"/>
      <c r="DR13" s="148"/>
      <c r="DS13" s="148"/>
      <c r="DT13" s="148"/>
      <c r="DU13" s="148"/>
      <c r="DV13" s="148"/>
      <c r="DW13" s="148"/>
      <c r="DX13" s="148"/>
      <c r="DY13" s="148"/>
      <c r="DZ13" s="148"/>
      <c r="EA13" s="148"/>
      <c r="EB13" s="148"/>
      <c r="EC13" s="148"/>
      <c r="ED13" s="148"/>
      <c r="EE13" s="148"/>
      <c r="EF13" s="148"/>
      <c r="EG13" s="148"/>
      <c r="EH13" s="148"/>
      <c r="EI13" s="148"/>
      <c r="EJ13" s="148"/>
      <c r="EK13" s="148"/>
      <c r="EL13" s="148"/>
      <c r="EM13" s="148"/>
      <c r="EN13" s="148"/>
      <c r="EO13" s="148"/>
      <c r="EP13" s="148"/>
      <c r="EQ13" s="148"/>
      <c r="ER13" s="148"/>
      <c r="ES13" s="148"/>
      <c r="ET13" s="148"/>
      <c r="EU13" s="148"/>
      <c r="EV13" s="148"/>
      <c r="EW13" s="148"/>
      <c r="EX13" s="148"/>
      <c r="EY13" s="148"/>
      <c r="EZ13" s="148"/>
      <c r="FA13" s="148"/>
      <c r="FB13" s="148"/>
      <c r="FC13" s="148"/>
      <c r="FD13" s="148"/>
      <c r="FE13" s="148"/>
      <c r="FF13" s="148"/>
      <c r="FG13" s="148"/>
      <c r="FH13" s="148"/>
      <c r="FI13" s="148"/>
      <c r="FJ13" s="148"/>
      <c r="FK13" s="148"/>
      <c r="FL13" s="148"/>
      <c r="FM13" s="148"/>
      <c r="FN13" s="148"/>
    </row>
    <row r="14" spans="1:170">
      <c r="A14" s="171" t="s">
        <v>17</v>
      </c>
      <c r="B14" s="159">
        <v>50373</v>
      </c>
      <c r="C14" s="158">
        <v>3</v>
      </c>
      <c r="D14" s="167">
        <v>107311</v>
      </c>
      <c r="E14" s="190">
        <v>8</v>
      </c>
      <c r="F14" s="177">
        <v>60000</v>
      </c>
      <c r="G14" s="18">
        <f t="shared" ref="G14:G25" si="48">IF(D14=0,"",D14-F14)</f>
        <v>47311</v>
      </c>
      <c r="H14" s="195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148"/>
      <c r="AQ14" s="148"/>
      <c r="AR14" s="148"/>
      <c r="AS14" s="148"/>
      <c r="AT14" s="148"/>
      <c r="AU14" s="148"/>
      <c r="AV14" s="148"/>
      <c r="AW14" s="148"/>
      <c r="AX14" s="148"/>
      <c r="AY14" s="148"/>
      <c r="AZ14" s="148"/>
      <c r="BA14" s="148"/>
      <c r="BB14" s="148"/>
      <c r="BC14" s="148"/>
      <c r="BD14" s="148"/>
      <c r="BE14" s="148"/>
      <c r="BF14" s="148"/>
      <c r="BG14" s="148"/>
      <c r="BH14" s="148"/>
      <c r="BI14" s="148"/>
      <c r="BJ14" s="148"/>
      <c r="BK14" s="148"/>
      <c r="BL14" s="148"/>
      <c r="BM14" s="148"/>
      <c r="BN14" s="148"/>
      <c r="BO14" s="148"/>
      <c r="BP14" s="148"/>
      <c r="BQ14" s="148"/>
      <c r="BR14" s="148"/>
      <c r="BS14" s="148"/>
      <c r="BT14" s="148"/>
      <c r="BU14" s="148"/>
      <c r="BV14" s="148"/>
      <c r="BW14" s="148"/>
      <c r="BX14" s="148"/>
      <c r="BY14" s="148"/>
      <c r="BZ14" s="148"/>
      <c r="CA14" s="148"/>
      <c r="CB14" s="148"/>
      <c r="CC14" s="148"/>
      <c r="CD14" s="148"/>
      <c r="CE14" s="148"/>
      <c r="CF14" s="148"/>
      <c r="CG14" s="148"/>
      <c r="CH14" s="148"/>
      <c r="CI14" s="148"/>
      <c r="CJ14" s="148"/>
      <c r="CK14" s="148"/>
      <c r="CL14" s="148"/>
      <c r="CM14" s="148"/>
      <c r="CN14" s="148"/>
      <c r="CO14" s="148"/>
      <c r="CP14" s="148"/>
      <c r="CQ14" s="148"/>
      <c r="CR14" s="148"/>
      <c r="CS14" s="148"/>
      <c r="CT14" s="148"/>
      <c r="CU14" s="148"/>
      <c r="CV14" s="148"/>
      <c r="CW14" s="148"/>
      <c r="CX14" s="148"/>
      <c r="CY14" s="148"/>
      <c r="CZ14" s="148"/>
      <c r="DA14" s="148"/>
      <c r="DB14" s="148"/>
      <c r="DC14" s="148"/>
      <c r="DD14" s="148"/>
      <c r="DE14" s="148"/>
      <c r="DF14" s="148"/>
      <c r="DG14" s="148"/>
      <c r="DH14" s="148"/>
      <c r="DI14" s="148"/>
      <c r="DJ14" s="148"/>
      <c r="DK14" s="148"/>
      <c r="DL14" s="148"/>
      <c r="DM14" s="148"/>
      <c r="DN14" s="148"/>
      <c r="DO14" s="148"/>
      <c r="DP14" s="148"/>
      <c r="DQ14" s="148"/>
      <c r="DR14" s="148"/>
      <c r="DS14" s="148"/>
      <c r="DT14" s="148"/>
      <c r="DU14" s="148"/>
      <c r="DV14" s="148"/>
      <c r="DW14" s="148"/>
      <c r="DX14" s="148"/>
      <c r="DY14" s="148"/>
      <c r="DZ14" s="148"/>
      <c r="EA14" s="148"/>
      <c r="EB14" s="148"/>
      <c r="EC14" s="148"/>
      <c r="ED14" s="148"/>
      <c r="EE14" s="148"/>
      <c r="EF14" s="148"/>
      <c r="EG14" s="148"/>
      <c r="EH14" s="148"/>
      <c r="EI14" s="148"/>
      <c r="EJ14" s="148"/>
      <c r="EK14" s="148"/>
      <c r="EL14" s="148"/>
      <c r="EM14" s="148"/>
      <c r="EN14" s="148"/>
      <c r="EO14" s="148"/>
      <c r="EP14" s="148"/>
      <c r="EQ14" s="148"/>
      <c r="ER14" s="148"/>
      <c r="ES14" s="148"/>
      <c r="ET14" s="148"/>
      <c r="EU14" s="148"/>
      <c r="EV14" s="148"/>
      <c r="EW14" s="148"/>
      <c r="EX14" s="148"/>
      <c r="EY14" s="148"/>
      <c r="EZ14" s="148"/>
      <c r="FA14" s="148"/>
      <c r="FB14" s="148"/>
      <c r="FC14" s="148"/>
      <c r="FD14" s="148"/>
      <c r="FE14" s="148"/>
      <c r="FF14" s="148"/>
      <c r="FG14" s="148"/>
      <c r="FH14" s="148"/>
      <c r="FI14" s="148"/>
      <c r="FJ14" s="148"/>
      <c r="FK14" s="148"/>
      <c r="FL14" s="148"/>
      <c r="FM14" s="148"/>
      <c r="FN14" s="148"/>
    </row>
    <row r="15" spans="1:170">
      <c r="A15" s="171" t="s">
        <v>18</v>
      </c>
      <c r="B15" s="159">
        <v>229775</v>
      </c>
      <c r="C15" s="158">
        <v>11</v>
      </c>
      <c r="D15" s="167"/>
      <c r="E15" s="190"/>
      <c r="F15" s="177">
        <v>270000</v>
      </c>
      <c r="G15" s="18" t="str">
        <f t="shared" si="48"/>
        <v/>
      </c>
      <c r="H15" s="195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148"/>
      <c r="AQ15" s="148"/>
      <c r="AR15" s="148"/>
      <c r="AS15" s="148"/>
      <c r="AT15" s="148"/>
      <c r="AU15" s="148"/>
      <c r="AV15" s="148"/>
      <c r="AW15" s="148"/>
      <c r="AX15" s="148"/>
      <c r="AY15" s="148"/>
      <c r="AZ15" s="148"/>
      <c r="BA15" s="148"/>
      <c r="BB15" s="148"/>
      <c r="BC15" s="148"/>
      <c r="BD15" s="148"/>
      <c r="BE15" s="148"/>
      <c r="BF15" s="148"/>
      <c r="BG15" s="148"/>
      <c r="BH15" s="148"/>
      <c r="BI15" s="148"/>
      <c r="BJ15" s="148"/>
      <c r="BK15" s="148"/>
      <c r="BL15" s="148"/>
      <c r="BM15" s="148"/>
      <c r="BN15" s="148"/>
      <c r="BO15" s="148"/>
      <c r="BP15" s="148"/>
      <c r="BQ15" s="148"/>
      <c r="BR15" s="148"/>
      <c r="BS15" s="148"/>
      <c r="BT15" s="148"/>
      <c r="BU15" s="148"/>
      <c r="BV15" s="148"/>
      <c r="BW15" s="148"/>
      <c r="BX15" s="148"/>
      <c r="BY15" s="148"/>
      <c r="BZ15" s="148"/>
      <c r="CA15" s="148"/>
      <c r="CB15" s="148"/>
      <c r="CC15" s="148"/>
      <c r="CD15" s="148"/>
      <c r="CE15" s="148"/>
      <c r="CF15" s="148"/>
      <c r="CG15" s="148"/>
      <c r="CH15" s="148"/>
      <c r="CI15" s="148"/>
      <c r="CJ15" s="148"/>
      <c r="CK15" s="148"/>
      <c r="CL15" s="148"/>
      <c r="CM15" s="148"/>
      <c r="CN15" s="148"/>
      <c r="CO15" s="148"/>
      <c r="CP15" s="148"/>
      <c r="CQ15" s="148"/>
      <c r="CR15" s="148"/>
      <c r="CS15" s="148"/>
      <c r="CT15" s="148"/>
      <c r="CU15" s="148"/>
      <c r="CV15" s="148"/>
      <c r="CW15" s="148"/>
      <c r="CX15" s="148"/>
      <c r="CY15" s="148"/>
      <c r="CZ15" s="148"/>
      <c r="DA15" s="148"/>
      <c r="DB15" s="148"/>
      <c r="DC15" s="148"/>
      <c r="DD15" s="148"/>
      <c r="DE15" s="148"/>
      <c r="DF15" s="148"/>
      <c r="DG15" s="148"/>
      <c r="DH15" s="148"/>
      <c r="DI15" s="148"/>
      <c r="DJ15" s="148"/>
      <c r="DK15" s="148"/>
      <c r="DL15" s="148"/>
      <c r="DM15" s="148"/>
      <c r="DN15" s="148"/>
      <c r="DO15" s="148"/>
      <c r="DP15" s="148"/>
      <c r="DQ15" s="148"/>
      <c r="DR15" s="148"/>
      <c r="DS15" s="148"/>
      <c r="DT15" s="148"/>
      <c r="DU15" s="148"/>
      <c r="DV15" s="148"/>
      <c r="DW15" s="148"/>
      <c r="DX15" s="148"/>
      <c r="DY15" s="148"/>
      <c r="DZ15" s="148"/>
      <c r="EA15" s="148"/>
      <c r="EB15" s="148"/>
      <c r="EC15" s="148"/>
      <c r="ED15" s="148"/>
      <c r="EE15" s="148"/>
      <c r="EF15" s="148"/>
      <c r="EG15" s="148"/>
      <c r="EH15" s="148"/>
      <c r="EI15" s="148"/>
      <c r="EJ15" s="148"/>
      <c r="EK15" s="148"/>
      <c r="EL15" s="148"/>
      <c r="EM15" s="148"/>
      <c r="EN15" s="148"/>
      <c r="EO15" s="148"/>
      <c r="EP15" s="148"/>
      <c r="EQ15" s="148"/>
      <c r="ER15" s="148"/>
      <c r="ES15" s="148"/>
      <c r="ET15" s="148"/>
      <c r="EU15" s="148"/>
      <c r="EV15" s="148"/>
      <c r="EW15" s="148"/>
      <c r="EX15" s="148"/>
      <c r="EY15" s="148"/>
      <c r="EZ15" s="148"/>
      <c r="FA15" s="148"/>
      <c r="FB15" s="148"/>
      <c r="FC15" s="148"/>
      <c r="FD15" s="148"/>
      <c r="FE15" s="148"/>
      <c r="FF15" s="148"/>
      <c r="FG15" s="148"/>
      <c r="FH15" s="148"/>
      <c r="FI15" s="148"/>
      <c r="FJ15" s="148"/>
      <c r="FK15" s="148"/>
      <c r="FL15" s="148"/>
      <c r="FM15" s="148"/>
      <c r="FN15" s="148"/>
    </row>
    <row r="16" spans="1:170">
      <c r="A16" s="171" t="s">
        <v>19</v>
      </c>
      <c r="B16" s="159">
        <v>124055</v>
      </c>
      <c r="C16" s="158">
        <v>9</v>
      </c>
      <c r="D16" s="167"/>
      <c r="E16" s="190"/>
      <c r="F16" s="177">
        <v>145000</v>
      </c>
      <c r="G16" s="18" t="str">
        <f t="shared" si="48"/>
        <v/>
      </c>
      <c r="H16" s="195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148"/>
      <c r="AQ16" s="148"/>
      <c r="AR16" s="148"/>
      <c r="AS16" s="148"/>
      <c r="AT16" s="148"/>
      <c r="AU16" s="148"/>
      <c r="AV16" s="148"/>
      <c r="AW16" s="148"/>
      <c r="AX16" s="148"/>
      <c r="AY16" s="148"/>
      <c r="AZ16" s="148"/>
      <c r="BA16" s="148"/>
      <c r="BB16" s="148"/>
      <c r="BC16" s="148"/>
      <c r="BD16" s="148"/>
      <c r="BE16" s="148"/>
      <c r="BF16" s="148"/>
      <c r="BG16" s="148"/>
      <c r="BH16" s="148"/>
      <c r="BI16" s="148"/>
      <c r="BJ16" s="148"/>
      <c r="BK16" s="148"/>
      <c r="BL16" s="148"/>
      <c r="BM16" s="148"/>
      <c r="BN16" s="148"/>
      <c r="BO16" s="148"/>
      <c r="BP16" s="148"/>
      <c r="BQ16" s="148"/>
      <c r="BR16" s="148"/>
      <c r="BS16" s="148"/>
      <c r="BT16" s="148"/>
      <c r="BU16" s="148"/>
      <c r="BV16" s="148"/>
      <c r="BW16" s="148"/>
      <c r="BX16" s="148"/>
      <c r="BY16" s="148"/>
      <c r="BZ16" s="148"/>
      <c r="CA16" s="148"/>
      <c r="CB16" s="148"/>
      <c r="CC16" s="148"/>
      <c r="CD16" s="148"/>
      <c r="CE16" s="148"/>
      <c r="CF16" s="148"/>
      <c r="CG16" s="148"/>
      <c r="CH16" s="148"/>
      <c r="CI16" s="148"/>
      <c r="CJ16" s="148"/>
      <c r="CK16" s="148"/>
      <c r="CL16" s="148"/>
      <c r="CM16" s="148"/>
      <c r="CN16" s="148"/>
      <c r="CO16" s="148"/>
      <c r="CP16" s="148"/>
      <c r="CQ16" s="148"/>
      <c r="CR16" s="148"/>
      <c r="CS16" s="148"/>
      <c r="CT16" s="148"/>
      <c r="CU16" s="148"/>
      <c r="CV16" s="148"/>
      <c r="CW16" s="148"/>
      <c r="CX16" s="148"/>
      <c r="CY16" s="148"/>
      <c r="CZ16" s="148"/>
      <c r="DA16" s="148"/>
      <c r="DB16" s="148"/>
      <c r="DC16" s="148"/>
      <c r="DD16" s="148"/>
      <c r="DE16" s="148"/>
      <c r="DF16" s="148"/>
      <c r="DG16" s="148"/>
      <c r="DH16" s="148"/>
      <c r="DI16" s="148"/>
      <c r="DJ16" s="148"/>
      <c r="DK16" s="148"/>
      <c r="DL16" s="148"/>
      <c r="DM16" s="148"/>
      <c r="DN16" s="148"/>
      <c r="DO16" s="148"/>
      <c r="DP16" s="148"/>
      <c r="DQ16" s="148"/>
      <c r="DR16" s="148"/>
      <c r="DS16" s="148"/>
      <c r="DT16" s="148"/>
      <c r="DU16" s="148"/>
      <c r="DV16" s="148"/>
      <c r="DW16" s="148"/>
      <c r="DX16" s="148"/>
      <c r="DY16" s="148"/>
      <c r="DZ16" s="148"/>
      <c r="EA16" s="148"/>
      <c r="EB16" s="148"/>
      <c r="EC16" s="148"/>
      <c r="ED16" s="148"/>
      <c r="EE16" s="148"/>
      <c r="EF16" s="148"/>
      <c r="EG16" s="148"/>
      <c r="EH16" s="148"/>
      <c r="EI16" s="148"/>
      <c r="EJ16" s="148"/>
      <c r="EK16" s="148"/>
      <c r="EL16" s="148"/>
      <c r="EM16" s="148"/>
      <c r="EN16" s="148"/>
      <c r="EO16" s="148"/>
      <c r="EP16" s="148"/>
      <c r="EQ16" s="148"/>
      <c r="ER16" s="148"/>
      <c r="ES16" s="148"/>
      <c r="ET16" s="148"/>
      <c r="EU16" s="148"/>
      <c r="EV16" s="148"/>
      <c r="EW16" s="148"/>
      <c r="EX16" s="148"/>
      <c r="EY16" s="148"/>
      <c r="EZ16" s="148"/>
      <c r="FA16" s="148"/>
      <c r="FB16" s="148"/>
      <c r="FC16" s="148"/>
      <c r="FD16" s="148"/>
      <c r="FE16" s="148"/>
      <c r="FF16" s="148"/>
      <c r="FG16" s="148"/>
      <c r="FH16" s="148"/>
      <c r="FI16" s="148"/>
      <c r="FJ16" s="148"/>
      <c r="FK16" s="148"/>
      <c r="FL16" s="148"/>
      <c r="FM16" s="148"/>
      <c r="FN16" s="148"/>
    </row>
    <row r="17" spans="1:170">
      <c r="A17" s="171" t="s">
        <v>20</v>
      </c>
      <c r="B17" s="156">
        <v>122682</v>
      </c>
      <c r="C17" s="158">
        <v>9</v>
      </c>
      <c r="D17" s="167"/>
      <c r="E17" s="190"/>
      <c r="F17" s="177">
        <v>145000</v>
      </c>
      <c r="G17" s="18" t="str">
        <f t="shared" si="48"/>
        <v/>
      </c>
      <c r="H17" s="195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139"/>
      <c r="AN17" s="139"/>
      <c r="AO17" s="139"/>
      <c r="AP17" s="139"/>
      <c r="AQ17" s="139"/>
      <c r="AR17" s="139"/>
      <c r="AS17" s="139"/>
      <c r="AT17" s="139"/>
      <c r="AU17" s="139"/>
      <c r="AV17" s="139"/>
      <c r="AW17" s="139"/>
      <c r="AX17" s="139"/>
      <c r="AY17" s="139"/>
      <c r="AZ17" s="139"/>
      <c r="BA17" s="139"/>
      <c r="BB17" s="139"/>
      <c r="BC17" s="139"/>
      <c r="BD17" s="139"/>
      <c r="BE17" s="139"/>
      <c r="BF17" s="139"/>
      <c r="BG17" s="139"/>
      <c r="BH17" s="139"/>
      <c r="BI17" s="139"/>
      <c r="BJ17" s="139"/>
      <c r="BK17" s="139"/>
      <c r="BL17" s="139"/>
      <c r="BM17" s="139"/>
      <c r="BN17" s="139"/>
      <c r="BO17" s="139"/>
      <c r="BP17" s="139"/>
      <c r="BQ17" s="139"/>
      <c r="BR17" s="139"/>
      <c r="BS17" s="139"/>
      <c r="BT17" s="139"/>
      <c r="BU17" s="139"/>
      <c r="BV17" s="139"/>
      <c r="BW17" s="139"/>
      <c r="BX17" s="139"/>
      <c r="BY17" s="139"/>
      <c r="BZ17" s="139"/>
      <c r="CA17" s="139"/>
      <c r="CB17" s="139"/>
      <c r="CC17" s="139"/>
      <c r="CD17" s="139"/>
      <c r="CE17" s="139"/>
      <c r="CF17" s="139"/>
      <c r="CG17" s="139"/>
      <c r="CH17" s="139"/>
      <c r="CI17" s="139"/>
      <c r="CJ17" s="139"/>
      <c r="CK17" s="139"/>
      <c r="CL17" s="139"/>
      <c r="CM17" s="139"/>
      <c r="CN17" s="139"/>
      <c r="CO17" s="139"/>
      <c r="CP17" s="139"/>
      <c r="CQ17" s="139"/>
      <c r="CR17" s="139"/>
      <c r="CS17" s="139"/>
      <c r="CT17" s="139"/>
      <c r="CU17" s="139"/>
      <c r="CV17" s="139"/>
      <c r="CW17" s="139"/>
      <c r="CX17" s="139"/>
      <c r="CY17" s="139"/>
      <c r="CZ17" s="139"/>
      <c r="DA17" s="139"/>
      <c r="DB17" s="139"/>
      <c r="DC17" s="139"/>
      <c r="DD17" s="139"/>
      <c r="DE17" s="139"/>
      <c r="DF17" s="139"/>
      <c r="DG17" s="139"/>
      <c r="DH17" s="139"/>
      <c r="DI17" s="139"/>
      <c r="DJ17" s="139"/>
      <c r="DK17" s="139"/>
      <c r="DL17" s="139"/>
      <c r="DM17" s="139"/>
      <c r="DN17" s="139"/>
      <c r="DO17" s="139"/>
      <c r="DP17" s="139"/>
      <c r="DQ17" s="139"/>
      <c r="DR17" s="139"/>
      <c r="DS17" s="139"/>
      <c r="DT17" s="139"/>
      <c r="DU17" s="139"/>
      <c r="DV17" s="139"/>
      <c r="DW17" s="139"/>
      <c r="DX17" s="139"/>
      <c r="DY17" s="139"/>
      <c r="DZ17" s="139"/>
      <c r="EA17" s="139"/>
      <c r="EB17" s="139"/>
      <c r="EC17" s="139"/>
      <c r="ED17" s="139"/>
      <c r="EE17" s="139"/>
      <c r="EF17" s="139"/>
      <c r="EG17" s="139"/>
      <c r="EH17" s="139"/>
      <c r="EI17" s="139"/>
      <c r="EJ17" s="139"/>
      <c r="EK17" s="139"/>
      <c r="EL17" s="139"/>
      <c r="EM17" s="139"/>
      <c r="EN17" s="139"/>
      <c r="EO17" s="139"/>
      <c r="EP17" s="139"/>
      <c r="EQ17" s="139"/>
      <c r="ER17" s="139"/>
      <c r="ES17" s="139"/>
      <c r="ET17" s="139"/>
      <c r="EU17" s="139"/>
      <c r="EV17" s="139"/>
      <c r="EW17" s="139"/>
      <c r="EX17" s="139"/>
      <c r="EY17" s="139"/>
      <c r="EZ17" s="139"/>
      <c r="FA17" s="139"/>
      <c r="FB17" s="139"/>
      <c r="FC17" s="139"/>
      <c r="FD17" s="139"/>
      <c r="FE17" s="139"/>
      <c r="FF17" s="139"/>
      <c r="FG17" s="139"/>
      <c r="FH17" s="139"/>
      <c r="FI17" s="139"/>
      <c r="FJ17" s="139"/>
      <c r="FK17" s="139"/>
      <c r="FL17" s="139"/>
      <c r="FM17" s="139"/>
      <c r="FN17" s="139"/>
    </row>
    <row r="18" spans="1:170">
      <c r="A18" s="171" t="s">
        <v>21</v>
      </c>
      <c r="B18" s="159">
        <v>182723</v>
      </c>
      <c r="C18" s="158">
        <v>11</v>
      </c>
      <c r="D18" s="167"/>
      <c r="E18" s="190"/>
      <c r="F18" s="177">
        <v>215000</v>
      </c>
      <c r="G18" s="18" t="str">
        <f t="shared" si="48"/>
        <v/>
      </c>
      <c r="H18" s="195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  <c r="AM18" s="139"/>
      <c r="AN18" s="139"/>
      <c r="AO18" s="139"/>
      <c r="AP18" s="139"/>
      <c r="AQ18" s="139"/>
      <c r="AR18" s="139"/>
      <c r="AS18" s="139"/>
      <c r="AT18" s="139"/>
      <c r="AU18" s="139"/>
      <c r="AV18" s="139"/>
      <c r="AW18" s="139"/>
      <c r="AX18" s="139"/>
      <c r="AY18" s="139"/>
      <c r="AZ18" s="139"/>
      <c r="BA18" s="139"/>
      <c r="BB18" s="139"/>
      <c r="BC18" s="139"/>
      <c r="BD18" s="139"/>
      <c r="BE18" s="139"/>
      <c r="BF18" s="139"/>
      <c r="BG18" s="139"/>
      <c r="BH18" s="139"/>
      <c r="BI18" s="139"/>
      <c r="BJ18" s="139"/>
      <c r="BK18" s="139"/>
      <c r="BL18" s="139"/>
      <c r="BM18" s="139"/>
      <c r="BN18" s="139"/>
      <c r="BO18" s="139"/>
      <c r="BP18" s="139"/>
      <c r="BQ18" s="139"/>
      <c r="BR18" s="139"/>
      <c r="BS18" s="139"/>
      <c r="BT18" s="139"/>
      <c r="BU18" s="139"/>
      <c r="BV18" s="139"/>
      <c r="BW18" s="139"/>
      <c r="BX18" s="139"/>
      <c r="BY18" s="139"/>
      <c r="BZ18" s="139"/>
      <c r="CA18" s="139"/>
      <c r="CB18" s="139"/>
      <c r="CC18" s="139"/>
      <c r="CD18" s="139"/>
      <c r="CE18" s="139"/>
      <c r="CF18" s="139"/>
      <c r="CG18" s="139"/>
      <c r="CH18" s="139"/>
      <c r="CI18" s="139"/>
      <c r="CJ18" s="139"/>
      <c r="CK18" s="139"/>
      <c r="CL18" s="139"/>
      <c r="CM18" s="139"/>
      <c r="CN18" s="139"/>
      <c r="CO18" s="139"/>
      <c r="CP18" s="139"/>
      <c r="CQ18" s="139"/>
      <c r="CR18" s="139"/>
      <c r="CS18" s="139"/>
      <c r="CT18" s="139"/>
      <c r="CU18" s="139"/>
      <c r="CV18" s="139"/>
      <c r="CW18" s="139"/>
      <c r="CX18" s="139"/>
      <c r="CY18" s="139"/>
      <c r="CZ18" s="139"/>
      <c r="DA18" s="139"/>
      <c r="DB18" s="139"/>
      <c r="DC18" s="139"/>
      <c r="DD18" s="139"/>
      <c r="DE18" s="139"/>
      <c r="DF18" s="139"/>
      <c r="DG18" s="139"/>
      <c r="DH18" s="139"/>
      <c r="DI18" s="139"/>
      <c r="DJ18" s="139"/>
      <c r="DK18" s="139"/>
      <c r="DL18" s="139"/>
      <c r="DM18" s="139"/>
      <c r="DN18" s="139"/>
      <c r="DO18" s="139"/>
      <c r="DP18" s="139"/>
      <c r="DQ18" s="139"/>
      <c r="DR18" s="139"/>
      <c r="DS18" s="139"/>
      <c r="DT18" s="139"/>
      <c r="DU18" s="139"/>
      <c r="DV18" s="139"/>
      <c r="DW18" s="139"/>
      <c r="DX18" s="139"/>
      <c r="DY18" s="139"/>
      <c r="DZ18" s="139"/>
      <c r="EA18" s="139"/>
      <c r="EB18" s="139"/>
      <c r="EC18" s="139"/>
      <c r="ED18" s="139"/>
      <c r="EE18" s="139"/>
      <c r="EF18" s="139"/>
      <c r="EG18" s="139"/>
      <c r="EH18" s="139"/>
      <c r="EI18" s="139"/>
      <c r="EJ18" s="139"/>
      <c r="EK18" s="139"/>
      <c r="EL18" s="139"/>
      <c r="EM18" s="139"/>
      <c r="EN18" s="139"/>
      <c r="EO18" s="139"/>
      <c r="EP18" s="139"/>
      <c r="EQ18" s="139"/>
      <c r="ER18" s="139"/>
      <c r="ES18" s="139"/>
      <c r="ET18" s="139"/>
      <c r="EU18" s="139"/>
      <c r="EV18" s="139"/>
      <c r="EW18" s="139"/>
      <c r="EX18" s="139"/>
      <c r="EY18" s="139"/>
      <c r="EZ18" s="139"/>
      <c r="FA18" s="139"/>
      <c r="FB18" s="139"/>
      <c r="FC18" s="139"/>
      <c r="FD18" s="139"/>
      <c r="FE18" s="139"/>
      <c r="FF18" s="139"/>
      <c r="FG18" s="139"/>
      <c r="FH18" s="139"/>
      <c r="FI18" s="139"/>
      <c r="FJ18" s="139"/>
      <c r="FK18" s="139"/>
      <c r="FL18" s="139"/>
      <c r="FM18" s="139"/>
      <c r="FN18" s="139"/>
    </row>
    <row r="19" spans="1:170">
      <c r="A19" s="171" t="s">
        <v>22</v>
      </c>
      <c r="B19" s="159">
        <v>30636</v>
      </c>
      <c r="C19" s="158">
        <v>2</v>
      </c>
      <c r="D19" s="167"/>
      <c r="E19" s="190"/>
      <c r="F19" s="177">
        <v>40000</v>
      </c>
      <c r="G19" s="18" t="str">
        <f t="shared" si="48"/>
        <v/>
      </c>
      <c r="H19" s="195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139"/>
      <c r="AL19" s="139"/>
      <c r="AM19" s="139"/>
      <c r="AN19" s="139"/>
      <c r="AO19" s="139"/>
      <c r="AP19" s="139"/>
      <c r="AQ19" s="139"/>
      <c r="AR19" s="139"/>
      <c r="AS19" s="139"/>
      <c r="AT19" s="139"/>
      <c r="AU19" s="139"/>
      <c r="AV19" s="139"/>
      <c r="AW19" s="139"/>
      <c r="AX19" s="139"/>
      <c r="AY19" s="139"/>
      <c r="AZ19" s="139"/>
      <c r="BA19" s="139"/>
      <c r="BB19" s="139"/>
      <c r="BC19" s="139"/>
      <c r="BD19" s="139"/>
      <c r="BE19" s="139"/>
      <c r="BF19" s="139"/>
      <c r="BG19" s="139"/>
      <c r="BH19" s="139"/>
      <c r="BI19" s="139"/>
      <c r="BJ19" s="139"/>
      <c r="BK19" s="139"/>
      <c r="BL19" s="139"/>
      <c r="BM19" s="139"/>
      <c r="BN19" s="139"/>
      <c r="BO19" s="139"/>
      <c r="BP19" s="139"/>
      <c r="BQ19" s="139"/>
      <c r="BR19" s="139"/>
      <c r="BS19" s="139"/>
      <c r="BT19" s="139"/>
      <c r="BU19" s="139"/>
      <c r="BV19" s="139"/>
      <c r="BW19" s="139"/>
      <c r="BX19" s="139"/>
      <c r="BY19" s="139"/>
      <c r="BZ19" s="139"/>
      <c r="CA19" s="139"/>
      <c r="CB19" s="139"/>
      <c r="CC19" s="139"/>
      <c r="CD19" s="139"/>
      <c r="CE19" s="139"/>
      <c r="CF19" s="139"/>
      <c r="CG19" s="139"/>
      <c r="CH19" s="139"/>
      <c r="CI19" s="139"/>
      <c r="CJ19" s="139"/>
      <c r="CK19" s="139"/>
      <c r="CL19" s="139"/>
      <c r="CM19" s="139"/>
      <c r="CN19" s="139"/>
      <c r="CO19" s="139"/>
      <c r="CP19" s="139"/>
      <c r="CQ19" s="139"/>
      <c r="CR19" s="139"/>
      <c r="CS19" s="139"/>
      <c r="CT19" s="139"/>
      <c r="CU19" s="139"/>
      <c r="CV19" s="139"/>
      <c r="CW19" s="139"/>
      <c r="CX19" s="139"/>
      <c r="CY19" s="139"/>
      <c r="CZ19" s="139"/>
      <c r="DA19" s="139"/>
      <c r="DB19" s="139"/>
      <c r="DC19" s="139"/>
      <c r="DD19" s="139"/>
      <c r="DE19" s="139"/>
      <c r="DF19" s="139"/>
      <c r="DG19" s="139"/>
      <c r="DH19" s="139"/>
      <c r="DI19" s="139"/>
      <c r="DJ19" s="139"/>
      <c r="DK19" s="139"/>
      <c r="DL19" s="139"/>
      <c r="DM19" s="139"/>
      <c r="DN19" s="139"/>
      <c r="DO19" s="139"/>
      <c r="DP19" s="139"/>
      <c r="DQ19" s="139"/>
      <c r="DR19" s="139"/>
      <c r="DS19" s="139"/>
      <c r="DT19" s="139"/>
      <c r="DU19" s="139"/>
      <c r="DV19" s="139"/>
      <c r="DW19" s="139"/>
      <c r="DX19" s="139"/>
      <c r="DY19" s="139"/>
      <c r="DZ19" s="139"/>
      <c r="EA19" s="139"/>
      <c r="EB19" s="139"/>
      <c r="EC19" s="139"/>
      <c r="ED19" s="139"/>
      <c r="EE19" s="139"/>
      <c r="EF19" s="139"/>
      <c r="EG19" s="139"/>
      <c r="EH19" s="139"/>
      <c r="EI19" s="139"/>
      <c r="EJ19" s="139"/>
      <c r="EK19" s="139"/>
      <c r="EL19" s="139"/>
      <c r="EM19" s="139"/>
      <c r="EN19" s="139"/>
      <c r="EO19" s="139"/>
      <c r="EP19" s="139"/>
      <c r="EQ19" s="139"/>
      <c r="ER19" s="139"/>
      <c r="ES19" s="139"/>
      <c r="ET19" s="139"/>
      <c r="EU19" s="139"/>
      <c r="EV19" s="139"/>
      <c r="EW19" s="139"/>
      <c r="EX19" s="139"/>
      <c r="EY19" s="139"/>
      <c r="EZ19" s="139"/>
      <c r="FA19" s="139"/>
      <c r="FB19" s="139"/>
      <c r="FC19" s="139"/>
      <c r="FD19" s="139"/>
      <c r="FE19" s="139"/>
      <c r="FF19" s="139"/>
      <c r="FG19" s="139"/>
      <c r="FH19" s="139"/>
      <c r="FI19" s="139"/>
      <c r="FJ19" s="139"/>
      <c r="FK19" s="139"/>
      <c r="FL19" s="139"/>
      <c r="FM19" s="139"/>
      <c r="FN19" s="139"/>
    </row>
    <row r="20" spans="1:170">
      <c r="A20" s="171" t="s">
        <v>23</v>
      </c>
      <c r="B20" s="159">
        <v>80814</v>
      </c>
      <c r="C20" s="158">
        <v>6</v>
      </c>
      <c r="D20" s="167"/>
      <c r="E20" s="190"/>
      <c r="F20" s="177">
        <v>95000</v>
      </c>
      <c r="G20" s="18" t="str">
        <f t="shared" si="48"/>
        <v/>
      </c>
      <c r="H20" s="195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139"/>
      <c r="AN20" s="139"/>
      <c r="AO20" s="139"/>
      <c r="AP20" s="139"/>
      <c r="AQ20" s="139"/>
      <c r="AR20" s="139"/>
      <c r="AS20" s="139"/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39"/>
      <c r="BE20" s="139"/>
      <c r="BF20" s="139"/>
      <c r="BG20" s="139"/>
      <c r="BH20" s="139"/>
      <c r="BI20" s="139"/>
      <c r="BJ20" s="139"/>
      <c r="BK20" s="139"/>
      <c r="BL20" s="139"/>
      <c r="BM20" s="139"/>
      <c r="BN20" s="139"/>
      <c r="BO20" s="139"/>
      <c r="BP20" s="139"/>
      <c r="BQ20" s="139"/>
      <c r="BR20" s="139"/>
      <c r="BS20" s="139"/>
      <c r="BT20" s="139"/>
      <c r="BU20" s="139"/>
      <c r="BV20" s="139"/>
      <c r="BW20" s="139"/>
      <c r="BX20" s="139"/>
      <c r="BY20" s="139"/>
      <c r="BZ20" s="139"/>
      <c r="CA20" s="139"/>
      <c r="CB20" s="139"/>
      <c r="CC20" s="139"/>
      <c r="CD20" s="139"/>
      <c r="CE20" s="139"/>
      <c r="CF20" s="139"/>
      <c r="CG20" s="139"/>
      <c r="CH20" s="139"/>
      <c r="CI20" s="139"/>
      <c r="CJ20" s="139"/>
      <c r="CK20" s="139"/>
      <c r="CL20" s="139"/>
      <c r="CM20" s="139"/>
      <c r="CN20" s="139"/>
      <c r="CO20" s="139"/>
      <c r="CP20" s="139"/>
      <c r="CQ20" s="139"/>
      <c r="CR20" s="139"/>
      <c r="CS20" s="139"/>
      <c r="CT20" s="139"/>
      <c r="CU20" s="139"/>
      <c r="CV20" s="139"/>
      <c r="CW20" s="139"/>
      <c r="CX20" s="139"/>
      <c r="CY20" s="139"/>
      <c r="CZ20" s="139"/>
      <c r="DA20" s="139"/>
      <c r="DB20" s="139"/>
      <c r="DC20" s="139"/>
      <c r="DD20" s="139"/>
      <c r="DE20" s="139"/>
      <c r="DF20" s="139"/>
      <c r="DG20" s="139"/>
      <c r="DH20" s="139"/>
      <c r="DI20" s="139"/>
      <c r="DJ20" s="139"/>
      <c r="DK20" s="139"/>
      <c r="DL20" s="139"/>
      <c r="DM20" s="139"/>
      <c r="DN20" s="139"/>
      <c r="DO20" s="139"/>
      <c r="DP20" s="139"/>
      <c r="DQ20" s="139"/>
      <c r="DR20" s="139"/>
      <c r="DS20" s="139"/>
      <c r="DT20" s="139"/>
      <c r="DU20" s="139"/>
      <c r="DV20" s="139"/>
      <c r="DW20" s="139"/>
      <c r="DX20" s="139"/>
      <c r="DY20" s="139"/>
      <c r="DZ20" s="139"/>
      <c r="EA20" s="139"/>
      <c r="EB20" s="139"/>
      <c r="EC20" s="139"/>
      <c r="ED20" s="139"/>
      <c r="EE20" s="139"/>
      <c r="EF20" s="139"/>
      <c r="EG20" s="139"/>
      <c r="EH20" s="139"/>
      <c r="EI20" s="139"/>
      <c r="EJ20" s="139"/>
      <c r="EK20" s="139"/>
      <c r="EL20" s="139"/>
      <c r="EM20" s="139"/>
      <c r="EN20" s="139"/>
      <c r="EO20" s="139"/>
      <c r="EP20" s="139"/>
      <c r="EQ20" s="139"/>
      <c r="ER20" s="139"/>
      <c r="ES20" s="139"/>
      <c r="ET20" s="139"/>
      <c r="EU20" s="139"/>
      <c r="EV20" s="139"/>
      <c r="EW20" s="139"/>
      <c r="EX20" s="139"/>
      <c r="EY20" s="139"/>
      <c r="EZ20" s="139"/>
      <c r="FA20" s="139"/>
      <c r="FB20" s="139"/>
      <c r="FC20" s="139"/>
      <c r="FD20" s="139"/>
      <c r="FE20" s="139"/>
      <c r="FF20" s="139"/>
      <c r="FG20" s="139"/>
      <c r="FH20" s="139"/>
      <c r="FI20" s="139"/>
      <c r="FJ20" s="139"/>
      <c r="FK20" s="139"/>
      <c r="FL20" s="139"/>
      <c r="FM20" s="139"/>
      <c r="FN20" s="139"/>
    </row>
    <row r="21" spans="1:170">
      <c r="A21" s="171" t="s">
        <v>24</v>
      </c>
      <c r="B21" s="159">
        <v>214969</v>
      </c>
      <c r="C21" s="158">
        <v>12</v>
      </c>
      <c r="D21" s="167"/>
      <c r="E21" s="190"/>
      <c r="F21" s="177">
        <v>255000</v>
      </c>
      <c r="G21" s="18" t="str">
        <f t="shared" si="48"/>
        <v/>
      </c>
      <c r="H21" s="195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139"/>
      <c r="AN21" s="139"/>
      <c r="AO21" s="139"/>
      <c r="AP21" s="139"/>
      <c r="AQ21" s="139"/>
      <c r="AR21" s="139"/>
      <c r="AS21" s="139"/>
      <c r="AT21" s="139"/>
      <c r="AU21" s="139"/>
      <c r="AV21" s="139"/>
      <c r="AW21" s="139"/>
      <c r="AX21" s="139"/>
      <c r="AY21" s="139"/>
      <c r="AZ21" s="139"/>
      <c r="BA21" s="139"/>
      <c r="BB21" s="139"/>
      <c r="BC21" s="139"/>
      <c r="BD21" s="139"/>
      <c r="BE21" s="139"/>
      <c r="BF21" s="139"/>
      <c r="BG21" s="139"/>
      <c r="BH21" s="139"/>
      <c r="BI21" s="139"/>
      <c r="BJ21" s="139"/>
      <c r="BK21" s="139"/>
      <c r="BL21" s="139"/>
      <c r="BM21" s="139"/>
      <c r="BN21" s="139"/>
      <c r="BO21" s="139"/>
      <c r="BP21" s="139"/>
      <c r="BQ21" s="139"/>
      <c r="BR21" s="139"/>
      <c r="BS21" s="139"/>
      <c r="BT21" s="139"/>
      <c r="BU21" s="139"/>
      <c r="BV21" s="139"/>
      <c r="BW21" s="139"/>
      <c r="BX21" s="139"/>
      <c r="BY21" s="139"/>
      <c r="BZ21" s="139"/>
      <c r="CA21" s="139"/>
      <c r="CB21" s="139"/>
      <c r="CC21" s="139"/>
      <c r="CD21" s="139"/>
      <c r="CE21" s="139"/>
      <c r="CF21" s="139"/>
      <c r="CG21" s="139"/>
      <c r="CH21" s="139"/>
      <c r="CI21" s="139"/>
      <c r="CJ21" s="139"/>
      <c r="CK21" s="139"/>
      <c r="CL21" s="139"/>
      <c r="CM21" s="139"/>
      <c r="CN21" s="139"/>
      <c r="CO21" s="139"/>
      <c r="CP21" s="139"/>
      <c r="CQ21" s="139"/>
      <c r="CR21" s="139"/>
      <c r="CS21" s="139"/>
      <c r="CT21" s="139"/>
      <c r="CU21" s="139"/>
      <c r="CV21" s="139"/>
      <c r="CW21" s="139"/>
      <c r="CX21" s="139"/>
      <c r="CY21" s="139"/>
      <c r="CZ21" s="139"/>
      <c r="DA21" s="139"/>
      <c r="DB21" s="139"/>
      <c r="DC21" s="139"/>
      <c r="DD21" s="139"/>
      <c r="DE21" s="139"/>
      <c r="DF21" s="139"/>
      <c r="DG21" s="139"/>
      <c r="DH21" s="139"/>
      <c r="DI21" s="139"/>
      <c r="DJ21" s="139"/>
      <c r="DK21" s="139"/>
      <c r="DL21" s="139"/>
      <c r="DM21" s="139"/>
      <c r="DN21" s="139"/>
      <c r="DO21" s="139"/>
      <c r="DP21" s="139"/>
      <c r="DQ21" s="139"/>
      <c r="DR21" s="139"/>
      <c r="DS21" s="139"/>
      <c r="DT21" s="139"/>
      <c r="DU21" s="139"/>
      <c r="DV21" s="139"/>
      <c r="DW21" s="139"/>
      <c r="DX21" s="139"/>
      <c r="DY21" s="139"/>
      <c r="DZ21" s="139"/>
      <c r="EA21" s="139"/>
      <c r="EB21" s="139"/>
      <c r="EC21" s="139"/>
      <c r="ED21" s="139"/>
      <c r="EE21" s="139"/>
      <c r="EF21" s="139"/>
      <c r="EG21" s="139"/>
      <c r="EH21" s="139"/>
      <c r="EI21" s="139"/>
      <c r="EJ21" s="139"/>
      <c r="EK21" s="139"/>
      <c r="EL21" s="139"/>
      <c r="EM21" s="139"/>
      <c r="EN21" s="139"/>
      <c r="EO21" s="139"/>
      <c r="EP21" s="139"/>
      <c r="EQ21" s="139"/>
      <c r="ER21" s="139"/>
      <c r="ES21" s="139"/>
      <c r="ET21" s="139"/>
      <c r="EU21" s="139"/>
      <c r="EV21" s="139"/>
      <c r="EW21" s="139"/>
      <c r="EX21" s="139"/>
      <c r="EY21" s="139"/>
      <c r="EZ21" s="139"/>
      <c r="FA21" s="139"/>
      <c r="FB21" s="139"/>
      <c r="FC21" s="139"/>
      <c r="FD21" s="139"/>
      <c r="FE21" s="139"/>
      <c r="FF21" s="139"/>
      <c r="FG21" s="139"/>
      <c r="FH21" s="139"/>
      <c r="FI21" s="139"/>
      <c r="FJ21" s="139"/>
      <c r="FK21" s="139"/>
      <c r="FL21" s="139"/>
      <c r="FM21" s="139"/>
      <c r="FN21" s="139"/>
    </row>
    <row r="22" spans="1:170">
      <c r="A22" s="171" t="s">
        <v>25</v>
      </c>
      <c r="B22" s="159">
        <v>125138</v>
      </c>
      <c r="C22" s="158">
        <v>7</v>
      </c>
      <c r="D22" s="167"/>
      <c r="E22" s="190"/>
      <c r="F22" s="177">
        <v>150000</v>
      </c>
      <c r="G22" s="18" t="str">
        <f t="shared" si="48"/>
        <v/>
      </c>
      <c r="H22" s="195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Q22" s="139"/>
      <c r="AR22" s="139"/>
      <c r="AS22" s="139"/>
      <c r="AT22" s="139"/>
      <c r="AU22" s="139"/>
      <c r="AV22" s="139"/>
      <c r="AW22" s="139"/>
      <c r="AX22" s="139"/>
      <c r="AY22" s="139"/>
      <c r="AZ22" s="139"/>
      <c r="BA22" s="139"/>
      <c r="BB22" s="139"/>
      <c r="BC22" s="139"/>
      <c r="BD22" s="139"/>
      <c r="BE22" s="139"/>
      <c r="BF22" s="139"/>
      <c r="BG22" s="139"/>
      <c r="BH22" s="139"/>
      <c r="BI22" s="139"/>
      <c r="BJ22" s="139"/>
      <c r="BK22" s="139"/>
      <c r="BL22" s="139"/>
      <c r="BM22" s="139"/>
      <c r="BN22" s="139"/>
      <c r="BO22" s="139"/>
      <c r="BP22" s="139"/>
      <c r="BQ22" s="139"/>
      <c r="BR22" s="139"/>
      <c r="BS22" s="139"/>
      <c r="BT22" s="139"/>
      <c r="BU22" s="139"/>
      <c r="BV22" s="139"/>
      <c r="BW22" s="139"/>
      <c r="BX22" s="139"/>
      <c r="BY22" s="139"/>
      <c r="BZ22" s="139"/>
      <c r="CA22" s="139"/>
      <c r="CB22" s="139"/>
      <c r="CC22" s="139"/>
      <c r="CD22" s="139"/>
      <c r="CE22" s="139"/>
      <c r="CF22" s="139"/>
      <c r="CG22" s="139"/>
      <c r="CH22" s="139"/>
      <c r="CI22" s="139"/>
      <c r="CJ22" s="139"/>
      <c r="CK22" s="139"/>
      <c r="CL22" s="139"/>
      <c r="CM22" s="139"/>
      <c r="CN22" s="139"/>
      <c r="CO22" s="139"/>
      <c r="CP22" s="139"/>
      <c r="CQ22" s="139"/>
      <c r="CR22" s="139"/>
      <c r="CS22" s="139"/>
      <c r="CT22" s="139"/>
      <c r="CU22" s="139"/>
      <c r="CV22" s="139"/>
      <c r="CW22" s="139"/>
      <c r="CX22" s="139"/>
      <c r="CY22" s="139"/>
      <c r="CZ22" s="139"/>
      <c r="DA22" s="139"/>
      <c r="DB22" s="139"/>
      <c r="DC22" s="139"/>
      <c r="DD22" s="139"/>
      <c r="DE22" s="139"/>
      <c r="DF22" s="139"/>
      <c r="DG22" s="139"/>
      <c r="DH22" s="139"/>
      <c r="DI22" s="139"/>
      <c r="DJ22" s="139"/>
      <c r="DK22" s="139"/>
      <c r="DL22" s="139"/>
      <c r="DM22" s="139"/>
      <c r="DN22" s="139"/>
      <c r="DO22" s="139"/>
      <c r="DP22" s="139"/>
      <c r="DQ22" s="139"/>
      <c r="DR22" s="139"/>
      <c r="DS22" s="139"/>
      <c r="DT22" s="139"/>
      <c r="DU22" s="139"/>
      <c r="DV22" s="139"/>
      <c r="DW22" s="139"/>
      <c r="DX22" s="139"/>
      <c r="DY22" s="139"/>
      <c r="DZ22" s="139"/>
      <c r="EA22" s="139"/>
      <c r="EB22" s="139"/>
      <c r="EC22" s="139"/>
      <c r="ED22" s="139"/>
      <c r="EE22" s="139"/>
      <c r="EF22" s="139"/>
      <c r="EG22" s="139"/>
      <c r="EH22" s="139"/>
      <c r="EI22" s="139"/>
      <c r="EJ22" s="139"/>
      <c r="EK22" s="139"/>
      <c r="EL22" s="139"/>
      <c r="EM22" s="139"/>
      <c r="EN22" s="139"/>
      <c r="EO22" s="139"/>
      <c r="EP22" s="139"/>
      <c r="EQ22" s="139"/>
      <c r="ER22" s="139"/>
      <c r="ES22" s="139"/>
      <c r="ET22" s="139"/>
      <c r="EU22" s="139"/>
      <c r="EV22" s="139"/>
      <c r="EW22" s="139"/>
      <c r="EX22" s="139"/>
      <c r="EY22" s="139"/>
      <c r="EZ22" s="139"/>
      <c r="FA22" s="139"/>
      <c r="FB22" s="139"/>
      <c r="FC22" s="139"/>
      <c r="FD22" s="139"/>
      <c r="FE22" s="139"/>
      <c r="FF22" s="139"/>
      <c r="FG22" s="139"/>
      <c r="FH22" s="139"/>
      <c r="FI22" s="139"/>
      <c r="FJ22" s="139"/>
      <c r="FK22" s="139"/>
      <c r="FL22" s="139"/>
      <c r="FM22" s="139"/>
      <c r="FN22" s="139"/>
    </row>
    <row r="23" spans="1:170">
      <c r="A23" s="171" t="s">
        <v>26</v>
      </c>
      <c r="B23" s="159">
        <v>142805</v>
      </c>
      <c r="C23" s="157">
        <v>9</v>
      </c>
      <c r="D23" s="167"/>
      <c r="E23" s="190"/>
      <c r="F23" s="177">
        <v>170000</v>
      </c>
      <c r="G23" s="18" t="str">
        <f t="shared" si="48"/>
        <v/>
      </c>
      <c r="H23" s="195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139"/>
      <c r="AN23" s="139"/>
      <c r="AO23" s="139"/>
      <c r="AP23" s="139"/>
      <c r="AQ23" s="139"/>
      <c r="AR23" s="139"/>
      <c r="AS23" s="139"/>
      <c r="AT23" s="139"/>
      <c r="AU23" s="139"/>
      <c r="AV23" s="139"/>
      <c r="AW23" s="139"/>
      <c r="AX23" s="139"/>
      <c r="AY23" s="139"/>
      <c r="AZ23" s="139"/>
      <c r="BA23" s="139"/>
      <c r="BB23" s="139"/>
      <c r="BC23" s="139"/>
      <c r="BD23" s="139"/>
      <c r="BE23" s="139"/>
      <c r="BF23" s="139"/>
      <c r="BG23" s="139"/>
      <c r="BH23" s="139"/>
      <c r="BI23" s="139"/>
      <c r="BJ23" s="139"/>
      <c r="BK23" s="139"/>
      <c r="BL23" s="139"/>
      <c r="BM23" s="139"/>
      <c r="BN23" s="139"/>
      <c r="BO23" s="139"/>
      <c r="BP23" s="139"/>
      <c r="BQ23" s="139"/>
      <c r="BR23" s="139"/>
      <c r="BS23" s="139"/>
      <c r="BT23" s="139"/>
      <c r="BU23" s="139"/>
      <c r="BV23" s="139"/>
      <c r="BW23" s="139"/>
      <c r="BX23" s="139"/>
      <c r="BY23" s="139"/>
      <c r="BZ23" s="139"/>
      <c r="CA23" s="139"/>
      <c r="CB23" s="139"/>
      <c r="CC23" s="139"/>
      <c r="CD23" s="139"/>
      <c r="CE23" s="139"/>
      <c r="CF23" s="139"/>
      <c r="CG23" s="139"/>
      <c r="CH23" s="139"/>
      <c r="CI23" s="139"/>
      <c r="CJ23" s="139"/>
      <c r="CK23" s="139"/>
      <c r="CL23" s="139"/>
      <c r="CM23" s="139"/>
      <c r="CN23" s="139"/>
      <c r="CO23" s="139"/>
      <c r="CP23" s="139"/>
      <c r="CQ23" s="139"/>
      <c r="CR23" s="139"/>
      <c r="CS23" s="139"/>
      <c r="CT23" s="139"/>
      <c r="CU23" s="139"/>
      <c r="CV23" s="139"/>
      <c r="CW23" s="139"/>
      <c r="CX23" s="139"/>
      <c r="CY23" s="139"/>
      <c r="CZ23" s="139"/>
      <c r="DA23" s="139"/>
      <c r="DB23" s="139"/>
      <c r="DC23" s="139"/>
      <c r="DD23" s="139"/>
      <c r="DE23" s="139"/>
      <c r="DF23" s="139"/>
      <c r="DG23" s="139"/>
      <c r="DH23" s="139"/>
      <c r="DI23" s="139"/>
      <c r="DJ23" s="139"/>
      <c r="DK23" s="139"/>
      <c r="DL23" s="139"/>
      <c r="DM23" s="139"/>
      <c r="DN23" s="139"/>
      <c r="DO23" s="139"/>
      <c r="DP23" s="139"/>
      <c r="DQ23" s="139"/>
      <c r="DR23" s="139"/>
      <c r="DS23" s="139"/>
      <c r="DT23" s="139"/>
      <c r="DU23" s="139"/>
      <c r="DV23" s="139"/>
      <c r="DW23" s="139"/>
      <c r="DX23" s="139"/>
      <c r="DY23" s="139"/>
      <c r="DZ23" s="139"/>
      <c r="EA23" s="139"/>
      <c r="EB23" s="139"/>
      <c r="EC23" s="139"/>
      <c r="ED23" s="139"/>
      <c r="EE23" s="139"/>
      <c r="EF23" s="139"/>
      <c r="EG23" s="139"/>
      <c r="EH23" s="139"/>
      <c r="EI23" s="139"/>
      <c r="EJ23" s="139"/>
      <c r="EK23" s="139"/>
      <c r="EL23" s="139"/>
      <c r="EM23" s="139"/>
      <c r="EN23" s="139"/>
      <c r="EO23" s="139"/>
      <c r="EP23" s="139"/>
      <c r="EQ23" s="139"/>
      <c r="ER23" s="139"/>
      <c r="ES23" s="139"/>
      <c r="ET23" s="139"/>
      <c r="EU23" s="139"/>
      <c r="EV23" s="139"/>
      <c r="EW23" s="139"/>
      <c r="EX23" s="139"/>
      <c r="EY23" s="139"/>
      <c r="EZ23" s="139"/>
      <c r="FA23" s="139"/>
      <c r="FB23" s="139"/>
      <c r="FC23" s="139"/>
      <c r="FD23" s="139"/>
      <c r="FE23" s="139"/>
      <c r="FF23" s="139"/>
      <c r="FG23" s="139"/>
      <c r="FH23" s="139"/>
      <c r="FI23" s="139"/>
      <c r="FJ23" s="139"/>
      <c r="FK23" s="139"/>
      <c r="FL23" s="139"/>
      <c r="FM23" s="139"/>
      <c r="FN23" s="139"/>
    </row>
    <row r="24" spans="1:170" ht="15.75" thickBot="1">
      <c r="A24" s="171" t="s">
        <v>27</v>
      </c>
      <c r="B24" s="169">
        <v>160588</v>
      </c>
      <c r="C24" s="161">
        <v>11</v>
      </c>
      <c r="D24" s="168"/>
      <c r="E24" s="191"/>
      <c r="F24" s="192">
        <v>190000</v>
      </c>
      <c r="G24" s="193" t="str">
        <f t="shared" si="48"/>
        <v/>
      </c>
      <c r="H24" s="195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39"/>
      <c r="AN24" s="139"/>
      <c r="AO24" s="139"/>
      <c r="AP24" s="139"/>
      <c r="AQ24" s="139"/>
      <c r="AR24" s="139"/>
      <c r="AS24" s="139"/>
      <c r="AT24" s="139"/>
      <c r="AU24" s="139"/>
      <c r="AV24" s="139"/>
      <c r="AW24" s="139"/>
      <c r="AX24" s="139"/>
      <c r="AY24" s="139"/>
      <c r="AZ24" s="139"/>
      <c r="BA24" s="139"/>
      <c r="BB24" s="139"/>
      <c r="BC24" s="139"/>
      <c r="BD24" s="139"/>
      <c r="BE24" s="139"/>
      <c r="BF24" s="139"/>
      <c r="BG24" s="139"/>
      <c r="BH24" s="139"/>
      <c r="BI24" s="139"/>
      <c r="BJ24" s="139"/>
      <c r="BK24" s="139"/>
      <c r="BL24" s="139"/>
      <c r="BM24" s="139"/>
      <c r="BN24" s="139"/>
      <c r="BO24" s="139"/>
      <c r="BP24" s="139"/>
      <c r="BQ24" s="139"/>
      <c r="BR24" s="139"/>
      <c r="BS24" s="139"/>
      <c r="BT24" s="139"/>
      <c r="BU24" s="139"/>
      <c r="BV24" s="139"/>
      <c r="BW24" s="139"/>
      <c r="BX24" s="139"/>
      <c r="BY24" s="139"/>
      <c r="BZ24" s="139"/>
      <c r="CA24" s="139"/>
      <c r="CB24" s="139"/>
      <c r="CC24" s="139"/>
      <c r="CD24" s="139"/>
      <c r="CE24" s="139"/>
      <c r="CF24" s="139"/>
      <c r="CG24" s="139"/>
      <c r="CH24" s="139"/>
      <c r="CI24" s="139"/>
      <c r="CJ24" s="139"/>
      <c r="CK24" s="139"/>
      <c r="CL24" s="139"/>
      <c r="CM24" s="139"/>
      <c r="CN24" s="139"/>
      <c r="CO24" s="139"/>
      <c r="CP24" s="139"/>
      <c r="CQ24" s="139"/>
      <c r="CR24" s="139"/>
      <c r="CS24" s="139"/>
      <c r="CT24" s="139"/>
      <c r="CU24" s="139"/>
      <c r="CV24" s="139"/>
      <c r="CW24" s="139"/>
      <c r="CX24" s="139"/>
      <c r="CY24" s="139"/>
      <c r="CZ24" s="139"/>
      <c r="DA24" s="139"/>
      <c r="DB24" s="139"/>
      <c r="DC24" s="139"/>
      <c r="DD24" s="139"/>
      <c r="DE24" s="139"/>
      <c r="DF24" s="139"/>
      <c r="DG24" s="139"/>
      <c r="DH24" s="139"/>
      <c r="DI24" s="139"/>
      <c r="DJ24" s="139"/>
      <c r="DK24" s="139"/>
      <c r="DL24" s="139"/>
      <c r="DM24" s="139"/>
      <c r="DN24" s="139"/>
      <c r="DO24" s="139"/>
      <c r="DP24" s="139"/>
      <c r="DQ24" s="139"/>
      <c r="DR24" s="139"/>
      <c r="DS24" s="139"/>
      <c r="DT24" s="139"/>
      <c r="DU24" s="139"/>
      <c r="DV24" s="139"/>
      <c r="DW24" s="139"/>
      <c r="DX24" s="139"/>
      <c r="DY24" s="139"/>
      <c r="DZ24" s="139"/>
      <c r="EA24" s="139"/>
      <c r="EB24" s="139"/>
      <c r="EC24" s="139"/>
      <c r="ED24" s="139"/>
      <c r="EE24" s="139"/>
      <c r="EF24" s="139"/>
      <c r="EG24" s="139"/>
      <c r="EH24" s="139"/>
      <c r="EI24" s="139"/>
      <c r="EJ24" s="139"/>
      <c r="EK24" s="139"/>
      <c r="EL24" s="139"/>
      <c r="EM24" s="139"/>
      <c r="EN24" s="139"/>
      <c r="EO24" s="139"/>
      <c r="EP24" s="139"/>
      <c r="EQ24" s="139"/>
      <c r="ER24" s="139"/>
      <c r="ES24" s="139"/>
      <c r="ET24" s="139"/>
      <c r="EU24" s="139"/>
      <c r="EV24" s="139"/>
      <c r="EW24" s="139"/>
      <c r="EX24" s="139"/>
      <c r="EY24" s="139"/>
      <c r="EZ24" s="139"/>
      <c r="FA24" s="139"/>
      <c r="FB24" s="139"/>
      <c r="FC24" s="139"/>
      <c r="FD24" s="139"/>
      <c r="FE24" s="139"/>
      <c r="FF24" s="139"/>
      <c r="FG24" s="139"/>
      <c r="FH24" s="139"/>
      <c r="FI24" s="139"/>
      <c r="FJ24" s="139"/>
      <c r="FK24" s="139"/>
      <c r="FL24" s="139"/>
      <c r="FM24" s="139"/>
      <c r="FN24" s="139"/>
    </row>
    <row r="25" spans="1:170" ht="15.75" thickBot="1">
      <c r="A25" s="172"/>
      <c r="B25" s="180">
        <v>1560735</v>
      </c>
      <c r="C25" s="181">
        <v>96</v>
      </c>
      <c r="D25" s="182">
        <f>SUM(D13:D24)</f>
        <v>163973</v>
      </c>
      <c r="E25" s="26">
        <f>SUM(E13:E24)</f>
        <v>14</v>
      </c>
      <c r="F25" s="180">
        <f>SUM(F13:F24)</f>
        <v>1850000</v>
      </c>
      <c r="G25" s="188">
        <f t="shared" si="48"/>
        <v>-1686027</v>
      </c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3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39"/>
      <c r="AY25" s="139"/>
      <c r="AZ25" s="139"/>
      <c r="BA25" s="139"/>
      <c r="BB25" s="139"/>
      <c r="BC25" s="139"/>
      <c r="BD25" s="139"/>
      <c r="BE25" s="139"/>
      <c r="BF25" s="139"/>
      <c r="BG25" s="139"/>
      <c r="BH25" s="139"/>
      <c r="BI25" s="139"/>
      <c r="BJ25" s="139"/>
      <c r="BK25" s="139"/>
      <c r="BL25" s="139"/>
      <c r="BM25" s="139"/>
      <c r="BN25" s="139"/>
      <c r="BO25" s="139"/>
      <c r="BP25" s="139"/>
      <c r="BQ25" s="139"/>
      <c r="BR25" s="139"/>
      <c r="BS25" s="139"/>
      <c r="BT25" s="139"/>
      <c r="BU25" s="139"/>
      <c r="BV25" s="139"/>
      <c r="BW25" s="139"/>
      <c r="BX25" s="139"/>
      <c r="BY25" s="139"/>
      <c r="BZ25" s="139"/>
      <c r="CA25" s="139"/>
      <c r="CB25" s="139"/>
      <c r="CC25" s="139"/>
      <c r="CD25" s="139"/>
      <c r="CE25" s="139"/>
      <c r="CF25" s="139"/>
      <c r="CG25" s="139"/>
      <c r="CH25" s="139"/>
      <c r="CI25" s="139"/>
      <c r="CJ25" s="139"/>
      <c r="CK25" s="139"/>
      <c r="CL25" s="139"/>
      <c r="CM25" s="139"/>
      <c r="CN25" s="139"/>
      <c r="CO25" s="139"/>
      <c r="CP25" s="139"/>
      <c r="CQ25" s="139"/>
      <c r="CR25" s="139"/>
      <c r="CS25" s="139"/>
      <c r="CT25" s="139"/>
      <c r="CU25" s="139"/>
      <c r="CV25" s="139"/>
      <c r="CW25" s="139"/>
      <c r="CX25" s="139"/>
      <c r="CY25" s="139"/>
      <c r="CZ25" s="139"/>
      <c r="DA25" s="139"/>
      <c r="DB25" s="139"/>
      <c r="DC25" s="139"/>
      <c r="DD25" s="139"/>
      <c r="DE25" s="139"/>
      <c r="DF25" s="139"/>
      <c r="DG25" s="139"/>
      <c r="DH25" s="139"/>
      <c r="DI25" s="139"/>
      <c r="DJ25" s="139"/>
      <c r="DK25" s="139"/>
      <c r="DL25" s="139"/>
      <c r="DM25" s="139"/>
      <c r="DN25" s="139"/>
      <c r="DO25" s="139"/>
      <c r="DP25" s="139"/>
      <c r="DQ25" s="139"/>
      <c r="DR25" s="139"/>
      <c r="DS25" s="139"/>
      <c r="DT25" s="139"/>
      <c r="DU25" s="139"/>
      <c r="DV25" s="139"/>
      <c r="DW25" s="139"/>
      <c r="DX25" s="139"/>
      <c r="DY25" s="139"/>
      <c r="DZ25" s="139"/>
      <c r="EA25" s="139"/>
      <c r="EB25" s="139"/>
      <c r="EC25" s="139"/>
      <c r="ED25" s="139"/>
      <c r="EE25" s="139"/>
      <c r="EF25" s="139"/>
      <c r="EG25" s="139"/>
      <c r="EH25" s="139"/>
      <c r="EI25" s="139"/>
      <c r="EJ25" s="139"/>
      <c r="EK25" s="139"/>
      <c r="EL25" s="139"/>
      <c r="EM25" s="139"/>
      <c r="EN25" s="139"/>
      <c r="EO25" s="139"/>
      <c r="EP25" s="139"/>
      <c r="EQ25" s="139"/>
      <c r="ER25" s="139"/>
      <c r="ES25" s="139"/>
      <c r="ET25" s="139"/>
      <c r="EU25" s="139"/>
      <c r="EV25" s="139"/>
      <c r="EW25" s="139"/>
      <c r="EX25" s="139"/>
      <c r="EY25" s="139"/>
      <c r="EZ25" s="139"/>
      <c r="FA25" s="139"/>
      <c r="FB25" s="139"/>
      <c r="FC25" s="139"/>
      <c r="FD25" s="139"/>
      <c r="FE25" s="139"/>
      <c r="FF25" s="139"/>
      <c r="FG25" s="139"/>
      <c r="FH25" s="139"/>
      <c r="FI25" s="139"/>
      <c r="FJ25" s="139"/>
      <c r="FK25" s="139"/>
      <c r="FL25" s="139"/>
      <c r="FM25" s="139"/>
      <c r="FN25" s="139"/>
    </row>
    <row r="26" spans="1:170" ht="15.75" thickBot="1">
      <c r="A26" s="148"/>
      <c r="B26" s="148"/>
      <c r="C26" s="148"/>
      <c r="D26" s="148"/>
      <c r="E26" s="148"/>
      <c r="F26" s="148"/>
      <c r="G26" s="148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  <c r="AK26" s="139"/>
      <c r="AL26" s="139"/>
      <c r="AM26" s="139"/>
      <c r="AN26" s="139"/>
      <c r="AO26" s="139"/>
      <c r="AP26" s="139"/>
      <c r="AQ26" s="139"/>
      <c r="AR26" s="139"/>
      <c r="AS26" s="139"/>
      <c r="AT26" s="139"/>
      <c r="AU26" s="139"/>
      <c r="AV26" s="139"/>
      <c r="AW26" s="139"/>
      <c r="AX26" s="139"/>
      <c r="AY26" s="139"/>
      <c r="AZ26" s="139"/>
      <c r="BA26" s="139"/>
      <c r="BB26" s="139"/>
      <c r="BC26" s="139"/>
      <c r="BD26" s="139"/>
      <c r="BE26" s="139"/>
      <c r="BF26" s="139"/>
      <c r="BG26" s="139"/>
      <c r="BH26" s="139"/>
      <c r="BI26" s="139"/>
      <c r="BJ26" s="139"/>
      <c r="BK26" s="139"/>
      <c r="BL26" s="139"/>
      <c r="BM26" s="139"/>
      <c r="BN26" s="139"/>
      <c r="BO26" s="139"/>
      <c r="BP26" s="139"/>
      <c r="BQ26" s="139"/>
      <c r="BR26" s="139"/>
      <c r="BS26" s="139"/>
      <c r="BT26" s="139"/>
      <c r="BU26" s="139"/>
      <c r="BV26" s="139"/>
      <c r="BW26" s="139"/>
      <c r="BX26" s="139"/>
      <c r="BY26" s="139"/>
      <c r="BZ26" s="139"/>
      <c r="CA26" s="139"/>
      <c r="CB26" s="139"/>
      <c r="CC26" s="139"/>
      <c r="CD26" s="139"/>
      <c r="CE26" s="139"/>
      <c r="CF26" s="139"/>
      <c r="CG26" s="139"/>
      <c r="CH26" s="139"/>
      <c r="CI26" s="139"/>
      <c r="CJ26" s="139"/>
      <c r="CK26" s="139"/>
      <c r="CL26" s="139"/>
      <c r="CM26" s="139"/>
      <c r="CN26" s="139"/>
      <c r="CO26" s="139"/>
      <c r="CP26" s="139"/>
      <c r="CQ26" s="139"/>
      <c r="CR26" s="139"/>
      <c r="CS26" s="139"/>
      <c r="CT26" s="139"/>
      <c r="CU26" s="139"/>
      <c r="CV26" s="139"/>
      <c r="CW26" s="139"/>
      <c r="CX26" s="139"/>
      <c r="CY26" s="139"/>
      <c r="CZ26" s="139"/>
      <c r="DA26" s="139"/>
      <c r="DB26" s="139"/>
      <c r="DC26" s="139"/>
      <c r="DD26" s="139"/>
      <c r="DE26" s="139"/>
      <c r="DF26" s="139"/>
      <c r="DG26" s="139"/>
      <c r="DH26" s="139"/>
      <c r="DI26" s="139"/>
      <c r="DJ26" s="139"/>
      <c r="DK26" s="139"/>
      <c r="DL26" s="139"/>
      <c r="DM26" s="139"/>
      <c r="DN26" s="139"/>
      <c r="DO26" s="139"/>
      <c r="DP26" s="139"/>
      <c r="DQ26" s="139"/>
      <c r="DR26" s="139"/>
      <c r="DS26" s="139"/>
      <c r="DT26" s="139"/>
      <c r="DU26" s="139"/>
      <c r="DV26" s="139"/>
      <c r="DW26" s="139"/>
      <c r="DX26" s="139"/>
      <c r="DY26" s="139"/>
      <c r="DZ26" s="139"/>
      <c r="EA26" s="139"/>
      <c r="EB26" s="139"/>
      <c r="EC26" s="139"/>
      <c r="ED26" s="139"/>
      <c r="EE26" s="139"/>
      <c r="EF26" s="139"/>
      <c r="EG26" s="139"/>
      <c r="EH26" s="139"/>
      <c r="EI26" s="139"/>
      <c r="EJ26" s="139"/>
      <c r="EK26" s="139"/>
      <c r="EL26" s="139"/>
      <c r="EM26" s="139"/>
      <c r="EN26" s="139"/>
      <c r="EO26" s="139"/>
      <c r="EP26" s="139"/>
      <c r="EQ26" s="139"/>
      <c r="ER26" s="139"/>
      <c r="ES26" s="139"/>
      <c r="ET26" s="139"/>
      <c r="EU26" s="139"/>
      <c r="EV26" s="139"/>
      <c r="EW26" s="139"/>
      <c r="EX26" s="139"/>
      <c r="EY26" s="139"/>
      <c r="EZ26" s="139"/>
      <c r="FA26" s="139"/>
      <c r="FB26" s="139"/>
      <c r="FC26" s="139"/>
      <c r="FD26" s="139"/>
      <c r="FE26" s="139"/>
      <c r="FF26" s="139"/>
      <c r="FG26" s="139"/>
      <c r="FH26" s="139"/>
      <c r="FI26" s="139"/>
      <c r="FJ26" s="139"/>
      <c r="FK26" s="139"/>
      <c r="FL26" s="139"/>
      <c r="FM26" s="139"/>
      <c r="FN26" s="139"/>
    </row>
    <row r="27" spans="1:170" ht="45.75" thickBot="1">
      <c r="A27" s="148"/>
      <c r="B27" s="148"/>
      <c r="C27" s="148"/>
      <c r="D27" s="148"/>
      <c r="E27" s="150" t="s">
        <v>134</v>
      </c>
      <c r="F27" s="183">
        <f>D25/F25</f>
        <v>8.8634054054054057E-2</v>
      </c>
      <c r="G27" s="148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  <c r="AK27" s="139"/>
      <c r="AL27" s="139"/>
      <c r="AM27" s="139"/>
      <c r="AN27" s="139"/>
      <c r="AO27" s="139"/>
      <c r="AP27" s="139"/>
      <c r="AQ27" s="139"/>
      <c r="AR27" s="139"/>
      <c r="AS27" s="139"/>
      <c r="AT27" s="139"/>
      <c r="AU27" s="139"/>
      <c r="AV27" s="139"/>
      <c r="AW27" s="139"/>
      <c r="AX27" s="139"/>
      <c r="AY27" s="139"/>
      <c r="AZ27" s="139"/>
      <c r="BA27" s="139"/>
      <c r="BB27" s="139"/>
      <c r="BC27" s="139"/>
      <c r="BD27" s="139"/>
      <c r="BE27" s="139"/>
      <c r="BF27" s="139"/>
      <c r="BG27" s="139"/>
      <c r="BH27" s="139"/>
      <c r="BI27" s="139"/>
      <c r="BJ27" s="139"/>
      <c r="BK27" s="139"/>
      <c r="BL27" s="139"/>
      <c r="BM27" s="139"/>
      <c r="BN27" s="139"/>
      <c r="BO27" s="139"/>
      <c r="BP27" s="139"/>
      <c r="BQ27" s="139"/>
      <c r="BR27" s="139"/>
      <c r="BS27" s="139"/>
      <c r="BT27" s="139"/>
      <c r="BU27" s="139"/>
      <c r="BV27" s="139"/>
      <c r="BW27" s="139"/>
      <c r="BX27" s="139"/>
      <c r="BY27" s="139"/>
      <c r="BZ27" s="139"/>
      <c r="CA27" s="139"/>
      <c r="CB27" s="139"/>
      <c r="CC27" s="139"/>
      <c r="CD27" s="139"/>
      <c r="CE27" s="139"/>
      <c r="CF27" s="139"/>
      <c r="CG27" s="139"/>
      <c r="CH27" s="139"/>
      <c r="CI27" s="139"/>
      <c r="CJ27" s="139"/>
      <c r="CK27" s="139"/>
      <c r="CL27" s="139"/>
      <c r="CM27" s="139"/>
      <c r="CN27" s="139"/>
      <c r="CO27" s="139"/>
      <c r="CP27" s="139"/>
      <c r="CQ27" s="139"/>
      <c r="CR27" s="139"/>
      <c r="CS27" s="139"/>
      <c r="CT27" s="139"/>
      <c r="CU27" s="139"/>
      <c r="CV27" s="139"/>
      <c r="CW27" s="139"/>
      <c r="CX27" s="139"/>
      <c r="CY27" s="139"/>
      <c r="CZ27" s="139"/>
      <c r="DA27" s="139"/>
      <c r="DB27" s="139"/>
      <c r="DC27" s="139"/>
      <c r="DD27" s="139"/>
      <c r="DE27" s="139"/>
      <c r="DF27" s="139"/>
      <c r="DG27" s="139"/>
      <c r="DH27" s="139"/>
      <c r="DI27" s="139"/>
      <c r="DJ27" s="139"/>
      <c r="DK27" s="139"/>
      <c r="DL27" s="139"/>
      <c r="DM27" s="139"/>
      <c r="DN27" s="139"/>
      <c r="DO27" s="139"/>
      <c r="DP27" s="139"/>
      <c r="DQ27" s="139"/>
      <c r="DR27" s="139"/>
      <c r="DS27" s="139"/>
      <c r="DT27" s="139"/>
      <c r="DU27" s="139"/>
      <c r="DV27" s="139"/>
      <c r="DW27" s="139"/>
      <c r="DX27" s="139"/>
      <c r="DY27" s="139"/>
      <c r="DZ27" s="139"/>
      <c r="EA27" s="139"/>
      <c r="EB27" s="139"/>
      <c r="EC27" s="139"/>
      <c r="ED27" s="139"/>
      <c r="EE27" s="139"/>
      <c r="EF27" s="139"/>
      <c r="EG27" s="139"/>
      <c r="EH27" s="139"/>
      <c r="EI27" s="139"/>
      <c r="EJ27" s="139"/>
      <c r="EK27" s="139"/>
      <c r="EL27" s="139"/>
      <c r="EM27" s="139"/>
      <c r="EN27" s="139"/>
      <c r="EO27" s="139"/>
      <c r="EP27" s="139"/>
      <c r="EQ27" s="139"/>
      <c r="ER27" s="139"/>
      <c r="ES27" s="139"/>
      <c r="ET27" s="139"/>
      <c r="EU27" s="139"/>
      <c r="EV27" s="139"/>
      <c r="EW27" s="139"/>
      <c r="EX27" s="139"/>
      <c r="EY27" s="139"/>
      <c r="EZ27" s="139"/>
      <c r="FA27" s="139"/>
      <c r="FB27" s="139"/>
      <c r="FC27" s="139"/>
      <c r="FD27" s="139"/>
      <c r="FE27" s="139"/>
      <c r="FF27" s="139"/>
      <c r="FG27" s="139"/>
      <c r="FH27" s="139"/>
      <c r="FI27" s="139"/>
      <c r="FJ27" s="139"/>
      <c r="FK27" s="139"/>
      <c r="FL27" s="139"/>
      <c r="FM27" s="139"/>
      <c r="FN27" s="139"/>
    </row>
  </sheetData>
  <mergeCells count="1">
    <mergeCell ref="A3:C3"/>
  </mergeCells>
  <pageMargins left="0.7" right="0.7" top="0.75" bottom="0.75" header="0.3" footer="0.3"/>
  <pageSetup paperSize="9" scale="5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N28"/>
  <sheetViews>
    <sheetView topLeftCell="E1" workbookViewId="0">
      <selection activeCell="H3" sqref="H3:BO9"/>
    </sheetView>
  </sheetViews>
  <sheetFormatPr defaultRowHeight="15"/>
  <cols>
    <col min="1" max="1" width="10.5703125" style="3" customWidth="1"/>
    <col min="2" max="2" width="14.28515625" style="3" bestFit="1" customWidth="1"/>
    <col min="3" max="3" width="11" style="3" customWidth="1"/>
    <col min="4" max="4" width="13.28515625" style="3" customWidth="1"/>
    <col min="5" max="5" width="14.28515625" style="3" customWidth="1"/>
    <col min="6" max="6" width="17.7109375" style="3" customWidth="1"/>
    <col min="7" max="7" width="19.85546875" style="3" customWidth="1"/>
    <col min="8" max="8" width="15.28515625" style="3" customWidth="1"/>
    <col min="9" max="9" width="12.85546875" style="3" customWidth="1"/>
    <col min="10" max="15" width="9.140625" style="3"/>
    <col min="16" max="16" width="11.5703125" style="3" customWidth="1"/>
    <col min="17" max="19" width="9.140625" style="3"/>
    <col min="20" max="20" width="11.28515625" style="3" customWidth="1"/>
    <col min="21" max="16384" width="9.140625" style="3"/>
  </cols>
  <sheetData>
    <row r="1" spans="1:170" s="200" customFormat="1" ht="21">
      <c r="A1" s="149" t="s">
        <v>130</v>
      </c>
    </row>
    <row r="2" spans="1:170">
      <c r="E2" s="69"/>
    </row>
    <row r="3" spans="1:170" s="148" customFormat="1" ht="25.5">
      <c r="A3" s="275" t="s">
        <v>0</v>
      </c>
      <c r="B3" s="276"/>
      <c r="C3" s="277"/>
      <c r="D3" s="201" t="s">
        <v>1</v>
      </c>
      <c r="E3" s="202" t="s">
        <v>2</v>
      </c>
      <c r="F3" s="203" t="s">
        <v>119</v>
      </c>
      <c r="G3" s="204" t="s">
        <v>120</v>
      </c>
      <c r="H3" s="204" t="s">
        <v>16</v>
      </c>
      <c r="I3" s="281" t="s">
        <v>172</v>
      </c>
      <c r="J3" s="281" t="s">
        <v>173</v>
      </c>
      <c r="K3" s="281" t="s">
        <v>150</v>
      </c>
      <c r="L3" s="281" t="s">
        <v>151</v>
      </c>
      <c r="M3" s="282" t="s">
        <v>17</v>
      </c>
      <c r="N3" s="281" t="s">
        <v>148</v>
      </c>
      <c r="O3" s="281" t="s">
        <v>149</v>
      </c>
      <c r="P3" s="281" t="s">
        <v>150</v>
      </c>
      <c r="Q3" s="281" t="s">
        <v>151</v>
      </c>
      <c r="R3" s="280" t="s">
        <v>18</v>
      </c>
      <c r="S3" s="281" t="s">
        <v>152</v>
      </c>
      <c r="T3" s="281" t="s">
        <v>153</v>
      </c>
      <c r="U3" s="281" t="s">
        <v>150</v>
      </c>
      <c r="V3" s="281" t="s">
        <v>151</v>
      </c>
      <c r="W3" s="280" t="s">
        <v>19</v>
      </c>
      <c r="X3" s="281" t="s">
        <v>154</v>
      </c>
      <c r="Y3" s="281" t="s">
        <v>155</v>
      </c>
      <c r="Z3" s="281" t="s">
        <v>150</v>
      </c>
      <c r="AA3" s="281" t="s">
        <v>151</v>
      </c>
      <c r="AB3" s="280" t="s">
        <v>20</v>
      </c>
      <c r="AC3" s="281" t="s">
        <v>156</v>
      </c>
      <c r="AD3" s="281" t="s">
        <v>157</v>
      </c>
      <c r="AE3" s="281" t="s">
        <v>150</v>
      </c>
      <c r="AF3" s="281" t="s">
        <v>151</v>
      </c>
      <c r="AG3" s="280" t="s">
        <v>21</v>
      </c>
      <c r="AH3" s="281" t="s">
        <v>158</v>
      </c>
      <c r="AI3" s="281" t="s">
        <v>159</v>
      </c>
      <c r="AJ3" s="281" t="s">
        <v>150</v>
      </c>
      <c r="AK3" s="281" t="s">
        <v>151</v>
      </c>
      <c r="AL3" s="280" t="s">
        <v>22</v>
      </c>
      <c r="AM3" s="281" t="s">
        <v>160</v>
      </c>
      <c r="AN3" s="281" t="s">
        <v>161</v>
      </c>
      <c r="AO3" s="281" t="s">
        <v>150</v>
      </c>
      <c r="AP3" s="281" t="s">
        <v>151</v>
      </c>
      <c r="AQ3" s="280" t="s">
        <v>23</v>
      </c>
      <c r="AR3" s="281" t="s">
        <v>162</v>
      </c>
      <c r="AS3" s="281" t="s">
        <v>163</v>
      </c>
      <c r="AT3" s="281" t="s">
        <v>150</v>
      </c>
      <c r="AU3" s="281" t="s">
        <v>151</v>
      </c>
      <c r="AV3" s="280" t="s">
        <v>24</v>
      </c>
      <c r="AW3" s="281" t="s">
        <v>164</v>
      </c>
      <c r="AX3" s="281" t="s">
        <v>165</v>
      </c>
      <c r="AY3" s="281" t="s">
        <v>150</v>
      </c>
      <c r="AZ3" s="281" t="s">
        <v>151</v>
      </c>
      <c r="BA3" s="280" t="s">
        <v>25</v>
      </c>
      <c r="BB3" s="281" t="s">
        <v>166</v>
      </c>
      <c r="BC3" s="281" t="s">
        <v>167</v>
      </c>
      <c r="BD3" s="281" t="s">
        <v>150</v>
      </c>
      <c r="BE3" s="281" t="s">
        <v>151</v>
      </c>
      <c r="BF3" s="280" t="s">
        <v>26</v>
      </c>
      <c r="BG3" s="281" t="s">
        <v>168</v>
      </c>
      <c r="BH3" s="281" t="s">
        <v>169</v>
      </c>
      <c r="BI3" s="281" t="s">
        <v>150</v>
      </c>
      <c r="BJ3" s="281" t="s">
        <v>151</v>
      </c>
      <c r="BK3" s="280" t="s">
        <v>27</v>
      </c>
      <c r="BL3" s="281" t="s">
        <v>170</v>
      </c>
      <c r="BM3" s="281" t="s">
        <v>171</v>
      </c>
      <c r="BN3" s="281" t="s">
        <v>150</v>
      </c>
      <c r="BO3" s="281" t="s">
        <v>151</v>
      </c>
    </row>
    <row r="4" spans="1:170" s="32" customFormat="1">
      <c r="A4" s="35" t="s">
        <v>33</v>
      </c>
      <c r="B4" s="37" t="s">
        <v>34</v>
      </c>
      <c r="C4" s="37" t="s">
        <v>35</v>
      </c>
      <c r="D4" s="36">
        <v>1014372.42</v>
      </c>
      <c r="E4" s="38">
        <v>850000</v>
      </c>
      <c r="F4" s="39">
        <v>1200000</v>
      </c>
      <c r="G4" s="40">
        <v>1300000</v>
      </c>
      <c r="H4" s="164"/>
      <c r="I4" s="337">
        <f>E4*7.46%</f>
        <v>63410</v>
      </c>
      <c r="J4" s="252">
        <f>G4/I4</f>
        <v>20.501498186405929</v>
      </c>
      <c r="K4" s="337">
        <f>E4*7.46%</f>
        <v>63410</v>
      </c>
      <c r="L4" s="252">
        <f>G4/K4</f>
        <v>20.501498186405929</v>
      </c>
      <c r="M4" s="339">
        <v>90685.244555172496</v>
      </c>
      <c r="N4" s="337">
        <f>E4*5.93%</f>
        <v>50405</v>
      </c>
      <c r="O4" s="253">
        <f>M4/N4</f>
        <v>1.7991319225309492</v>
      </c>
      <c r="P4" s="255">
        <f>E4*13.39%</f>
        <v>113815.00000000001</v>
      </c>
      <c r="Q4" s="253">
        <f>SUM(G4,M4)/P4</f>
        <v>12.218822163644267</v>
      </c>
      <c r="R4" s="284">
        <v>42539</v>
      </c>
      <c r="S4" s="330">
        <f>E4*8.31%</f>
        <v>70635</v>
      </c>
      <c r="T4" s="286">
        <f>R4/S4</f>
        <v>0.60223685141926808</v>
      </c>
      <c r="U4" s="332">
        <f>E4*21.69%</f>
        <v>184365</v>
      </c>
      <c r="V4" s="286">
        <f>SUM(G4,M4,R4)/U4</f>
        <v>7.7738412635542131</v>
      </c>
      <c r="W4" s="288"/>
      <c r="X4" s="330">
        <f>E4*7.29%</f>
        <v>61965.000000000007</v>
      </c>
      <c r="Y4" s="286">
        <f>W4/X4</f>
        <v>0</v>
      </c>
      <c r="Z4" s="332">
        <f>E4*28.98%</f>
        <v>246330</v>
      </c>
      <c r="AA4" s="286">
        <f>SUM(G4,M4,R4,W4)/Z4</f>
        <v>5.8183097655793956</v>
      </c>
      <c r="AB4" s="288"/>
      <c r="AC4" s="330">
        <f>E4*11.02%</f>
        <v>93670</v>
      </c>
      <c r="AD4" s="286">
        <f>AB4/AC4</f>
        <v>0</v>
      </c>
      <c r="AE4" s="332">
        <f>E4*40%</f>
        <v>340000</v>
      </c>
      <c r="AF4" s="286">
        <f>SUM(G4,M4,R4,W4,AB4)/AE4</f>
        <v>4.2153654251622719</v>
      </c>
      <c r="AG4" s="288"/>
      <c r="AH4" s="330">
        <f>E4*12.03%</f>
        <v>102254.99999999999</v>
      </c>
      <c r="AI4" s="286">
        <f>AG4/AH4</f>
        <v>0</v>
      </c>
      <c r="AJ4" s="330">
        <f>E4*52.03%</f>
        <v>442255</v>
      </c>
      <c r="AK4" s="286">
        <f>SUM(G4,M4,R4,W4,AB4,AG4)/AJ4</f>
        <v>3.2407191429269822</v>
      </c>
      <c r="AL4" s="288"/>
      <c r="AM4" s="330">
        <f>E4*3.39%</f>
        <v>28815</v>
      </c>
      <c r="AN4" s="286">
        <f>AL4/AM4</f>
        <v>0</v>
      </c>
      <c r="AO4" s="330">
        <f>E4*55.42%</f>
        <v>471070</v>
      </c>
      <c r="AP4" s="286">
        <f>SUM(G4,M4,R4,W4,AB4,AG4,AL4)/AO4</f>
        <v>3.0424867738450176</v>
      </c>
      <c r="AQ4" s="288"/>
      <c r="AR4" s="330">
        <f>E4*9.83%</f>
        <v>83555</v>
      </c>
      <c r="AS4" s="286">
        <f>AQ4/AR4</f>
        <v>0</v>
      </c>
      <c r="AT4" s="330">
        <f>E4*65.25%</f>
        <v>554625</v>
      </c>
      <c r="AU4" s="286">
        <f>SUM(G4,M4,R4,W4,AB4,AG4,AL4,AQ4)/AT4</f>
        <v>2.5841320614021592</v>
      </c>
      <c r="AV4" s="288"/>
      <c r="AW4" s="330">
        <f>E4*10.85%</f>
        <v>92225</v>
      </c>
      <c r="AX4" s="286">
        <f>AV4/AW4</f>
        <v>0</v>
      </c>
      <c r="AY4" s="330">
        <f>E4*76.1%</f>
        <v>646849.99999999988</v>
      </c>
      <c r="AZ4" s="286">
        <f>SUM(G4,M4,R4,W4,AB4,AG4,AL4,AQ4,AV4)/AY4</f>
        <v>2.2156979895728108</v>
      </c>
      <c r="BA4" s="288"/>
      <c r="BB4" s="330">
        <f>E4*6.1%</f>
        <v>51850</v>
      </c>
      <c r="BC4" s="286">
        <f>BA4/BB4</f>
        <v>0</v>
      </c>
      <c r="BD4" s="330">
        <f>E4*82.2%</f>
        <v>698700</v>
      </c>
      <c r="BE4" s="286">
        <f>SUM(G4,M4,R4,W4,AB4,AG4,AL4,AQ4,AV4,BA4)/BD4</f>
        <v>2.0512727129743418</v>
      </c>
      <c r="BF4" s="288"/>
      <c r="BG4" s="330">
        <f>E4*6.44%</f>
        <v>54740</v>
      </c>
      <c r="BH4" s="286">
        <f>BF4/BG4</f>
        <v>0</v>
      </c>
      <c r="BI4" s="330">
        <f>E4*88.64%</f>
        <v>753440</v>
      </c>
      <c r="BJ4" s="286">
        <f>SUM(G4,M4,R4,W4,AB4,AG4,AL4,AQ4,AV4,BA4,BF4)/BI4</f>
        <v>1.9022407153259351</v>
      </c>
      <c r="BK4" s="288"/>
      <c r="BL4" s="330">
        <f>E4*11.36%</f>
        <v>96560</v>
      </c>
      <c r="BM4" s="286">
        <f>BK4/BL4</f>
        <v>0</v>
      </c>
      <c r="BN4" s="331">
        <f>E4*100%</f>
        <v>850000</v>
      </c>
      <c r="BO4" s="290">
        <f>SUM(G4,M4,R4,W4,AB4,AG4,AL4,AQ4,AV4,BA4,BF4,BK4)/BN4</f>
        <v>1.6861461700649087</v>
      </c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</row>
    <row r="5" spans="1:170" s="32" customFormat="1">
      <c r="A5" s="42" t="s">
        <v>36</v>
      </c>
      <c r="B5" s="44" t="s">
        <v>37</v>
      </c>
      <c r="C5" s="44" t="s">
        <v>38</v>
      </c>
      <c r="D5" s="43">
        <v>880704.24</v>
      </c>
      <c r="E5" s="45">
        <v>450000</v>
      </c>
      <c r="F5" s="46">
        <v>1000000</v>
      </c>
      <c r="G5" s="47">
        <v>1100000</v>
      </c>
      <c r="H5" s="164"/>
      <c r="I5" s="337">
        <f t="shared" ref="I5:I8" si="0">E5*7.46%</f>
        <v>33570</v>
      </c>
      <c r="J5" s="252">
        <f t="shared" ref="J5:J9" si="1">G5/I5</f>
        <v>32.767351802204352</v>
      </c>
      <c r="K5" s="337">
        <f t="shared" ref="K5:K9" si="2">E5*7.46%</f>
        <v>33570</v>
      </c>
      <c r="L5" s="252">
        <f t="shared" ref="L5:L8" si="3">G5/K5</f>
        <v>32.767351802204352</v>
      </c>
      <c r="M5" s="340">
        <v>58526.815000000002</v>
      </c>
      <c r="N5" s="337">
        <f t="shared" ref="N5:N8" si="4">E5*5.93%</f>
        <v>26685</v>
      </c>
      <c r="O5" s="253">
        <f t="shared" ref="O5:O9" si="5">M5/N5</f>
        <v>2.1932477047030168</v>
      </c>
      <c r="P5" s="255">
        <f>E5*13.39%</f>
        <v>60255.000000000007</v>
      </c>
      <c r="Q5" s="253">
        <f>SUM(G5,M5)/P5</f>
        <v>19.227065222803084</v>
      </c>
      <c r="R5" s="291">
        <v>61699</v>
      </c>
      <c r="S5" s="330">
        <f t="shared" ref="S5:S8" si="6">E5*8.31%</f>
        <v>37395</v>
      </c>
      <c r="T5" s="286">
        <f t="shared" ref="T5:T9" si="7">R5/S5</f>
        <v>1.6499264607567856</v>
      </c>
      <c r="U5" s="332">
        <f t="shared" ref="U5:U8" si="8">E5*21.69%</f>
        <v>97605</v>
      </c>
      <c r="V5" s="286">
        <f t="shared" ref="V5:V8" si="9">SUM(G5,M5,R5)/U5</f>
        <v>12.501673223707801</v>
      </c>
      <c r="W5" s="292"/>
      <c r="X5" s="330">
        <f t="shared" ref="X5:X8" si="10">E5*7.29%</f>
        <v>32805</v>
      </c>
      <c r="Y5" s="286">
        <f t="shared" ref="Y5:Y9" si="11">W5/X5</f>
        <v>0</v>
      </c>
      <c r="Z5" s="332">
        <f t="shared" ref="Z5:Z8" si="12">E5*28.98%</f>
        <v>130410</v>
      </c>
      <c r="AA5" s="286">
        <f t="shared" ref="AA5:AA8" si="13">SUM(G5,M5,R5,W5)/Z5</f>
        <v>9.3568423817191935</v>
      </c>
      <c r="AB5" s="292"/>
      <c r="AC5" s="330">
        <f t="shared" ref="AC5:AC8" si="14">E5*11.02%</f>
        <v>49590</v>
      </c>
      <c r="AD5" s="286">
        <f t="shared" ref="AD5:AD9" si="15">AB5/AC5</f>
        <v>0</v>
      </c>
      <c r="AE5" s="332">
        <f t="shared" ref="AE5:AE8" si="16">E5*40%</f>
        <v>180000</v>
      </c>
      <c r="AF5" s="286">
        <f t="shared" ref="AF5:AF8" si="17">SUM(G5,M5,R5,W5,AB5)/AE5</f>
        <v>6.779032305555555</v>
      </c>
      <c r="AG5" s="292"/>
      <c r="AH5" s="330">
        <f t="shared" ref="AH5:AH8" si="18">E5*12.03%</f>
        <v>54134.999999999993</v>
      </c>
      <c r="AI5" s="286">
        <f t="shared" ref="AI5:AI9" si="19">AG5/AH5</f>
        <v>0</v>
      </c>
      <c r="AJ5" s="330">
        <f t="shared" ref="AJ5:AJ8" si="20">E5*52.03%</f>
        <v>234135</v>
      </c>
      <c r="AK5" s="286">
        <f t="shared" ref="AK5:AK8" si="21">SUM(G5,M5,R5,W5,AB5,AG5)/AJ5</f>
        <v>5.2116335233946227</v>
      </c>
      <c r="AL5" s="292"/>
      <c r="AM5" s="330">
        <f t="shared" ref="AM5:AM8" si="22">E5*3.39%</f>
        <v>15255</v>
      </c>
      <c r="AN5" s="286">
        <f t="shared" ref="AN5:AN9" si="23">AL5/AM5</f>
        <v>0</v>
      </c>
      <c r="AO5" s="330">
        <f t="shared" ref="AO5:AO8" si="24">E5*55.42%</f>
        <v>249390</v>
      </c>
      <c r="AP5" s="286">
        <f t="shared" ref="AP5:AP8" si="25">SUM(G5,M5,R5,W5,AB5,AG5,AL5)/AO5</f>
        <v>4.8928417939773041</v>
      </c>
      <c r="AQ5" s="292"/>
      <c r="AR5" s="330">
        <f t="shared" ref="AR5:AR8" si="26">E5*9.83%</f>
        <v>44235</v>
      </c>
      <c r="AS5" s="286">
        <f t="shared" ref="AS5:AS9" si="27">AQ5/AR5</f>
        <v>0</v>
      </c>
      <c r="AT5" s="330">
        <f t="shared" ref="AT5:AT8" si="28">E5*65.25%</f>
        <v>293625</v>
      </c>
      <c r="AU5" s="286">
        <f t="shared" ref="AU5:AU8" si="29">SUM(G5,M5,R5,W5,AB5,AG5,AL5,AQ5)/AT5</f>
        <v>4.1557286164325244</v>
      </c>
      <c r="AV5" s="292"/>
      <c r="AW5" s="330">
        <f t="shared" ref="AW5:AW8" si="30">E5*10.85%</f>
        <v>48825</v>
      </c>
      <c r="AX5" s="286">
        <f t="shared" ref="AX5:AX9" si="31">AV5/AW5</f>
        <v>0</v>
      </c>
      <c r="AY5" s="330">
        <f t="shared" ref="AY5:AY8" si="32">E5*76.1%</f>
        <v>342449.99999999994</v>
      </c>
      <c r="AZ5" s="286">
        <f t="shared" ref="AZ5:AZ8" si="33">SUM(G5,M5,R5,W5,AB5,AG5,AL5,AQ5,AV5)/AY5</f>
        <v>3.5632232880712515</v>
      </c>
      <c r="BA5" s="292"/>
      <c r="BB5" s="330">
        <f t="shared" ref="BB5:BB8" si="34">E5*6.1%</f>
        <v>27450</v>
      </c>
      <c r="BC5" s="286">
        <f t="shared" ref="BC5:BC9" si="35">BA5/BB5</f>
        <v>0</v>
      </c>
      <c r="BD5" s="330">
        <f t="shared" ref="BD5:BD8" si="36">E5*82.2%</f>
        <v>369900</v>
      </c>
      <c r="BE5" s="286">
        <f t="shared" ref="BE5:BE8" si="37">SUM(G5,M5,R5,W5,AB5,AG5,AL5,AQ5,AV5,BA5)/BD5</f>
        <v>3.298799175452825</v>
      </c>
      <c r="BF5" s="292"/>
      <c r="BG5" s="330">
        <f t="shared" ref="BG5:BG8" si="38">E5*6.44%</f>
        <v>28980</v>
      </c>
      <c r="BH5" s="286">
        <f t="shared" ref="BH5:BH9" si="39">BF5/BG5</f>
        <v>0</v>
      </c>
      <c r="BI5" s="330">
        <f t="shared" ref="BI5:BI8" si="40">E5*88.64%</f>
        <v>398880</v>
      </c>
      <c r="BJ5" s="286">
        <f t="shared" ref="BJ5:BJ8" si="41">SUM(G5,M5,R5,W5,AB5,AG5,AL5,AQ5,AV5,BA5,BF5)/BI5</f>
        <v>3.0591301017849979</v>
      </c>
      <c r="BK5" s="292"/>
      <c r="BL5" s="330">
        <f t="shared" ref="BL5:BL8" si="42">E5*11.36%</f>
        <v>51120</v>
      </c>
      <c r="BM5" s="286">
        <f t="shared" ref="BM5:BM9" si="43">BK5/BL5</f>
        <v>0</v>
      </c>
      <c r="BN5" s="331">
        <f t="shared" ref="BN5:BN8" si="44">E5*100%</f>
        <v>450000</v>
      </c>
      <c r="BO5" s="290">
        <f t="shared" ref="BO5:BO8" si="45">SUM(G5,M5,R5,W5,AB5,AG5,AL5,AQ5,AV5,BA5,BF5,BK5)/BN5</f>
        <v>2.7116129222222223</v>
      </c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</row>
    <row r="6" spans="1:170" s="32" customFormat="1">
      <c r="A6" s="49" t="s">
        <v>39</v>
      </c>
      <c r="B6" s="51" t="s">
        <v>40</v>
      </c>
      <c r="C6" s="51" t="s">
        <v>41</v>
      </c>
      <c r="D6" s="50">
        <v>343191.81</v>
      </c>
      <c r="E6" s="52">
        <v>300000</v>
      </c>
      <c r="F6" s="53">
        <v>400000</v>
      </c>
      <c r="G6" s="54">
        <v>475000</v>
      </c>
      <c r="H6" s="164"/>
      <c r="I6" s="337">
        <f t="shared" si="0"/>
        <v>22380</v>
      </c>
      <c r="J6" s="252">
        <f t="shared" si="1"/>
        <v>21.22430741733691</v>
      </c>
      <c r="K6" s="337">
        <f t="shared" si="2"/>
        <v>22380</v>
      </c>
      <c r="L6" s="252">
        <f t="shared" si="3"/>
        <v>21.22430741733691</v>
      </c>
      <c r="M6" s="340">
        <v>4625.0006000000003</v>
      </c>
      <c r="N6" s="337">
        <f t="shared" si="4"/>
        <v>17790</v>
      </c>
      <c r="O6" s="253">
        <f t="shared" si="5"/>
        <v>0.25997754918493537</v>
      </c>
      <c r="P6" s="255">
        <f t="shared" ref="P6:P8" si="46">E6*13.39%</f>
        <v>40170.000000000007</v>
      </c>
      <c r="Q6" s="253">
        <f t="shared" ref="Q6:Q8" si="47">SUM(G6,M6)/P6</f>
        <v>11.939880522778191</v>
      </c>
      <c r="R6" s="291">
        <v>47679</v>
      </c>
      <c r="S6" s="330">
        <f t="shared" si="6"/>
        <v>24930.000000000004</v>
      </c>
      <c r="T6" s="286">
        <f t="shared" si="7"/>
        <v>1.91251504211793</v>
      </c>
      <c r="U6" s="332">
        <f t="shared" si="8"/>
        <v>65070</v>
      </c>
      <c r="V6" s="286">
        <f t="shared" si="9"/>
        <v>8.1036422406639002</v>
      </c>
      <c r="W6" s="292"/>
      <c r="X6" s="330">
        <f t="shared" si="10"/>
        <v>21870.000000000004</v>
      </c>
      <c r="Y6" s="286">
        <f t="shared" si="11"/>
        <v>0</v>
      </c>
      <c r="Z6" s="332">
        <f t="shared" si="12"/>
        <v>86940</v>
      </c>
      <c r="AA6" s="286">
        <f t="shared" si="13"/>
        <v>6.0651483850931678</v>
      </c>
      <c r="AB6" s="292"/>
      <c r="AC6" s="330">
        <f t="shared" si="14"/>
        <v>33060</v>
      </c>
      <c r="AD6" s="286">
        <f t="shared" si="15"/>
        <v>0</v>
      </c>
      <c r="AE6" s="332">
        <f t="shared" si="16"/>
        <v>120000</v>
      </c>
      <c r="AF6" s="286">
        <f t="shared" si="17"/>
        <v>4.3942000050000001</v>
      </c>
      <c r="AG6" s="292"/>
      <c r="AH6" s="330">
        <f t="shared" si="18"/>
        <v>36090</v>
      </c>
      <c r="AI6" s="286">
        <f t="shared" si="19"/>
        <v>0</v>
      </c>
      <c r="AJ6" s="330">
        <f t="shared" si="20"/>
        <v>156090</v>
      </c>
      <c r="AK6" s="286">
        <f t="shared" si="21"/>
        <v>3.3782048856428983</v>
      </c>
      <c r="AL6" s="292"/>
      <c r="AM6" s="330">
        <f t="shared" si="22"/>
        <v>10170</v>
      </c>
      <c r="AN6" s="286">
        <f t="shared" si="23"/>
        <v>0</v>
      </c>
      <c r="AO6" s="330">
        <f t="shared" si="24"/>
        <v>166260</v>
      </c>
      <c r="AP6" s="286">
        <f t="shared" si="25"/>
        <v>3.171562616383977</v>
      </c>
      <c r="AQ6" s="292"/>
      <c r="AR6" s="330">
        <f t="shared" si="26"/>
        <v>29490</v>
      </c>
      <c r="AS6" s="286">
        <f t="shared" si="27"/>
        <v>0</v>
      </c>
      <c r="AT6" s="330">
        <f t="shared" si="28"/>
        <v>195750</v>
      </c>
      <c r="AU6" s="286">
        <f t="shared" si="29"/>
        <v>2.693762455172414</v>
      </c>
      <c r="AV6" s="292"/>
      <c r="AW6" s="330">
        <f t="shared" si="30"/>
        <v>32550</v>
      </c>
      <c r="AX6" s="286">
        <f t="shared" si="31"/>
        <v>0</v>
      </c>
      <c r="AY6" s="330">
        <f t="shared" si="32"/>
        <v>228299.99999999997</v>
      </c>
      <c r="AZ6" s="286">
        <f t="shared" si="33"/>
        <v>2.3096977687253619</v>
      </c>
      <c r="BA6" s="292"/>
      <c r="BB6" s="330">
        <f t="shared" si="34"/>
        <v>18300</v>
      </c>
      <c r="BC6" s="286">
        <f t="shared" si="35"/>
        <v>0</v>
      </c>
      <c r="BD6" s="330">
        <f t="shared" si="36"/>
        <v>246600.00000000003</v>
      </c>
      <c r="BE6" s="286">
        <f t="shared" si="37"/>
        <v>2.1382968394160584</v>
      </c>
      <c r="BF6" s="292"/>
      <c r="BG6" s="330">
        <f t="shared" si="38"/>
        <v>19320</v>
      </c>
      <c r="BH6" s="286">
        <f t="shared" si="39"/>
        <v>0</v>
      </c>
      <c r="BI6" s="330">
        <f t="shared" si="40"/>
        <v>265920</v>
      </c>
      <c r="BJ6" s="286">
        <f t="shared" si="41"/>
        <v>1.9829422405234658</v>
      </c>
      <c r="BK6" s="292"/>
      <c r="BL6" s="330">
        <f t="shared" si="42"/>
        <v>34080</v>
      </c>
      <c r="BM6" s="286">
        <f t="shared" si="43"/>
        <v>0</v>
      </c>
      <c r="BN6" s="331">
        <f t="shared" si="44"/>
        <v>300000</v>
      </c>
      <c r="BO6" s="290">
        <f t="shared" si="45"/>
        <v>1.7576800020000001</v>
      </c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48"/>
      <c r="DE6" s="48"/>
      <c r="DF6" s="48"/>
      <c r="DG6" s="48"/>
      <c r="DH6" s="48"/>
      <c r="DI6" s="48"/>
      <c r="DJ6" s="48"/>
      <c r="DK6" s="48"/>
      <c r="DL6" s="48"/>
      <c r="DM6" s="48"/>
      <c r="DN6" s="48"/>
      <c r="DO6" s="48"/>
      <c r="DP6" s="48"/>
      <c r="DQ6" s="48"/>
      <c r="DR6" s="48"/>
      <c r="DS6" s="48"/>
      <c r="DT6" s="48"/>
      <c r="DU6" s="48"/>
      <c r="DV6" s="48"/>
      <c r="DW6" s="48"/>
      <c r="DX6" s="48"/>
      <c r="DY6" s="48"/>
      <c r="DZ6" s="48"/>
      <c r="EA6" s="48"/>
      <c r="EB6" s="48"/>
      <c r="EC6" s="48"/>
      <c r="ED6" s="48"/>
      <c r="EE6" s="48"/>
      <c r="EF6" s="48"/>
      <c r="EG6" s="48"/>
      <c r="EH6" s="48"/>
      <c r="EI6" s="48"/>
      <c r="EJ6" s="48"/>
      <c r="EK6" s="48"/>
      <c r="EL6" s="48"/>
      <c r="EM6" s="48"/>
      <c r="EN6" s="48"/>
      <c r="EO6" s="48"/>
      <c r="EP6" s="48"/>
      <c r="EQ6" s="48"/>
      <c r="ER6" s="48"/>
      <c r="ES6" s="48"/>
      <c r="ET6" s="48"/>
      <c r="EU6" s="48"/>
      <c r="EV6" s="48"/>
      <c r="EW6" s="48"/>
      <c r="EX6" s="48"/>
      <c r="EY6" s="48"/>
      <c r="EZ6" s="48"/>
      <c r="FA6" s="48"/>
      <c r="FB6" s="48"/>
      <c r="FC6" s="48"/>
      <c r="FD6" s="48"/>
      <c r="FE6" s="48"/>
      <c r="FF6" s="48"/>
      <c r="FG6" s="48"/>
      <c r="FH6" s="48"/>
      <c r="FI6" s="48"/>
      <c r="FJ6" s="48"/>
      <c r="FK6" s="48"/>
      <c r="FL6" s="48"/>
      <c r="FM6" s="48"/>
      <c r="FN6" s="48"/>
    </row>
    <row r="7" spans="1:170">
      <c r="A7" s="56" t="s">
        <v>42</v>
      </c>
      <c r="B7" s="58" t="s">
        <v>43</v>
      </c>
      <c r="C7" s="58" t="s">
        <v>44</v>
      </c>
      <c r="D7" s="57">
        <v>275966.44</v>
      </c>
      <c r="E7" s="59">
        <v>300000</v>
      </c>
      <c r="F7" s="60">
        <v>325000</v>
      </c>
      <c r="G7" s="61">
        <v>400000</v>
      </c>
      <c r="H7" s="164"/>
      <c r="I7" s="337">
        <f t="shared" si="0"/>
        <v>22380</v>
      </c>
      <c r="J7" s="252">
        <f t="shared" si="1"/>
        <v>17.873100983020553</v>
      </c>
      <c r="K7" s="337">
        <f t="shared" si="2"/>
        <v>22380</v>
      </c>
      <c r="L7" s="252">
        <f t="shared" si="3"/>
        <v>17.873100983020553</v>
      </c>
      <c r="M7" s="340">
        <v>28718.2168206026</v>
      </c>
      <c r="N7" s="337">
        <f t="shared" si="4"/>
        <v>17790</v>
      </c>
      <c r="O7" s="253">
        <f t="shared" si="5"/>
        <v>1.6142898718719842</v>
      </c>
      <c r="P7" s="255">
        <f t="shared" si="46"/>
        <v>40170.000000000007</v>
      </c>
      <c r="Q7" s="253">
        <f t="shared" si="47"/>
        <v>10.672596883759088</v>
      </c>
      <c r="R7" s="291">
        <v>1950</v>
      </c>
      <c r="S7" s="330">
        <f>E7*8.31%</f>
        <v>24930.000000000004</v>
      </c>
      <c r="T7" s="286">
        <f t="shared" si="7"/>
        <v>7.8219013237063761E-2</v>
      </c>
      <c r="U7" s="332">
        <f t="shared" si="8"/>
        <v>65070</v>
      </c>
      <c r="V7" s="286">
        <f t="shared" si="9"/>
        <v>6.6185372186968277</v>
      </c>
      <c r="W7" s="292"/>
      <c r="X7" s="330">
        <f t="shared" si="10"/>
        <v>21870.000000000004</v>
      </c>
      <c r="Y7" s="286">
        <f t="shared" si="11"/>
        <v>0</v>
      </c>
      <c r="Z7" s="332">
        <f t="shared" si="12"/>
        <v>86940</v>
      </c>
      <c r="AA7" s="286">
        <f t="shared" si="13"/>
        <v>4.9536256823165701</v>
      </c>
      <c r="AB7" s="292"/>
      <c r="AC7" s="330">
        <f t="shared" si="14"/>
        <v>33060</v>
      </c>
      <c r="AD7" s="286">
        <f t="shared" si="15"/>
        <v>0</v>
      </c>
      <c r="AE7" s="332">
        <f t="shared" si="16"/>
        <v>120000</v>
      </c>
      <c r="AF7" s="286">
        <f t="shared" si="17"/>
        <v>3.5889018068383551</v>
      </c>
      <c r="AG7" s="292"/>
      <c r="AH7" s="330">
        <f t="shared" si="18"/>
        <v>36090</v>
      </c>
      <c r="AI7" s="286">
        <f t="shared" si="19"/>
        <v>0</v>
      </c>
      <c r="AJ7" s="330">
        <f t="shared" si="20"/>
        <v>156090</v>
      </c>
      <c r="AK7" s="286">
        <f t="shared" si="21"/>
        <v>2.7591019080056545</v>
      </c>
      <c r="AL7" s="292"/>
      <c r="AM7" s="330">
        <f t="shared" si="22"/>
        <v>10170</v>
      </c>
      <c r="AN7" s="286">
        <f t="shared" si="23"/>
        <v>0</v>
      </c>
      <c r="AO7" s="330">
        <f t="shared" si="24"/>
        <v>166260</v>
      </c>
      <c r="AP7" s="286">
        <f t="shared" si="25"/>
        <v>2.5903297054048031</v>
      </c>
      <c r="AQ7" s="292"/>
      <c r="AR7" s="330">
        <f t="shared" si="26"/>
        <v>29490</v>
      </c>
      <c r="AS7" s="286">
        <f t="shared" si="27"/>
        <v>0</v>
      </c>
      <c r="AT7" s="330">
        <f t="shared" si="28"/>
        <v>195750</v>
      </c>
      <c r="AU7" s="286">
        <f t="shared" si="29"/>
        <v>2.2000930616633592</v>
      </c>
      <c r="AV7" s="292"/>
      <c r="AW7" s="330">
        <f t="shared" si="30"/>
        <v>32550</v>
      </c>
      <c r="AX7" s="286">
        <f t="shared" si="31"/>
        <v>0</v>
      </c>
      <c r="AY7" s="330">
        <f t="shared" si="32"/>
        <v>228299.99999999997</v>
      </c>
      <c r="AZ7" s="286">
        <f t="shared" si="33"/>
        <v>1.8864135646982156</v>
      </c>
      <c r="BA7" s="292"/>
      <c r="BB7" s="330">
        <f t="shared" si="34"/>
        <v>18300</v>
      </c>
      <c r="BC7" s="286">
        <f t="shared" si="35"/>
        <v>0</v>
      </c>
      <c r="BD7" s="330">
        <f t="shared" si="36"/>
        <v>246600.00000000003</v>
      </c>
      <c r="BE7" s="286">
        <f t="shared" si="37"/>
        <v>1.7464242369043088</v>
      </c>
      <c r="BF7" s="292"/>
      <c r="BG7" s="330">
        <f t="shared" si="38"/>
        <v>19320</v>
      </c>
      <c r="BH7" s="286">
        <f t="shared" si="39"/>
        <v>0</v>
      </c>
      <c r="BI7" s="330">
        <f t="shared" si="40"/>
        <v>265920</v>
      </c>
      <c r="BJ7" s="286">
        <f t="shared" si="41"/>
        <v>1.6195405265516043</v>
      </c>
      <c r="BK7" s="292"/>
      <c r="BL7" s="330">
        <f t="shared" si="42"/>
        <v>34080</v>
      </c>
      <c r="BM7" s="286">
        <f t="shared" si="43"/>
        <v>0</v>
      </c>
      <c r="BN7" s="331">
        <f t="shared" si="44"/>
        <v>300000</v>
      </c>
      <c r="BO7" s="290">
        <f t="shared" si="45"/>
        <v>1.435560722735342</v>
      </c>
      <c r="BP7" s="55"/>
      <c r="BQ7" s="55"/>
      <c r="BR7" s="55"/>
      <c r="BS7" s="55"/>
      <c r="BT7" s="55"/>
      <c r="BU7" s="55"/>
      <c r="BV7" s="55"/>
      <c r="BW7" s="55"/>
      <c r="BX7" s="55"/>
      <c r="BY7" s="55"/>
      <c r="BZ7" s="55"/>
      <c r="CA7" s="55"/>
      <c r="CB7" s="55"/>
      <c r="CC7" s="55"/>
      <c r="CD7" s="55"/>
      <c r="CE7" s="55"/>
      <c r="CF7" s="55"/>
      <c r="CG7" s="55"/>
      <c r="CH7" s="55"/>
      <c r="CI7" s="55"/>
      <c r="CJ7" s="55"/>
      <c r="CK7" s="55"/>
      <c r="CL7" s="55"/>
      <c r="CM7" s="55"/>
      <c r="CN7" s="55"/>
      <c r="CO7" s="55"/>
      <c r="CP7" s="55"/>
      <c r="CQ7" s="55"/>
      <c r="CR7" s="55"/>
      <c r="CS7" s="55"/>
      <c r="CT7" s="55"/>
      <c r="CU7" s="55"/>
      <c r="CV7" s="55"/>
      <c r="CW7" s="55"/>
      <c r="CX7" s="55"/>
      <c r="CY7" s="55"/>
      <c r="CZ7" s="55"/>
      <c r="DA7" s="55"/>
      <c r="DB7" s="55"/>
      <c r="DC7" s="55"/>
      <c r="DD7" s="55"/>
      <c r="DE7" s="55"/>
      <c r="DF7" s="55"/>
      <c r="DG7" s="55"/>
      <c r="DH7" s="55"/>
      <c r="DI7" s="55"/>
      <c r="DJ7" s="55"/>
      <c r="DK7" s="55"/>
      <c r="DL7" s="55"/>
      <c r="DM7" s="55"/>
      <c r="DN7" s="55"/>
      <c r="DO7" s="55"/>
      <c r="DP7" s="55"/>
      <c r="DQ7" s="55"/>
      <c r="DR7" s="55"/>
      <c r="DS7" s="55"/>
      <c r="DT7" s="55"/>
      <c r="DU7" s="55"/>
      <c r="DV7" s="55"/>
      <c r="DW7" s="55"/>
      <c r="DX7" s="55"/>
      <c r="DY7" s="55"/>
      <c r="DZ7" s="55"/>
      <c r="EA7" s="55"/>
      <c r="EB7" s="55"/>
      <c r="EC7" s="55"/>
      <c r="ED7" s="55"/>
      <c r="EE7" s="55"/>
      <c r="EF7" s="55"/>
      <c r="EG7" s="55"/>
      <c r="EH7" s="55"/>
      <c r="EI7" s="55"/>
      <c r="EJ7" s="55"/>
      <c r="EK7" s="55"/>
      <c r="EL7" s="55"/>
      <c r="EM7" s="55"/>
      <c r="EN7" s="55"/>
      <c r="EO7" s="55"/>
      <c r="EP7" s="55"/>
      <c r="EQ7" s="55"/>
      <c r="ER7" s="55"/>
      <c r="ES7" s="55"/>
      <c r="ET7" s="55"/>
      <c r="EU7" s="55"/>
      <c r="EV7" s="55"/>
      <c r="EW7" s="55"/>
      <c r="EX7" s="55"/>
      <c r="EY7" s="55"/>
      <c r="EZ7" s="55"/>
      <c r="FA7" s="55"/>
      <c r="FB7" s="55"/>
      <c r="FC7" s="55"/>
      <c r="FD7" s="55"/>
      <c r="FE7" s="55"/>
      <c r="FF7" s="55"/>
      <c r="FG7" s="55"/>
      <c r="FH7" s="55"/>
      <c r="FI7" s="55"/>
      <c r="FJ7" s="55"/>
      <c r="FK7" s="55"/>
      <c r="FL7" s="55"/>
      <c r="FM7" s="55"/>
      <c r="FN7" s="55"/>
    </row>
    <row r="8" spans="1:170">
      <c r="A8" s="63" t="s">
        <v>45</v>
      </c>
      <c r="B8" s="64" t="s">
        <v>46</v>
      </c>
      <c r="C8" s="64" t="s">
        <v>47</v>
      </c>
      <c r="D8" s="65">
        <v>464502.33</v>
      </c>
      <c r="E8" s="67">
        <v>200000</v>
      </c>
      <c r="F8" s="66">
        <v>650000</v>
      </c>
      <c r="G8" s="68">
        <v>650000</v>
      </c>
      <c r="H8" s="164"/>
      <c r="I8" s="337">
        <f t="shared" si="0"/>
        <v>14920</v>
      </c>
      <c r="J8" s="252">
        <f t="shared" si="1"/>
        <v>43.565683646112603</v>
      </c>
      <c r="K8" s="337">
        <f t="shared" si="2"/>
        <v>14920</v>
      </c>
      <c r="L8" s="252">
        <f t="shared" si="3"/>
        <v>43.565683646112603</v>
      </c>
      <c r="M8" s="341">
        <v>0</v>
      </c>
      <c r="N8" s="337">
        <f t="shared" si="4"/>
        <v>11860</v>
      </c>
      <c r="O8" s="253">
        <f t="shared" si="5"/>
        <v>0</v>
      </c>
      <c r="P8" s="255">
        <f t="shared" si="46"/>
        <v>26780.000000000004</v>
      </c>
      <c r="Q8" s="253">
        <f t="shared" si="47"/>
        <v>24.271844660194173</v>
      </c>
      <c r="R8" s="291">
        <v>29795</v>
      </c>
      <c r="S8" s="330">
        <f t="shared" si="6"/>
        <v>16620</v>
      </c>
      <c r="T8" s="286">
        <f t="shared" si="7"/>
        <v>1.792719614921781</v>
      </c>
      <c r="U8" s="332">
        <f t="shared" si="8"/>
        <v>43380</v>
      </c>
      <c r="V8" s="286">
        <f t="shared" si="9"/>
        <v>15.670700783771323</v>
      </c>
      <c r="W8" s="292"/>
      <c r="X8" s="330">
        <f t="shared" si="10"/>
        <v>14580.000000000002</v>
      </c>
      <c r="Y8" s="286">
        <f t="shared" si="11"/>
        <v>0</v>
      </c>
      <c r="Z8" s="332">
        <f t="shared" si="12"/>
        <v>57960</v>
      </c>
      <c r="AA8" s="286">
        <f t="shared" si="13"/>
        <v>11.728692201518289</v>
      </c>
      <c r="AB8" s="292"/>
      <c r="AC8" s="330">
        <f t="shared" si="14"/>
        <v>22040</v>
      </c>
      <c r="AD8" s="286">
        <f t="shared" si="15"/>
        <v>0</v>
      </c>
      <c r="AE8" s="332">
        <f t="shared" si="16"/>
        <v>80000</v>
      </c>
      <c r="AF8" s="286">
        <f t="shared" si="17"/>
        <v>8.4974375000000002</v>
      </c>
      <c r="AG8" s="292"/>
      <c r="AH8" s="330">
        <f t="shared" si="18"/>
        <v>24059.999999999996</v>
      </c>
      <c r="AI8" s="286">
        <f t="shared" si="19"/>
        <v>0</v>
      </c>
      <c r="AJ8" s="330">
        <f t="shared" si="20"/>
        <v>104060</v>
      </c>
      <c r="AK8" s="286">
        <f t="shared" si="21"/>
        <v>6.5327215068229867</v>
      </c>
      <c r="AL8" s="292"/>
      <c r="AM8" s="330">
        <f t="shared" si="22"/>
        <v>6780</v>
      </c>
      <c r="AN8" s="286">
        <f t="shared" si="23"/>
        <v>0</v>
      </c>
      <c r="AO8" s="330">
        <f t="shared" si="24"/>
        <v>110840</v>
      </c>
      <c r="AP8" s="286">
        <f t="shared" si="25"/>
        <v>6.1331198123421151</v>
      </c>
      <c r="AQ8" s="292"/>
      <c r="AR8" s="330">
        <f t="shared" si="26"/>
        <v>19660</v>
      </c>
      <c r="AS8" s="286">
        <f t="shared" si="27"/>
        <v>0</v>
      </c>
      <c r="AT8" s="330">
        <f t="shared" si="28"/>
        <v>130500</v>
      </c>
      <c r="AU8" s="286">
        <f t="shared" si="29"/>
        <v>5.2091570881226055</v>
      </c>
      <c r="AV8" s="292"/>
      <c r="AW8" s="330">
        <f t="shared" si="30"/>
        <v>21700</v>
      </c>
      <c r="AX8" s="286">
        <f t="shared" si="31"/>
        <v>0</v>
      </c>
      <c r="AY8" s="330">
        <f t="shared" si="32"/>
        <v>152199.99999999997</v>
      </c>
      <c r="AZ8" s="286">
        <f t="shared" si="33"/>
        <v>4.4664586070959276</v>
      </c>
      <c r="BA8" s="292"/>
      <c r="BB8" s="330">
        <f t="shared" si="34"/>
        <v>12200</v>
      </c>
      <c r="BC8" s="286">
        <f t="shared" si="35"/>
        <v>0</v>
      </c>
      <c r="BD8" s="330">
        <f t="shared" si="36"/>
        <v>164400</v>
      </c>
      <c r="BE8" s="286">
        <f t="shared" si="37"/>
        <v>4.1350060827250612</v>
      </c>
      <c r="BF8" s="292"/>
      <c r="BG8" s="330">
        <f t="shared" si="38"/>
        <v>12880</v>
      </c>
      <c r="BH8" s="286">
        <f t="shared" si="39"/>
        <v>0</v>
      </c>
      <c r="BI8" s="330">
        <f t="shared" si="40"/>
        <v>177280</v>
      </c>
      <c r="BJ8" s="286">
        <f t="shared" si="41"/>
        <v>3.8345837093862816</v>
      </c>
      <c r="BK8" s="292"/>
      <c r="BL8" s="330">
        <f t="shared" si="42"/>
        <v>22720</v>
      </c>
      <c r="BM8" s="286">
        <f t="shared" si="43"/>
        <v>0</v>
      </c>
      <c r="BN8" s="331">
        <f t="shared" si="44"/>
        <v>200000</v>
      </c>
      <c r="BO8" s="290">
        <f t="shared" si="45"/>
        <v>3.3989750000000001</v>
      </c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  <c r="CG8" s="62"/>
      <c r="CH8" s="62"/>
      <c r="CI8" s="62"/>
      <c r="CJ8" s="62"/>
      <c r="CK8" s="62"/>
      <c r="CL8" s="62"/>
      <c r="CM8" s="62"/>
      <c r="CN8" s="62"/>
      <c r="CO8" s="62"/>
      <c r="CP8" s="62"/>
      <c r="CQ8" s="62"/>
      <c r="CR8" s="62"/>
      <c r="CS8" s="62"/>
      <c r="CT8" s="62"/>
      <c r="CU8" s="62"/>
      <c r="CV8" s="62"/>
      <c r="CW8" s="62"/>
      <c r="CX8" s="62"/>
      <c r="CY8" s="62"/>
      <c r="CZ8" s="62"/>
      <c r="DA8" s="62"/>
      <c r="DB8" s="62"/>
      <c r="DC8" s="62"/>
      <c r="DD8" s="62"/>
      <c r="DE8" s="62"/>
      <c r="DF8" s="62"/>
      <c r="DG8" s="62"/>
      <c r="DH8" s="62"/>
      <c r="DI8" s="62"/>
      <c r="DJ8" s="62"/>
      <c r="DK8" s="62"/>
      <c r="DL8" s="62"/>
      <c r="DM8" s="62"/>
      <c r="DN8" s="62"/>
      <c r="DO8" s="62"/>
      <c r="DP8" s="62"/>
      <c r="DQ8" s="62"/>
      <c r="DR8" s="62"/>
      <c r="DS8" s="62"/>
      <c r="DT8" s="62"/>
      <c r="DU8" s="62"/>
      <c r="DV8" s="62"/>
      <c r="DW8" s="62"/>
      <c r="DX8" s="62"/>
      <c r="DY8" s="62"/>
      <c r="DZ8" s="62"/>
      <c r="EA8" s="62"/>
      <c r="EB8" s="62"/>
      <c r="EC8" s="62"/>
      <c r="ED8" s="62"/>
      <c r="EE8" s="62"/>
      <c r="EF8" s="62"/>
      <c r="EG8" s="62"/>
      <c r="EH8" s="62"/>
      <c r="EI8" s="62"/>
      <c r="EJ8" s="62"/>
      <c r="EK8" s="62"/>
      <c r="EL8" s="62"/>
      <c r="EM8" s="62"/>
      <c r="EN8" s="62"/>
      <c r="EO8" s="62"/>
      <c r="EP8" s="62"/>
      <c r="EQ8" s="62"/>
      <c r="ER8" s="62"/>
      <c r="ES8" s="62"/>
      <c r="ET8" s="62"/>
      <c r="EU8" s="62"/>
      <c r="EV8" s="62"/>
      <c r="EW8" s="62"/>
      <c r="EX8" s="62"/>
      <c r="EY8" s="62"/>
      <c r="EZ8" s="62"/>
      <c r="FA8" s="62"/>
      <c r="FB8" s="62"/>
      <c r="FC8" s="62"/>
      <c r="FD8" s="62"/>
      <c r="FE8" s="62"/>
      <c r="FF8" s="62"/>
      <c r="FG8" s="62"/>
      <c r="FH8" s="62"/>
      <c r="FI8" s="62"/>
      <c r="FJ8" s="62"/>
      <c r="FK8" s="62"/>
      <c r="FL8" s="62"/>
      <c r="FM8" s="62"/>
      <c r="FN8" s="62"/>
    </row>
    <row r="9" spans="1:170" s="31" customFormat="1">
      <c r="A9" s="72" t="s">
        <v>48</v>
      </c>
      <c r="B9" s="72" t="s">
        <v>49</v>
      </c>
      <c r="C9" s="72" t="s">
        <v>50</v>
      </c>
      <c r="D9" s="73">
        <v>0</v>
      </c>
      <c r="E9" s="70">
        <v>0</v>
      </c>
      <c r="F9" s="71">
        <v>200000</v>
      </c>
      <c r="G9" s="185" t="s">
        <v>15</v>
      </c>
      <c r="H9" s="278"/>
      <c r="I9" s="338">
        <v>26309.940717769601</v>
      </c>
      <c r="J9" s="252" t="e">
        <f t="shared" si="1"/>
        <v>#VALUE!</v>
      </c>
      <c r="K9" s="337">
        <f t="shared" si="2"/>
        <v>0</v>
      </c>
      <c r="L9" s="252" t="e">
        <f>G9/K9</f>
        <v>#VALUE!</v>
      </c>
      <c r="M9" s="341">
        <v>1</v>
      </c>
      <c r="N9" s="337">
        <f>E9*5.93%</f>
        <v>0</v>
      </c>
      <c r="O9" s="253" t="e">
        <f t="shared" si="5"/>
        <v>#DIV/0!</v>
      </c>
      <c r="P9" s="255">
        <f>E9*13.39%</f>
        <v>0</v>
      </c>
      <c r="Q9" s="253" t="e">
        <f>SUM(G9,M9)/P9</f>
        <v>#DIV/0!</v>
      </c>
      <c r="R9" s="291">
        <v>29796</v>
      </c>
      <c r="S9" s="330">
        <f>E9*8.31%</f>
        <v>0</v>
      </c>
      <c r="T9" s="286" t="e">
        <f t="shared" si="7"/>
        <v>#DIV/0!</v>
      </c>
      <c r="U9" s="332">
        <f>E9*21.69%</f>
        <v>0</v>
      </c>
      <c r="V9" s="286" t="e">
        <f>SUM(G9,M9,R9)/U9</f>
        <v>#DIV/0!</v>
      </c>
      <c r="W9" s="292"/>
      <c r="X9" s="330">
        <f>E9*7.29%</f>
        <v>0</v>
      </c>
      <c r="Y9" s="286" t="e">
        <f t="shared" si="11"/>
        <v>#DIV/0!</v>
      </c>
      <c r="Z9" s="332">
        <f>E9*28.98%</f>
        <v>0</v>
      </c>
      <c r="AA9" s="286" t="e">
        <f>SUM(G9,M9,R9,W9)/Z9</f>
        <v>#DIV/0!</v>
      </c>
      <c r="AB9" s="292"/>
      <c r="AC9" s="330">
        <f>E9*11.02%</f>
        <v>0</v>
      </c>
      <c r="AD9" s="286" t="e">
        <f t="shared" si="15"/>
        <v>#DIV/0!</v>
      </c>
      <c r="AE9" s="332">
        <f>E9*40%</f>
        <v>0</v>
      </c>
      <c r="AF9" s="286" t="e">
        <f>SUM(G9,M9,R9,W9,AB9)/AE9</f>
        <v>#DIV/0!</v>
      </c>
      <c r="AG9" s="292"/>
      <c r="AH9" s="330">
        <f>E9*12.03%</f>
        <v>0</v>
      </c>
      <c r="AI9" s="286" t="e">
        <f t="shared" si="19"/>
        <v>#DIV/0!</v>
      </c>
      <c r="AJ9" s="330">
        <f>E9*52.03%</f>
        <v>0</v>
      </c>
      <c r="AK9" s="286" t="e">
        <f>SUM(G9,M9,R9,W9,AB9,AG9)/AJ9</f>
        <v>#DIV/0!</v>
      </c>
      <c r="AL9" s="292"/>
      <c r="AM9" s="330">
        <f>E9*3.39%</f>
        <v>0</v>
      </c>
      <c r="AN9" s="286" t="e">
        <f t="shared" si="23"/>
        <v>#DIV/0!</v>
      </c>
      <c r="AO9" s="330">
        <f>E9*55.42%</f>
        <v>0</v>
      </c>
      <c r="AP9" s="286" t="e">
        <f>SUM(G9,M9,R9,W9,AB9,AG9,AL9)/AO9</f>
        <v>#DIV/0!</v>
      </c>
      <c r="AQ9" s="292"/>
      <c r="AR9" s="330">
        <f>E9*9.83%</f>
        <v>0</v>
      </c>
      <c r="AS9" s="286" t="e">
        <f t="shared" si="27"/>
        <v>#DIV/0!</v>
      </c>
      <c r="AT9" s="330">
        <f>E9*65.25%</f>
        <v>0</v>
      </c>
      <c r="AU9" s="286" t="e">
        <f>SUM(G9,M9,R9,W9,AB9,AG9,AL9,AQ9)/AT9</f>
        <v>#DIV/0!</v>
      </c>
      <c r="AV9" s="292"/>
      <c r="AW9" s="330">
        <f>E9*10.85%</f>
        <v>0</v>
      </c>
      <c r="AX9" s="286" t="e">
        <f t="shared" si="31"/>
        <v>#DIV/0!</v>
      </c>
      <c r="AY9" s="330">
        <f>E9*76.1%</f>
        <v>0</v>
      </c>
      <c r="AZ9" s="286" t="e">
        <f>SUM(G9,M9,R9,W9,AB9,AG9,AL9,AQ9,AV9)/AY9</f>
        <v>#DIV/0!</v>
      </c>
      <c r="BA9" s="292"/>
      <c r="BB9" s="330">
        <f>E9*6.1%</f>
        <v>0</v>
      </c>
      <c r="BC9" s="286" t="e">
        <f t="shared" si="35"/>
        <v>#DIV/0!</v>
      </c>
      <c r="BD9" s="330">
        <f>E9*82.2%</f>
        <v>0</v>
      </c>
      <c r="BE9" s="286" t="e">
        <f>SUM(G9,M9,R9,W9,AB9,AG9,AL9,AQ9,AV9,BA9)/BD9</f>
        <v>#DIV/0!</v>
      </c>
      <c r="BF9" s="292"/>
      <c r="BG9" s="330">
        <f>E9*6.44%</f>
        <v>0</v>
      </c>
      <c r="BH9" s="286" t="e">
        <f t="shared" si="39"/>
        <v>#DIV/0!</v>
      </c>
      <c r="BI9" s="330">
        <f>E9*88.64%</f>
        <v>0</v>
      </c>
      <c r="BJ9" s="286" t="e">
        <f>SUM(G9,M9,R9,W9,AB9,AG9,AL9,AQ9,AV9,BA9,BF9)/BI9</f>
        <v>#DIV/0!</v>
      </c>
      <c r="BK9" s="292"/>
      <c r="BL9" s="330">
        <f>E9*11.36%</f>
        <v>0</v>
      </c>
      <c r="BM9" s="286" t="e">
        <f t="shared" si="43"/>
        <v>#DIV/0!</v>
      </c>
      <c r="BN9" s="331">
        <f>E9*100%</f>
        <v>0</v>
      </c>
      <c r="BO9" s="290" t="e">
        <f>SUM(G9,M9,R9,W9,AB9,AG9,AL9,AQ9,AV9,BA9,BF9,BK9)/BN9</f>
        <v>#DIV/0!</v>
      </c>
      <c r="BP9" s="69"/>
      <c r="BQ9" s="69"/>
      <c r="BR9" s="69"/>
      <c r="BS9" s="69"/>
      <c r="BT9" s="69"/>
      <c r="BU9" s="69"/>
      <c r="BV9" s="69"/>
      <c r="BW9" s="69"/>
      <c r="BX9" s="69"/>
      <c r="BY9" s="69"/>
      <c r="BZ9" s="69"/>
      <c r="CA9" s="69"/>
      <c r="CB9" s="69"/>
      <c r="CC9" s="69"/>
      <c r="CD9" s="69"/>
      <c r="CE9" s="69"/>
      <c r="CF9" s="69"/>
      <c r="CG9" s="69"/>
      <c r="CH9" s="69"/>
      <c r="CI9" s="69"/>
      <c r="CJ9" s="69"/>
      <c r="CK9" s="69"/>
      <c r="CL9" s="69"/>
      <c r="CM9" s="69"/>
      <c r="CN9" s="69"/>
      <c r="CO9" s="69"/>
      <c r="CP9" s="69"/>
      <c r="CQ9" s="69"/>
      <c r="CR9" s="69"/>
      <c r="CS9" s="69"/>
      <c r="CT9" s="69"/>
      <c r="CU9" s="69"/>
      <c r="CV9" s="69"/>
      <c r="CW9" s="69"/>
      <c r="CX9" s="69"/>
      <c r="CY9" s="69"/>
      <c r="CZ9" s="69"/>
      <c r="DA9" s="69"/>
      <c r="DB9" s="69"/>
      <c r="DC9" s="69"/>
      <c r="DD9" s="69"/>
      <c r="DE9" s="69"/>
      <c r="DF9" s="69"/>
      <c r="DG9" s="69"/>
      <c r="DH9" s="69"/>
      <c r="DI9" s="69"/>
      <c r="DJ9" s="69"/>
      <c r="DK9" s="69"/>
      <c r="DL9" s="69"/>
      <c r="DM9" s="69"/>
      <c r="DN9" s="69"/>
      <c r="DO9" s="69"/>
      <c r="DP9" s="69"/>
      <c r="DQ9" s="69"/>
      <c r="DR9" s="69"/>
      <c r="DS9" s="69"/>
      <c r="DT9" s="69"/>
      <c r="DU9" s="69"/>
      <c r="DV9" s="69"/>
      <c r="DW9" s="69"/>
      <c r="DX9" s="69"/>
      <c r="DY9" s="69"/>
      <c r="DZ9" s="69"/>
      <c r="EA9" s="69"/>
      <c r="EB9" s="69"/>
      <c r="EC9" s="69"/>
      <c r="ED9" s="69"/>
      <c r="EE9" s="69"/>
      <c r="EF9" s="69"/>
      <c r="EG9" s="69"/>
      <c r="EH9" s="69"/>
      <c r="EI9" s="69"/>
      <c r="EJ9" s="69"/>
      <c r="EK9" s="69"/>
      <c r="EL9" s="69"/>
      <c r="EM9" s="69"/>
      <c r="EN9" s="69"/>
      <c r="EO9" s="69"/>
      <c r="EP9" s="69"/>
      <c r="EQ9" s="69"/>
      <c r="ER9" s="69"/>
      <c r="ES9" s="69"/>
      <c r="ET9" s="69"/>
      <c r="EU9" s="69"/>
      <c r="EV9" s="69"/>
      <c r="EW9" s="69"/>
      <c r="EX9" s="69"/>
      <c r="EY9" s="69"/>
      <c r="EZ9" s="69"/>
      <c r="FA9" s="69"/>
      <c r="FB9" s="69"/>
      <c r="FC9" s="69"/>
      <c r="FD9" s="69"/>
      <c r="FE9" s="69"/>
      <c r="FF9" s="69"/>
      <c r="FG9" s="69"/>
      <c r="FH9" s="69"/>
      <c r="FI9" s="69"/>
      <c r="FJ9" s="69"/>
      <c r="FK9" s="69"/>
      <c r="FL9" s="69"/>
      <c r="FM9" s="69"/>
      <c r="FN9" s="69"/>
    </row>
    <row r="10" spans="1:170" customFormat="1">
      <c r="F10" s="184">
        <f>SUM(F4:F9)</f>
        <v>3775000</v>
      </c>
      <c r="H10" s="1"/>
      <c r="I10" s="1"/>
    </row>
    <row r="12" spans="1:170" s="139" customFormat="1" ht="15.75" thickBot="1">
      <c r="H12"/>
      <c r="I12"/>
    </row>
    <row r="13" spans="1:170" ht="15.75" thickBot="1">
      <c r="A13" s="170"/>
      <c r="B13" s="174" t="s">
        <v>121</v>
      </c>
      <c r="C13" s="175" t="s">
        <v>122</v>
      </c>
      <c r="D13" s="174" t="s">
        <v>123</v>
      </c>
      <c r="E13" s="175" t="s">
        <v>124</v>
      </c>
      <c r="F13" s="174" t="s">
        <v>125</v>
      </c>
      <c r="G13" s="175" t="s">
        <v>126</v>
      </c>
      <c r="H13"/>
      <c r="I13"/>
    </row>
    <row r="14" spans="1:170">
      <c r="A14" s="11" t="s">
        <v>16</v>
      </c>
      <c r="B14" s="8">
        <v>178344</v>
      </c>
      <c r="C14" s="25">
        <v>10</v>
      </c>
      <c r="D14" s="13">
        <v>162133</v>
      </c>
      <c r="E14" s="14">
        <v>14</v>
      </c>
      <c r="F14" s="17">
        <v>210000</v>
      </c>
      <c r="G14" s="176">
        <f>IF(D14=0,"",D14-F14)</f>
        <v>-47867</v>
      </c>
      <c r="H14"/>
      <c r="I14"/>
    </row>
    <row r="15" spans="1:170">
      <c r="A15" s="11" t="s">
        <v>17</v>
      </c>
      <c r="B15" s="24">
        <v>183670</v>
      </c>
      <c r="C15" s="23">
        <v>10</v>
      </c>
      <c r="D15" s="4">
        <v>372160</v>
      </c>
      <c r="E15" s="5">
        <v>19</v>
      </c>
      <c r="F15" s="177">
        <v>215000</v>
      </c>
      <c r="G15" s="176">
        <f t="shared" ref="G15:G26" si="48">IF(D15=0,"",D15-F15)</f>
        <v>157160</v>
      </c>
      <c r="H15"/>
      <c r="I15"/>
    </row>
    <row r="16" spans="1:170">
      <c r="A16" s="11" t="s">
        <v>18</v>
      </c>
      <c r="B16" s="24">
        <v>471907</v>
      </c>
      <c r="C16" s="23">
        <v>24</v>
      </c>
      <c r="D16" s="4"/>
      <c r="E16" s="5"/>
      <c r="F16" s="177">
        <v>555000</v>
      </c>
      <c r="G16" s="176" t="str">
        <f t="shared" si="48"/>
        <v/>
      </c>
      <c r="H16"/>
      <c r="I16"/>
    </row>
    <row r="17" spans="1:9">
      <c r="A17" s="11" t="s">
        <v>19</v>
      </c>
      <c r="B17" s="24">
        <v>296604</v>
      </c>
      <c r="C17" s="23">
        <v>16</v>
      </c>
      <c r="D17" s="4"/>
      <c r="E17" s="5"/>
      <c r="F17" s="177">
        <v>350000</v>
      </c>
      <c r="G17" s="176" t="str">
        <f t="shared" si="48"/>
        <v/>
      </c>
      <c r="H17"/>
      <c r="I17"/>
    </row>
    <row r="18" spans="1:9">
      <c r="A18" s="11" t="s">
        <v>20</v>
      </c>
      <c r="B18" s="21">
        <v>356843</v>
      </c>
      <c r="C18" s="23">
        <v>21</v>
      </c>
      <c r="D18" s="4"/>
      <c r="E18" s="5"/>
      <c r="F18" s="177">
        <v>420000</v>
      </c>
      <c r="G18" s="176" t="str">
        <f t="shared" si="48"/>
        <v/>
      </c>
      <c r="H18"/>
      <c r="I18"/>
    </row>
    <row r="19" spans="1:9">
      <c r="A19" s="11" t="s">
        <v>21</v>
      </c>
      <c r="B19" s="24">
        <v>370189</v>
      </c>
      <c r="C19" s="23">
        <v>23</v>
      </c>
      <c r="D19" s="4"/>
      <c r="E19" s="5"/>
      <c r="F19" s="177">
        <v>435000</v>
      </c>
      <c r="G19" s="176" t="str">
        <f t="shared" si="48"/>
        <v/>
      </c>
      <c r="H19"/>
      <c r="I19"/>
    </row>
    <row r="20" spans="1:9">
      <c r="A20" s="11" t="s">
        <v>22</v>
      </c>
      <c r="B20" s="24">
        <v>123134</v>
      </c>
      <c r="C20" s="23">
        <v>9</v>
      </c>
      <c r="D20" s="4"/>
      <c r="E20" s="5"/>
      <c r="F20" s="177">
        <v>145000</v>
      </c>
      <c r="G20" s="176" t="str">
        <f t="shared" si="48"/>
        <v/>
      </c>
      <c r="H20"/>
      <c r="I20"/>
    </row>
    <row r="21" spans="1:9">
      <c r="A21" s="11" t="s">
        <v>23</v>
      </c>
      <c r="B21" s="24">
        <v>158702</v>
      </c>
      <c r="C21" s="23">
        <v>9</v>
      </c>
      <c r="D21" s="4"/>
      <c r="E21" s="5"/>
      <c r="F21" s="177">
        <v>185000</v>
      </c>
      <c r="G21" s="176" t="str">
        <f t="shared" si="48"/>
        <v/>
      </c>
      <c r="H21"/>
      <c r="I21"/>
    </row>
    <row r="22" spans="1:9">
      <c r="A22" s="11" t="s">
        <v>24</v>
      </c>
      <c r="B22" s="24">
        <v>344799</v>
      </c>
      <c r="C22" s="23">
        <v>21</v>
      </c>
      <c r="D22" s="4"/>
      <c r="E22" s="5"/>
      <c r="F22" s="177">
        <v>410000</v>
      </c>
      <c r="G22" s="176" t="str">
        <f t="shared" si="48"/>
        <v/>
      </c>
      <c r="H22"/>
      <c r="I22"/>
    </row>
    <row r="23" spans="1:9">
      <c r="A23" s="11" t="s">
        <v>25</v>
      </c>
      <c r="B23" s="24">
        <v>174463</v>
      </c>
      <c r="C23" s="23">
        <v>11</v>
      </c>
      <c r="D23" s="4"/>
      <c r="E23" s="5"/>
      <c r="F23" s="177">
        <v>205000</v>
      </c>
      <c r="G23" s="176" t="str">
        <f t="shared" si="48"/>
        <v/>
      </c>
      <c r="H23"/>
      <c r="I23"/>
    </row>
    <row r="24" spans="1:9">
      <c r="A24" s="11" t="s">
        <v>26</v>
      </c>
      <c r="B24" s="24">
        <v>201828</v>
      </c>
      <c r="C24" s="22">
        <v>13</v>
      </c>
      <c r="D24" s="4"/>
      <c r="E24" s="5"/>
      <c r="F24" s="177">
        <v>240000</v>
      </c>
      <c r="G24" s="176" t="str">
        <f t="shared" si="48"/>
        <v/>
      </c>
      <c r="H24"/>
      <c r="I24"/>
    </row>
    <row r="25" spans="1:9" ht="15.75" thickBot="1">
      <c r="A25" s="11" t="s">
        <v>27</v>
      </c>
      <c r="B25" s="9">
        <v>344245</v>
      </c>
      <c r="C25" s="33">
        <v>20</v>
      </c>
      <c r="D25" s="6"/>
      <c r="E25" s="7"/>
      <c r="F25" s="192">
        <v>405000</v>
      </c>
      <c r="G25" s="216" t="str">
        <f t="shared" si="48"/>
        <v/>
      </c>
      <c r="H25"/>
      <c r="I25"/>
    </row>
    <row r="26" spans="1:9" ht="15.75" thickBot="1">
      <c r="A26" s="12"/>
      <c r="B26" s="20">
        <f>SUM(B14:B25)</f>
        <v>3204728</v>
      </c>
      <c r="C26" s="26">
        <f>SUM(C14:C25)</f>
        <v>187</v>
      </c>
      <c r="D26" s="143">
        <f>SUM(D14:D25)</f>
        <v>534293</v>
      </c>
      <c r="E26" s="28">
        <f>SUM(E14:E25)</f>
        <v>33</v>
      </c>
      <c r="F26" s="180">
        <f>SUM(F14:F25)</f>
        <v>3775000</v>
      </c>
      <c r="G26" s="188">
        <f t="shared" si="48"/>
        <v>-3240707</v>
      </c>
      <c r="H26"/>
      <c r="I26"/>
    </row>
    <row r="27" spans="1:9" ht="15.75" thickBot="1">
      <c r="H27"/>
      <c r="I27"/>
    </row>
    <row r="28" spans="1:9" ht="45.75" thickBot="1">
      <c r="E28" s="150" t="s">
        <v>134</v>
      </c>
      <c r="F28" s="145">
        <f>D26/F26</f>
        <v>0.14153456953642385</v>
      </c>
      <c r="H28"/>
      <c r="I28"/>
    </row>
  </sheetData>
  <mergeCells count="1">
    <mergeCell ref="A3:C3"/>
  </mergeCells>
  <pageMargins left="0.7" right="0.7" top="0.75" bottom="0.75" header="0.3" footer="0.3"/>
  <pageSetup paperSize="9" scale="5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27"/>
  <sheetViews>
    <sheetView topLeftCell="E1" workbookViewId="0">
      <selection activeCell="H3" sqref="H3:BO7"/>
    </sheetView>
  </sheetViews>
  <sheetFormatPr defaultRowHeight="15"/>
  <cols>
    <col min="1" max="1" width="10.5703125" style="81" customWidth="1"/>
    <col min="2" max="2" width="14.28515625" style="81" bestFit="1" customWidth="1"/>
    <col min="3" max="3" width="9.42578125" style="81" customWidth="1"/>
    <col min="4" max="4" width="12.5703125" style="81" bestFit="1" customWidth="1"/>
    <col min="5" max="5" width="12.140625" style="81" customWidth="1"/>
    <col min="6" max="6" width="19.28515625" style="81" customWidth="1"/>
    <col min="7" max="7" width="20.5703125" style="81" bestFit="1" customWidth="1"/>
    <col min="8" max="9" width="10.7109375" style="81" bestFit="1" customWidth="1"/>
    <col min="10" max="10" width="9.140625" style="81"/>
    <col min="11" max="11" width="11.5703125" style="81" bestFit="1" customWidth="1"/>
    <col min="12" max="19" width="9.140625" style="81"/>
    <col min="20" max="20" width="12.85546875" style="81" customWidth="1"/>
    <col min="21" max="16384" width="9.140625" style="81"/>
  </cols>
  <sheetData>
    <row r="1" spans="1:67" s="197" customFormat="1" ht="21">
      <c r="A1" s="199" t="s">
        <v>131</v>
      </c>
    </row>
    <row r="3" spans="1:67" s="200" customFormat="1" ht="25.5">
      <c r="A3" s="275" t="s">
        <v>0</v>
      </c>
      <c r="B3" s="276"/>
      <c r="C3" s="277"/>
      <c r="D3" s="201" t="s">
        <v>1</v>
      </c>
      <c r="E3" s="202" t="s">
        <v>2</v>
      </c>
      <c r="F3" s="203" t="s">
        <v>119</v>
      </c>
      <c r="G3" s="204" t="s">
        <v>120</v>
      </c>
      <c r="H3" s="280" t="s">
        <v>16</v>
      </c>
      <c r="I3" s="281" t="s">
        <v>172</v>
      </c>
      <c r="J3" s="281" t="s">
        <v>173</v>
      </c>
      <c r="K3" s="281" t="s">
        <v>150</v>
      </c>
      <c r="L3" s="281" t="s">
        <v>151</v>
      </c>
      <c r="M3" s="282" t="s">
        <v>17</v>
      </c>
      <c r="N3" s="281" t="s">
        <v>148</v>
      </c>
      <c r="O3" s="281" t="s">
        <v>149</v>
      </c>
      <c r="P3" s="281" t="s">
        <v>150</v>
      </c>
      <c r="Q3" s="281" t="s">
        <v>151</v>
      </c>
      <c r="R3" s="280" t="s">
        <v>18</v>
      </c>
      <c r="S3" s="281" t="s">
        <v>152</v>
      </c>
      <c r="T3" s="281" t="s">
        <v>153</v>
      </c>
      <c r="U3" s="281" t="s">
        <v>150</v>
      </c>
      <c r="V3" s="281" t="s">
        <v>151</v>
      </c>
      <c r="W3" s="280" t="s">
        <v>19</v>
      </c>
      <c r="X3" s="281" t="s">
        <v>154</v>
      </c>
      <c r="Y3" s="281" t="s">
        <v>155</v>
      </c>
      <c r="Z3" s="281" t="s">
        <v>150</v>
      </c>
      <c r="AA3" s="281" t="s">
        <v>151</v>
      </c>
      <c r="AB3" s="280" t="s">
        <v>20</v>
      </c>
      <c r="AC3" s="281" t="s">
        <v>156</v>
      </c>
      <c r="AD3" s="281" t="s">
        <v>157</v>
      </c>
      <c r="AE3" s="281" t="s">
        <v>150</v>
      </c>
      <c r="AF3" s="281" t="s">
        <v>151</v>
      </c>
      <c r="AG3" s="280" t="s">
        <v>21</v>
      </c>
      <c r="AH3" s="281" t="s">
        <v>158</v>
      </c>
      <c r="AI3" s="281" t="s">
        <v>159</v>
      </c>
      <c r="AJ3" s="281" t="s">
        <v>150</v>
      </c>
      <c r="AK3" s="281" t="s">
        <v>151</v>
      </c>
      <c r="AL3" s="280" t="s">
        <v>22</v>
      </c>
      <c r="AM3" s="281" t="s">
        <v>160</v>
      </c>
      <c r="AN3" s="281" t="s">
        <v>161</v>
      </c>
      <c r="AO3" s="281" t="s">
        <v>150</v>
      </c>
      <c r="AP3" s="281" t="s">
        <v>151</v>
      </c>
      <c r="AQ3" s="280" t="s">
        <v>23</v>
      </c>
      <c r="AR3" s="281" t="s">
        <v>162</v>
      </c>
      <c r="AS3" s="281" t="s">
        <v>163</v>
      </c>
      <c r="AT3" s="281" t="s">
        <v>150</v>
      </c>
      <c r="AU3" s="281" t="s">
        <v>151</v>
      </c>
      <c r="AV3" s="280" t="s">
        <v>24</v>
      </c>
      <c r="AW3" s="281" t="s">
        <v>164</v>
      </c>
      <c r="AX3" s="281" t="s">
        <v>165</v>
      </c>
      <c r="AY3" s="281" t="s">
        <v>150</v>
      </c>
      <c r="AZ3" s="281" t="s">
        <v>151</v>
      </c>
      <c r="BA3" s="280" t="s">
        <v>25</v>
      </c>
      <c r="BB3" s="281" t="s">
        <v>166</v>
      </c>
      <c r="BC3" s="281" t="s">
        <v>167</v>
      </c>
      <c r="BD3" s="281" t="s">
        <v>150</v>
      </c>
      <c r="BE3" s="281" t="s">
        <v>151</v>
      </c>
      <c r="BF3" s="280" t="s">
        <v>26</v>
      </c>
      <c r="BG3" s="281" t="s">
        <v>168</v>
      </c>
      <c r="BH3" s="281" t="s">
        <v>169</v>
      </c>
      <c r="BI3" s="281" t="s">
        <v>150</v>
      </c>
      <c r="BJ3" s="281" t="s">
        <v>151</v>
      </c>
      <c r="BK3" s="280" t="s">
        <v>27</v>
      </c>
      <c r="BL3" s="281" t="s">
        <v>170</v>
      </c>
      <c r="BM3" s="281" t="s">
        <v>171</v>
      </c>
      <c r="BN3" s="281" t="s">
        <v>150</v>
      </c>
      <c r="BO3" s="281" t="s">
        <v>151</v>
      </c>
    </row>
    <row r="4" spans="1:67">
      <c r="A4" s="92" t="s">
        <v>87</v>
      </c>
      <c r="B4" s="94" t="s">
        <v>88</v>
      </c>
      <c r="C4" s="94" t="s">
        <v>89</v>
      </c>
      <c r="D4" s="93">
        <v>442443.22</v>
      </c>
      <c r="E4" s="196" t="s">
        <v>15</v>
      </c>
      <c r="F4" s="82">
        <v>600000</v>
      </c>
      <c r="G4" s="86">
        <v>670000</v>
      </c>
      <c r="H4" s="246">
        <v>44629.999356190798</v>
      </c>
      <c r="I4" s="251">
        <f>F4*7.46%</f>
        <v>44760</v>
      </c>
      <c r="J4" s="252">
        <f>H4/I4</f>
        <v>0.99709560670667552</v>
      </c>
      <c r="K4" s="251">
        <f>F4*7.46%</f>
        <v>44760</v>
      </c>
      <c r="L4" s="252">
        <f>H4/K4</f>
        <v>0.99709560670667552</v>
      </c>
      <c r="M4" s="248">
        <v>90685.244555172496</v>
      </c>
      <c r="N4" s="251">
        <f>F4*5.93%</f>
        <v>35580</v>
      </c>
      <c r="O4" s="253">
        <f>M4/N4</f>
        <v>2.5487702235855112</v>
      </c>
      <c r="P4" s="255">
        <f>F4*13.39%</f>
        <v>80340.000000000015</v>
      </c>
      <c r="Q4" s="253">
        <f>SUM(H4,M4)/P4</f>
        <v>1.6842823489091769</v>
      </c>
      <c r="R4" s="284">
        <v>42539</v>
      </c>
      <c r="S4" s="285">
        <f>F4*8.31%</f>
        <v>49860.000000000007</v>
      </c>
      <c r="T4" s="286">
        <f>R4/S4</f>
        <v>0.85316887284396292</v>
      </c>
      <c r="U4" s="287">
        <f>F4*21.69%</f>
        <v>130140</v>
      </c>
      <c r="V4" s="286">
        <f>SUM(H4,M4,R4)/U4</f>
        <v>1.3666378047592078</v>
      </c>
      <c r="W4" s="288"/>
      <c r="X4" s="285">
        <f>F4*7.29%</f>
        <v>43740.000000000007</v>
      </c>
      <c r="Y4" s="286">
        <f>W4/X4</f>
        <v>0</v>
      </c>
      <c r="Z4" s="287">
        <f>F4*28.98%</f>
        <v>173880</v>
      </c>
      <c r="AA4" s="286">
        <f>SUM(H4,M4,R4,W4)/Z4</f>
        <v>1.0228562451769225</v>
      </c>
      <c r="AB4" s="288"/>
      <c r="AC4" s="285">
        <f>F4*11.02%</f>
        <v>66120</v>
      </c>
      <c r="AD4" s="286">
        <f>AB4/AC4</f>
        <v>0</v>
      </c>
      <c r="AE4" s="332">
        <f>F4*40%</f>
        <v>240000</v>
      </c>
      <c r="AF4" s="286">
        <f>SUM(H4,M4,R4,W4,AB4)/AE4</f>
        <v>0.74105934963068043</v>
      </c>
      <c r="AG4" s="288"/>
      <c r="AH4" s="330">
        <f>F4*12.03%</f>
        <v>72180</v>
      </c>
      <c r="AI4" s="286">
        <f>AG4/AH4</f>
        <v>0</v>
      </c>
      <c r="AJ4" s="330">
        <f>F4*52.03%</f>
        <v>312180</v>
      </c>
      <c r="AK4" s="286">
        <f>SUM(H4,M4,R4,W4,AB4,AG4)/AJ4</f>
        <v>0.56971697069435356</v>
      </c>
      <c r="AL4" s="288"/>
      <c r="AM4" s="330">
        <f>F4*3.39%</f>
        <v>20340</v>
      </c>
      <c r="AN4" s="286">
        <f>AL4/AM4</f>
        <v>0</v>
      </c>
      <c r="AO4" s="330">
        <f>F4*55.42%</f>
        <v>332520</v>
      </c>
      <c r="AP4" s="286">
        <f>SUM(H4,M4,R4,W4,AB4,AG4,AL4)/AO4</f>
        <v>0.53486780918850985</v>
      </c>
      <c r="AQ4" s="288"/>
      <c r="AR4" s="330">
        <f>F4*9.83%</f>
        <v>58980</v>
      </c>
      <c r="AS4" s="286">
        <f>AQ4/AR4</f>
        <v>0</v>
      </c>
      <c r="AT4" s="330">
        <f>F4*65.25%</f>
        <v>391500</v>
      </c>
      <c r="AU4" s="286">
        <f>SUM(H4,M4,R4,W4,AB4,AG4,AL4,AQ4)/AT4</f>
        <v>0.45428925647857804</v>
      </c>
      <c r="AV4" s="288"/>
      <c r="AW4" s="330">
        <f>F4*10.85%</f>
        <v>65100</v>
      </c>
      <c r="AX4" s="286">
        <f>AV4/AW4</f>
        <v>0</v>
      </c>
      <c r="AY4" s="330">
        <f>F4*76.1%</f>
        <v>456599.99999999994</v>
      </c>
      <c r="AZ4" s="286">
        <f>SUM(H4,M4,R4,W4,AB4,AG4,AL4,AQ4,AV4)/AY4</f>
        <v>0.3895187120266389</v>
      </c>
      <c r="BA4" s="288"/>
      <c r="BB4" s="330">
        <f>F4*6.1%</f>
        <v>36600</v>
      </c>
      <c r="BC4" s="286">
        <f>BA4/BB4</f>
        <v>0</v>
      </c>
      <c r="BD4" s="330">
        <f>F4*82.2%</f>
        <v>493200.00000000006</v>
      </c>
      <c r="BE4" s="286">
        <f>SUM(H4,M4,R4,W4,AB4,AG4,AL4,AQ4,AV4,BA4)/BD4</f>
        <v>0.36061282220471064</v>
      </c>
      <c r="BF4" s="288"/>
      <c r="BG4" s="330">
        <f>F4*6.44%</f>
        <v>38640</v>
      </c>
      <c r="BH4" s="286">
        <f>BF4/BG4</f>
        <v>0</v>
      </c>
      <c r="BI4" s="330">
        <f>F4*88.64%</f>
        <v>531840</v>
      </c>
      <c r="BJ4" s="286">
        <f>SUM(H4,M4,R4,W4,AB4,AG4,AL4,AQ4,AV4,BA4,BF4)/BI4</f>
        <v>0.33441306391276193</v>
      </c>
      <c r="BK4" s="288"/>
      <c r="BL4" s="330">
        <f>F4*11.36%</f>
        <v>68160</v>
      </c>
      <c r="BM4" s="286">
        <f>BK4/BL4</f>
        <v>0</v>
      </c>
      <c r="BN4" s="331">
        <f>F4*100%</f>
        <v>600000</v>
      </c>
      <c r="BO4" s="290">
        <f>SUM(H4,M4,R4,W4,AB4,AG4,AL4,AQ4,AV4,BA4,BF4,BK4)/BN4</f>
        <v>0.29642373985227216</v>
      </c>
    </row>
    <row r="5" spans="1:67">
      <c r="A5" s="95" t="s">
        <v>90</v>
      </c>
      <c r="B5" s="97" t="s">
        <v>91</v>
      </c>
      <c r="C5" s="97" t="s">
        <v>92</v>
      </c>
      <c r="D5" s="96">
        <v>1680</v>
      </c>
      <c r="E5" s="196" t="s">
        <v>15</v>
      </c>
      <c r="F5" s="82">
        <v>150000</v>
      </c>
      <c r="G5" s="80" t="s">
        <v>15</v>
      </c>
      <c r="H5" s="247">
        <v>104422.37</v>
      </c>
      <c r="I5" s="251">
        <f t="shared" ref="I5:I7" si="0">F5*7.46%</f>
        <v>11190</v>
      </c>
      <c r="J5" s="252">
        <f t="shared" ref="J5:J7" si="1">H5/I5</f>
        <v>9.3317578194816804</v>
      </c>
      <c r="K5" s="251">
        <f t="shared" ref="K5:K7" si="2">F5*7.46%</f>
        <v>11190</v>
      </c>
      <c r="L5" s="252">
        <f t="shared" ref="L5:L7" si="3">H5/K5</f>
        <v>9.3317578194816804</v>
      </c>
      <c r="M5" s="249">
        <v>58526.815000000002</v>
      </c>
      <c r="N5" s="251">
        <f t="shared" ref="N5:N7" si="4">F5*5.93%</f>
        <v>8895</v>
      </c>
      <c r="O5" s="253">
        <f t="shared" ref="O5:O7" si="5">M5/N5</f>
        <v>6.5797431141090499</v>
      </c>
      <c r="P5" s="255">
        <f>F5*13.39%</f>
        <v>20085.000000000004</v>
      </c>
      <c r="Q5" s="253">
        <f>SUM(H5,M5)/P5</f>
        <v>8.1129790888722919</v>
      </c>
      <c r="R5" s="291">
        <v>61699</v>
      </c>
      <c r="S5" s="285">
        <f t="shared" ref="S5:S7" si="6">F5*8.31%</f>
        <v>12465.000000000002</v>
      </c>
      <c r="T5" s="286">
        <f t="shared" ref="T5:T7" si="7">R5/S5</f>
        <v>4.9497793822703562</v>
      </c>
      <c r="U5" s="287">
        <f t="shared" ref="U5:U7" si="8">F5*21.69%</f>
        <v>32535</v>
      </c>
      <c r="V5" s="286">
        <f t="shared" ref="V5:V7" si="9">SUM(H5,M5,R5)/U5</f>
        <v>6.9048158905793757</v>
      </c>
      <c r="W5" s="292"/>
      <c r="X5" s="285">
        <f t="shared" ref="X5:X7" si="10">F5*7.29%</f>
        <v>10935.000000000002</v>
      </c>
      <c r="Y5" s="286">
        <f t="shared" ref="Y5:Y7" si="11">W5/X5</f>
        <v>0</v>
      </c>
      <c r="Z5" s="287">
        <f t="shared" ref="Z5:Z7" si="12">F5*28.98%</f>
        <v>43470</v>
      </c>
      <c r="AA5" s="286">
        <f t="shared" ref="AA5:AA7" si="13">SUM(H5,M5,R5,W5)/Z5</f>
        <v>5.1678901541292843</v>
      </c>
      <c r="AB5" s="292"/>
      <c r="AC5" s="285">
        <f t="shared" ref="AC5:AC7" si="14">F5*11.02%</f>
        <v>16530</v>
      </c>
      <c r="AD5" s="286">
        <f t="shared" ref="AD5:AD7" si="15">AB5/AC5</f>
        <v>0</v>
      </c>
      <c r="AE5" s="332">
        <f t="shared" ref="AE5:AE7" si="16">F5*40%</f>
        <v>60000</v>
      </c>
      <c r="AF5" s="286">
        <f t="shared" ref="AF5:AF7" si="17">SUM(H5,M5,R5,W5,AB5)/AE5</f>
        <v>3.7441364166666666</v>
      </c>
      <c r="AG5" s="292"/>
      <c r="AH5" s="330">
        <f t="shared" ref="AH5:AH7" si="18">F5*12.03%</f>
        <v>18045</v>
      </c>
      <c r="AI5" s="286">
        <f t="shared" ref="AI5:AI7" si="19">AG5/AH5</f>
        <v>0</v>
      </c>
      <c r="AJ5" s="330">
        <f t="shared" ref="AJ5:AJ7" si="20">F5*52.03%</f>
        <v>78045</v>
      </c>
      <c r="AK5" s="286">
        <f t="shared" ref="AK5:AK7" si="21">SUM(H5,M5,R5,W5,AB5,AG5)/AJ5</f>
        <v>2.8784442949580371</v>
      </c>
      <c r="AL5" s="292"/>
      <c r="AM5" s="330">
        <f t="shared" ref="AM5:AM7" si="22">F5*3.39%</f>
        <v>5085</v>
      </c>
      <c r="AN5" s="286">
        <f t="shared" ref="AN5:AN7" si="23">AL5/AM5</f>
        <v>0</v>
      </c>
      <c r="AO5" s="330">
        <f t="shared" ref="AO5:AO7" si="24">F5*55.42%</f>
        <v>83130</v>
      </c>
      <c r="AP5" s="286">
        <f t="shared" ref="AP5:AP7" si="25">SUM(H5,M5,R5,W5,AB5,AG5,AL5)/AO5</f>
        <v>2.7023720076987852</v>
      </c>
      <c r="AQ5" s="292"/>
      <c r="AR5" s="330">
        <f t="shared" ref="AR5:AR7" si="26">F5*9.83%</f>
        <v>14745</v>
      </c>
      <c r="AS5" s="286">
        <f t="shared" ref="AS5:AS7" si="27">AQ5/AR5</f>
        <v>0</v>
      </c>
      <c r="AT5" s="330">
        <f t="shared" ref="AT5:AT7" si="28">F5*65.25%</f>
        <v>97875</v>
      </c>
      <c r="AU5" s="286">
        <f t="shared" ref="AU5:AU7" si="29">SUM(H5,M5,R5,W5,AB5,AG5,AL5,AQ5)/AT5</f>
        <v>2.2952560408684546</v>
      </c>
      <c r="AV5" s="292"/>
      <c r="AW5" s="330">
        <f t="shared" ref="AW5:AW7" si="30">F5*10.85%</f>
        <v>16275</v>
      </c>
      <c r="AX5" s="286">
        <f t="shared" ref="AX5:AX7" si="31">AV5/AW5</f>
        <v>0</v>
      </c>
      <c r="AY5" s="330">
        <f t="shared" ref="AY5:AY7" si="32">F5*76.1%</f>
        <v>114149.99999999999</v>
      </c>
      <c r="AZ5" s="286">
        <f t="shared" ref="AZ5:AZ7" si="33">SUM(H5,M5,R5,W5,AB5,AG5,AL5,AQ5,AV5)/AY5</f>
        <v>1.9680086289969341</v>
      </c>
      <c r="BA5" s="292"/>
      <c r="BB5" s="330">
        <f t="shared" ref="BB5:BB7" si="34">F5*6.1%</f>
        <v>9150</v>
      </c>
      <c r="BC5" s="286">
        <f t="shared" ref="BC5:BC7" si="35">BA5/BB5</f>
        <v>0</v>
      </c>
      <c r="BD5" s="330">
        <f t="shared" ref="BD5:BD7" si="36">F5*82.2%</f>
        <v>123300.00000000001</v>
      </c>
      <c r="BE5" s="286">
        <f t="shared" ref="BE5:BE7" si="37">SUM(H5,M5,R5,W5,AB5,AG5,AL5,AQ5,AV5,BA5)/BD5</f>
        <v>1.8219641930251418</v>
      </c>
      <c r="BF5" s="292"/>
      <c r="BG5" s="330">
        <f t="shared" ref="BG5:BG7" si="38">F5*6.44%</f>
        <v>9660</v>
      </c>
      <c r="BH5" s="286">
        <f t="shared" ref="BH5:BH7" si="39">BF5/BG5</f>
        <v>0</v>
      </c>
      <c r="BI5" s="330">
        <f t="shared" ref="BI5:BI7" si="40">F5*88.64%</f>
        <v>132960</v>
      </c>
      <c r="BJ5" s="286">
        <f t="shared" ref="BJ5:BJ7" si="41">SUM(H5,M5,R5,W5,AB5,AG5,AL5,AQ5,AV5,BA5,BF5)/BI5</f>
        <v>1.6895922457882069</v>
      </c>
      <c r="BK5" s="292"/>
      <c r="BL5" s="330">
        <f t="shared" ref="BL5:BL7" si="42">F5*11.36%</f>
        <v>17040</v>
      </c>
      <c r="BM5" s="286">
        <f t="shared" ref="BM5:BM7" si="43">BK5/BL5</f>
        <v>0</v>
      </c>
      <c r="BN5" s="331">
        <f t="shared" ref="BN5:BN7" si="44">F5*100%</f>
        <v>150000</v>
      </c>
      <c r="BO5" s="290">
        <f t="shared" ref="BO5:BO7" si="45">SUM(H5,M5,R5,W5,AB5,AG5,AL5,AQ5,AV5,BA5,BF5,BK5)/BN5</f>
        <v>1.4976545666666667</v>
      </c>
    </row>
    <row r="6" spans="1:67">
      <c r="A6" s="98" t="s">
        <v>93</v>
      </c>
      <c r="B6" s="100" t="s">
        <v>94</v>
      </c>
      <c r="C6" s="100" t="s">
        <v>95</v>
      </c>
      <c r="D6" s="99">
        <v>73374.87</v>
      </c>
      <c r="E6" s="196" t="s">
        <v>15</v>
      </c>
      <c r="F6" s="82">
        <v>250000</v>
      </c>
      <c r="G6" s="80">
        <v>250000</v>
      </c>
      <c r="H6" s="293">
        <v>0</v>
      </c>
      <c r="I6" s="251">
        <f t="shared" si="0"/>
        <v>18650</v>
      </c>
      <c r="J6" s="252">
        <f t="shared" si="1"/>
        <v>0</v>
      </c>
      <c r="K6" s="251">
        <f t="shared" si="2"/>
        <v>18650</v>
      </c>
      <c r="L6" s="252">
        <f t="shared" si="3"/>
        <v>0</v>
      </c>
      <c r="M6" s="249">
        <v>4625.0006000000003</v>
      </c>
      <c r="N6" s="251">
        <f t="shared" si="4"/>
        <v>14825</v>
      </c>
      <c r="O6" s="253">
        <f t="shared" si="5"/>
        <v>0.31197305902192246</v>
      </c>
      <c r="P6" s="255">
        <f t="shared" ref="P6:P7" si="46">F6*13.39%</f>
        <v>33475.000000000007</v>
      </c>
      <c r="Q6" s="253">
        <f t="shared" ref="Q6:Q7" si="47">SUM(H6,M6)/P6</f>
        <v>0.13816282598954441</v>
      </c>
      <c r="R6" s="291">
        <v>47679</v>
      </c>
      <c r="S6" s="285">
        <f t="shared" si="6"/>
        <v>20775</v>
      </c>
      <c r="T6" s="286">
        <f t="shared" si="7"/>
        <v>2.2950180505415161</v>
      </c>
      <c r="U6" s="287">
        <f t="shared" si="8"/>
        <v>54225</v>
      </c>
      <c r="V6" s="286">
        <f t="shared" si="9"/>
        <v>0.96457354725680033</v>
      </c>
      <c r="W6" s="292"/>
      <c r="X6" s="285">
        <f t="shared" si="10"/>
        <v>18225</v>
      </c>
      <c r="Y6" s="286">
        <f t="shared" si="11"/>
        <v>0</v>
      </c>
      <c r="Z6" s="287">
        <f t="shared" si="12"/>
        <v>72450</v>
      </c>
      <c r="AA6" s="286">
        <f t="shared" si="13"/>
        <v>0.72193237543133193</v>
      </c>
      <c r="AB6" s="292"/>
      <c r="AC6" s="285">
        <f t="shared" si="14"/>
        <v>27549.999999999996</v>
      </c>
      <c r="AD6" s="286">
        <f t="shared" si="15"/>
        <v>0</v>
      </c>
      <c r="AE6" s="332">
        <f t="shared" si="16"/>
        <v>100000</v>
      </c>
      <c r="AF6" s="286">
        <f t="shared" si="17"/>
        <v>0.523040006</v>
      </c>
      <c r="AG6" s="292"/>
      <c r="AH6" s="330">
        <f t="shared" si="18"/>
        <v>30074.999999999996</v>
      </c>
      <c r="AI6" s="286">
        <f t="shared" si="19"/>
        <v>0</v>
      </c>
      <c r="AJ6" s="330">
        <f t="shared" si="20"/>
        <v>130075</v>
      </c>
      <c r="AK6" s="286">
        <f t="shared" si="21"/>
        <v>0.40210648164520468</v>
      </c>
      <c r="AL6" s="292"/>
      <c r="AM6" s="330">
        <f t="shared" si="22"/>
        <v>8475</v>
      </c>
      <c r="AN6" s="286">
        <f t="shared" si="23"/>
        <v>0</v>
      </c>
      <c r="AO6" s="330">
        <f t="shared" si="24"/>
        <v>138550</v>
      </c>
      <c r="AP6" s="286">
        <f t="shared" si="25"/>
        <v>0.37750992854565141</v>
      </c>
      <c r="AQ6" s="292"/>
      <c r="AR6" s="330">
        <f t="shared" si="26"/>
        <v>24575</v>
      </c>
      <c r="AS6" s="286">
        <f t="shared" si="27"/>
        <v>0</v>
      </c>
      <c r="AT6" s="330">
        <f t="shared" si="28"/>
        <v>163125</v>
      </c>
      <c r="AU6" s="286">
        <f t="shared" si="29"/>
        <v>0.3206375515708812</v>
      </c>
      <c r="AV6" s="292"/>
      <c r="AW6" s="330">
        <f t="shared" si="30"/>
        <v>27125</v>
      </c>
      <c r="AX6" s="286">
        <f t="shared" si="31"/>
        <v>0</v>
      </c>
      <c r="AY6" s="330">
        <f t="shared" si="32"/>
        <v>190249.99999999997</v>
      </c>
      <c r="AZ6" s="286">
        <f t="shared" si="33"/>
        <v>0.27492247358738509</v>
      </c>
      <c r="BA6" s="292"/>
      <c r="BB6" s="330">
        <f t="shared" si="34"/>
        <v>15250</v>
      </c>
      <c r="BC6" s="286">
        <f t="shared" si="35"/>
        <v>0</v>
      </c>
      <c r="BD6" s="330">
        <f t="shared" si="36"/>
        <v>205500.00000000003</v>
      </c>
      <c r="BE6" s="286">
        <f t="shared" si="37"/>
        <v>0.2545206841849148</v>
      </c>
      <c r="BF6" s="292"/>
      <c r="BG6" s="330">
        <f t="shared" si="38"/>
        <v>16100</v>
      </c>
      <c r="BH6" s="286">
        <f t="shared" si="39"/>
        <v>0</v>
      </c>
      <c r="BI6" s="330">
        <f t="shared" si="40"/>
        <v>221600</v>
      </c>
      <c r="BJ6" s="286">
        <f t="shared" si="41"/>
        <v>0.23602888357400723</v>
      </c>
      <c r="BK6" s="292"/>
      <c r="BL6" s="330">
        <f t="shared" si="42"/>
        <v>28399.999999999996</v>
      </c>
      <c r="BM6" s="286">
        <f t="shared" si="43"/>
        <v>0</v>
      </c>
      <c r="BN6" s="331">
        <f t="shared" si="44"/>
        <v>250000</v>
      </c>
      <c r="BO6" s="290">
        <f t="shared" si="45"/>
        <v>0.20921600239999999</v>
      </c>
    </row>
    <row r="7" spans="1:67">
      <c r="A7" s="102" t="s">
        <v>96</v>
      </c>
      <c r="B7" s="104" t="s">
        <v>97</v>
      </c>
      <c r="C7" s="104" t="s">
        <v>98</v>
      </c>
      <c r="D7" s="103">
        <v>12581.4</v>
      </c>
      <c r="E7" s="196" t="s">
        <v>15</v>
      </c>
      <c r="F7" s="83">
        <v>250000</v>
      </c>
      <c r="G7" s="80" t="s">
        <v>15</v>
      </c>
      <c r="H7" s="293">
        <v>0</v>
      </c>
      <c r="I7" s="251">
        <f t="shared" si="0"/>
        <v>18650</v>
      </c>
      <c r="J7" s="252">
        <f t="shared" si="1"/>
        <v>0</v>
      </c>
      <c r="K7" s="251">
        <f t="shared" si="2"/>
        <v>18650</v>
      </c>
      <c r="L7" s="252">
        <f t="shared" si="3"/>
        <v>0</v>
      </c>
      <c r="M7" s="249">
        <v>28718.2168206026</v>
      </c>
      <c r="N7" s="251">
        <f t="shared" si="4"/>
        <v>14825</v>
      </c>
      <c r="O7" s="253">
        <f t="shared" si="5"/>
        <v>1.9371478462463811</v>
      </c>
      <c r="P7" s="255">
        <f t="shared" si="46"/>
        <v>33475.000000000007</v>
      </c>
      <c r="Q7" s="253">
        <f t="shared" si="47"/>
        <v>0.85790042779992814</v>
      </c>
      <c r="R7" s="291">
        <v>1950</v>
      </c>
      <c r="S7" s="285">
        <f>F7*8.31%</f>
        <v>20775</v>
      </c>
      <c r="T7" s="286">
        <f t="shared" si="7"/>
        <v>9.3862815884476536E-2</v>
      </c>
      <c r="U7" s="287">
        <f t="shared" si="8"/>
        <v>54225</v>
      </c>
      <c r="V7" s="286">
        <f t="shared" si="9"/>
        <v>0.56557338534997881</v>
      </c>
      <c r="W7" s="292"/>
      <c r="X7" s="285">
        <f t="shared" si="10"/>
        <v>18225</v>
      </c>
      <c r="Y7" s="286">
        <f t="shared" si="11"/>
        <v>0</v>
      </c>
      <c r="Z7" s="287">
        <f t="shared" si="12"/>
        <v>72450</v>
      </c>
      <c r="AA7" s="286">
        <f t="shared" si="13"/>
        <v>0.42330181947001516</v>
      </c>
      <c r="AB7" s="292"/>
      <c r="AC7" s="285">
        <f t="shared" si="14"/>
        <v>27549.999999999996</v>
      </c>
      <c r="AD7" s="286">
        <f t="shared" si="15"/>
        <v>0</v>
      </c>
      <c r="AE7" s="332">
        <f t="shared" si="16"/>
        <v>100000</v>
      </c>
      <c r="AF7" s="286">
        <f t="shared" si="17"/>
        <v>0.30668216820602601</v>
      </c>
      <c r="AG7" s="292"/>
      <c r="AH7" s="330">
        <f t="shared" si="18"/>
        <v>30074.999999999996</v>
      </c>
      <c r="AI7" s="286">
        <f t="shared" si="19"/>
        <v>0</v>
      </c>
      <c r="AJ7" s="330">
        <f t="shared" si="20"/>
        <v>130075</v>
      </c>
      <c r="AK7" s="286">
        <f t="shared" si="21"/>
        <v>0.23577333707939727</v>
      </c>
      <c r="AL7" s="292"/>
      <c r="AM7" s="330">
        <f t="shared" si="22"/>
        <v>8475</v>
      </c>
      <c r="AN7" s="286">
        <f t="shared" si="23"/>
        <v>0</v>
      </c>
      <c r="AO7" s="330">
        <f t="shared" si="24"/>
        <v>138550</v>
      </c>
      <c r="AP7" s="286">
        <f t="shared" si="25"/>
        <v>0.22135125817829376</v>
      </c>
      <c r="AQ7" s="292"/>
      <c r="AR7" s="330">
        <f t="shared" si="26"/>
        <v>24575</v>
      </c>
      <c r="AS7" s="286">
        <f t="shared" si="27"/>
        <v>0</v>
      </c>
      <c r="AT7" s="330">
        <f t="shared" si="28"/>
        <v>163125</v>
      </c>
      <c r="AU7" s="286">
        <f t="shared" si="29"/>
        <v>0.18800439430254468</v>
      </c>
      <c r="AV7" s="292"/>
      <c r="AW7" s="330">
        <f t="shared" si="30"/>
        <v>27125</v>
      </c>
      <c r="AX7" s="286">
        <f t="shared" si="31"/>
        <v>0</v>
      </c>
      <c r="AY7" s="330">
        <f t="shared" si="32"/>
        <v>190249.99999999997</v>
      </c>
      <c r="AZ7" s="286">
        <f t="shared" si="33"/>
        <v>0.16119956278897557</v>
      </c>
      <c r="BA7" s="292"/>
      <c r="BB7" s="330">
        <f t="shared" si="34"/>
        <v>15250</v>
      </c>
      <c r="BC7" s="286">
        <f t="shared" si="35"/>
        <v>0</v>
      </c>
      <c r="BD7" s="330">
        <f t="shared" si="36"/>
        <v>205500.00000000003</v>
      </c>
      <c r="BE7" s="286">
        <f t="shared" si="37"/>
        <v>0.1492370648204506</v>
      </c>
      <c r="BF7" s="292"/>
      <c r="BG7" s="330">
        <f t="shared" si="38"/>
        <v>16100</v>
      </c>
      <c r="BH7" s="286">
        <f t="shared" si="39"/>
        <v>0</v>
      </c>
      <c r="BI7" s="330">
        <f t="shared" si="40"/>
        <v>221600</v>
      </c>
      <c r="BJ7" s="286">
        <f t="shared" si="41"/>
        <v>0.13839448023737635</v>
      </c>
      <c r="BK7" s="292"/>
      <c r="BL7" s="330">
        <f t="shared" si="42"/>
        <v>28399.999999999996</v>
      </c>
      <c r="BM7" s="286">
        <f t="shared" si="43"/>
        <v>0</v>
      </c>
      <c r="BN7" s="331">
        <f t="shared" si="44"/>
        <v>250000</v>
      </c>
      <c r="BO7" s="290">
        <f t="shared" si="45"/>
        <v>0.12267286728241041</v>
      </c>
    </row>
    <row r="8" spans="1:67">
      <c r="F8" s="184">
        <f>SUM(F4:F7)</f>
        <v>1250000</v>
      </c>
    </row>
    <row r="11" spans="1:67" ht="21.75" thickBot="1">
      <c r="D11" s="197"/>
    </row>
    <row r="12" spans="1:67" ht="15.75" thickBot="1">
      <c r="A12" s="10"/>
      <c r="B12" s="15" t="s">
        <v>28</v>
      </c>
      <c r="C12" s="16" t="s">
        <v>29</v>
      </c>
      <c r="D12" s="15" t="s">
        <v>30</v>
      </c>
      <c r="E12" s="16" t="s">
        <v>31</v>
      </c>
      <c r="F12" s="187" t="s">
        <v>32</v>
      </c>
      <c r="G12" s="186" t="s">
        <v>127</v>
      </c>
    </row>
    <row r="13" spans="1:67">
      <c r="A13" s="11" t="s">
        <v>16</v>
      </c>
      <c r="B13" s="87">
        <v>0</v>
      </c>
      <c r="C13" s="88">
        <v>0</v>
      </c>
      <c r="D13" s="13">
        <v>70216</v>
      </c>
      <c r="E13" s="14">
        <v>6</v>
      </c>
      <c r="F13" s="147">
        <v>70000</v>
      </c>
      <c r="G13" s="146">
        <f>IF(D13=0,"",D13-F13)</f>
        <v>216</v>
      </c>
      <c r="H13" s="195"/>
    </row>
    <row r="14" spans="1:67">
      <c r="A14" s="11" t="s">
        <v>17</v>
      </c>
      <c r="B14" s="87">
        <v>0</v>
      </c>
      <c r="C14" s="88">
        <v>0</v>
      </c>
      <c r="D14" s="4">
        <v>61327</v>
      </c>
      <c r="E14" s="5">
        <v>5</v>
      </c>
      <c r="F14" s="177">
        <v>80000</v>
      </c>
      <c r="G14" s="18">
        <f t="shared" ref="G14:G25" si="48">IF(D14=0,"",D14-F14)</f>
        <v>-18673</v>
      </c>
      <c r="H14" s="195"/>
    </row>
    <row r="15" spans="1:67">
      <c r="A15" s="11" t="s">
        <v>18</v>
      </c>
      <c r="B15" s="87">
        <v>0</v>
      </c>
      <c r="C15" s="88">
        <v>0</v>
      </c>
      <c r="D15" s="4"/>
      <c r="E15" s="5"/>
      <c r="F15" s="177">
        <v>150000</v>
      </c>
      <c r="G15" s="18" t="str">
        <f t="shared" si="48"/>
        <v/>
      </c>
      <c r="H15" s="195"/>
    </row>
    <row r="16" spans="1:67">
      <c r="A16" s="11" t="s">
        <v>19</v>
      </c>
      <c r="B16" s="87">
        <v>0</v>
      </c>
      <c r="C16" s="88">
        <v>0</v>
      </c>
      <c r="D16" s="4"/>
      <c r="E16" s="5"/>
      <c r="F16" s="177">
        <v>160000</v>
      </c>
      <c r="G16" s="18" t="str">
        <f t="shared" si="48"/>
        <v/>
      </c>
      <c r="H16" s="195"/>
    </row>
    <row r="17" spans="1:11">
      <c r="A17" s="11" t="s">
        <v>20</v>
      </c>
      <c r="B17" s="90">
        <v>0</v>
      </c>
      <c r="C17" s="88">
        <v>0</v>
      </c>
      <c r="D17" s="4"/>
      <c r="E17" s="5"/>
      <c r="F17" s="177">
        <v>120000</v>
      </c>
      <c r="G17" s="18" t="str">
        <f t="shared" si="48"/>
        <v/>
      </c>
      <c r="H17" s="195"/>
    </row>
    <row r="18" spans="1:11">
      <c r="A18" s="11" t="s">
        <v>21</v>
      </c>
      <c r="B18" s="87">
        <v>0</v>
      </c>
      <c r="C18" s="88">
        <v>0</v>
      </c>
      <c r="D18" s="4"/>
      <c r="E18" s="5"/>
      <c r="F18" s="177">
        <v>100000</v>
      </c>
      <c r="G18" s="18" t="str">
        <f t="shared" si="48"/>
        <v/>
      </c>
      <c r="H18" s="195"/>
    </row>
    <row r="19" spans="1:11">
      <c r="A19" s="11" t="s">
        <v>22</v>
      </c>
      <c r="B19" s="87">
        <v>0</v>
      </c>
      <c r="C19" s="89">
        <v>0</v>
      </c>
      <c r="D19" s="4"/>
      <c r="E19" s="5"/>
      <c r="F19" s="177">
        <v>70000</v>
      </c>
      <c r="G19" s="18" t="str">
        <f t="shared" si="48"/>
        <v/>
      </c>
      <c r="H19" s="195"/>
    </row>
    <row r="20" spans="1:11">
      <c r="A20" s="11" t="s">
        <v>23</v>
      </c>
      <c r="B20" s="87">
        <v>101905</v>
      </c>
      <c r="C20" s="89">
        <v>9</v>
      </c>
      <c r="D20" s="4"/>
      <c r="E20" s="5"/>
      <c r="F20" s="177">
        <v>120000</v>
      </c>
      <c r="G20" s="18" t="str">
        <f t="shared" si="48"/>
        <v/>
      </c>
      <c r="H20" s="195"/>
    </row>
    <row r="21" spans="1:11">
      <c r="A21" s="11" t="s">
        <v>24</v>
      </c>
      <c r="B21" s="87">
        <v>134000</v>
      </c>
      <c r="C21" s="89">
        <v>9</v>
      </c>
      <c r="D21" s="4"/>
      <c r="E21" s="5"/>
      <c r="F21" s="177">
        <v>160000</v>
      </c>
      <c r="G21" s="18" t="str">
        <f t="shared" si="48"/>
        <v/>
      </c>
      <c r="H21" s="195"/>
    </row>
    <row r="22" spans="1:11">
      <c r="A22" s="11" t="s">
        <v>25</v>
      </c>
      <c r="B22" s="87">
        <v>49880</v>
      </c>
      <c r="C22" s="89">
        <v>4</v>
      </c>
      <c r="D22" s="4"/>
      <c r="E22" s="5"/>
      <c r="F22" s="177">
        <v>60000</v>
      </c>
      <c r="G22" s="18" t="str">
        <f t="shared" si="48"/>
        <v/>
      </c>
      <c r="H22" s="195"/>
    </row>
    <row r="23" spans="1:11">
      <c r="A23" s="11" t="s">
        <v>26</v>
      </c>
      <c r="B23" s="87">
        <v>63791</v>
      </c>
      <c r="C23" s="88">
        <v>4</v>
      </c>
      <c r="D23" s="4"/>
      <c r="E23" s="5"/>
      <c r="F23" s="177">
        <v>75000</v>
      </c>
      <c r="G23" s="18" t="str">
        <f t="shared" si="48"/>
        <v/>
      </c>
      <c r="H23" s="195"/>
    </row>
    <row r="24" spans="1:11" ht="15.75" thickBot="1">
      <c r="A24" s="11" t="s">
        <v>27</v>
      </c>
      <c r="B24" s="91">
        <v>70534</v>
      </c>
      <c r="C24" s="89">
        <v>7</v>
      </c>
      <c r="D24" s="6"/>
      <c r="E24" s="7"/>
      <c r="F24" s="178">
        <v>85000</v>
      </c>
      <c r="G24" s="19" t="str">
        <f t="shared" si="48"/>
        <v/>
      </c>
      <c r="H24" s="195"/>
      <c r="K24" s="1"/>
    </row>
    <row r="25" spans="1:11" ht="15.75" thickBot="1">
      <c r="A25" s="12"/>
      <c r="B25" s="27">
        <f>SUM(B13:B24)</f>
        <v>420110</v>
      </c>
      <c r="C25" s="28">
        <f>SUM(C13:C24)</f>
        <v>33</v>
      </c>
      <c r="D25" s="144">
        <f>SUM(D13:D24)</f>
        <v>131543</v>
      </c>
      <c r="E25" s="26">
        <f>SUM(E13:E24)</f>
        <v>11</v>
      </c>
      <c r="F25" s="180">
        <f>SUM(F13:F24)</f>
        <v>1250000</v>
      </c>
      <c r="G25" s="188">
        <f t="shared" si="48"/>
        <v>-1118457</v>
      </c>
    </row>
    <row r="26" spans="1:11" ht="15.75" thickBot="1"/>
    <row r="27" spans="1:11" ht="45.75" thickBot="1">
      <c r="E27" s="150" t="s">
        <v>134</v>
      </c>
      <c r="F27" s="145">
        <f>D25/F25</f>
        <v>0.10523440000000001</v>
      </c>
    </row>
  </sheetData>
  <mergeCells count="1">
    <mergeCell ref="A3:C3"/>
  </mergeCells>
  <pageMargins left="0.7" right="0.7" top="0.75" bottom="0.75" header="0.3" footer="0.3"/>
  <pageSetup paperSize="9" scale="5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N32"/>
  <sheetViews>
    <sheetView topLeftCell="A3" workbookViewId="0">
      <selection activeCell="F29" sqref="F29"/>
    </sheetView>
  </sheetViews>
  <sheetFormatPr defaultRowHeight="15"/>
  <cols>
    <col min="1" max="1" width="10.5703125" style="101" customWidth="1"/>
    <col min="2" max="2" width="14.28515625" style="101" bestFit="1" customWidth="1"/>
    <col min="3" max="3" width="11.140625" style="101" customWidth="1"/>
    <col min="4" max="4" width="13.28515625" style="101" customWidth="1"/>
    <col min="5" max="5" width="14.28515625" style="101" customWidth="1"/>
    <col min="6" max="6" width="18" style="101" customWidth="1"/>
    <col min="7" max="7" width="19.85546875" style="101" customWidth="1"/>
    <col min="8" max="8" width="14.42578125" bestFit="1" customWidth="1"/>
    <col min="9" max="9" width="12.5703125" bestFit="1" customWidth="1"/>
    <col min="15" max="15" width="11.5703125" customWidth="1"/>
    <col min="20" max="20" width="11" customWidth="1"/>
    <col min="21" max="21" width="10" customWidth="1"/>
    <col min="22" max="16384" width="9.140625" style="101"/>
  </cols>
  <sheetData>
    <row r="1" spans="1:170" s="200" customFormat="1" ht="21">
      <c r="A1" s="149" t="s">
        <v>132</v>
      </c>
    </row>
    <row r="3" spans="1:170" s="200" customFormat="1" ht="25.5">
      <c r="A3" s="275" t="s">
        <v>0</v>
      </c>
      <c r="B3" s="276"/>
      <c r="C3" s="277"/>
      <c r="D3" s="201" t="s">
        <v>1</v>
      </c>
      <c r="E3" s="202" t="s">
        <v>2</v>
      </c>
      <c r="F3" s="203" t="s">
        <v>119</v>
      </c>
      <c r="G3" s="204" t="s">
        <v>120</v>
      </c>
      <c r="H3" s="204" t="s">
        <v>16</v>
      </c>
      <c r="I3" s="281" t="s">
        <v>172</v>
      </c>
      <c r="J3" s="281" t="s">
        <v>173</v>
      </c>
      <c r="K3" s="281" t="s">
        <v>150</v>
      </c>
      <c r="L3" s="281" t="s">
        <v>151</v>
      </c>
      <c r="M3" s="282" t="s">
        <v>17</v>
      </c>
      <c r="N3" s="281" t="s">
        <v>148</v>
      </c>
      <c r="O3" s="281" t="s">
        <v>149</v>
      </c>
      <c r="P3" s="281" t="s">
        <v>150</v>
      </c>
      <c r="Q3" s="281" t="s">
        <v>151</v>
      </c>
      <c r="R3" s="280" t="s">
        <v>18</v>
      </c>
      <c r="S3" s="281" t="s">
        <v>152</v>
      </c>
      <c r="T3" s="281" t="s">
        <v>153</v>
      </c>
      <c r="U3" s="281" t="s">
        <v>150</v>
      </c>
      <c r="V3" s="281" t="s">
        <v>151</v>
      </c>
      <c r="W3" s="280" t="s">
        <v>19</v>
      </c>
      <c r="X3" s="281" t="s">
        <v>154</v>
      </c>
      <c r="Y3" s="281" t="s">
        <v>155</v>
      </c>
      <c r="Z3" s="281" t="s">
        <v>150</v>
      </c>
      <c r="AA3" s="281" t="s">
        <v>151</v>
      </c>
      <c r="AB3" s="280" t="s">
        <v>20</v>
      </c>
      <c r="AC3" s="281" t="s">
        <v>156</v>
      </c>
      <c r="AD3" s="281" t="s">
        <v>157</v>
      </c>
      <c r="AE3" s="281" t="s">
        <v>150</v>
      </c>
      <c r="AF3" s="281" t="s">
        <v>151</v>
      </c>
      <c r="AG3" s="280" t="s">
        <v>21</v>
      </c>
      <c r="AH3" s="281" t="s">
        <v>158</v>
      </c>
      <c r="AI3" s="281" t="s">
        <v>159</v>
      </c>
      <c r="AJ3" s="281" t="s">
        <v>150</v>
      </c>
      <c r="AK3" s="281" t="s">
        <v>151</v>
      </c>
      <c r="AL3" s="280" t="s">
        <v>22</v>
      </c>
      <c r="AM3" s="281" t="s">
        <v>160</v>
      </c>
      <c r="AN3" s="281" t="s">
        <v>161</v>
      </c>
      <c r="AO3" s="281" t="s">
        <v>150</v>
      </c>
      <c r="AP3" s="281" t="s">
        <v>151</v>
      </c>
      <c r="AQ3" s="280" t="s">
        <v>23</v>
      </c>
      <c r="AR3" s="281" t="s">
        <v>162</v>
      </c>
      <c r="AS3" s="281" t="s">
        <v>163</v>
      </c>
      <c r="AT3" s="281" t="s">
        <v>150</v>
      </c>
      <c r="AU3" s="281" t="s">
        <v>151</v>
      </c>
      <c r="AV3" s="280" t="s">
        <v>24</v>
      </c>
      <c r="AW3" s="281" t="s">
        <v>164</v>
      </c>
      <c r="AX3" s="281" t="s">
        <v>165</v>
      </c>
      <c r="AY3" s="281" t="s">
        <v>150</v>
      </c>
      <c r="AZ3" s="281" t="s">
        <v>151</v>
      </c>
      <c r="BA3" s="280" t="s">
        <v>25</v>
      </c>
      <c r="BB3" s="281" t="s">
        <v>166</v>
      </c>
      <c r="BC3" s="281" t="s">
        <v>167</v>
      </c>
      <c r="BD3" s="281" t="s">
        <v>150</v>
      </c>
      <c r="BE3" s="281" t="s">
        <v>151</v>
      </c>
      <c r="BF3" s="280" t="s">
        <v>26</v>
      </c>
      <c r="BG3" s="281" t="s">
        <v>168</v>
      </c>
      <c r="BH3" s="281" t="s">
        <v>169</v>
      </c>
      <c r="BI3" s="281" t="s">
        <v>150</v>
      </c>
      <c r="BJ3" s="281" t="s">
        <v>151</v>
      </c>
      <c r="BK3" s="280" t="s">
        <v>27</v>
      </c>
      <c r="BL3" s="281" t="s">
        <v>170</v>
      </c>
      <c r="BM3" s="281" t="s">
        <v>171</v>
      </c>
      <c r="BN3" s="281" t="s">
        <v>150</v>
      </c>
      <c r="BO3" s="281" t="s">
        <v>151</v>
      </c>
    </row>
    <row r="4" spans="1:170">
      <c r="A4" s="111" t="s">
        <v>99</v>
      </c>
      <c r="B4" s="113" t="s">
        <v>100</v>
      </c>
      <c r="C4" s="113" t="s">
        <v>101</v>
      </c>
      <c r="D4" s="112">
        <v>499443.22</v>
      </c>
      <c r="E4" s="140">
        <v>500000</v>
      </c>
      <c r="F4" s="114">
        <v>650000</v>
      </c>
      <c r="G4" s="115">
        <v>700000</v>
      </c>
      <c r="H4" s="164"/>
      <c r="I4" s="337">
        <f>E4*7.46%</f>
        <v>37300</v>
      </c>
      <c r="J4" s="252">
        <f>G4/I4</f>
        <v>18.766756032171582</v>
      </c>
      <c r="K4" s="337">
        <f>E4*7.46%</f>
        <v>37300</v>
      </c>
      <c r="L4" s="252">
        <f>G4/K4</f>
        <v>18.766756032171582</v>
      </c>
      <c r="M4" s="339">
        <v>90685.244555172496</v>
      </c>
      <c r="N4" s="337">
        <f>E4*5.93%</f>
        <v>29650</v>
      </c>
      <c r="O4" s="253">
        <f>M4/N4</f>
        <v>3.0585242683026137</v>
      </c>
      <c r="P4" s="255">
        <f>E4*13.39%</f>
        <v>66950.000000000015</v>
      </c>
      <c r="Q4" s="253">
        <f>SUM(G4,M4)/P4</f>
        <v>11.810085803662021</v>
      </c>
      <c r="R4" s="284">
        <v>42539</v>
      </c>
      <c r="S4" s="330">
        <f>E4*8.31%</f>
        <v>41550</v>
      </c>
      <c r="T4" s="286">
        <f>R4/S4</f>
        <v>1.0238026474127557</v>
      </c>
      <c r="U4" s="332">
        <f>E4*21.69%</f>
        <v>108450</v>
      </c>
      <c r="V4" s="286">
        <f>SUM(G4,M4,R4)/U4</f>
        <v>7.6830266902275008</v>
      </c>
      <c r="W4" s="288"/>
      <c r="X4" s="330">
        <f>E4*7.29%</f>
        <v>36450</v>
      </c>
      <c r="Y4" s="286">
        <f>W4/X4</f>
        <v>0</v>
      </c>
      <c r="Z4" s="332">
        <f>E4*28.98%</f>
        <v>144900</v>
      </c>
      <c r="AA4" s="286">
        <f>SUM(G4,M4,R4,W4)/Z4</f>
        <v>5.750339852002571</v>
      </c>
      <c r="AB4" s="288"/>
      <c r="AC4" s="330">
        <f>E4*11.02%</f>
        <v>55099.999999999993</v>
      </c>
      <c r="AD4" s="286">
        <f>AB4/AC4</f>
        <v>0</v>
      </c>
      <c r="AE4" s="332">
        <f>E4*40%</f>
        <v>200000</v>
      </c>
      <c r="AF4" s="286">
        <f>SUM(G4,M4,R4,W4,AB4)/AE4</f>
        <v>4.1661212227758622</v>
      </c>
      <c r="AG4" s="288"/>
      <c r="AH4" s="330">
        <f>E4*12.03%</f>
        <v>60149.999999999993</v>
      </c>
      <c r="AI4" s="286">
        <f>AG4/AH4</f>
        <v>0</v>
      </c>
      <c r="AJ4" s="330">
        <f>E4*52.03%</f>
        <v>260150</v>
      </c>
      <c r="AK4" s="286">
        <f>SUM(G4,M4,R4,W4,AB4,AG4)/AJ4</f>
        <v>3.2028608285803286</v>
      </c>
      <c r="AL4" s="288"/>
      <c r="AM4" s="330">
        <f>E4*3.39%</f>
        <v>16950</v>
      </c>
      <c r="AN4" s="286">
        <f>AL4/AM4</f>
        <v>0</v>
      </c>
      <c r="AO4" s="330">
        <f>E4*55.42%</f>
        <v>277100</v>
      </c>
      <c r="AP4" s="286">
        <f>SUM(G4,M4,R4,W4,AB4,AG4,AL4)/AO4</f>
        <v>3.0069442243059274</v>
      </c>
      <c r="AQ4" s="288"/>
      <c r="AR4" s="330">
        <f>E4*9.83%</f>
        <v>49150</v>
      </c>
      <c r="AS4" s="286">
        <f>AQ4/AR4</f>
        <v>0</v>
      </c>
      <c r="AT4" s="330">
        <f>E4*65.25%</f>
        <v>326250</v>
      </c>
      <c r="AU4" s="286">
        <f>SUM(G4,M4,R4,W4,AB4,AG4,AL4,AQ4)/AT4</f>
        <v>2.5539440446135555</v>
      </c>
      <c r="AV4" s="288"/>
      <c r="AW4" s="330">
        <f>E4*10.85%</f>
        <v>54250</v>
      </c>
      <c r="AX4" s="286">
        <f>AV4/AW4</f>
        <v>0</v>
      </c>
      <c r="AY4" s="330">
        <f>E4*76.1%</f>
        <v>380499.99999999994</v>
      </c>
      <c r="AZ4" s="286">
        <f>SUM(G4,M4,R4,W4,AB4,AG4,AL4,AQ4,AV4)/AY4</f>
        <v>2.1898140461371161</v>
      </c>
      <c r="BA4" s="288"/>
      <c r="BB4" s="330">
        <f>E4*6.1%</f>
        <v>30500</v>
      </c>
      <c r="BC4" s="286">
        <f>BA4/BB4</f>
        <v>0</v>
      </c>
      <c r="BD4" s="330">
        <f>E4*82.2%</f>
        <v>411000.00000000006</v>
      </c>
      <c r="BE4" s="286">
        <f>SUM(G4,M4,R4,W4,AB4,AG4,AL4,AQ4,AV4,BA4)/BD4</f>
        <v>2.0273095974578403</v>
      </c>
      <c r="BF4" s="288"/>
      <c r="BG4" s="330">
        <f>E4*6.44%</f>
        <v>32200</v>
      </c>
      <c r="BH4" s="286">
        <f>BF4/BG4</f>
        <v>0</v>
      </c>
      <c r="BI4" s="330">
        <f>E4*88.64%</f>
        <v>443200</v>
      </c>
      <c r="BJ4" s="286">
        <f>SUM(G4,M4,R4,W4,AB4,AG4,AL4,AQ4,AV4,BA4,BF4)/BI4</f>
        <v>1.880018602335678</v>
      </c>
      <c r="BK4" s="288"/>
      <c r="BL4" s="330">
        <f>E4*11.36%</f>
        <v>56799.999999999993</v>
      </c>
      <c r="BM4" s="286">
        <f>BK4/BL4</f>
        <v>0</v>
      </c>
      <c r="BN4" s="331">
        <f>E4*100%</f>
        <v>500000</v>
      </c>
      <c r="BO4" s="290">
        <f>SUM(G4,M4,R4,W4,AB4,AG4,AL4,AQ4,AV4,BA4,BF4,BK4)/BN4</f>
        <v>1.666448489110345</v>
      </c>
      <c r="BP4" s="110"/>
      <c r="BQ4" s="110"/>
      <c r="BR4" s="110"/>
      <c r="BS4" s="110"/>
      <c r="BT4" s="110"/>
      <c r="BU4" s="110"/>
      <c r="BV4" s="110"/>
      <c r="BW4" s="110"/>
      <c r="BX4" s="110"/>
      <c r="BY4" s="110"/>
      <c r="BZ4" s="110"/>
      <c r="CA4" s="110"/>
      <c r="CB4" s="110"/>
      <c r="CC4" s="110"/>
      <c r="CD4" s="110"/>
      <c r="CE4" s="110"/>
      <c r="CF4" s="110"/>
      <c r="CG4" s="110"/>
      <c r="CH4" s="110"/>
      <c r="CI4" s="110"/>
      <c r="CJ4" s="110"/>
      <c r="CK4" s="110"/>
      <c r="CL4" s="110"/>
      <c r="CM4" s="110"/>
      <c r="CN4" s="110"/>
      <c r="CO4" s="110"/>
      <c r="CP4" s="110"/>
      <c r="CQ4" s="110"/>
      <c r="CR4" s="110"/>
      <c r="CS4" s="110"/>
      <c r="CT4" s="110"/>
      <c r="CU4" s="110"/>
      <c r="CV4" s="110"/>
      <c r="CW4" s="110"/>
      <c r="CX4" s="110"/>
      <c r="CY4" s="110"/>
      <c r="CZ4" s="110"/>
      <c r="DA4" s="110"/>
      <c r="DB4" s="110"/>
      <c r="DC4" s="110"/>
      <c r="DD4" s="110"/>
      <c r="DE4" s="110"/>
      <c r="DF4" s="110"/>
      <c r="DG4" s="110"/>
      <c r="DH4" s="110"/>
      <c r="DI4" s="110"/>
      <c r="DJ4" s="110"/>
      <c r="DK4" s="110"/>
      <c r="DL4" s="110"/>
      <c r="DM4" s="110"/>
      <c r="DN4" s="110"/>
      <c r="DO4" s="110"/>
      <c r="DP4" s="110"/>
      <c r="DQ4" s="110"/>
      <c r="DR4" s="110"/>
      <c r="DS4" s="110"/>
      <c r="DT4" s="110"/>
      <c r="DU4" s="110"/>
      <c r="DV4" s="110"/>
      <c r="DW4" s="110"/>
      <c r="DX4" s="110"/>
      <c r="DY4" s="110"/>
      <c r="DZ4" s="110"/>
      <c r="EA4" s="110"/>
      <c r="EB4" s="110"/>
      <c r="EC4" s="110"/>
      <c r="ED4" s="110"/>
      <c r="EE4" s="110"/>
      <c r="EF4" s="110"/>
      <c r="EG4" s="110"/>
      <c r="EH4" s="110"/>
      <c r="EI4" s="110"/>
      <c r="EJ4" s="110"/>
      <c r="EK4" s="110"/>
      <c r="EL4" s="110"/>
      <c r="EM4" s="110"/>
      <c r="EN4" s="110"/>
      <c r="EO4" s="110"/>
      <c r="EP4" s="110"/>
      <c r="EQ4" s="110"/>
      <c r="ER4" s="110"/>
      <c r="ES4" s="110"/>
      <c r="ET4" s="110"/>
      <c r="EU4" s="110"/>
      <c r="EV4" s="110"/>
      <c r="EW4" s="110"/>
      <c r="EX4" s="110"/>
      <c r="EY4" s="110"/>
      <c r="EZ4" s="110"/>
      <c r="FA4" s="110"/>
      <c r="FB4" s="110"/>
      <c r="FC4" s="110"/>
      <c r="FD4" s="110"/>
      <c r="FE4" s="110"/>
      <c r="FF4" s="110"/>
      <c r="FG4" s="110"/>
      <c r="FH4" s="110"/>
      <c r="FI4" s="110"/>
      <c r="FJ4" s="110"/>
      <c r="FK4" s="110"/>
      <c r="FL4" s="110"/>
      <c r="FM4" s="110"/>
      <c r="FN4" s="110"/>
    </row>
    <row r="5" spans="1:170">
      <c r="A5" s="116" t="s">
        <v>102</v>
      </c>
      <c r="B5" s="118" t="s">
        <v>103</v>
      </c>
      <c r="C5" s="118" t="s">
        <v>104</v>
      </c>
      <c r="D5" s="117">
        <v>733620.39</v>
      </c>
      <c r="E5" s="140">
        <v>500000</v>
      </c>
      <c r="F5" s="119">
        <v>850000</v>
      </c>
      <c r="G5" s="120">
        <v>1010000</v>
      </c>
      <c r="H5" s="164"/>
      <c r="I5" s="337">
        <f t="shared" ref="I5:I8" si="0">E5*7.46%</f>
        <v>37300</v>
      </c>
      <c r="J5" s="252">
        <f t="shared" ref="J5:J11" si="1">G5/I5</f>
        <v>27.077747989276141</v>
      </c>
      <c r="K5" s="337">
        <f t="shared" ref="K5:K11" si="2">E5*7.46%</f>
        <v>37300</v>
      </c>
      <c r="L5" s="252">
        <f t="shared" ref="L5:L8" si="3">G5/K5</f>
        <v>27.077747989276141</v>
      </c>
      <c r="M5" s="340">
        <v>58526.815000000002</v>
      </c>
      <c r="N5" s="337">
        <f t="shared" ref="N5:N8" si="4">E5*5.93%</f>
        <v>29650</v>
      </c>
      <c r="O5" s="253">
        <f t="shared" ref="O5:O11" si="5">M5/N5</f>
        <v>1.9739229342327151</v>
      </c>
      <c r="P5" s="255">
        <f>E5*13.39%</f>
        <v>66950.000000000015</v>
      </c>
      <c r="Q5" s="253">
        <f>SUM(G5,M5)/P5</f>
        <v>15.96007191934279</v>
      </c>
      <c r="R5" s="291">
        <v>61699</v>
      </c>
      <c r="S5" s="330">
        <f t="shared" ref="S5:S8" si="6">E5*8.31%</f>
        <v>41550</v>
      </c>
      <c r="T5" s="286">
        <f t="shared" ref="T5:T11" si="7">R5/S5</f>
        <v>1.4849338146811071</v>
      </c>
      <c r="U5" s="332">
        <f t="shared" ref="U5:U8" si="8">E5*21.69%</f>
        <v>108450</v>
      </c>
      <c r="V5" s="286">
        <f t="shared" ref="V5:V8" si="9">SUM(G5,M5,R5)/U5</f>
        <v>10.421630382664821</v>
      </c>
      <c r="W5" s="292"/>
      <c r="X5" s="330">
        <f t="shared" ref="X5:X8" si="10">E5*7.29%</f>
        <v>36450</v>
      </c>
      <c r="Y5" s="286">
        <f t="shared" ref="Y5:Y11" si="11">W5/X5</f>
        <v>0</v>
      </c>
      <c r="Z5" s="332">
        <f t="shared" ref="Z5:Z8" si="12">E5*28.98%</f>
        <v>144900</v>
      </c>
      <c r="AA5" s="286">
        <f t="shared" ref="AA5:AA8" si="13">SUM(G5,M5,R5,W5)/Z5</f>
        <v>7.8000401311249137</v>
      </c>
      <c r="AB5" s="292"/>
      <c r="AC5" s="330">
        <f t="shared" ref="AC5:AC8" si="14">E5*11.02%</f>
        <v>55099.999999999993</v>
      </c>
      <c r="AD5" s="286">
        <f t="shared" ref="AD5:AD11" si="15">AB5/AC5</f>
        <v>0</v>
      </c>
      <c r="AE5" s="332">
        <f t="shared" ref="AE5:AE8" si="16">E5*40%</f>
        <v>200000</v>
      </c>
      <c r="AF5" s="286">
        <f t="shared" ref="AF5:AF8" si="17">SUM(G5,M5,R5,W5,AB5)/AE5</f>
        <v>5.6511290750000001</v>
      </c>
      <c r="AG5" s="292"/>
      <c r="AH5" s="330">
        <f t="shared" ref="AH5:AH8" si="18">E5*12.03%</f>
        <v>60149.999999999993</v>
      </c>
      <c r="AI5" s="286">
        <f t="shared" ref="AI5:AI11" si="19">AG5/AH5</f>
        <v>0</v>
      </c>
      <c r="AJ5" s="330">
        <f t="shared" ref="AJ5:AJ8" si="20">E5*52.03%</f>
        <v>260150</v>
      </c>
      <c r="AK5" s="286">
        <f t="shared" ref="AK5:AK8" si="21">SUM(G5,M5,R5,W5,AB5,AG5)/AJ5</f>
        <v>4.3445159138958287</v>
      </c>
      <c r="AL5" s="292"/>
      <c r="AM5" s="330">
        <f t="shared" ref="AM5:AM8" si="22">E5*3.39%</f>
        <v>16950</v>
      </c>
      <c r="AN5" s="286">
        <f t="shared" ref="AN5:AN11" si="23">AL5/AM5</f>
        <v>0</v>
      </c>
      <c r="AO5" s="330">
        <f t="shared" ref="AO5:AO8" si="24">E5*55.42%</f>
        <v>277100</v>
      </c>
      <c r="AP5" s="286">
        <f t="shared" ref="AP5:AP8" si="25">SUM(G5,M5,R5,W5,AB5,AG5,AL5)/AO5</f>
        <v>4.0787651208949836</v>
      </c>
      <c r="AQ5" s="292"/>
      <c r="AR5" s="330">
        <f t="shared" ref="AR5:AR8" si="26">E5*9.83%</f>
        <v>49150</v>
      </c>
      <c r="AS5" s="286">
        <f t="shared" ref="AS5:AS11" si="27">AQ5/AR5</f>
        <v>0</v>
      </c>
      <c r="AT5" s="330">
        <f t="shared" ref="AT5:AT8" si="28">E5*65.25%</f>
        <v>326250</v>
      </c>
      <c r="AU5" s="286">
        <f t="shared" ref="AU5:AU8" si="29">SUM(G5,M5,R5,W5,AB5,AG5,AL5,AQ5)/AT5</f>
        <v>3.4642936858237547</v>
      </c>
      <c r="AV5" s="292"/>
      <c r="AW5" s="330">
        <f t="shared" ref="AW5:AW8" si="30">E5*10.85%</f>
        <v>54250</v>
      </c>
      <c r="AX5" s="286">
        <f t="shared" ref="AX5:AX11" si="31">AV5/AW5</f>
        <v>0</v>
      </c>
      <c r="AY5" s="330">
        <f t="shared" ref="AY5:AY8" si="32">E5*76.1%</f>
        <v>380499.99999999994</v>
      </c>
      <c r="AZ5" s="286">
        <f t="shared" ref="AZ5:AZ8" si="33">SUM(G5,M5,R5,W5,AB5,AG5,AL5,AQ5,AV5)/AY5</f>
        <v>2.9703700788436271</v>
      </c>
      <c r="BA5" s="292"/>
      <c r="BB5" s="330">
        <f t="shared" ref="BB5:BB8" si="34">E5*6.1%</f>
        <v>30500</v>
      </c>
      <c r="BC5" s="286">
        <f t="shared" ref="BC5:BC11" si="35">BA5/BB5</f>
        <v>0</v>
      </c>
      <c r="BD5" s="330">
        <f t="shared" ref="BD5:BD8" si="36">E5*82.2%</f>
        <v>411000.00000000006</v>
      </c>
      <c r="BE5" s="286">
        <f t="shared" ref="BE5:BE8" si="37">SUM(G5,M5,R5,W5,AB5,AG5,AL5,AQ5,AV5,BA5)/BD5</f>
        <v>2.7499411557177611</v>
      </c>
      <c r="BF5" s="292"/>
      <c r="BG5" s="330">
        <f t="shared" ref="BG5:BG8" si="38">E5*6.44%</f>
        <v>32200</v>
      </c>
      <c r="BH5" s="286">
        <f t="shared" ref="BH5:BH11" si="39">BF5/BG5</f>
        <v>0</v>
      </c>
      <c r="BI5" s="330">
        <f t="shared" ref="BI5:BI8" si="40">E5*88.64%</f>
        <v>443200</v>
      </c>
      <c r="BJ5" s="286">
        <f t="shared" ref="BJ5:BJ8" si="41">SUM(G5,M5,R5,W5,AB5,AG5,AL5,AQ5,AV5,BA5,BF5)/BI5</f>
        <v>2.5501484995487362</v>
      </c>
      <c r="BK5" s="292"/>
      <c r="BL5" s="330">
        <f t="shared" ref="BL5:BL8" si="42">E5*11.36%</f>
        <v>56799.999999999993</v>
      </c>
      <c r="BM5" s="286">
        <f t="shared" ref="BM5:BM11" si="43">BK5/BL5</f>
        <v>0</v>
      </c>
      <c r="BN5" s="331">
        <f t="shared" ref="BN5:BN8" si="44">E5*100%</f>
        <v>500000</v>
      </c>
      <c r="BO5" s="290">
        <f t="shared" ref="BO5:BO8" si="45">SUM(G5,M5,R5,W5,AB5,AG5,AL5,AQ5,AV5,BA5,BF5,BK5)/BN5</f>
        <v>2.2604516299999999</v>
      </c>
    </row>
    <row r="6" spans="1:170">
      <c r="A6" s="122" t="s">
        <v>105</v>
      </c>
      <c r="B6" s="124" t="s">
        <v>106</v>
      </c>
      <c r="C6" s="124" t="s">
        <v>107</v>
      </c>
      <c r="D6" s="123">
        <v>216066.72</v>
      </c>
      <c r="E6" s="140">
        <v>300000</v>
      </c>
      <c r="F6" s="125">
        <v>300000</v>
      </c>
      <c r="G6" s="126">
        <v>400000</v>
      </c>
      <c r="H6" s="164"/>
      <c r="I6" s="337">
        <f t="shared" si="0"/>
        <v>22380</v>
      </c>
      <c r="J6" s="252">
        <f t="shared" si="1"/>
        <v>17.873100983020553</v>
      </c>
      <c r="K6" s="337">
        <f t="shared" si="2"/>
        <v>22380</v>
      </c>
      <c r="L6" s="252">
        <f t="shared" si="3"/>
        <v>17.873100983020553</v>
      </c>
      <c r="M6" s="340">
        <v>4625.0006000000003</v>
      </c>
      <c r="N6" s="337">
        <f t="shared" si="4"/>
        <v>17790</v>
      </c>
      <c r="O6" s="253">
        <f t="shared" si="5"/>
        <v>0.25997754918493537</v>
      </c>
      <c r="P6" s="255">
        <f t="shared" ref="P6:P8" si="46">E6*13.39%</f>
        <v>40170.000000000007</v>
      </c>
      <c r="Q6" s="253">
        <f t="shared" ref="Q6:Q8" si="47">SUM(G6,M6)/P6</f>
        <v>10.072815548917101</v>
      </c>
      <c r="R6" s="291">
        <v>47679</v>
      </c>
      <c r="S6" s="330">
        <f t="shared" si="6"/>
        <v>24930.000000000004</v>
      </c>
      <c r="T6" s="286">
        <f t="shared" si="7"/>
        <v>1.91251504211793</v>
      </c>
      <c r="U6" s="332">
        <f t="shared" si="8"/>
        <v>65070</v>
      </c>
      <c r="V6" s="286">
        <f t="shared" si="9"/>
        <v>6.9510373536191796</v>
      </c>
      <c r="W6" s="292"/>
      <c r="X6" s="330">
        <f t="shared" si="10"/>
        <v>21870.000000000004</v>
      </c>
      <c r="Y6" s="286">
        <f t="shared" si="11"/>
        <v>0</v>
      </c>
      <c r="Z6" s="332">
        <f t="shared" si="12"/>
        <v>86940</v>
      </c>
      <c r="AA6" s="286">
        <f t="shared" si="13"/>
        <v>5.2024844789510007</v>
      </c>
      <c r="AB6" s="292"/>
      <c r="AC6" s="330">
        <f t="shared" si="14"/>
        <v>33060</v>
      </c>
      <c r="AD6" s="286">
        <f t="shared" si="15"/>
        <v>0</v>
      </c>
      <c r="AE6" s="332">
        <f t="shared" si="16"/>
        <v>120000</v>
      </c>
      <c r="AF6" s="286">
        <f t="shared" si="17"/>
        <v>3.7692000050000001</v>
      </c>
      <c r="AG6" s="292"/>
      <c r="AH6" s="330">
        <f t="shared" si="18"/>
        <v>36090</v>
      </c>
      <c r="AI6" s="286">
        <f t="shared" si="19"/>
        <v>0</v>
      </c>
      <c r="AJ6" s="330">
        <f t="shared" si="20"/>
        <v>156090</v>
      </c>
      <c r="AK6" s="286">
        <f t="shared" si="21"/>
        <v>2.8977128618104939</v>
      </c>
      <c r="AL6" s="292"/>
      <c r="AM6" s="330">
        <f t="shared" si="22"/>
        <v>10170</v>
      </c>
      <c r="AN6" s="286">
        <f t="shared" si="23"/>
        <v>0</v>
      </c>
      <c r="AO6" s="330">
        <f t="shared" si="24"/>
        <v>166260</v>
      </c>
      <c r="AP6" s="286">
        <f t="shared" si="25"/>
        <v>2.7204619307109348</v>
      </c>
      <c r="AQ6" s="292"/>
      <c r="AR6" s="330">
        <f t="shared" si="26"/>
        <v>29490</v>
      </c>
      <c r="AS6" s="286">
        <f t="shared" si="27"/>
        <v>0</v>
      </c>
      <c r="AT6" s="330">
        <f t="shared" si="28"/>
        <v>195750</v>
      </c>
      <c r="AU6" s="286">
        <f t="shared" si="29"/>
        <v>2.3106206927203066</v>
      </c>
      <c r="AV6" s="292"/>
      <c r="AW6" s="330">
        <f t="shared" si="30"/>
        <v>32550</v>
      </c>
      <c r="AX6" s="286">
        <f t="shared" si="31"/>
        <v>0</v>
      </c>
      <c r="AY6" s="330">
        <f t="shared" si="32"/>
        <v>228299.99999999997</v>
      </c>
      <c r="AZ6" s="286">
        <f t="shared" si="33"/>
        <v>1.9811826570302238</v>
      </c>
      <c r="BA6" s="292"/>
      <c r="BB6" s="330">
        <f t="shared" si="34"/>
        <v>18300</v>
      </c>
      <c r="BC6" s="286">
        <f t="shared" si="35"/>
        <v>0</v>
      </c>
      <c r="BD6" s="330">
        <f t="shared" si="36"/>
        <v>246600.00000000003</v>
      </c>
      <c r="BE6" s="286">
        <f t="shared" si="37"/>
        <v>1.8341605863746957</v>
      </c>
      <c r="BF6" s="292"/>
      <c r="BG6" s="330">
        <f t="shared" si="38"/>
        <v>19320</v>
      </c>
      <c r="BH6" s="286">
        <f t="shared" si="39"/>
        <v>0</v>
      </c>
      <c r="BI6" s="330">
        <f t="shared" si="40"/>
        <v>265920</v>
      </c>
      <c r="BJ6" s="286">
        <f t="shared" si="41"/>
        <v>1.70090252933213</v>
      </c>
      <c r="BK6" s="292"/>
      <c r="BL6" s="330">
        <f t="shared" si="42"/>
        <v>34080</v>
      </c>
      <c r="BM6" s="286">
        <f t="shared" si="43"/>
        <v>0</v>
      </c>
      <c r="BN6" s="331">
        <f t="shared" si="44"/>
        <v>300000</v>
      </c>
      <c r="BO6" s="290">
        <f t="shared" si="45"/>
        <v>1.5076800020000001</v>
      </c>
      <c r="BP6" s="121"/>
      <c r="BQ6" s="121"/>
      <c r="BR6" s="121"/>
      <c r="BS6" s="121"/>
      <c r="BT6" s="121"/>
      <c r="BU6" s="121"/>
      <c r="BV6" s="121"/>
      <c r="BW6" s="121"/>
      <c r="BX6" s="121"/>
      <c r="BY6" s="121"/>
      <c r="BZ6" s="121"/>
      <c r="CA6" s="121"/>
      <c r="CB6" s="121"/>
      <c r="CC6" s="121"/>
      <c r="CD6" s="121"/>
      <c r="CE6" s="121"/>
      <c r="CF6" s="121"/>
      <c r="CG6" s="121"/>
      <c r="CH6" s="121"/>
      <c r="CI6" s="121"/>
      <c r="CJ6" s="121"/>
      <c r="CK6" s="121"/>
      <c r="CL6" s="121"/>
      <c r="CM6" s="121"/>
      <c r="CN6" s="121"/>
      <c r="CO6" s="121"/>
      <c r="CP6" s="121"/>
      <c r="CQ6" s="121"/>
      <c r="CR6" s="121"/>
      <c r="CS6" s="121"/>
      <c r="CT6" s="121"/>
      <c r="CU6" s="121"/>
      <c r="CV6" s="121"/>
      <c r="CW6" s="121"/>
      <c r="CX6" s="121"/>
      <c r="CY6" s="121"/>
      <c r="CZ6" s="121"/>
      <c r="DA6" s="121"/>
      <c r="DB6" s="121"/>
      <c r="DC6" s="121"/>
      <c r="DD6" s="121"/>
      <c r="DE6" s="121"/>
      <c r="DF6" s="121"/>
      <c r="DG6" s="121"/>
      <c r="DH6" s="121"/>
      <c r="DI6" s="121"/>
      <c r="DJ6" s="121"/>
      <c r="DK6" s="121"/>
      <c r="DL6" s="121"/>
      <c r="DM6" s="121"/>
      <c r="DN6" s="121"/>
      <c r="DO6" s="121"/>
      <c r="DP6" s="121"/>
      <c r="DQ6" s="121"/>
      <c r="DR6" s="121"/>
      <c r="DS6" s="121"/>
      <c r="DT6" s="121"/>
      <c r="DU6" s="121"/>
      <c r="DV6" s="121"/>
      <c r="DW6" s="121"/>
      <c r="DX6" s="121"/>
      <c r="DY6" s="121"/>
      <c r="DZ6" s="121"/>
      <c r="EA6" s="121"/>
      <c r="EB6" s="121"/>
      <c r="EC6" s="121"/>
      <c r="ED6" s="121"/>
      <c r="EE6" s="121"/>
      <c r="EF6" s="121"/>
      <c r="EG6" s="121"/>
      <c r="EH6" s="121"/>
      <c r="EI6" s="121"/>
      <c r="EJ6" s="121"/>
      <c r="EK6" s="121"/>
      <c r="EL6" s="121"/>
      <c r="EM6" s="121"/>
      <c r="EN6" s="121"/>
      <c r="EO6" s="121"/>
      <c r="EP6" s="121"/>
      <c r="EQ6" s="121"/>
      <c r="ER6" s="121"/>
      <c r="ES6" s="121"/>
      <c r="ET6" s="121"/>
      <c r="EU6" s="121"/>
      <c r="EV6" s="121"/>
      <c r="EW6" s="121"/>
      <c r="EX6" s="121"/>
      <c r="EY6" s="121"/>
      <c r="EZ6" s="121"/>
      <c r="FA6" s="121"/>
      <c r="FB6" s="121"/>
      <c r="FC6" s="121"/>
      <c r="FD6" s="121"/>
      <c r="FE6" s="121"/>
      <c r="FF6" s="121"/>
      <c r="FG6" s="121"/>
      <c r="FH6" s="121"/>
      <c r="FI6" s="121"/>
      <c r="FJ6" s="121"/>
      <c r="FK6" s="121"/>
      <c r="FL6" s="121"/>
      <c r="FM6" s="121"/>
      <c r="FN6" s="121"/>
    </row>
    <row r="7" spans="1:170">
      <c r="A7" s="128" t="s">
        <v>108</v>
      </c>
      <c r="B7" s="130" t="s">
        <v>109</v>
      </c>
      <c r="C7" s="130" t="s">
        <v>110</v>
      </c>
      <c r="D7" s="129">
        <v>226319.73</v>
      </c>
      <c r="E7" s="140">
        <v>300000</v>
      </c>
      <c r="F7" s="131">
        <v>350000</v>
      </c>
      <c r="G7" s="132">
        <v>400000</v>
      </c>
      <c r="H7" s="164"/>
      <c r="I7" s="337">
        <f t="shared" si="0"/>
        <v>22380</v>
      </c>
      <c r="J7" s="252">
        <f t="shared" si="1"/>
        <v>17.873100983020553</v>
      </c>
      <c r="K7" s="337">
        <f t="shared" si="2"/>
        <v>22380</v>
      </c>
      <c r="L7" s="252">
        <f t="shared" si="3"/>
        <v>17.873100983020553</v>
      </c>
      <c r="M7" s="340">
        <v>28718.2168206026</v>
      </c>
      <c r="N7" s="337">
        <f t="shared" si="4"/>
        <v>17790</v>
      </c>
      <c r="O7" s="253">
        <f t="shared" si="5"/>
        <v>1.6142898718719842</v>
      </c>
      <c r="P7" s="255">
        <f t="shared" si="46"/>
        <v>40170.000000000007</v>
      </c>
      <c r="Q7" s="253">
        <f t="shared" si="47"/>
        <v>10.672596883759088</v>
      </c>
      <c r="R7" s="291">
        <v>1950</v>
      </c>
      <c r="S7" s="330">
        <f>E7*8.31%</f>
        <v>24930.000000000004</v>
      </c>
      <c r="T7" s="286">
        <f t="shared" si="7"/>
        <v>7.8219013237063761E-2</v>
      </c>
      <c r="U7" s="332">
        <f t="shared" si="8"/>
        <v>65070</v>
      </c>
      <c r="V7" s="286">
        <f t="shared" si="9"/>
        <v>6.6185372186968277</v>
      </c>
      <c r="W7" s="292"/>
      <c r="X7" s="330">
        <f t="shared" si="10"/>
        <v>21870.000000000004</v>
      </c>
      <c r="Y7" s="286">
        <f t="shared" si="11"/>
        <v>0</v>
      </c>
      <c r="Z7" s="332">
        <f t="shared" si="12"/>
        <v>86940</v>
      </c>
      <c r="AA7" s="286">
        <f t="shared" si="13"/>
        <v>4.9536256823165701</v>
      </c>
      <c r="AB7" s="292"/>
      <c r="AC7" s="330">
        <f t="shared" si="14"/>
        <v>33060</v>
      </c>
      <c r="AD7" s="286">
        <f t="shared" si="15"/>
        <v>0</v>
      </c>
      <c r="AE7" s="332">
        <f t="shared" si="16"/>
        <v>120000</v>
      </c>
      <c r="AF7" s="286">
        <f t="shared" si="17"/>
        <v>3.5889018068383551</v>
      </c>
      <c r="AG7" s="292"/>
      <c r="AH7" s="330">
        <f t="shared" si="18"/>
        <v>36090</v>
      </c>
      <c r="AI7" s="286">
        <f t="shared" si="19"/>
        <v>0</v>
      </c>
      <c r="AJ7" s="330">
        <f t="shared" si="20"/>
        <v>156090</v>
      </c>
      <c r="AK7" s="286">
        <f t="shared" si="21"/>
        <v>2.7591019080056545</v>
      </c>
      <c r="AL7" s="292"/>
      <c r="AM7" s="330">
        <f t="shared" si="22"/>
        <v>10170</v>
      </c>
      <c r="AN7" s="286">
        <f t="shared" si="23"/>
        <v>0</v>
      </c>
      <c r="AO7" s="330">
        <f t="shared" si="24"/>
        <v>166260</v>
      </c>
      <c r="AP7" s="286">
        <f t="shared" si="25"/>
        <v>2.5903297054048031</v>
      </c>
      <c r="AQ7" s="292"/>
      <c r="AR7" s="330">
        <f t="shared" si="26"/>
        <v>29490</v>
      </c>
      <c r="AS7" s="286">
        <f t="shared" si="27"/>
        <v>0</v>
      </c>
      <c r="AT7" s="330">
        <f t="shared" si="28"/>
        <v>195750</v>
      </c>
      <c r="AU7" s="286">
        <f t="shared" si="29"/>
        <v>2.2000930616633592</v>
      </c>
      <c r="AV7" s="292"/>
      <c r="AW7" s="330">
        <f t="shared" si="30"/>
        <v>32550</v>
      </c>
      <c r="AX7" s="286">
        <f t="shared" si="31"/>
        <v>0</v>
      </c>
      <c r="AY7" s="330">
        <f t="shared" si="32"/>
        <v>228299.99999999997</v>
      </c>
      <c r="AZ7" s="286">
        <f t="shared" si="33"/>
        <v>1.8864135646982156</v>
      </c>
      <c r="BA7" s="292"/>
      <c r="BB7" s="330">
        <f t="shared" si="34"/>
        <v>18300</v>
      </c>
      <c r="BC7" s="286">
        <f t="shared" si="35"/>
        <v>0</v>
      </c>
      <c r="BD7" s="330">
        <f t="shared" si="36"/>
        <v>246600.00000000003</v>
      </c>
      <c r="BE7" s="286">
        <f t="shared" si="37"/>
        <v>1.7464242369043088</v>
      </c>
      <c r="BF7" s="292"/>
      <c r="BG7" s="330">
        <f t="shared" si="38"/>
        <v>19320</v>
      </c>
      <c r="BH7" s="286">
        <f t="shared" si="39"/>
        <v>0</v>
      </c>
      <c r="BI7" s="330">
        <f t="shared" si="40"/>
        <v>265920</v>
      </c>
      <c r="BJ7" s="286">
        <f t="shared" si="41"/>
        <v>1.6195405265516043</v>
      </c>
      <c r="BK7" s="292"/>
      <c r="BL7" s="330">
        <f t="shared" si="42"/>
        <v>34080</v>
      </c>
      <c r="BM7" s="286">
        <f t="shared" si="43"/>
        <v>0</v>
      </c>
      <c r="BN7" s="331">
        <f t="shared" si="44"/>
        <v>300000</v>
      </c>
      <c r="BO7" s="290">
        <f t="shared" si="45"/>
        <v>1.435560722735342</v>
      </c>
      <c r="BP7" s="127"/>
      <c r="BQ7" s="127"/>
      <c r="BR7" s="127"/>
      <c r="BS7" s="127"/>
      <c r="BT7" s="127"/>
      <c r="BU7" s="127"/>
      <c r="BV7" s="127"/>
      <c r="BW7" s="127"/>
      <c r="BX7" s="127"/>
      <c r="BY7" s="127"/>
      <c r="BZ7" s="127"/>
      <c r="CA7" s="127"/>
      <c r="CB7" s="127"/>
      <c r="CC7" s="127"/>
      <c r="CD7" s="127"/>
      <c r="CE7" s="127"/>
      <c r="CF7" s="127"/>
      <c r="CG7" s="127"/>
      <c r="CH7" s="127"/>
      <c r="CI7" s="127"/>
      <c r="CJ7" s="127"/>
      <c r="CK7" s="127"/>
      <c r="CL7" s="127"/>
      <c r="CM7" s="127"/>
      <c r="CN7" s="127"/>
      <c r="CO7" s="127"/>
      <c r="CP7" s="127"/>
      <c r="CQ7" s="127"/>
      <c r="CR7" s="127"/>
      <c r="CS7" s="127"/>
      <c r="CT7" s="127"/>
      <c r="CU7" s="127"/>
      <c r="CV7" s="127"/>
      <c r="CW7" s="127"/>
      <c r="CX7" s="127"/>
      <c r="CY7" s="127"/>
      <c r="CZ7" s="127"/>
      <c r="DA7" s="127"/>
      <c r="DB7" s="127"/>
      <c r="DC7" s="127"/>
      <c r="DD7" s="127"/>
      <c r="DE7" s="127"/>
      <c r="DF7" s="127"/>
      <c r="DG7" s="127"/>
      <c r="DH7" s="127"/>
      <c r="DI7" s="127"/>
      <c r="DJ7" s="127"/>
      <c r="DK7" s="127"/>
      <c r="DL7" s="127"/>
      <c r="DM7" s="127"/>
      <c r="DN7" s="127"/>
      <c r="DO7" s="127"/>
      <c r="DP7" s="127"/>
      <c r="DQ7" s="127"/>
      <c r="DR7" s="127"/>
      <c r="DS7" s="127"/>
      <c r="DT7" s="127"/>
      <c r="DU7" s="127"/>
      <c r="DV7" s="127"/>
      <c r="DW7" s="127"/>
      <c r="DX7" s="127"/>
      <c r="DY7" s="127"/>
      <c r="DZ7" s="127"/>
      <c r="EA7" s="127"/>
      <c r="EB7" s="127"/>
      <c r="EC7" s="127"/>
      <c r="ED7" s="127"/>
      <c r="EE7" s="127"/>
      <c r="EF7" s="127"/>
      <c r="EG7" s="127"/>
      <c r="EH7" s="127"/>
      <c r="EI7" s="127"/>
      <c r="EJ7" s="127"/>
      <c r="EK7" s="127"/>
      <c r="EL7" s="127"/>
      <c r="EM7" s="127"/>
      <c r="EN7" s="127"/>
      <c r="EO7" s="127"/>
      <c r="EP7" s="127"/>
      <c r="EQ7" s="127"/>
      <c r="ER7" s="127"/>
      <c r="ES7" s="127"/>
      <c r="ET7" s="127"/>
      <c r="EU7" s="127"/>
      <c r="EV7" s="127"/>
      <c r="EW7" s="127"/>
      <c r="EX7" s="127"/>
      <c r="EY7" s="127"/>
      <c r="EZ7" s="127"/>
      <c r="FA7" s="127"/>
      <c r="FB7" s="127"/>
      <c r="FC7" s="127"/>
      <c r="FD7" s="127"/>
      <c r="FE7" s="127"/>
      <c r="FF7" s="127"/>
      <c r="FG7" s="127"/>
      <c r="FH7" s="127"/>
      <c r="FI7" s="127"/>
      <c r="FJ7" s="127"/>
      <c r="FK7" s="127"/>
      <c r="FL7" s="127"/>
      <c r="FM7" s="127"/>
      <c r="FN7" s="127"/>
    </row>
    <row r="8" spans="1:170" ht="16.5" customHeight="1">
      <c r="A8" s="128" t="s">
        <v>111</v>
      </c>
      <c r="B8" s="130" t="s">
        <v>41</v>
      </c>
      <c r="C8" s="130" t="s">
        <v>112</v>
      </c>
      <c r="D8" s="129">
        <v>483625.45</v>
      </c>
      <c r="E8" s="140">
        <v>400000</v>
      </c>
      <c r="F8" s="131">
        <v>600000</v>
      </c>
      <c r="G8" s="132">
        <v>650000</v>
      </c>
      <c r="H8" s="164"/>
      <c r="I8" s="337">
        <f t="shared" si="0"/>
        <v>29840</v>
      </c>
      <c r="J8" s="252">
        <f t="shared" si="1"/>
        <v>21.782841823056302</v>
      </c>
      <c r="K8" s="337">
        <f t="shared" si="2"/>
        <v>29840</v>
      </c>
      <c r="L8" s="252">
        <f t="shared" si="3"/>
        <v>21.782841823056302</v>
      </c>
      <c r="M8" s="341">
        <v>0</v>
      </c>
      <c r="N8" s="337">
        <f t="shared" si="4"/>
        <v>23720</v>
      </c>
      <c r="O8" s="253">
        <f t="shared" si="5"/>
        <v>0</v>
      </c>
      <c r="P8" s="255">
        <f t="shared" si="46"/>
        <v>53560.000000000007</v>
      </c>
      <c r="Q8" s="253">
        <f t="shared" si="47"/>
        <v>12.135922330097086</v>
      </c>
      <c r="R8" s="291">
        <v>29795</v>
      </c>
      <c r="S8" s="330">
        <f t="shared" si="6"/>
        <v>33240</v>
      </c>
      <c r="T8" s="286">
        <f t="shared" si="7"/>
        <v>0.8963598074608905</v>
      </c>
      <c r="U8" s="332">
        <f t="shared" si="8"/>
        <v>86760</v>
      </c>
      <c r="V8" s="286">
        <f t="shared" si="9"/>
        <v>7.8353503918856617</v>
      </c>
      <c r="W8" s="292"/>
      <c r="X8" s="330">
        <f t="shared" si="10"/>
        <v>29160.000000000004</v>
      </c>
      <c r="Y8" s="286">
        <f t="shared" si="11"/>
        <v>0</v>
      </c>
      <c r="Z8" s="332">
        <f t="shared" si="12"/>
        <v>115920</v>
      </c>
      <c r="AA8" s="286">
        <f t="shared" si="13"/>
        <v>5.8643461007591444</v>
      </c>
      <c r="AB8" s="292"/>
      <c r="AC8" s="330">
        <f t="shared" si="14"/>
        <v>44080</v>
      </c>
      <c r="AD8" s="286">
        <f t="shared" si="15"/>
        <v>0</v>
      </c>
      <c r="AE8" s="332">
        <f t="shared" si="16"/>
        <v>160000</v>
      </c>
      <c r="AF8" s="286">
        <f t="shared" si="17"/>
        <v>4.2487187500000001</v>
      </c>
      <c r="AG8" s="292"/>
      <c r="AH8" s="330">
        <f t="shared" si="18"/>
        <v>48119.999999999993</v>
      </c>
      <c r="AI8" s="286">
        <f t="shared" si="19"/>
        <v>0</v>
      </c>
      <c r="AJ8" s="330">
        <f t="shared" si="20"/>
        <v>208120</v>
      </c>
      <c r="AK8" s="286">
        <f t="shared" si="21"/>
        <v>3.2663607534114933</v>
      </c>
      <c r="AL8" s="292"/>
      <c r="AM8" s="330">
        <f t="shared" si="22"/>
        <v>13560</v>
      </c>
      <c r="AN8" s="286">
        <f t="shared" si="23"/>
        <v>0</v>
      </c>
      <c r="AO8" s="330">
        <f t="shared" si="24"/>
        <v>221680</v>
      </c>
      <c r="AP8" s="286">
        <f t="shared" si="25"/>
        <v>3.0665599061710576</v>
      </c>
      <c r="AQ8" s="292"/>
      <c r="AR8" s="330">
        <f t="shared" si="26"/>
        <v>39320</v>
      </c>
      <c r="AS8" s="286">
        <f t="shared" si="27"/>
        <v>0</v>
      </c>
      <c r="AT8" s="330">
        <f t="shared" si="28"/>
        <v>261000</v>
      </c>
      <c r="AU8" s="286">
        <f t="shared" si="29"/>
        <v>2.6045785440613027</v>
      </c>
      <c r="AV8" s="292"/>
      <c r="AW8" s="330">
        <f t="shared" si="30"/>
        <v>43400</v>
      </c>
      <c r="AX8" s="286">
        <f t="shared" si="31"/>
        <v>0</v>
      </c>
      <c r="AY8" s="330">
        <f t="shared" si="32"/>
        <v>304399.99999999994</v>
      </c>
      <c r="AZ8" s="286">
        <f t="shared" si="33"/>
        <v>2.2332293035479638</v>
      </c>
      <c r="BA8" s="292"/>
      <c r="BB8" s="330">
        <f t="shared" si="34"/>
        <v>24400</v>
      </c>
      <c r="BC8" s="286">
        <f t="shared" si="35"/>
        <v>0</v>
      </c>
      <c r="BD8" s="330">
        <f t="shared" si="36"/>
        <v>328800</v>
      </c>
      <c r="BE8" s="286">
        <f t="shared" si="37"/>
        <v>2.0675030413625306</v>
      </c>
      <c r="BF8" s="292"/>
      <c r="BG8" s="330">
        <f t="shared" si="38"/>
        <v>25760</v>
      </c>
      <c r="BH8" s="286">
        <f t="shared" si="39"/>
        <v>0</v>
      </c>
      <c r="BI8" s="330">
        <f t="shared" si="40"/>
        <v>354560</v>
      </c>
      <c r="BJ8" s="286">
        <f t="shared" si="41"/>
        <v>1.9172918546931408</v>
      </c>
      <c r="BK8" s="292"/>
      <c r="BL8" s="330">
        <f t="shared" si="42"/>
        <v>45440</v>
      </c>
      <c r="BM8" s="286">
        <f t="shared" si="43"/>
        <v>0</v>
      </c>
      <c r="BN8" s="331">
        <f t="shared" si="44"/>
        <v>400000</v>
      </c>
      <c r="BO8" s="290">
        <f t="shared" si="45"/>
        <v>1.6994875</v>
      </c>
      <c r="BP8" s="127"/>
      <c r="BQ8" s="127"/>
      <c r="BR8" s="127"/>
      <c r="BS8" s="127"/>
      <c r="BT8" s="127"/>
      <c r="BU8" s="127"/>
      <c r="BV8" s="127"/>
      <c r="BW8" s="127"/>
      <c r="BX8" s="127"/>
      <c r="BY8" s="127"/>
      <c r="BZ8" s="127"/>
      <c r="CA8" s="127"/>
      <c r="CB8" s="127"/>
      <c r="CC8" s="127"/>
      <c r="CD8" s="127"/>
      <c r="CE8" s="127"/>
      <c r="CF8" s="127"/>
      <c r="CG8" s="127"/>
      <c r="CH8" s="127"/>
      <c r="CI8" s="127"/>
      <c r="CJ8" s="127"/>
      <c r="CK8" s="127"/>
      <c r="CL8" s="127"/>
      <c r="CM8" s="127"/>
      <c r="CN8" s="127"/>
      <c r="CO8" s="127"/>
      <c r="CP8" s="127"/>
      <c r="CQ8" s="127"/>
      <c r="CR8" s="127"/>
      <c r="CS8" s="127"/>
      <c r="CT8" s="127"/>
      <c r="CU8" s="127"/>
      <c r="CV8" s="127"/>
      <c r="CW8" s="127"/>
      <c r="CX8" s="127"/>
      <c r="CY8" s="127"/>
      <c r="CZ8" s="127"/>
      <c r="DA8" s="127"/>
      <c r="DB8" s="127"/>
      <c r="DC8" s="127"/>
      <c r="DD8" s="127"/>
      <c r="DE8" s="127"/>
      <c r="DF8" s="127"/>
      <c r="DG8" s="127"/>
      <c r="DH8" s="127"/>
      <c r="DI8" s="127"/>
      <c r="DJ8" s="127"/>
      <c r="DK8" s="127"/>
      <c r="DL8" s="127"/>
      <c r="DM8" s="127"/>
      <c r="DN8" s="127"/>
      <c r="DO8" s="127"/>
      <c r="DP8" s="127"/>
      <c r="DQ8" s="127"/>
      <c r="DR8" s="127"/>
      <c r="DS8" s="127"/>
      <c r="DT8" s="127"/>
      <c r="DU8" s="127"/>
      <c r="DV8" s="127"/>
      <c r="DW8" s="127"/>
      <c r="DX8" s="127"/>
      <c r="DY8" s="127"/>
      <c r="DZ8" s="127"/>
      <c r="EA8" s="127"/>
      <c r="EB8" s="127"/>
      <c r="EC8" s="127"/>
      <c r="ED8" s="127"/>
      <c r="EE8" s="127"/>
      <c r="EF8" s="127"/>
      <c r="EG8" s="127"/>
      <c r="EH8" s="127"/>
      <c r="EI8" s="127"/>
      <c r="EJ8" s="127"/>
      <c r="EK8" s="127"/>
      <c r="EL8" s="127"/>
      <c r="EM8" s="127"/>
      <c r="EN8" s="127"/>
      <c r="EO8" s="127"/>
      <c r="EP8" s="127"/>
      <c r="EQ8" s="127"/>
      <c r="ER8" s="127"/>
      <c r="ES8" s="127"/>
      <c r="ET8" s="127"/>
      <c r="EU8" s="127"/>
      <c r="EV8" s="127"/>
      <c r="EW8" s="127"/>
      <c r="EX8" s="127"/>
      <c r="EY8" s="127"/>
      <c r="EZ8" s="127"/>
      <c r="FA8" s="127"/>
      <c r="FB8" s="127"/>
      <c r="FC8" s="127"/>
      <c r="FD8" s="127"/>
      <c r="FE8" s="127"/>
      <c r="FF8" s="127"/>
      <c r="FG8" s="127"/>
      <c r="FH8" s="127"/>
      <c r="FI8" s="127"/>
      <c r="FJ8" s="127"/>
      <c r="FK8" s="127"/>
      <c r="FL8" s="127"/>
      <c r="FM8" s="127"/>
      <c r="FN8" s="127"/>
    </row>
    <row r="9" spans="1:170" s="31" customFormat="1">
      <c r="A9" s="134" t="s">
        <v>113</v>
      </c>
      <c r="B9" s="136" t="s">
        <v>114</v>
      </c>
      <c r="C9" s="136" t="s">
        <v>115</v>
      </c>
      <c r="D9" s="135">
        <v>33480.080000000002</v>
      </c>
      <c r="E9" s="140">
        <v>0</v>
      </c>
      <c r="F9" s="137">
        <v>250000</v>
      </c>
      <c r="G9" s="138">
        <v>250000</v>
      </c>
      <c r="H9" s="278"/>
      <c r="I9" s="338">
        <v>26309.940717769601</v>
      </c>
      <c r="J9" s="252">
        <f t="shared" si="1"/>
        <v>9.5021118702540921</v>
      </c>
      <c r="K9" s="337">
        <f t="shared" si="2"/>
        <v>0</v>
      </c>
      <c r="L9" s="252" t="e">
        <f>G9/K9</f>
        <v>#DIV/0!</v>
      </c>
      <c r="M9" s="341">
        <v>1</v>
      </c>
      <c r="N9" s="337">
        <f>E9*5.93%</f>
        <v>0</v>
      </c>
      <c r="O9" s="253" t="e">
        <f t="shared" si="5"/>
        <v>#DIV/0!</v>
      </c>
      <c r="P9" s="255">
        <f>E9*13.39%</f>
        <v>0</v>
      </c>
      <c r="Q9" s="253" t="e">
        <f>SUM(G9,M9)/P9</f>
        <v>#DIV/0!</v>
      </c>
      <c r="R9" s="291">
        <v>29796</v>
      </c>
      <c r="S9" s="330">
        <f>E9*8.31%</f>
        <v>0</v>
      </c>
      <c r="T9" s="286" t="e">
        <f t="shared" si="7"/>
        <v>#DIV/0!</v>
      </c>
      <c r="U9" s="332">
        <f>E9*21.69%</f>
        <v>0</v>
      </c>
      <c r="V9" s="286" t="e">
        <f>SUM(G9,M9,R9)/U9</f>
        <v>#DIV/0!</v>
      </c>
      <c r="W9" s="292"/>
      <c r="X9" s="330">
        <f>E9*7.29%</f>
        <v>0</v>
      </c>
      <c r="Y9" s="286" t="e">
        <f t="shared" si="11"/>
        <v>#DIV/0!</v>
      </c>
      <c r="Z9" s="332">
        <f>E9*28.98%</f>
        <v>0</v>
      </c>
      <c r="AA9" s="286" t="e">
        <f>SUM(G9,M9,R9,W9)/Z9</f>
        <v>#DIV/0!</v>
      </c>
      <c r="AB9" s="292"/>
      <c r="AC9" s="330">
        <f>E9*11.02%</f>
        <v>0</v>
      </c>
      <c r="AD9" s="286" t="e">
        <f t="shared" si="15"/>
        <v>#DIV/0!</v>
      </c>
      <c r="AE9" s="332">
        <f>E9*40%</f>
        <v>0</v>
      </c>
      <c r="AF9" s="286" t="e">
        <f>SUM(G9,M9,R9,W9,AB9)/AE9</f>
        <v>#DIV/0!</v>
      </c>
      <c r="AG9" s="292"/>
      <c r="AH9" s="330">
        <f>E9*12.03%</f>
        <v>0</v>
      </c>
      <c r="AI9" s="286" t="e">
        <f t="shared" si="19"/>
        <v>#DIV/0!</v>
      </c>
      <c r="AJ9" s="330">
        <f>E9*52.03%</f>
        <v>0</v>
      </c>
      <c r="AK9" s="286" t="e">
        <f>SUM(G9,M9,R9,W9,AB9,AG9)/AJ9</f>
        <v>#DIV/0!</v>
      </c>
      <c r="AL9" s="292"/>
      <c r="AM9" s="330">
        <f>E9*3.39%</f>
        <v>0</v>
      </c>
      <c r="AN9" s="286" t="e">
        <f t="shared" si="23"/>
        <v>#DIV/0!</v>
      </c>
      <c r="AO9" s="330">
        <f>E9*55.42%</f>
        <v>0</v>
      </c>
      <c r="AP9" s="286" t="e">
        <f>SUM(G9,M9,R9,W9,AB9,AG9,AL9)/AO9</f>
        <v>#DIV/0!</v>
      </c>
      <c r="AQ9" s="292"/>
      <c r="AR9" s="330">
        <f>E9*9.83%</f>
        <v>0</v>
      </c>
      <c r="AS9" s="286" t="e">
        <f t="shared" si="27"/>
        <v>#DIV/0!</v>
      </c>
      <c r="AT9" s="330">
        <f>E9*65.25%</f>
        <v>0</v>
      </c>
      <c r="AU9" s="286" t="e">
        <f>SUM(G9,M9,R9,W9,AB9,AG9,AL9,AQ9)/AT9</f>
        <v>#DIV/0!</v>
      </c>
      <c r="AV9" s="292"/>
      <c r="AW9" s="330">
        <f>E9*10.85%</f>
        <v>0</v>
      </c>
      <c r="AX9" s="286" t="e">
        <f t="shared" si="31"/>
        <v>#DIV/0!</v>
      </c>
      <c r="AY9" s="330">
        <f>E9*76.1%</f>
        <v>0</v>
      </c>
      <c r="AZ9" s="286" t="e">
        <f>SUM(G9,M9,R9,W9,AB9,AG9,AL9,AQ9,AV9)/AY9</f>
        <v>#DIV/0!</v>
      </c>
      <c r="BA9" s="292"/>
      <c r="BB9" s="330">
        <f>E9*6.1%</f>
        <v>0</v>
      </c>
      <c r="BC9" s="286" t="e">
        <f t="shared" si="35"/>
        <v>#DIV/0!</v>
      </c>
      <c r="BD9" s="330">
        <f>E9*82.2%</f>
        <v>0</v>
      </c>
      <c r="BE9" s="286" t="e">
        <f>SUM(G9,M9,R9,W9,AB9,AG9,AL9,AQ9,AV9,BA9)/BD9</f>
        <v>#DIV/0!</v>
      </c>
      <c r="BF9" s="292"/>
      <c r="BG9" s="330">
        <f>E9*6.44%</f>
        <v>0</v>
      </c>
      <c r="BH9" s="286" t="e">
        <f t="shared" si="39"/>
        <v>#DIV/0!</v>
      </c>
      <c r="BI9" s="330">
        <f>E9*88.64%</f>
        <v>0</v>
      </c>
      <c r="BJ9" s="286" t="e">
        <f>SUM(G9,M9,R9,W9,AB9,AG9,AL9,AQ9,AV9,BA9,BF9)/BI9</f>
        <v>#DIV/0!</v>
      </c>
      <c r="BK9" s="292"/>
      <c r="BL9" s="330">
        <f>E9*11.36%</f>
        <v>0</v>
      </c>
      <c r="BM9" s="286" t="e">
        <f t="shared" si="43"/>
        <v>#DIV/0!</v>
      </c>
      <c r="BN9" s="331">
        <f>E9*100%</f>
        <v>0</v>
      </c>
      <c r="BO9" s="290" t="e">
        <f>SUM(G9,M9,R9,W9,AB9,AG9,AL9,AQ9,AV9,BA9,BF9,BK9)/BN9</f>
        <v>#DIV/0!</v>
      </c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  <c r="CT9" s="133"/>
      <c r="CU9" s="133"/>
      <c r="CV9" s="133"/>
      <c r="CW9" s="133"/>
      <c r="CX9" s="133"/>
      <c r="CY9" s="133"/>
      <c r="CZ9" s="133"/>
      <c r="DA9" s="133"/>
      <c r="DB9" s="133"/>
      <c r="DC9" s="133"/>
      <c r="DD9" s="133"/>
      <c r="DE9" s="133"/>
      <c r="DF9" s="133"/>
      <c r="DG9" s="133"/>
      <c r="DH9" s="133"/>
      <c r="DI9" s="133"/>
      <c r="DJ9" s="133"/>
      <c r="DK9" s="133"/>
      <c r="DL9" s="133"/>
      <c r="DM9" s="133"/>
      <c r="DN9" s="133"/>
      <c r="DO9" s="133"/>
      <c r="DP9" s="133"/>
      <c r="DQ9" s="133"/>
      <c r="DR9" s="133"/>
      <c r="DS9" s="133"/>
      <c r="DT9" s="133"/>
      <c r="DU9" s="133"/>
      <c r="DV9" s="133"/>
      <c r="DW9" s="133"/>
      <c r="DX9" s="133"/>
      <c r="DY9" s="133"/>
      <c r="DZ9" s="133"/>
      <c r="EA9" s="133"/>
      <c r="EB9" s="133"/>
      <c r="EC9" s="133"/>
      <c r="ED9" s="133"/>
      <c r="EE9" s="133"/>
      <c r="EF9" s="133"/>
      <c r="EG9" s="133"/>
      <c r="EH9" s="133"/>
      <c r="EI9" s="133"/>
      <c r="EJ9" s="133"/>
      <c r="EK9" s="133"/>
      <c r="EL9" s="133"/>
      <c r="EM9" s="133"/>
      <c r="EN9" s="133"/>
      <c r="EO9" s="133"/>
      <c r="EP9" s="133"/>
      <c r="EQ9" s="133"/>
      <c r="ER9" s="133"/>
      <c r="ES9" s="133"/>
      <c r="ET9" s="133"/>
      <c r="EU9" s="133"/>
      <c r="EV9" s="133"/>
      <c r="EW9" s="133"/>
      <c r="EX9" s="133"/>
      <c r="EY9" s="133"/>
      <c r="EZ9" s="133"/>
      <c r="FA9" s="133"/>
      <c r="FB9" s="133"/>
      <c r="FC9" s="133"/>
      <c r="FD9" s="133"/>
      <c r="FE9" s="133"/>
      <c r="FF9" s="133"/>
      <c r="FG9" s="133"/>
      <c r="FH9" s="133"/>
      <c r="FI9" s="133"/>
      <c r="FJ9" s="133"/>
      <c r="FK9" s="133"/>
      <c r="FL9" s="133"/>
      <c r="FM9" s="133"/>
      <c r="FN9" s="133"/>
    </row>
    <row r="10" spans="1:170">
      <c r="A10" s="63" t="s">
        <v>116</v>
      </c>
      <c r="B10" s="64" t="s">
        <v>117</v>
      </c>
      <c r="C10" s="64" t="s">
        <v>101</v>
      </c>
      <c r="D10" s="65">
        <v>87620.5</v>
      </c>
      <c r="E10" s="67">
        <v>200000</v>
      </c>
      <c r="F10" s="210">
        <v>250000</v>
      </c>
      <c r="G10" s="211">
        <v>250000</v>
      </c>
      <c r="H10" s="164"/>
      <c r="I10" s="344">
        <v>9074.5499999999993</v>
      </c>
      <c r="J10" s="252">
        <f t="shared" si="1"/>
        <v>27.549575461042149</v>
      </c>
      <c r="K10" s="337">
        <f t="shared" si="2"/>
        <v>14920</v>
      </c>
      <c r="L10" s="252">
        <f>G10/K10</f>
        <v>16.756032171581769</v>
      </c>
      <c r="M10" s="341">
        <v>2</v>
      </c>
      <c r="N10" s="337">
        <f>E10*5.93%</f>
        <v>11860</v>
      </c>
      <c r="O10" s="253">
        <f t="shared" si="5"/>
        <v>1.6863406408094435E-4</v>
      </c>
      <c r="P10" s="255">
        <f>E10*13.39%</f>
        <v>26780.000000000004</v>
      </c>
      <c r="Q10" s="253">
        <f>SUM(G10,M10)/P10</f>
        <v>9.3353995519044055</v>
      </c>
      <c r="R10" s="291">
        <v>29797</v>
      </c>
      <c r="S10" s="330">
        <f>E10*8.31%</f>
        <v>16620</v>
      </c>
      <c r="T10" s="286">
        <f t="shared" si="7"/>
        <v>1.7928399518652227</v>
      </c>
      <c r="U10" s="332">
        <f>E10*21.69%</f>
        <v>43380</v>
      </c>
      <c r="V10" s="286">
        <f>SUM(G10,M10,R10)/U10</f>
        <v>6.4499538958045184</v>
      </c>
      <c r="W10" s="292"/>
      <c r="X10" s="330">
        <f>E10*7.29%</f>
        <v>14580.000000000002</v>
      </c>
      <c r="Y10" s="286">
        <f t="shared" si="11"/>
        <v>0</v>
      </c>
      <c r="Z10" s="332">
        <f>E10*28.98%</f>
        <v>57960</v>
      </c>
      <c r="AA10" s="286">
        <f>SUM(G10,M10,R10,W10)/Z10</f>
        <v>4.827449965493444</v>
      </c>
      <c r="AB10" s="292"/>
      <c r="AC10" s="330">
        <f>E10*11.02%</f>
        <v>22040</v>
      </c>
      <c r="AD10" s="286">
        <f t="shared" si="15"/>
        <v>0</v>
      </c>
      <c r="AE10" s="332">
        <f>E10*40%</f>
        <v>80000</v>
      </c>
      <c r="AF10" s="286">
        <f>SUM(G10,M10,R10,W10,AB10)/AE10</f>
        <v>3.4974875000000001</v>
      </c>
      <c r="AG10" s="292"/>
      <c r="AH10" s="330">
        <f>E10*12.03%</f>
        <v>24059.999999999996</v>
      </c>
      <c r="AI10" s="286">
        <f t="shared" si="19"/>
        <v>0</v>
      </c>
      <c r="AJ10" s="330">
        <f>E10*52.03%</f>
        <v>104060</v>
      </c>
      <c r="AK10" s="286">
        <f>SUM(G10,M10,R10,W10,AB10,AG10)/AJ10</f>
        <v>2.6888237555256582</v>
      </c>
      <c r="AL10" s="292"/>
      <c r="AM10" s="330">
        <f>E10*3.39%</f>
        <v>6780</v>
      </c>
      <c r="AN10" s="286">
        <f t="shared" si="23"/>
        <v>0</v>
      </c>
      <c r="AO10" s="330">
        <f>E10*55.42%</f>
        <v>110840</v>
      </c>
      <c r="AP10" s="286">
        <f>SUM(G10,M10,R10,W10,AB10,AG10,AL10)/AO10</f>
        <v>2.524350415012631</v>
      </c>
      <c r="AQ10" s="292"/>
      <c r="AR10" s="330">
        <f>E10*9.83%</f>
        <v>19660</v>
      </c>
      <c r="AS10" s="286">
        <f t="shared" si="27"/>
        <v>0</v>
      </c>
      <c r="AT10" s="330">
        <f>E10*65.25%</f>
        <v>130500</v>
      </c>
      <c r="AU10" s="286">
        <f>SUM(G10,M10,R10,W10,AB10,AG10,AL10,AQ10)/AT10</f>
        <v>2.1440536398467431</v>
      </c>
      <c r="AV10" s="292"/>
      <c r="AW10" s="330">
        <f>E10*10.85%</f>
        <v>21700</v>
      </c>
      <c r="AX10" s="286">
        <f t="shared" si="31"/>
        <v>0</v>
      </c>
      <c r="AY10" s="330">
        <f>E10*76.1%</f>
        <v>152199.99999999997</v>
      </c>
      <c r="AZ10" s="286">
        <f>SUM(G10,M10,R10,W10,AB10,AG10,AL10,AQ10,AV10)/AY10</f>
        <v>1.8383639947437587</v>
      </c>
      <c r="BA10" s="292"/>
      <c r="BB10" s="330">
        <f>E10*6.1%</f>
        <v>12200</v>
      </c>
      <c r="BC10" s="286">
        <f t="shared" si="35"/>
        <v>0</v>
      </c>
      <c r="BD10" s="330">
        <f>E10*82.2%</f>
        <v>164400</v>
      </c>
      <c r="BE10" s="286">
        <f>SUM(G10,M10,R10,W10,AB10,AG10,AL10,AQ10,AV10,BA10)/BD10</f>
        <v>1.7019403892944038</v>
      </c>
      <c r="BF10" s="292"/>
      <c r="BG10" s="330">
        <f>E10*6.44%</f>
        <v>12880</v>
      </c>
      <c r="BH10" s="286">
        <f t="shared" si="39"/>
        <v>0</v>
      </c>
      <c r="BI10" s="330">
        <f>E10*88.64%</f>
        <v>177280</v>
      </c>
      <c r="BJ10" s="286">
        <f>SUM(G10,M10,R10,W10,AB10,AG10,AL10,AQ10,AV10,BA10,BF10)/BI10</f>
        <v>1.5782885830324909</v>
      </c>
      <c r="BK10" s="292"/>
      <c r="BL10" s="330">
        <f>E10*11.36%</f>
        <v>22720</v>
      </c>
      <c r="BM10" s="286">
        <f t="shared" si="43"/>
        <v>0</v>
      </c>
      <c r="BN10" s="331">
        <f>E10*100%</f>
        <v>200000</v>
      </c>
      <c r="BO10" s="290">
        <f>SUM(G10,M10,R10,W10,AB10,AG10,AL10,AQ10,AV10,BA10,BF10,BK10)/BN10</f>
        <v>1.398995</v>
      </c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I10" s="139"/>
      <c r="CJ10" s="139"/>
      <c r="CK10" s="139"/>
      <c r="CL10" s="139"/>
      <c r="CM10" s="139"/>
      <c r="CN10" s="139"/>
      <c r="CO10" s="139"/>
      <c r="CP10" s="139"/>
      <c r="CQ10" s="139"/>
      <c r="CR10" s="139"/>
      <c r="CS10" s="139"/>
      <c r="CT10" s="139"/>
      <c r="CU10" s="139"/>
      <c r="CV10" s="139"/>
      <c r="CW10" s="139"/>
      <c r="CX10" s="139"/>
      <c r="CY10" s="139"/>
      <c r="CZ10" s="139"/>
      <c r="DA10" s="139"/>
      <c r="DB10" s="139"/>
      <c r="DC10" s="139"/>
      <c r="DD10" s="139"/>
      <c r="DE10" s="139"/>
      <c r="DF10" s="139"/>
      <c r="DG10" s="139"/>
      <c r="DH10" s="139"/>
      <c r="DI10" s="139"/>
      <c r="DJ10" s="139"/>
      <c r="DK10" s="139"/>
      <c r="DL10" s="139"/>
      <c r="DM10" s="139"/>
      <c r="DN10" s="139"/>
      <c r="DO10" s="139"/>
      <c r="DP10" s="139"/>
      <c r="DQ10" s="139"/>
      <c r="DR10" s="139"/>
      <c r="DS10" s="139"/>
      <c r="DT10" s="139"/>
      <c r="DU10" s="139"/>
      <c r="DV10" s="139"/>
      <c r="DW10" s="139"/>
      <c r="DX10" s="139"/>
      <c r="DY10" s="139"/>
      <c r="DZ10" s="139"/>
      <c r="EA10" s="139"/>
      <c r="EB10" s="139"/>
      <c r="EC10" s="139"/>
      <c r="ED10" s="139"/>
      <c r="EE10" s="139"/>
      <c r="EF10" s="139"/>
      <c r="EG10" s="139"/>
      <c r="EH10" s="139"/>
      <c r="EI10" s="139"/>
      <c r="EJ10" s="139"/>
      <c r="EK10" s="139"/>
      <c r="EL10" s="139"/>
      <c r="EM10" s="139"/>
      <c r="EN10" s="139"/>
      <c r="EO10" s="139"/>
      <c r="EP10" s="139"/>
      <c r="EQ10" s="139"/>
      <c r="ER10" s="139"/>
      <c r="ES10" s="139"/>
      <c r="ET10" s="139"/>
      <c r="EU10" s="139"/>
      <c r="EV10" s="139"/>
      <c r="EW10" s="139"/>
      <c r="EX10" s="139"/>
      <c r="EY10" s="139"/>
      <c r="EZ10" s="139"/>
      <c r="FA10" s="139"/>
      <c r="FB10" s="139"/>
      <c r="FC10" s="139"/>
      <c r="FD10" s="139"/>
      <c r="FE10" s="139"/>
      <c r="FF10" s="139"/>
      <c r="FG10" s="139"/>
      <c r="FH10" s="139"/>
      <c r="FI10" s="139"/>
      <c r="FJ10" s="139"/>
      <c r="FK10" s="139"/>
      <c r="FL10" s="139"/>
      <c r="FM10" s="139"/>
      <c r="FN10" s="139"/>
    </row>
    <row r="11" spans="1:170" s="200" customFormat="1">
      <c r="A11" s="84" t="s">
        <v>135</v>
      </c>
      <c r="B11" s="84" t="s">
        <v>136</v>
      </c>
      <c r="C11" s="84" t="s">
        <v>137</v>
      </c>
      <c r="D11" s="213" t="s">
        <v>15</v>
      </c>
      <c r="E11" s="196" t="s">
        <v>15</v>
      </c>
      <c r="F11" s="214" t="s">
        <v>138</v>
      </c>
      <c r="G11" s="215" t="s">
        <v>138</v>
      </c>
      <c r="H11" s="185"/>
      <c r="I11" s="343">
        <v>0</v>
      </c>
      <c r="J11" s="252" t="e">
        <f t="shared" si="1"/>
        <v>#VALUE!</v>
      </c>
      <c r="K11" s="251" t="e">
        <f t="shared" si="2"/>
        <v>#VALUE!</v>
      </c>
      <c r="L11" s="252" t="e">
        <f>G11/K11</f>
        <v>#VALUE!</v>
      </c>
      <c r="M11" s="294">
        <v>3</v>
      </c>
      <c r="N11" s="251" t="e">
        <f>E11*5.93%</f>
        <v>#VALUE!</v>
      </c>
      <c r="O11" s="253" t="e">
        <f t="shared" si="5"/>
        <v>#VALUE!</v>
      </c>
      <c r="P11" s="255" t="e">
        <f>E11*13.39%</f>
        <v>#VALUE!</v>
      </c>
      <c r="Q11" s="253" t="e">
        <f>SUM(G11,M11)/P11</f>
        <v>#VALUE!</v>
      </c>
      <c r="R11" s="291">
        <v>29798</v>
      </c>
      <c r="S11" s="330" t="e">
        <f>E11*8.31%</f>
        <v>#VALUE!</v>
      </c>
      <c r="T11" s="286" t="e">
        <f t="shared" si="7"/>
        <v>#VALUE!</v>
      </c>
      <c r="U11" s="332" t="e">
        <f>E11*21.69%</f>
        <v>#VALUE!</v>
      </c>
      <c r="V11" s="286" t="e">
        <f>SUM(G11,M11,R11)/U11</f>
        <v>#VALUE!</v>
      </c>
      <c r="W11" s="292"/>
      <c r="X11" s="330" t="e">
        <f>E11*7.29%</f>
        <v>#VALUE!</v>
      </c>
      <c r="Y11" s="286" t="e">
        <f t="shared" si="11"/>
        <v>#VALUE!</v>
      </c>
      <c r="Z11" s="332" t="e">
        <f>E11*28.98%</f>
        <v>#VALUE!</v>
      </c>
      <c r="AA11" s="286" t="e">
        <f>SUM(G11,M11,R11,W11)/Z11</f>
        <v>#VALUE!</v>
      </c>
      <c r="AB11" s="292"/>
      <c r="AC11" s="330" t="e">
        <f>E11*11.02%</f>
        <v>#VALUE!</v>
      </c>
      <c r="AD11" s="286" t="e">
        <f t="shared" si="15"/>
        <v>#VALUE!</v>
      </c>
      <c r="AE11" s="332" t="e">
        <f>E11*40%</f>
        <v>#VALUE!</v>
      </c>
      <c r="AF11" s="286" t="e">
        <f>SUM(G11,M11,R11,W11,AB11)/AE11</f>
        <v>#VALUE!</v>
      </c>
      <c r="AG11" s="292"/>
      <c r="AH11" s="330" t="e">
        <f>E11*12.03%</f>
        <v>#VALUE!</v>
      </c>
      <c r="AI11" s="286" t="e">
        <f t="shared" si="19"/>
        <v>#VALUE!</v>
      </c>
      <c r="AJ11" s="330" t="e">
        <f>E11*52.03%</f>
        <v>#VALUE!</v>
      </c>
      <c r="AK11" s="286" t="e">
        <f>SUM(G11,M11,R11,W11,AB11,AG11)/AJ11</f>
        <v>#VALUE!</v>
      </c>
      <c r="AL11" s="292"/>
      <c r="AM11" s="330" t="e">
        <f>E11*3.39%</f>
        <v>#VALUE!</v>
      </c>
      <c r="AN11" s="286" t="e">
        <f t="shared" si="23"/>
        <v>#VALUE!</v>
      </c>
      <c r="AO11" s="330" t="e">
        <f>E11*55.42%</f>
        <v>#VALUE!</v>
      </c>
      <c r="AP11" s="286" t="e">
        <f>SUM(G11,M11,R11,W11,AB11,AG11,AL11)/AO11</f>
        <v>#VALUE!</v>
      </c>
      <c r="AQ11" s="292"/>
      <c r="AR11" s="330" t="e">
        <f>E11*9.83%</f>
        <v>#VALUE!</v>
      </c>
      <c r="AS11" s="286" t="e">
        <f t="shared" si="27"/>
        <v>#VALUE!</v>
      </c>
      <c r="AT11" s="330" t="e">
        <f>E11*65.25%</f>
        <v>#VALUE!</v>
      </c>
      <c r="AU11" s="286" t="e">
        <f>SUM(G11,M11,R11,W11,AB11,AG11,AL11,AQ11)/AT11</f>
        <v>#VALUE!</v>
      </c>
      <c r="AV11" s="292"/>
      <c r="AW11" s="330" t="e">
        <f>E11*10.85%</f>
        <v>#VALUE!</v>
      </c>
      <c r="AX11" s="286" t="e">
        <f t="shared" si="31"/>
        <v>#VALUE!</v>
      </c>
      <c r="AY11" s="330" t="e">
        <f>E11*76.1%</f>
        <v>#VALUE!</v>
      </c>
      <c r="AZ11" s="286" t="e">
        <f>SUM(G11,M11,R11,W11,AB11,AG11,AL11,AQ11,AV11)/AY11</f>
        <v>#VALUE!</v>
      </c>
      <c r="BA11" s="292"/>
      <c r="BB11" s="330" t="e">
        <f>E11*6.1%</f>
        <v>#VALUE!</v>
      </c>
      <c r="BC11" s="286" t="e">
        <f t="shared" si="35"/>
        <v>#VALUE!</v>
      </c>
      <c r="BD11" s="330" t="e">
        <f>E11*82.2%</f>
        <v>#VALUE!</v>
      </c>
      <c r="BE11" s="286" t="e">
        <f>SUM(G11,M11,R11,W11,AB11,AG11,AL11,AQ11,AV11,BA11)/BD11</f>
        <v>#VALUE!</v>
      </c>
      <c r="BF11" s="292"/>
      <c r="BG11" s="330" t="e">
        <f>E11*6.44%</f>
        <v>#VALUE!</v>
      </c>
      <c r="BH11" s="286" t="e">
        <f t="shared" si="39"/>
        <v>#VALUE!</v>
      </c>
      <c r="BI11" s="330" t="e">
        <f>E11*88.64%</f>
        <v>#VALUE!</v>
      </c>
      <c r="BJ11" s="286" t="e">
        <f>SUM(G11,M11,R11,W11,AB11,AG11,AL11,AQ11,AV11,BA11,BF11)/BI11</f>
        <v>#VALUE!</v>
      </c>
      <c r="BK11" s="292"/>
      <c r="BL11" s="330" t="e">
        <f>E11*11.36%</f>
        <v>#VALUE!</v>
      </c>
      <c r="BM11" s="286" t="e">
        <f t="shared" si="43"/>
        <v>#VALUE!</v>
      </c>
      <c r="BN11" s="331" t="e">
        <f>E11*100%</f>
        <v>#VALUE!</v>
      </c>
      <c r="BO11" s="290" t="e">
        <f>SUM(G11,M11,R11,W11,AB11,AG11,AL11,AQ11,AV11,BA11,BF11,BK11)/BN11</f>
        <v>#VALUE!</v>
      </c>
    </row>
    <row r="12" spans="1:170" s="139" customFormat="1">
      <c r="A12" s="30"/>
      <c r="B12" s="30"/>
      <c r="C12" s="30"/>
      <c r="D12" s="2"/>
      <c r="E12" s="29"/>
      <c r="F12" s="212">
        <f>SUM(F4:F10)</f>
        <v>3250000</v>
      </c>
      <c r="G12"/>
      <c r="H12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2"/>
    </row>
    <row r="13" spans="1:170" ht="15.75" thickBot="1">
      <c r="I13" s="1"/>
    </row>
    <row r="14" spans="1:170" ht="15.75" thickBot="1">
      <c r="A14" s="10"/>
      <c r="B14" s="15" t="s">
        <v>28</v>
      </c>
      <c r="C14" s="16" t="s">
        <v>29</v>
      </c>
      <c r="D14" s="15" t="s">
        <v>30</v>
      </c>
      <c r="E14" s="16" t="s">
        <v>31</v>
      </c>
      <c r="F14" s="187" t="s">
        <v>32</v>
      </c>
      <c r="G14" s="186" t="s">
        <v>127</v>
      </c>
    </row>
    <row r="15" spans="1:170">
      <c r="A15" s="11" t="s">
        <v>16</v>
      </c>
      <c r="B15" s="108">
        <v>86931</v>
      </c>
      <c r="C15" s="109">
        <v>7</v>
      </c>
      <c r="D15" s="13">
        <v>127047</v>
      </c>
      <c r="E15" s="14">
        <v>9</v>
      </c>
      <c r="F15" s="147">
        <v>125000</v>
      </c>
      <c r="G15" s="146">
        <f>IF(D15=0,"",D15-F15)</f>
        <v>2047</v>
      </c>
    </row>
    <row r="16" spans="1:170">
      <c r="A16" s="11" t="s">
        <v>17</v>
      </c>
      <c r="B16" s="108">
        <v>130762</v>
      </c>
      <c r="C16" s="109">
        <v>11</v>
      </c>
      <c r="D16" s="4">
        <v>97616</v>
      </c>
      <c r="E16" s="5">
        <v>8</v>
      </c>
      <c r="F16" s="177">
        <v>185000</v>
      </c>
      <c r="G16" s="18">
        <f t="shared" ref="G16:G27" si="48">IF(D16=0,"",D16-F16)</f>
        <v>-87384</v>
      </c>
    </row>
    <row r="17" spans="1:11">
      <c r="A17" s="11" t="s">
        <v>18</v>
      </c>
      <c r="B17" s="108">
        <v>298766</v>
      </c>
      <c r="C17" s="109">
        <v>23</v>
      </c>
      <c r="D17" s="4"/>
      <c r="E17" s="5"/>
      <c r="F17" s="177">
        <v>425000</v>
      </c>
      <c r="G17" s="18" t="str">
        <f t="shared" si="48"/>
        <v/>
      </c>
    </row>
    <row r="18" spans="1:11">
      <c r="A18" s="11" t="s">
        <v>19</v>
      </c>
      <c r="B18" s="108">
        <v>255624</v>
      </c>
      <c r="C18" s="106">
        <v>21</v>
      </c>
      <c r="D18" s="4"/>
      <c r="E18" s="5"/>
      <c r="F18" s="177">
        <v>365000</v>
      </c>
      <c r="G18" s="18" t="str">
        <f t="shared" si="48"/>
        <v/>
      </c>
    </row>
    <row r="19" spans="1:11">
      <c r="A19" s="11" t="s">
        <v>20</v>
      </c>
      <c r="B19" s="105">
        <v>165626</v>
      </c>
      <c r="C19" s="106">
        <v>13</v>
      </c>
      <c r="D19" s="4"/>
      <c r="E19" s="5"/>
      <c r="F19" s="177">
        <v>235000</v>
      </c>
      <c r="G19" s="18" t="str">
        <f t="shared" si="48"/>
        <v/>
      </c>
    </row>
    <row r="20" spans="1:11">
      <c r="A20" s="11" t="s">
        <v>21</v>
      </c>
      <c r="B20" s="108">
        <v>291779</v>
      </c>
      <c r="C20" s="106">
        <v>24</v>
      </c>
      <c r="D20" s="4"/>
      <c r="E20" s="5"/>
      <c r="F20" s="177">
        <v>415000</v>
      </c>
      <c r="G20" s="18" t="str">
        <f t="shared" si="48"/>
        <v/>
      </c>
    </row>
    <row r="21" spans="1:11">
      <c r="A21" s="11" t="s">
        <v>22</v>
      </c>
      <c r="B21" s="108">
        <v>23395</v>
      </c>
      <c r="C21" s="107">
        <v>1</v>
      </c>
      <c r="D21" s="4"/>
      <c r="E21" s="5"/>
      <c r="F21" s="177">
        <v>40000</v>
      </c>
      <c r="G21" s="18" t="str">
        <f t="shared" si="48"/>
        <v/>
      </c>
    </row>
    <row r="22" spans="1:11">
      <c r="A22" s="11" t="s">
        <v>23</v>
      </c>
      <c r="B22" s="108">
        <v>74064</v>
      </c>
      <c r="C22" s="107">
        <v>6</v>
      </c>
      <c r="D22" s="4"/>
      <c r="E22" s="5"/>
      <c r="F22" s="177">
        <v>105000</v>
      </c>
      <c r="G22" s="18" t="str">
        <f t="shared" si="48"/>
        <v/>
      </c>
      <c r="I22" s="1"/>
    </row>
    <row r="23" spans="1:11">
      <c r="A23" s="11" t="s">
        <v>24</v>
      </c>
      <c r="B23" s="108">
        <v>316858</v>
      </c>
      <c r="C23" s="107">
        <v>23</v>
      </c>
      <c r="D23" s="4"/>
      <c r="E23" s="5"/>
      <c r="F23" s="177">
        <v>450000</v>
      </c>
      <c r="G23" s="18" t="str">
        <f t="shared" si="48"/>
        <v/>
      </c>
    </row>
    <row r="24" spans="1:11">
      <c r="A24" s="11" t="s">
        <v>25</v>
      </c>
      <c r="B24" s="108">
        <v>230652</v>
      </c>
      <c r="C24" s="107">
        <v>15</v>
      </c>
      <c r="D24" s="4"/>
      <c r="E24" s="5"/>
      <c r="F24" s="177">
        <v>330000</v>
      </c>
      <c r="G24" s="18" t="str">
        <f t="shared" si="48"/>
        <v/>
      </c>
    </row>
    <row r="25" spans="1:11">
      <c r="A25" s="11" t="s">
        <v>26</v>
      </c>
      <c r="B25" s="108">
        <v>207229</v>
      </c>
      <c r="C25" s="106">
        <v>16</v>
      </c>
      <c r="D25" s="4"/>
      <c r="E25" s="5"/>
      <c r="F25" s="177">
        <v>295000</v>
      </c>
      <c r="G25" s="18" t="str">
        <f t="shared" si="48"/>
        <v/>
      </c>
    </row>
    <row r="26" spans="1:11" ht="15.75" thickBot="1">
      <c r="A26" s="11" t="s">
        <v>27</v>
      </c>
      <c r="B26" s="207">
        <v>197810</v>
      </c>
      <c r="C26" s="208">
        <v>15</v>
      </c>
      <c r="D26" s="6"/>
      <c r="E26" s="7"/>
      <c r="F26" s="178">
        <v>280000</v>
      </c>
      <c r="G26" s="19" t="str">
        <f t="shared" si="48"/>
        <v/>
      </c>
    </row>
    <row r="27" spans="1:11" ht="15.75" thickBot="1">
      <c r="A27" s="12"/>
      <c r="B27" s="180">
        <f>SUM(B15:B26)</f>
        <v>2279496</v>
      </c>
      <c r="C27" s="181">
        <f>SUM(C15:C26)</f>
        <v>175</v>
      </c>
      <c r="D27" s="143">
        <f>SUM(D15:D26)</f>
        <v>224663</v>
      </c>
      <c r="E27" s="28">
        <f>SUM(E15:E26)</f>
        <v>17</v>
      </c>
      <c r="F27" s="180">
        <f>SUM(F15:F26)</f>
        <v>3250000</v>
      </c>
      <c r="G27" s="206">
        <f t="shared" si="48"/>
        <v>-3025337</v>
      </c>
    </row>
    <row r="28" spans="1:11" ht="15.75" thickBot="1"/>
    <row r="29" spans="1:11" ht="45.75" thickBot="1">
      <c r="E29" s="150" t="s">
        <v>134</v>
      </c>
      <c r="F29" s="145">
        <f>D27/F27</f>
        <v>6.912707692307693E-2</v>
      </c>
      <c r="K29" s="200" t="s">
        <v>133</v>
      </c>
    </row>
    <row r="32" spans="1:11">
      <c r="G32" s="200"/>
    </row>
  </sheetData>
  <mergeCells count="1">
    <mergeCell ref="A3:C3"/>
  </mergeCells>
  <pageMargins left="0.7" right="0.7" top="0.75" bottom="0.75" header="0.3" footer="0.3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F&amp;P</vt:lpstr>
      <vt:lpstr>Balwyn Nth</vt:lpstr>
      <vt:lpstr>Canterbury</vt:lpstr>
      <vt:lpstr>Hawthorn </vt:lpstr>
      <vt:lpstr>Manningham</vt:lpstr>
      <vt:lpstr>Maroondah</vt:lpstr>
      <vt:lpstr>Whitehorse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Tracey.Vongsanga</dc:creator>
  <cp:lastModifiedBy>gord</cp:lastModifiedBy>
  <cp:lastPrinted>2014-09-10T01:09:49Z</cp:lastPrinted>
  <dcterms:created xsi:type="dcterms:W3CDTF">2014-09-09T01:23:44Z</dcterms:created>
  <dcterms:modified xsi:type="dcterms:W3CDTF">2014-10-20T04:11:39Z</dcterms:modified>
</cp:coreProperties>
</file>