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9440" windowHeight="12075" activeTab="1"/>
  </bookViews>
  <sheets>
    <sheet name="F&amp;P" sheetId="7" r:id="rId1"/>
    <sheet name="Balwyn Nth" sheetId="3" r:id="rId2"/>
    <sheet name="Canterbury" sheetId="4" r:id="rId3"/>
    <sheet name="Hawthorn " sheetId="1" r:id="rId4"/>
    <sheet name="Manningham" sheetId="2" r:id="rId5"/>
    <sheet name="Maroondah" sheetId="5" r:id="rId6"/>
    <sheet name="Whitehorse" sheetId="6" r:id="rId7"/>
  </sheets>
  <calcPr calcId="145621" concurrentCalc="0"/>
</workbook>
</file>

<file path=xl/calcChain.xml><?xml version="1.0" encoding="utf-8"?>
<calcChain xmlns="http://schemas.openxmlformats.org/spreadsheetml/2006/main">
  <c r="AJ4" i="4" l="1"/>
  <c r="AK4" i="4"/>
  <c r="BN11" i="6"/>
  <c r="BO11" i="6"/>
  <c r="BL11" i="6"/>
  <c r="BM11" i="6"/>
  <c r="BI11" i="6"/>
  <c r="BJ11" i="6"/>
  <c r="BG11" i="6"/>
  <c r="BH11" i="6"/>
  <c r="BD11" i="6"/>
  <c r="BE11" i="6"/>
  <c r="BB11" i="6"/>
  <c r="BC11" i="6"/>
  <c r="AY11" i="6"/>
  <c r="AZ11" i="6"/>
  <c r="AW11" i="6"/>
  <c r="AX11" i="6"/>
  <c r="AT11" i="6"/>
  <c r="AU11" i="6"/>
  <c r="AR11" i="6"/>
  <c r="AS11" i="6"/>
  <c r="AO11" i="6"/>
  <c r="AP11" i="6"/>
  <c r="AM11" i="6"/>
  <c r="AN11" i="6"/>
  <c r="AJ11" i="6"/>
  <c r="AK11" i="6"/>
  <c r="AH11" i="6"/>
  <c r="AI11" i="6"/>
  <c r="AE11" i="6"/>
  <c r="AF11" i="6"/>
  <c r="AC11" i="6"/>
  <c r="AD11" i="6"/>
  <c r="Z11" i="6"/>
  <c r="AA11" i="6"/>
  <c r="X11" i="6"/>
  <c r="Y11" i="6"/>
  <c r="U11" i="6"/>
  <c r="V11" i="6"/>
  <c r="S11" i="6"/>
  <c r="T11" i="6"/>
  <c r="P11" i="6"/>
  <c r="Q11" i="6"/>
  <c r="N11" i="6"/>
  <c r="O11" i="6"/>
  <c r="K11" i="6"/>
  <c r="L11" i="6"/>
  <c r="J11" i="6"/>
  <c r="BN10" i="6"/>
  <c r="BO10" i="6"/>
  <c r="BL10" i="6"/>
  <c r="BM10" i="6"/>
  <c r="BI10" i="6"/>
  <c r="BJ10" i="6"/>
  <c r="BG10" i="6"/>
  <c r="BH10" i="6"/>
  <c r="BD10" i="6"/>
  <c r="BE10" i="6"/>
  <c r="BB10" i="6"/>
  <c r="BC10" i="6"/>
  <c r="AY10" i="6"/>
  <c r="AZ10" i="6"/>
  <c r="AW10" i="6"/>
  <c r="AX10" i="6"/>
  <c r="AT10" i="6"/>
  <c r="AU10" i="6"/>
  <c r="AR10" i="6"/>
  <c r="AS10" i="6"/>
  <c r="AO10" i="6"/>
  <c r="AP10" i="6"/>
  <c r="AM10" i="6"/>
  <c r="AN10" i="6"/>
  <c r="AJ10" i="6"/>
  <c r="AK10" i="6"/>
  <c r="AH10" i="6"/>
  <c r="AI10" i="6"/>
  <c r="AE10" i="6"/>
  <c r="AF10" i="6"/>
  <c r="AC10" i="6"/>
  <c r="AD10" i="6"/>
  <c r="Z10" i="6"/>
  <c r="AA10" i="6"/>
  <c r="X10" i="6"/>
  <c r="Y10" i="6"/>
  <c r="U10" i="6"/>
  <c r="V10" i="6"/>
  <c r="S10" i="6"/>
  <c r="T10" i="6"/>
  <c r="P10" i="6"/>
  <c r="Q10" i="6"/>
  <c r="N10" i="6"/>
  <c r="O10" i="6"/>
  <c r="K10" i="6"/>
  <c r="L10" i="6"/>
  <c r="J10" i="6"/>
  <c r="BN9" i="6"/>
  <c r="BO9" i="6"/>
  <c r="BL9" i="6"/>
  <c r="BM9" i="6"/>
  <c r="BI9" i="6"/>
  <c r="BJ9" i="6"/>
  <c r="BG9" i="6"/>
  <c r="BH9" i="6"/>
  <c r="BD9" i="6"/>
  <c r="BE9" i="6"/>
  <c r="BB9" i="6"/>
  <c r="BC9" i="6"/>
  <c r="AY9" i="6"/>
  <c r="AZ9" i="6"/>
  <c r="AW9" i="6"/>
  <c r="AX9" i="6"/>
  <c r="AT9" i="6"/>
  <c r="AU9" i="6"/>
  <c r="AR9" i="6"/>
  <c r="AS9" i="6"/>
  <c r="AO9" i="6"/>
  <c r="AP9" i="6"/>
  <c r="AM9" i="6"/>
  <c r="AN9" i="6"/>
  <c r="AJ9" i="6"/>
  <c r="AK9" i="6"/>
  <c r="AH9" i="6"/>
  <c r="AI9" i="6"/>
  <c r="AE9" i="6"/>
  <c r="AF9" i="6"/>
  <c r="AC9" i="6"/>
  <c r="AD9" i="6"/>
  <c r="Z9" i="6"/>
  <c r="AA9" i="6"/>
  <c r="X9" i="6"/>
  <c r="Y9" i="6"/>
  <c r="U9" i="6"/>
  <c r="V9" i="6"/>
  <c r="S9" i="6"/>
  <c r="T9" i="6"/>
  <c r="P9" i="6"/>
  <c r="Q9" i="6"/>
  <c r="N9" i="6"/>
  <c r="O9" i="6"/>
  <c r="K9" i="6"/>
  <c r="L9" i="6"/>
  <c r="J9" i="6"/>
  <c r="BN8" i="6"/>
  <c r="BO8" i="6"/>
  <c r="BL8" i="6"/>
  <c r="BM8" i="6"/>
  <c r="BI8" i="6"/>
  <c r="BJ8" i="6"/>
  <c r="BG8" i="6"/>
  <c r="BH8" i="6"/>
  <c r="BD8" i="6"/>
  <c r="BE8" i="6"/>
  <c r="BB8" i="6"/>
  <c r="BC8" i="6"/>
  <c r="AY8" i="6"/>
  <c r="AZ8" i="6"/>
  <c r="AW8" i="6"/>
  <c r="AX8" i="6"/>
  <c r="AT8" i="6"/>
  <c r="AU8" i="6"/>
  <c r="AR8" i="6"/>
  <c r="AS8" i="6"/>
  <c r="AO8" i="6"/>
  <c r="AP8" i="6"/>
  <c r="AM8" i="6"/>
  <c r="AN8" i="6"/>
  <c r="AJ8" i="6"/>
  <c r="AK8" i="6"/>
  <c r="AH8" i="6"/>
  <c r="AI8" i="6"/>
  <c r="AE8" i="6"/>
  <c r="AF8" i="6"/>
  <c r="AC8" i="6"/>
  <c r="AD8" i="6"/>
  <c r="Z8" i="6"/>
  <c r="AA8" i="6"/>
  <c r="X8" i="6"/>
  <c r="Y8" i="6"/>
  <c r="U8" i="6"/>
  <c r="V8" i="6"/>
  <c r="S8" i="6"/>
  <c r="T8" i="6"/>
  <c r="P8" i="6"/>
  <c r="Q8" i="6"/>
  <c r="N8" i="6"/>
  <c r="O8" i="6"/>
  <c r="K8" i="6"/>
  <c r="L8" i="6"/>
  <c r="I8" i="6"/>
  <c r="J8" i="6"/>
  <c r="BN7" i="6"/>
  <c r="BO7" i="6"/>
  <c r="BL7" i="6"/>
  <c r="BM7" i="6"/>
  <c r="BI7" i="6"/>
  <c r="BJ7" i="6"/>
  <c r="BG7" i="6"/>
  <c r="BH7" i="6"/>
  <c r="BD7" i="6"/>
  <c r="BE7" i="6"/>
  <c r="BB7" i="6"/>
  <c r="BC7" i="6"/>
  <c r="AY7" i="6"/>
  <c r="AZ7" i="6"/>
  <c r="AW7" i="6"/>
  <c r="AX7" i="6"/>
  <c r="AT7" i="6"/>
  <c r="AU7" i="6"/>
  <c r="AR7" i="6"/>
  <c r="AS7" i="6"/>
  <c r="AO7" i="6"/>
  <c r="AP7" i="6"/>
  <c r="AM7" i="6"/>
  <c r="AN7" i="6"/>
  <c r="AJ7" i="6"/>
  <c r="AK7" i="6"/>
  <c r="AH7" i="6"/>
  <c r="AI7" i="6"/>
  <c r="AE7" i="6"/>
  <c r="AF7" i="6"/>
  <c r="AC7" i="6"/>
  <c r="AD7" i="6"/>
  <c r="Z7" i="6"/>
  <c r="AA7" i="6"/>
  <c r="X7" i="6"/>
  <c r="Y7" i="6"/>
  <c r="U7" i="6"/>
  <c r="V7" i="6"/>
  <c r="S7" i="6"/>
  <c r="T7" i="6"/>
  <c r="P7" i="6"/>
  <c r="Q7" i="6"/>
  <c r="N7" i="6"/>
  <c r="O7" i="6"/>
  <c r="K7" i="6"/>
  <c r="L7" i="6"/>
  <c r="I7" i="6"/>
  <c r="J7" i="6"/>
  <c r="BN6" i="6"/>
  <c r="BO6" i="6"/>
  <c r="BL6" i="6"/>
  <c r="BM6" i="6"/>
  <c r="BI6" i="6"/>
  <c r="BJ6" i="6"/>
  <c r="BG6" i="6"/>
  <c r="BH6" i="6"/>
  <c r="BD6" i="6"/>
  <c r="BE6" i="6"/>
  <c r="BB6" i="6"/>
  <c r="BC6" i="6"/>
  <c r="AY6" i="6"/>
  <c r="AZ6" i="6"/>
  <c r="AW6" i="6"/>
  <c r="AX6" i="6"/>
  <c r="AT6" i="6"/>
  <c r="AU6" i="6"/>
  <c r="AR6" i="6"/>
  <c r="AS6" i="6"/>
  <c r="AO6" i="6"/>
  <c r="AP6" i="6"/>
  <c r="AM6" i="6"/>
  <c r="AN6" i="6"/>
  <c r="AJ6" i="6"/>
  <c r="AK6" i="6"/>
  <c r="AH6" i="6"/>
  <c r="AI6" i="6"/>
  <c r="AE6" i="6"/>
  <c r="AF6" i="6"/>
  <c r="AC6" i="6"/>
  <c r="AD6" i="6"/>
  <c r="Z6" i="6"/>
  <c r="AA6" i="6"/>
  <c r="X6" i="6"/>
  <c r="Y6" i="6"/>
  <c r="U6" i="6"/>
  <c r="V6" i="6"/>
  <c r="S6" i="6"/>
  <c r="T6" i="6"/>
  <c r="P6" i="6"/>
  <c r="Q6" i="6"/>
  <c r="N6" i="6"/>
  <c r="O6" i="6"/>
  <c r="K6" i="6"/>
  <c r="L6" i="6"/>
  <c r="I6" i="6"/>
  <c r="J6" i="6"/>
  <c r="BN5" i="6"/>
  <c r="BO5" i="6"/>
  <c r="BL5" i="6"/>
  <c r="BM5" i="6"/>
  <c r="BI5" i="6"/>
  <c r="BJ5" i="6"/>
  <c r="BG5" i="6"/>
  <c r="BH5" i="6"/>
  <c r="BD5" i="6"/>
  <c r="BE5" i="6"/>
  <c r="BB5" i="6"/>
  <c r="BC5" i="6"/>
  <c r="AY5" i="6"/>
  <c r="AZ5" i="6"/>
  <c r="AW5" i="6"/>
  <c r="AX5" i="6"/>
  <c r="AT5" i="6"/>
  <c r="AU5" i="6"/>
  <c r="AR5" i="6"/>
  <c r="AS5" i="6"/>
  <c r="AO5" i="6"/>
  <c r="AP5" i="6"/>
  <c r="AM5" i="6"/>
  <c r="AN5" i="6"/>
  <c r="AJ5" i="6"/>
  <c r="AK5" i="6"/>
  <c r="AH5" i="6"/>
  <c r="AI5" i="6"/>
  <c r="AE5" i="6"/>
  <c r="AF5" i="6"/>
  <c r="AC5" i="6"/>
  <c r="AD5" i="6"/>
  <c r="Z5" i="6"/>
  <c r="AA5" i="6"/>
  <c r="X5" i="6"/>
  <c r="Y5" i="6"/>
  <c r="U5" i="6"/>
  <c r="V5" i="6"/>
  <c r="S5" i="6"/>
  <c r="T5" i="6"/>
  <c r="P5" i="6"/>
  <c r="Q5" i="6"/>
  <c r="N5" i="6"/>
  <c r="O5" i="6"/>
  <c r="K5" i="6"/>
  <c r="L5" i="6"/>
  <c r="I5" i="6"/>
  <c r="J5" i="6"/>
  <c r="BN4" i="6"/>
  <c r="BO4" i="6"/>
  <c r="BL4" i="6"/>
  <c r="BM4" i="6"/>
  <c r="BI4" i="6"/>
  <c r="BJ4" i="6"/>
  <c r="BG4" i="6"/>
  <c r="BH4" i="6"/>
  <c r="BD4" i="6"/>
  <c r="BE4" i="6"/>
  <c r="BB4" i="6"/>
  <c r="BC4" i="6"/>
  <c r="AY4" i="6"/>
  <c r="AZ4" i="6"/>
  <c r="AW4" i="6"/>
  <c r="AX4" i="6"/>
  <c r="AT4" i="6"/>
  <c r="AU4" i="6"/>
  <c r="AR4" i="6"/>
  <c r="AS4" i="6"/>
  <c r="AO4" i="6"/>
  <c r="AP4" i="6"/>
  <c r="AM4" i="6"/>
  <c r="AN4" i="6"/>
  <c r="AJ4" i="6"/>
  <c r="AK4" i="6"/>
  <c r="AH4" i="6"/>
  <c r="AI4" i="6"/>
  <c r="AE4" i="6"/>
  <c r="AF4" i="6"/>
  <c r="AC4" i="6"/>
  <c r="AD4" i="6"/>
  <c r="Z4" i="6"/>
  <c r="AA4" i="6"/>
  <c r="X4" i="6"/>
  <c r="Y4" i="6"/>
  <c r="U4" i="6"/>
  <c r="V4" i="6"/>
  <c r="S4" i="6"/>
  <c r="T4" i="6"/>
  <c r="P4" i="6"/>
  <c r="Q4" i="6"/>
  <c r="N4" i="6"/>
  <c r="O4" i="6"/>
  <c r="K4" i="6"/>
  <c r="L4" i="6"/>
  <c r="I4" i="6"/>
  <c r="J4" i="6"/>
  <c r="BN7" i="5"/>
  <c r="BO7" i="5"/>
  <c r="BL7" i="5"/>
  <c r="BM7" i="5"/>
  <c r="BI7" i="5"/>
  <c r="BJ7" i="5"/>
  <c r="BG7" i="5"/>
  <c r="BH7" i="5"/>
  <c r="BD7" i="5"/>
  <c r="BE7" i="5"/>
  <c r="BB7" i="5"/>
  <c r="BC7" i="5"/>
  <c r="AY7" i="5"/>
  <c r="AZ7" i="5"/>
  <c r="AW7" i="5"/>
  <c r="AX7" i="5"/>
  <c r="AT7" i="5"/>
  <c r="AU7" i="5"/>
  <c r="AR7" i="5"/>
  <c r="AS7" i="5"/>
  <c r="AO7" i="5"/>
  <c r="AP7" i="5"/>
  <c r="AM7" i="5"/>
  <c r="AN7" i="5"/>
  <c r="AJ7" i="5"/>
  <c r="AK7" i="5"/>
  <c r="AH7" i="5"/>
  <c r="AI7" i="5"/>
  <c r="AE7" i="5"/>
  <c r="AF7" i="5"/>
  <c r="AC7" i="5"/>
  <c r="AD7" i="5"/>
  <c r="Z7" i="5"/>
  <c r="AA7" i="5"/>
  <c r="X7" i="5"/>
  <c r="Y7" i="5"/>
  <c r="U7" i="5"/>
  <c r="V7" i="5"/>
  <c r="S7" i="5"/>
  <c r="T7" i="5"/>
  <c r="P7" i="5"/>
  <c r="Q7" i="5"/>
  <c r="N7" i="5"/>
  <c r="O7" i="5"/>
  <c r="K7" i="5"/>
  <c r="L7" i="5"/>
  <c r="I7" i="5"/>
  <c r="J7" i="5"/>
  <c r="BN6" i="5"/>
  <c r="BO6" i="5"/>
  <c r="BL6" i="5"/>
  <c r="BM6" i="5"/>
  <c r="BI6" i="5"/>
  <c r="BJ6" i="5"/>
  <c r="BG6" i="5"/>
  <c r="BH6" i="5"/>
  <c r="BD6" i="5"/>
  <c r="BE6" i="5"/>
  <c r="BB6" i="5"/>
  <c r="BC6" i="5"/>
  <c r="AY6" i="5"/>
  <c r="AZ6" i="5"/>
  <c r="AW6" i="5"/>
  <c r="AX6" i="5"/>
  <c r="AT6" i="5"/>
  <c r="AU6" i="5"/>
  <c r="AR6" i="5"/>
  <c r="AS6" i="5"/>
  <c r="AO6" i="5"/>
  <c r="AP6" i="5"/>
  <c r="AM6" i="5"/>
  <c r="AN6" i="5"/>
  <c r="AJ6" i="5"/>
  <c r="AK6" i="5"/>
  <c r="AH6" i="5"/>
  <c r="AI6" i="5"/>
  <c r="AE6" i="5"/>
  <c r="AF6" i="5"/>
  <c r="AC6" i="5"/>
  <c r="AD6" i="5"/>
  <c r="Z6" i="5"/>
  <c r="AA6" i="5"/>
  <c r="X6" i="5"/>
  <c r="Y6" i="5"/>
  <c r="U6" i="5"/>
  <c r="V6" i="5"/>
  <c r="S6" i="5"/>
  <c r="T6" i="5"/>
  <c r="P6" i="5"/>
  <c r="Q6" i="5"/>
  <c r="N6" i="5"/>
  <c r="O6" i="5"/>
  <c r="K6" i="5"/>
  <c r="L6" i="5"/>
  <c r="I6" i="5"/>
  <c r="J6" i="5"/>
  <c r="BN5" i="5"/>
  <c r="BO5" i="5"/>
  <c r="BL5" i="5"/>
  <c r="BM5" i="5"/>
  <c r="BI5" i="5"/>
  <c r="BJ5" i="5"/>
  <c r="BG5" i="5"/>
  <c r="BH5" i="5"/>
  <c r="BD5" i="5"/>
  <c r="BE5" i="5"/>
  <c r="BB5" i="5"/>
  <c r="BC5" i="5"/>
  <c r="AY5" i="5"/>
  <c r="AZ5" i="5"/>
  <c r="AW5" i="5"/>
  <c r="AX5" i="5"/>
  <c r="AT5" i="5"/>
  <c r="AU5" i="5"/>
  <c r="AR5" i="5"/>
  <c r="AS5" i="5"/>
  <c r="AO5" i="5"/>
  <c r="AP5" i="5"/>
  <c r="AM5" i="5"/>
  <c r="AN5" i="5"/>
  <c r="AJ5" i="5"/>
  <c r="AK5" i="5"/>
  <c r="AH5" i="5"/>
  <c r="AI5" i="5"/>
  <c r="AE5" i="5"/>
  <c r="AF5" i="5"/>
  <c r="AC5" i="5"/>
  <c r="AD5" i="5"/>
  <c r="Z5" i="5"/>
  <c r="AA5" i="5"/>
  <c r="X5" i="5"/>
  <c r="Y5" i="5"/>
  <c r="U5" i="5"/>
  <c r="V5" i="5"/>
  <c r="S5" i="5"/>
  <c r="T5" i="5"/>
  <c r="P5" i="5"/>
  <c r="Q5" i="5"/>
  <c r="N5" i="5"/>
  <c r="O5" i="5"/>
  <c r="K5" i="5"/>
  <c r="L5" i="5"/>
  <c r="I5" i="5"/>
  <c r="J5" i="5"/>
  <c r="BN4" i="5"/>
  <c r="BO4" i="5"/>
  <c r="BL4" i="5"/>
  <c r="BM4" i="5"/>
  <c r="BI4" i="5"/>
  <c r="BJ4" i="5"/>
  <c r="BG4" i="5"/>
  <c r="BH4" i="5"/>
  <c r="BD4" i="5"/>
  <c r="BE4" i="5"/>
  <c r="BB4" i="5"/>
  <c r="BC4" i="5"/>
  <c r="AY4" i="5"/>
  <c r="AZ4" i="5"/>
  <c r="AW4" i="5"/>
  <c r="AX4" i="5"/>
  <c r="AT4" i="5"/>
  <c r="AU4" i="5"/>
  <c r="AR4" i="5"/>
  <c r="AS4" i="5"/>
  <c r="AO4" i="5"/>
  <c r="AP4" i="5"/>
  <c r="AM4" i="5"/>
  <c r="AN4" i="5"/>
  <c r="AJ4" i="5"/>
  <c r="AK4" i="5"/>
  <c r="AH4" i="5"/>
  <c r="AI4" i="5"/>
  <c r="AE4" i="5"/>
  <c r="AF4" i="5"/>
  <c r="AC4" i="5"/>
  <c r="AD4" i="5"/>
  <c r="Z4" i="5"/>
  <c r="AA4" i="5"/>
  <c r="X4" i="5"/>
  <c r="Y4" i="5"/>
  <c r="U4" i="5"/>
  <c r="V4" i="5"/>
  <c r="S4" i="5"/>
  <c r="T4" i="5"/>
  <c r="P4" i="5"/>
  <c r="Q4" i="5"/>
  <c r="N4" i="5"/>
  <c r="O4" i="5"/>
  <c r="K4" i="5"/>
  <c r="L4" i="5"/>
  <c r="I4" i="5"/>
  <c r="J4" i="5"/>
  <c r="BN9" i="2"/>
  <c r="BO9" i="2"/>
  <c r="BL9" i="2"/>
  <c r="BM9" i="2"/>
  <c r="BI9" i="2"/>
  <c r="BJ9" i="2"/>
  <c r="BG9" i="2"/>
  <c r="BH9" i="2"/>
  <c r="BD9" i="2"/>
  <c r="BE9" i="2"/>
  <c r="BB9" i="2"/>
  <c r="BC9" i="2"/>
  <c r="AY9" i="2"/>
  <c r="AZ9" i="2"/>
  <c r="AW9" i="2"/>
  <c r="AX9" i="2"/>
  <c r="AT9" i="2"/>
  <c r="AU9" i="2"/>
  <c r="AR9" i="2"/>
  <c r="AS9" i="2"/>
  <c r="AO9" i="2"/>
  <c r="AP9" i="2"/>
  <c r="AM9" i="2"/>
  <c r="AN9" i="2"/>
  <c r="AJ9" i="2"/>
  <c r="AK9" i="2"/>
  <c r="AH9" i="2"/>
  <c r="AI9" i="2"/>
  <c r="AE9" i="2"/>
  <c r="AF9" i="2"/>
  <c r="AC9" i="2"/>
  <c r="AD9" i="2"/>
  <c r="Z9" i="2"/>
  <c r="AA9" i="2"/>
  <c r="X9" i="2"/>
  <c r="Y9" i="2"/>
  <c r="U9" i="2"/>
  <c r="V9" i="2"/>
  <c r="S9" i="2"/>
  <c r="T9" i="2"/>
  <c r="P9" i="2"/>
  <c r="Q9" i="2"/>
  <c r="N9" i="2"/>
  <c r="O9" i="2"/>
  <c r="K9" i="2"/>
  <c r="L9" i="2"/>
  <c r="J9" i="2"/>
  <c r="BN8" i="2"/>
  <c r="BO8" i="2"/>
  <c r="BL8" i="2"/>
  <c r="BM8" i="2"/>
  <c r="BI8" i="2"/>
  <c r="BJ8" i="2"/>
  <c r="BG8" i="2"/>
  <c r="BH8" i="2"/>
  <c r="BD8" i="2"/>
  <c r="BE8" i="2"/>
  <c r="BB8" i="2"/>
  <c r="BC8" i="2"/>
  <c r="AY8" i="2"/>
  <c r="AZ8" i="2"/>
  <c r="AW8" i="2"/>
  <c r="AX8" i="2"/>
  <c r="AT8" i="2"/>
  <c r="AU8" i="2"/>
  <c r="AR8" i="2"/>
  <c r="AS8" i="2"/>
  <c r="AO8" i="2"/>
  <c r="AP8" i="2"/>
  <c r="AM8" i="2"/>
  <c r="AN8" i="2"/>
  <c r="AJ8" i="2"/>
  <c r="AK8" i="2"/>
  <c r="AH8" i="2"/>
  <c r="AI8" i="2"/>
  <c r="AE8" i="2"/>
  <c r="AF8" i="2"/>
  <c r="AC8" i="2"/>
  <c r="AD8" i="2"/>
  <c r="Z8" i="2"/>
  <c r="AA8" i="2"/>
  <c r="X8" i="2"/>
  <c r="Y8" i="2"/>
  <c r="U8" i="2"/>
  <c r="V8" i="2"/>
  <c r="S8" i="2"/>
  <c r="T8" i="2"/>
  <c r="P8" i="2"/>
  <c r="Q8" i="2"/>
  <c r="N8" i="2"/>
  <c r="O8" i="2"/>
  <c r="K8" i="2"/>
  <c r="L8" i="2"/>
  <c r="I8" i="2"/>
  <c r="J8" i="2"/>
  <c r="BN7" i="2"/>
  <c r="BO7" i="2"/>
  <c r="BL7" i="2"/>
  <c r="BM7" i="2"/>
  <c r="BI7" i="2"/>
  <c r="BJ7" i="2"/>
  <c r="BG7" i="2"/>
  <c r="BH7" i="2"/>
  <c r="BD7" i="2"/>
  <c r="BE7" i="2"/>
  <c r="BB7" i="2"/>
  <c r="BC7" i="2"/>
  <c r="AY7" i="2"/>
  <c r="AZ7" i="2"/>
  <c r="AW7" i="2"/>
  <c r="AX7" i="2"/>
  <c r="AT7" i="2"/>
  <c r="AU7" i="2"/>
  <c r="AR7" i="2"/>
  <c r="AS7" i="2"/>
  <c r="AO7" i="2"/>
  <c r="AP7" i="2"/>
  <c r="AM7" i="2"/>
  <c r="AN7" i="2"/>
  <c r="AJ7" i="2"/>
  <c r="AK7" i="2"/>
  <c r="AH7" i="2"/>
  <c r="AI7" i="2"/>
  <c r="AE7" i="2"/>
  <c r="AF7" i="2"/>
  <c r="AC7" i="2"/>
  <c r="AD7" i="2"/>
  <c r="Z7" i="2"/>
  <c r="AA7" i="2"/>
  <c r="X7" i="2"/>
  <c r="Y7" i="2"/>
  <c r="U7" i="2"/>
  <c r="V7" i="2"/>
  <c r="S7" i="2"/>
  <c r="T7" i="2"/>
  <c r="P7" i="2"/>
  <c r="Q7" i="2"/>
  <c r="N7" i="2"/>
  <c r="O7" i="2"/>
  <c r="K7" i="2"/>
  <c r="L7" i="2"/>
  <c r="I7" i="2"/>
  <c r="J7" i="2"/>
  <c r="BN6" i="2"/>
  <c r="BO6" i="2"/>
  <c r="BL6" i="2"/>
  <c r="BM6" i="2"/>
  <c r="BI6" i="2"/>
  <c r="BJ6" i="2"/>
  <c r="BG6" i="2"/>
  <c r="BH6" i="2"/>
  <c r="BD6" i="2"/>
  <c r="BE6" i="2"/>
  <c r="BB6" i="2"/>
  <c r="BC6" i="2"/>
  <c r="AY6" i="2"/>
  <c r="AZ6" i="2"/>
  <c r="AW6" i="2"/>
  <c r="AX6" i="2"/>
  <c r="AT6" i="2"/>
  <c r="AU6" i="2"/>
  <c r="AR6" i="2"/>
  <c r="AS6" i="2"/>
  <c r="AO6" i="2"/>
  <c r="AP6" i="2"/>
  <c r="AM6" i="2"/>
  <c r="AN6" i="2"/>
  <c r="AJ6" i="2"/>
  <c r="AK6" i="2"/>
  <c r="AH6" i="2"/>
  <c r="AI6" i="2"/>
  <c r="AE6" i="2"/>
  <c r="AF6" i="2"/>
  <c r="AC6" i="2"/>
  <c r="AD6" i="2"/>
  <c r="Z6" i="2"/>
  <c r="AA6" i="2"/>
  <c r="X6" i="2"/>
  <c r="Y6" i="2"/>
  <c r="U6" i="2"/>
  <c r="V6" i="2"/>
  <c r="S6" i="2"/>
  <c r="T6" i="2"/>
  <c r="P6" i="2"/>
  <c r="Q6" i="2"/>
  <c r="N6" i="2"/>
  <c r="O6" i="2"/>
  <c r="K6" i="2"/>
  <c r="L6" i="2"/>
  <c r="I6" i="2"/>
  <c r="J6" i="2"/>
  <c r="BN5" i="2"/>
  <c r="BO5" i="2"/>
  <c r="BL5" i="2"/>
  <c r="BM5" i="2"/>
  <c r="BI5" i="2"/>
  <c r="BJ5" i="2"/>
  <c r="BG5" i="2"/>
  <c r="BH5" i="2"/>
  <c r="BD5" i="2"/>
  <c r="BE5" i="2"/>
  <c r="BB5" i="2"/>
  <c r="BC5" i="2"/>
  <c r="AY5" i="2"/>
  <c r="AZ5" i="2"/>
  <c r="AW5" i="2"/>
  <c r="AX5" i="2"/>
  <c r="AT5" i="2"/>
  <c r="AU5" i="2"/>
  <c r="AR5" i="2"/>
  <c r="AS5" i="2"/>
  <c r="AO5" i="2"/>
  <c r="AP5" i="2"/>
  <c r="AM5" i="2"/>
  <c r="AN5" i="2"/>
  <c r="AJ5" i="2"/>
  <c r="AK5" i="2"/>
  <c r="AH5" i="2"/>
  <c r="AI5" i="2"/>
  <c r="AE5" i="2"/>
  <c r="AF5" i="2"/>
  <c r="AC5" i="2"/>
  <c r="AD5" i="2"/>
  <c r="Z5" i="2"/>
  <c r="AA5" i="2"/>
  <c r="X5" i="2"/>
  <c r="Y5" i="2"/>
  <c r="U5" i="2"/>
  <c r="V5" i="2"/>
  <c r="S5" i="2"/>
  <c r="T5" i="2"/>
  <c r="P5" i="2"/>
  <c r="Q5" i="2"/>
  <c r="N5" i="2"/>
  <c r="O5" i="2"/>
  <c r="K5" i="2"/>
  <c r="L5" i="2"/>
  <c r="I5" i="2"/>
  <c r="J5" i="2"/>
  <c r="BN4" i="2"/>
  <c r="BO4" i="2"/>
  <c r="BL4" i="2"/>
  <c r="BM4" i="2"/>
  <c r="BI4" i="2"/>
  <c r="BJ4" i="2"/>
  <c r="BG4" i="2"/>
  <c r="BH4" i="2"/>
  <c r="BD4" i="2"/>
  <c r="BE4" i="2"/>
  <c r="BB4" i="2"/>
  <c r="BC4" i="2"/>
  <c r="AY4" i="2"/>
  <c r="AZ4" i="2"/>
  <c r="AW4" i="2"/>
  <c r="AX4" i="2"/>
  <c r="AT4" i="2"/>
  <c r="AU4" i="2"/>
  <c r="AR4" i="2"/>
  <c r="AS4" i="2"/>
  <c r="AO4" i="2"/>
  <c r="AP4" i="2"/>
  <c r="AM4" i="2"/>
  <c r="AN4" i="2"/>
  <c r="AJ4" i="2"/>
  <c r="AK4" i="2"/>
  <c r="AH4" i="2"/>
  <c r="AI4" i="2"/>
  <c r="AE4" i="2"/>
  <c r="AF4" i="2"/>
  <c r="AC4" i="2"/>
  <c r="AD4" i="2"/>
  <c r="Z4" i="2"/>
  <c r="AA4" i="2"/>
  <c r="X4" i="2"/>
  <c r="Y4" i="2"/>
  <c r="U4" i="2"/>
  <c r="V4" i="2"/>
  <c r="S4" i="2"/>
  <c r="T4" i="2"/>
  <c r="P4" i="2"/>
  <c r="Q4" i="2"/>
  <c r="N4" i="2"/>
  <c r="O4" i="2"/>
  <c r="K4" i="2"/>
  <c r="L4" i="2"/>
  <c r="I4" i="2"/>
  <c r="J4" i="2"/>
  <c r="J11" i="4"/>
  <c r="J9" i="4"/>
  <c r="J10" i="4"/>
  <c r="F8" i="1"/>
  <c r="BN8" i="1"/>
  <c r="BO8" i="1"/>
  <c r="BL8" i="1"/>
  <c r="BM8" i="1"/>
  <c r="BI8" i="1"/>
  <c r="BJ8" i="1"/>
  <c r="BG8" i="1"/>
  <c r="BH8" i="1"/>
  <c r="BD8" i="1"/>
  <c r="BE8" i="1"/>
  <c r="BB8" i="1"/>
  <c r="BC8" i="1"/>
  <c r="AY8" i="1"/>
  <c r="AZ8" i="1"/>
  <c r="AW8" i="1"/>
  <c r="AX8" i="1"/>
  <c r="AT8" i="1"/>
  <c r="AU8" i="1"/>
  <c r="AR8" i="1"/>
  <c r="AS8" i="1"/>
  <c r="AO8" i="1"/>
  <c r="AP8" i="1"/>
  <c r="AM8" i="1"/>
  <c r="AN8" i="1"/>
  <c r="AJ8" i="1"/>
  <c r="AK8" i="1"/>
  <c r="AH8" i="1"/>
  <c r="AI8" i="1"/>
  <c r="AE8" i="1"/>
  <c r="AF8" i="1"/>
  <c r="AC8" i="1"/>
  <c r="AD8" i="1"/>
  <c r="Z8" i="1"/>
  <c r="AA8" i="1"/>
  <c r="X8" i="1"/>
  <c r="Y8" i="1"/>
  <c r="U8" i="1"/>
  <c r="V8" i="1"/>
  <c r="S8" i="1"/>
  <c r="T8" i="1"/>
  <c r="P8" i="1"/>
  <c r="Q8" i="1"/>
  <c r="N8" i="1"/>
  <c r="O8" i="1"/>
  <c r="K8" i="1"/>
  <c r="L8" i="1"/>
  <c r="I8" i="1"/>
  <c r="J8" i="1"/>
  <c r="BN7" i="1"/>
  <c r="BO7" i="1"/>
  <c r="BL7" i="1"/>
  <c r="BM7" i="1"/>
  <c r="BI7" i="1"/>
  <c r="BJ7" i="1"/>
  <c r="BG7" i="1"/>
  <c r="BH7" i="1"/>
  <c r="BD7" i="1"/>
  <c r="BE7" i="1"/>
  <c r="BB7" i="1"/>
  <c r="BC7" i="1"/>
  <c r="AY7" i="1"/>
  <c r="AZ7" i="1"/>
  <c r="AW7" i="1"/>
  <c r="AX7" i="1"/>
  <c r="AT7" i="1"/>
  <c r="AU7" i="1"/>
  <c r="AR7" i="1"/>
  <c r="AS7" i="1"/>
  <c r="AO7" i="1"/>
  <c r="AP7" i="1"/>
  <c r="AM7" i="1"/>
  <c r="AN7" i="1"/>
  <c r="AJ7" i="1"/>
  <c r="AK7" i="1"/>
  <c r="AH7" i="1"/>
  <c r="AI7" i="1"/>
  <c r="AE7" i="1"/>
  <c r="AF7" i="1"/>
  <c r="AC7" i="1"/>
  <c r="AD7" i="1"/>
  <c r="Z7" i="1"/>
  <c r="AA7" i="1"/>
  <c r="X7" i="1"/>
  <c r="Y7" i="1"/>
  <c r="U7" i="1"/>
  <c r="V7" i="1"/>
  <c r="S7" i="1"/>
  <c r="T7" i="1"/>
  <c r="P7" i="1"/>
  <c r="Q7" i="1"/>
  <c r="N7" i="1"/>
  <c r="O7" i="1"/>
  <c r="K7" i="1"/>
  <c r="L7" i="1"/>
  <c r="I7" i="1"/>
  <c r="J7" i="1"/>
  <c r="BN6" i="1"/>
  <c r="BO6" i="1"/>
  <c r="BL6" i="1"/>
  <c r="BM6" i="1"/>
  <c r="BI6" i="1"/>
  <c r="BJ6" i="1"/>
  <c r="BG6" i="1"/>
  <c r="BH6" i="1"/>
  <c r="BD6" i="1"/>
  <c r="BE6" i="1"/>
  <c r="BB6" i="1"/>
  <c r="BC6" i="1"/>
  <c r="AY6" i="1"/>
  <c r="AZ6" i="1"/>
  <c r="AW6" i="1"/>
  <c r="AX6" i="1"/>
  <c r="AT6" i="1"/>
  <c r="AU6" i="1"/>
  <c r="AR6" i="1"/>
  <c r="AS6" i="1"/>
  <c r="AO6" i="1"/>
  <c r="AP6" i="1"/>
  <c r="AM6" i="1"/>
  <c r="AN6" i="1"/>
  <c r="AJ6" i="1"/>
  <c r="AK6" i="1"/>
  <c r="AH6" i="1"/>
  <c r="AI6" i="1"/>
  <c r="AE6" i="1"/>
  <c r="AF6" i="1"/>
  <c r="AC6" i="1"/>
  <c r="AD6" i="1"/>
  <c r="Z6" i="1"/>
  <c r="AA6" i="1"/>
  <c r="X6" i="1"/>
  <c r="Y6" i="1"/>
  <c r="U6" i="1"/>
  <c r="V6" i="1"/>
  <c r="S6" i="1"/>
  <c r="T6" i="1"/>
  <c r="P6" i="1"/>
  <c r="Q6" i="1"/>
  <c r="N6" i="1"/>
  <c r="O6" i="1"/>
  <c r="K6" i="1"/>
  <c r="L6" i="1"/>
  <c r="I6" i="1"/>
  <c r="J6" i="1"/>
  <c r="BN5" i="1"/>
  <c r="BO5" i="1"/>
  <c r="BL5" i="1"/>
  <c r="BM5" i="1"/>
  <c r="BI5" i="1"/>
  <c r="BJ5" i="1"/>
  <c r="BG5" i="1"/>
  <c r="BH5" i="1"/>
  <c r="BD5" i="1"/>
  <c r="BE5" i="1"/>
  <c r="BB5" i="1"/>
  <c r="BC5" i="1"/>
  <c r="AY5" i="1"/>
  <c r="AZ5" i="1"/>
  <c r="AW5" i="1"/>
  <c r="AX5" i="1"/>
  <c r="AT5" i="1"/>
  <c r="AU5" i="1"/>
  <c r="AR5" i="1"/>
  <c r="AS5" i="1"/>
  <c r="AO5" i="1"/>
  <c r="AP5" i="1"/>
  <c r="AM5" i="1"/>
  <c r="AN5" i="1"/>
  <c r="AJ5" i="1"/>
  <c r="AK5" i="1"/>
  <c r="AH5" i="1"/>
  <c r="AI5" i="1"/>
  <c r="AE5" i="1"/>
  <c r="AF5" i="1"/>
  <c r="AC5" i="1"/>
  <c r="AD5" i="1"/>
  <c r="Z5" i="1"/>
  <c r="AA5" i="1"/>
  <c r="X5" i="1"/>
  <c r="Y5" i="1"/>
  <c r="U5" i="1"/>
  <c r="V5" i="1"/>
  <c r="S5" i="1"/>
  <c r="T5" i="1"/>
  <c r="P5" i="1"/>
  <c r="Q5" i="1"/>
  <c r="N5" i="1"/>
  <c r="O5" i="1"/>
  <c r="K5" i="1"/>
  <c r="L5" i="1"/>
  <c r="I5" i="1"/>
  <c r="J5" i="1"/>
  <c r="BN4" i="1"/>
  <c r="BO4" i="1"/>
  <c r="BL4" i="1"/>
  <c r="BM4" i="1"/>
  <c r="BI4" i="1"/>
  <c r="BJ4" i="1"/>
  <c r="BG4" i="1"/>
  <c r="BH4" i="1"/>
  <c r="BD4" i="1"/>
  <c r="BE4" i="1"/>
  <c r="BB4" i="1"/>
  <c r="BC4" i="1"/>
  <c r="AY4" i="1"/>
  <c r="AZ4" i="1"/>
  <c r="AW4" i="1"/>
  <c r="AX4" i="1"/>
  <c r="AT4" i="1"/>
  <c r="AU4" i="1"/>
  <c r="AR4" i="1"/>
  <c r="AS4" i="1"/>
  <c r="AO4" i="1"/>
  <c r="AP4" i="1"/>
  <c r="AM4" i="1"/>
  <c r="AN4" i="1"/>
  <c r="AJ4" i="1"/>
  <c r="AK4" i="1"/>
  <c r="AH4" i="1"/>
  <c r="AI4" i="1"/>
  <c r="AE4" i="1"/>
  <c r="AF4" i="1"/>
  <c r="AC4" i="1"/>
  <c r="AD4" i="1"/>
  <c r="Z4" i="1"/>
  <c r="AA4" i="1"/>
  <c r="X4" i="1"/>
  <c r="Y4" i="1"/>
  <c r="U4" i="1"/>
  <c r="V4" i="1"/>
  <c r="S4" i="1"/>
  <c r="T4" i="1"/>
  <c r="P4" i="1"/>
  <c r="Q4" i="1"/>
  <c r="N4" i="1"/>
  <c r="O4" i="1"/>
  <c r="K4" i="1"/>
  <c r="L4" i="1"/>
  <c r="I4" i="1"/>
  <c r="J4" i="1"/>
  <c r="K9" i="4"/>
  <c r="L9" i="4"/>
  <c r="N9" i="4"/>
  <c r="O9" i="4"/>
  <c r="P9" i="4"/>
  <c r="Q9" i="4"/>
  <c r="S9" i="4"/>
  <c r="T9" i="4"/>
  <c r="U9" i="4"/>
  <c r="V9" i="4"/>
  <c r="X9" i="4"/>
  <c r="Y9" i="4"/>
  <c r="Z9" i="4"/>
  <c r="AA9" i="4"/>
  <c r="AC9" i="4"/>
  <c r="AD9" i="4"/>
  <c r="AE9" i="4"/>
  <c r="AF9" i="4"/>
  <c r="AH9" i="4"/>
  <c r="AI9" i="4"/>
  <c r="AJ9" i="4"/>
  <c r="AK9" i="4"/>
  <c r="AM9" i="4"/>
  <c r="AN9" i="4"/>
  <c r="AO9" i="4"/>
  <c r="AP9" i="4"/>
  <c r="AR9" i="4"/>
  <c r="AS9" i="4"/>
  <c r="AT9" i="4"/>
  <c r="AU9" i="4"/>
  <c r="AW9" i="4"/>
  <c r="AX9" i="4"/>
  <c r="AY9" i="4"/>
  <c r="AZ9" i="4"/>
  <c r="BB9" i="4"/>
  <c r="BC9" i="4"/>
  <c r="BD9" i="4"/>
  <c r="BE9" i="4"/>
  <c r="BG9" i="4"/>
  <c r="BH9" i="4"/>
  <c r="BI9" i="4"/>
  <c r="BJ9" i="4"/>
  <c r="BL9" i="4"/>
  <c r="BM9" i="4"/>
  <c r="BN9" i="4"/>
  <c r="BO9" i="4"/>
  <c r="K10" i="4"/>
  <c r="L10" i="4"/>
  <c r="N10" i="4"/>
  <c r="O10" i="4"/>
  <c r="P10" i="4"/>
  <c r="Q10" i="4"/>
  <c r="S10" i="4"/>
  <c r="T10" i="4"/>
  <c r="U10" i="4"/>
  <c r="V10" i="4"/>
  <c r="X10" i="4"/>
  <c r="Y10" i="4"/>
  <c r="Z10" i="4"/>
  <c r="AA10" i="4"/>
  <c r="AC10" i="4"/>
  <c r="AD10" i="4"/>
  <c r="AE10" i="4"/>
  <c r="AF10" i="4"/>
  <c r="AH10" i="4"/>
  <c r="AI10" i="4"/>
  <c r="AJ10" i="4"/>
  <c r="AK10" i="4"/>
  <c r="AM10" i="4"/>
  <c r="AN10" i="4"/>
  <c r="AO10" i="4"/>
  <c r="AP10" i="4"/>
  <c r="AR10" i="4"/>
  <c r="AS10" i="4"/>
  <c r="AT10" i="4"/>
  <c r="AU10" i="4"/>
  <c r="AW10" i="4"/>
  <c r="AX10" i="4"/>
  <c r="AY10" i="4"/>
  <c r="AZ10" i="4"/>
  <c r="BB10" i="4"/>
  <c r="BC10" i="4"/>
  <c r="BD10" i="4"/>
  <c r="BE10" i="4"/>
  <c r="BG10" i="4"/>
  <c r="BH10" i="4"/>
  <c r="BI10" i="4"/>
  <c r="BJ10" i="4"/>
  <c r="BL10" i="4"/>
  <c r="BM10" i="4"/>
  <c r="BN10" i="4"/>
  <c r="BO10" i="4"/>
  <c r="K11" i="4"/>
  <c r="L11" i="4"/>
  <c r="N11" i="4"/>
  <c r="O11" i="4"/>
  <c r="P11" i="4"/>
  <c r="Q11" i="4"/>
  <c r="S11" i="4"/>
  <c r="T11" i="4"/>
  <c r="U11" i="4"/>
  <c r="V11" i="4"/>
  <c r="X11" i="4"/>
  <c r="Y11" i="4"/>
  <c r="Z11" i="4"/>
  <c r="AA11" i="4"/>
  <c r="AC11" i="4"/>
  <c r="AD11" i="4"/>
  <c r="AE11" i="4"/>
  <c r="AF11" i="4"/>
  <c r="AH11" i="4"/>
  <c r="AI11" i="4"/>
  <c r="AJ11" i="4"/>
  <c r="AK11" i="4"/>
  <c r="AM11" i="4"/>
  <c r="AN11" i="4"/>
  <c r="AO11" i="4"/>
  <c r="AP11" i="4"/>
  <c r="AR11" i="4"/>
  <c r="AS11" i="4"/>
  <c r="AT11" i="4"/>
  <c r="AU11" i="4"/>
  <c r="AW11" i="4"/>
  <c r="AX11" i="4"/>
  <c r="AY11" i="4"/>
  <c r="AZ11" i="4"/>
  <c r="BB11" i="4"/>
  <c r="BC11" i="4"/>
  <c r="BD11" i="4"/>
  <c r="BE11" i="4"/>
  <c r="BG11" i="4"/>
  <c r="BH11" i="4"/>
  <c r="BI11" i="4"/>
  <c r="BJ11" i="4"/>
  <c r="BL11" i="4"/>
  <c r="BM11" i="4"/>
  <c r="BN11" i="4"/>
  <c r="BO11" i="4"/>
  <c r="BN8" i="4"/>
  <c r="BO8" i="4"/>
  <c r="BL8" i="4"/>
  <c r="BM8" i="4"/>
  <c r="BI8" i="4"/>
  <c r="BJ8" i="4"/>
  <c r="BG8" i="4"/>
  <c r="BH8" i="4"/>
  <c r="BD8" i="4"/>
  <c r="BE8" i="4"/>
  <c r="BB8" i="4"/>
  <c r="BC8" i="4"/>
  <c r="AY8" i="4"/>
  <c r="AZ8" i="4"/>
  <c r="AW8" i="4"/>
  <c r="AX8" i="4"/>
  <c r="AT8" i="4"/>
  <c r="AU8" i="4"/>
  <c r="AR8" i="4"/>
  <c r="AS8" i="4"/>
  <c r="AO8" i="4"/>
  <c r="AP8" i="4"/>
  <c r="AM8" i="4"/>
  <c r="AN8" i="4"/>
  <c r="AJ8" i="4"/>
  <c r="AK8" i="4"/>
  <c r="AH8" i="4"/>
  <c r="AI8" i="4"/>
  <c r="AE8" i="4"/>
  <c r="AF8" i="4"/>
  <c r="AC8" i="4"/>
  <c r="AD8" i="4"/>
  <c r="Z8" i="4"/>
  <c r="AA8" i="4"/>
  <c r="X8" i="4"/>
  <c r="Y8" i="4"/>
  <c r="U8" i="4"/>
  <c r="V8" i="4"/>
  <c r="S8" i="4"/>
  <c r="T8" i="4"/>
  <c r="P8" i="4"/>
  <c r="Q8" i="4"/>
  <c r="N8" i="4"/>
  <c r="O8" i="4"/>
  <c r="K8" i="4"/>
  <c r="L8" i="4"/>
  <c r="I8" i="4"/>
  <c r="J8" i="4"/>
  <c r="BN7" i="4"/>
  <c r="BO7" i="4"/>
  <c r="BL7" i="4"/>
  <c r="BM7" i="4"/>
  <c r="BI7" i="4"/>
  <c r="BJ7" i="4"/>
  <c r="BG7" i="4"/>
  <c r="BH7" i="4"/>
  <c r="BD7" i="4"/>
  <c r="BE7" i="4"/>
  <c r="BB7" i="4"/>
  <c r="BC7" i="4"/>
  <c r="AY7" i="4"/>
  <c r="AZ7" i="4"/>
  <c r="AW7" i="4"/>
  <c r="AX7" i="4"/>
  <c r="AT7" i="4"/>
  <c r="AU7" i="4"/>
  <c r="AR7" i="4"/>
  <c r="AS7" i="4"/>
  <c r="AO7" i="4"/>
  <c r="AP7" i="4"/>
  <c r="AM7" i="4"/>
  <c r="AN7" i="4"/>
  <c r="AJ7" i="4"/>
  <c r="AK7" i="4"/>
  <c r="AH7" i="4"/>
  <c r="AI7" i="4"/>
  <c r="AE7" i="4"/>
  <c r="AF7" i="4"/>
  <c r="AC7" i="4"/>
  <c r="AD7" i="4"/>
  <c r="Z7" i="4"/>
  <c r="AA7" i="4"/>
  <c r="X7" i="4"/>
  <c r="Y7" i="4"/>
  <c r="U7" i="4"/>
  <c r="V7" i="4"/>
  <c r="S7" i="4"/>
  <c r="T7" i="4"/>
  <c r="P7" i="4"/>
  <c r="Q7" i="4"/>
  <c r="N7" i="4"/>
  <c r="O7" i="4"/>
  <c r="K7" i="4"/>
  <c r="L7" i="4"/>
  <c r="I7" i="4"/>
  <c r="J7" i="4"/>
  <c r="BN6" i="4"/>
  <c r="BO6" i="4"/>
  <c r="BL6" i="4"/>
  <c r="BM6" i="4"/>
  <c r="BI6" i="4"/>
  <c r="BJ6" i="4"/>
  <c r="BG6" i="4"/>
  <c r="BH6" i="4"/>
  <c r="BD6" i="4"/>
  <c r="BE6" i="4"/>
  <c r="BB6" i="4"/>
  <c r="BC6" i="4"/>
  <c r="AY6" i="4"/>
  <c r="AZ6" i="4"/>
  <c r="AW6" i="4"/>
  <c r="AX6" i="4"/>
  <c r="AT6" i="4"/>
  <c r="AU6" i="4"/>
  <c r="AR6" i="4"/>
  <c r="AS6" i="4"/>
  <c r="AO6" i="4"/>
  <c r="AP6" i="4"/>
  <c r="AM6" i="4"/>
  <c r="AN6" i="4"/>
  <c r="AJ6" i="4"/>
  <c r="AK6" i="4"/>
  <c r="AH6" i="4"/>
  <c r="AI6" i="4"/>
  <c r="AE6" i="4"/>
  <c r="AF6" i="4"/>
  <c r="AC6" i="4"/>
  <c r="AD6" i="4"/>
  <c r="Z6" i="4"/>
  <c r="AA6" i="4"/>
  <c r="X6" i="4"/>
  <c r="Y6" i="4"/>
  <c r="U6" i="4"/>
  <c r="V6" i="4"/>
  <c r="S6" i="4"/>
  <c r="T6" i="4"/>
  <c r="P6" i="4"/>
  <c r="Q6" i="4"/>
  <c r="N6" i="4"/>
  <c r="O6" i="4"/>
  <c r="K6" i="4"/>
  <c r="L6" i="4"/>
  <c r="I6" i="4"/>
  <c r="J6" i="4"/>
  <c r="BN5" i="4"/>
  <c r="BO5" i="4"/>
  <c r="BL5" i="4"/>
  <c r="BM5" i="4"/>
  <c r="BI5" i="4"/>
  <c r="BJ5" i="4"/>
  <c r="BG5" i="4"/>
  <c r="BH5" i="4"/>
  <c r="BD5" i="4"/>
  <c r="BE5" i="4"/>
  <c r="BB5" i="4"/>
  <c r="BC5" i="4"/>
  <c r="AY5" i="4"/>
  <c r="AZ5" i="4"/>
  <c r="AW5" i="4"/>
  <c r="AX5" i="4"/>
  <c r="AT5" i="4"/>
  <c r="AU5" i="4"/>
  <c r="AR5" i="4"/>
  <c r="AS5" i="4"/>
  <c r="AO5" i="4"/>
  <c r="AP5" i="4"/>
  <c r="AM5" i="4"/>
  <c r="AN5" i="4"/>
  <c r="AJ5" i="4"/>
  <c r="AK5" i="4"/>
  <c r="AH5" i="4"/>
  <c r="AI5" i="4"/>
  <c r="AE5" i="4"/>
  <c r="AF5" i="4"/>
  <c r="AC5" i="4"/>
  <c r="AD5" i="4"/>
  <c r="Z5" i="4"/>
  <c r="AA5" i="4"/>
  <c r="X5" i="4"/>
  <c r="Y5" i="4"/>
  <c r="U5" i="4"/>
  <c r="V5" i="4"/>
  <c r="S5" i="4"/>
  <c r="T5" i="4"/>
  <c r="P5" i="4"/>
  <c r="Q5" i="4"/>
  <c r="N5" i="4"/>
  <c r="O5" i="4"/>
  <c r="K5" i="4"/>
  <c r="L5" i="4"/>
  <c r="I5" i="4"/>
  <c r="J5" i="4"/>
  <c r="BN4" i="4"/>
  <c r="BO4" i="4"/>
  <c r="BL4" i="4"/>
  <c r="BM4" i="4"/>
  <c r="BI4" i="4"/>
  <c r="BJ4" i="4"/>
  <c r="BG4" i="4"/>
  <c r="BH4" i="4"/>
  <c r="BD4" i="4"/>
  <c r="BE4" i="4"/>
  <c r="BB4" i="4"/>
  <c r="BC4" i="4"/>
  <c r="AY4" i="4"/>
  <c r="AZ4" i="4"/>
  <c r="AW4" i="4"/>
  <c r="AX4" i="4"/>
  <c r="AT4" i="4"/>
  <c r="AU4" i="4"/>
  <c r="AR4" i="4"/>
  <c r="AS4" i="4"/>
  <c r="AO4" i="4"/>
  <c r="AP4" i="4"/>
  <c r="AM4" i="4"/>
  <c r="AN4" i="4"/>
  <c r="AH4" i="4"/>
  <c r="AI4" i="4"/>
  <c r="AE4" i="4"/>
  <c r="AF4" i="4"/>
  <c r="AC4" i="4"/>
  <c r="AD4" i="4"/>
  <c r="Z4" i="4"/>
  <c r="AA4" i="4"/>
  <c r="X4" i="4"/>
  <c r="Y4" i="4"/>
  <c r="U4" i="4"/>
  <c r="V4" i="4"/>
  <c r="S4" i="4"/>
  <c r="T4" i="4"/>
  <c r="P4" i="4"/>
  <c r="Q4" i="4"/>
  <c r="N4" i="4"/>
  <c r="O4" i="4"/>
  <c r="K4" i="4"/>
  <c r="L4" i="4"/>
  <c r="I4" i="4"/>
  <c r="J4" i="4"/>
  <c r="H13" i="3"/>
  <c r="H14" i="3"/>
  <c r="H15" i="3"/>
  <c r="H24" i="3"/>
  <c r="H23" i="3"/>
  <c r="H22" i="3"/>
  <c r="H21" i="3"/>
  <c r="H20" i="3"/>
  <c r="H19" i="3"/>
  <c r="H18" i="3"/>
  <c r="H17" i="3"/>
  <c r="H16" i="3"/>
  <c r="K5" i="3"/>
  <c r="L5" i="3"/>
  <c r="K6" i="3"/>
  <c r="L6" i="3"/>
  <c r="K7" i="3"/>
  <c r="L7" i="3"/>
  <c r="K8" i="3"/>
  <c r="L8" i="3"/>
  <c r="K4" i="3"/>
  <c r="L4" i="3"/>
  <c r="BN4" i="3"/>
  <c r="BO4" i="3"/>
  <c r="BN5" i="3"/>
  <c r="BO5" i="3"/>
  <c r="BN6" i="3"/>
  <c r="BO6" i="3"/>
  <c r="BN7" i="3"/>
  <c r="BO7" i="3"/>
  <c r="BN8" i="3"/>
  <c r="BO8" i="3"/>
  <c r="BL5" i="3"/>
  <c r="BM5" i="3"/>
  <c r="BL6" i="3"/>
  <c r="BM6" i="3"/>
  <c r="BL7" i="3"/>
  <c r="BM7" i="3"/>
  <c r="BL8" i="3"/>
  <c r="BM8" i="3"/>
  <c r="BL4" i="3"/>
  <c r="BM4" i="3"/>
  <c r="BI5" i="3"/>
  <c r="BJ5" i="3"/>
  <c r="BI6" i="3"/>
  <c r="BJ6" i="3"/>
  <c r="BI7" i="3"/>
  <c r="BJ7" i="3"/>
  <c r="BI8" i="3"/>
  <c r="BJ8" i="3"/>
  <c r="BI4" i="3"/>
  <c r="BJ4" i="3"/>
  <c r="BG7" i="3"/>
  <c r="BH7" i="3"/>
  <c r="BG5" i="3"/>
  <c r="BH5" i="3"/>
  <c r="BG6" i="3"/>
  <c r="BH6" i="3"/>
  <c r="BG8" i="3"/>
  <c r="BH8" i="3"/>
  <c r="BG4" i="3"/>
  <c r="BH4" i="3"/>
  <c r="BD5" i="3"/>
  <c r="BE5" i="3"/>
  <c r="BD6" i="3"/>
  <c r="BE6" i="3"/>
  <c r="BD7" i="3"/>
  <c r="BE7" i="3"/>
  <c r="BD8" i="3"/>
  <c r="BE8" i="3"/>
  <c r="BD4" i="3"/>
  <c r="BE4" i="3"/>
  <c r="BB5" i="3"/>
  <c r="BC5" i="3"/>
  <c r="BB6" i="3"/>
  <c r="BC6" i="3"/>
  <c r="BB7" i="3"/>
  <c r="BC7" i="3"/>
  <c r="BB8" i="3"/>
  <c r="BC8" i="3"/>
  <c r="BB4" i="3"/>
  <c r="BC4" i="3"/>
  <c r="AY5" i="3"/>
  <c r="AZ5" i="3"/>
  <c r="AY6" i="3"/>
  <c r="AZ6" i="3"/>
  <c r="AY7" i="3"/>
  <c r="AZ7" i="3"/>
  <c r="AY8" i="3"/>
  <c r="AZ8" i="3"/>
  <c r="AY4" i="3"/>
  <c r="AZ4" i="3"/>
  <c r="AW5" i="3"/>
  <c r="AX5" i="3"/>
  <c r="AW6" i="3"/>
  <c r="AX6" i="3"/>
  <c r="AW7" i="3"/>
  <c r="AX7" i="3"/>
  <c r="AW8" i="3"/>
  <c r="AX8" i="3"/>
  <c r="AW4" i="3"/>
  <c r="AX4" i="3"/>
  <c r="AT5" i="3"/>
  <c r="AU5" i="3"/>
  <c r="AT6" i="3"/>
  <c r="AU6" i="3"/>
  <c r="AT7" i="3"/>
  <c r="AU7" i="3"/>
  <c r="AT8" i="3"/>
  <c r="AU8" i="3"/>
  <c r="AT4" i="3"/>
  <c r="AU4" i="3"/>
  <c r="AR5" i="3"/>
  <c r="AS5" i="3"/>
  <c r="AR6" i="3"/>
  <c r="AS6" i="3"/>
  <c r="AR7" i="3"/>
  <c r="AS7" i="3"/>
  <c r="AR8" i="3"/>
  <c r="AS8" i="3"/>
  <c r="AR4" i="3"/>
  <c r="AS4" i="3"/>
  <c r="AO4" i="3"/>
  <c r="AP4" i="3"/>
  <c r="AO5" i="3"/>
  <c r="AP5" i="3"/>
  <c r="AO6" i="3"/>
  <c r="AP6" i="3"/>
  <c r="AO7" i="3"/>
  <c r="AP7" i="3"/>
  <c r="AO8" i="3"/>
  <c r="AP8" i="3"/>
  <c r="AM5" i="3"/>
  <c r="AN5" i="3"/>
  <c r="AM6" i="3"/>
  <c r="AN6" i="3"/>
  <c r="AM7" i="3"/>
  <c r="AN7" i="3"/>
  <c r="AM8" i="3"/>
  <c r="AN8" i="3"/>
  <c r="AM4" i="3"/>
  <c r="AN4" i="3"/>
  <c r="AJ5" i="3"/>
  <c r="AK5" i="3"/>
  <c r="AJ6" i="3"/>
  <c r="AK6" i="3"/>
  <c r="AJ7" i="3"/>
  <c r="AK7" i="3"/>
  <c r="AJ8" i="3"/>
  <c r="AK8" i="3"/>
  <c r="AJ4" i="3"/>
  <c r="AK4" i="3"/>
  <c r="AH7" i="3"/>
  <c r="AI7" i="3"/>
  <c r="AH5" i="3"/>
  <c r="AI5" i="3"/>
  <c r="AH6" i="3"/>
  <c r="AI6" i="3"/>
  <c r="AH8" i="3"/>
  <c r="AI8" i="3"/>
  <c r="AH4" i="3"/>
  <c r="AI4" i="3"/>
  <c r="AE5" i="3"/>
  <c r="AF5" i="3"/>
  <c r="AE6" i="3"/>
  <c r="AF6" i="3"/>
  <c r="AE7" i="3"/>
  <c r="AF7" i="3"/>
  <c r="AE8" i="3"/>
  <c r="AF8" i="3"/>
  <c r="AE4" i="3"/>
  <c r="AF4" i="3"/>
  <c r="Z5" i="3"/>
  <c r="AA5" i="3"/>
  <c r="Z6" i="3"/>
  <c r="AA6" i="3"/>
  <c r="Z7" i="3"/>
  <c r="AA7" i="3"/>
  <c r="Z8" i="3"/>
  <c r="AA8" i="3"/>
  <c r="Z4" i="3"/>
  <c r="AA4" i="3"/>
  <c r="U5" i="3"/>
  <c r="V5" i="3"/>
  <c r="U6" i="3"/>
  <c r="V6" i="3"/>
  <c r="U7" i="3"/>
  <c r="V7" i="3"/>
  <c r="U8" i="3"/>
  <c r="V8" i="3"/>
  <c r="U4" i="3"/>
  <c r="V4" i="3"/>
  <c r="P5" i="3"/>
  <c r="Q5" i="3"/>
  <c r="P6" i="3"/>
  <c r="Q6" i="3"/>
  <c r="P7" i="3"/>
  <c r="Q7" i="3"/>
  <c r="P8" i="3"/>
  <c r="Q8" i="3"/>
  <c r="P4" i="3"/>
  <c r="Q4" i="3"/>
  <c r="AC5" i="3"/>
  <c r="AD5" i="3"/>
  <c r="AC6" i="3"/>
  <c r="AD6" i="3"/>
  <c r="AC7" i="3"/>
  <c r="AD7" i="3"/>
  <c r="AC8" i="3"/>
  <c r="AD8" i="3"/>
  <c r="AC4" i="3"/>
  <c r="AD4" i="3"/>
  <c r="X5" i="3"/>
  <c r="Y5" i="3"/>
  <c r="X6" i="3"/>
  <c r="Y6" i="3"/>
  <c r="X7" i="3"/>
  <c r="Y7" i="3"/>
  <c r="X8" i="3"/>
  <c r="Y8" i="3"/>
  <c r="X4" i="3"/>
  <c r="Y4" i="3"/>
  <c r="S7" i="3"/>
  <c r="T7" i="3"/>
  <c r="S5" i="3"/>
  <c r="T5" i="3"/>
  <c r="S6" i="3"/>
  <c r="T6" i="3"/>
  <c r="S8" i="3"/>
  <c r="T8" i="3"/>
  <c r="S4" i="3"/>
  <c r="T4" i="3"/>
  <c r="N5" i="3"/>
  <c r="O5" i="3"/>
  <c r="N6" i="3"/>
  <c r="O6" i="3"/>
  <c r="N7" i="3"/>
  <c r="O7" i="3"/>
  <c r="N8" i="3"/>
  <c r="O8" i="3"/>
  <c r="N4" i="3"/>
  <c r="O4" i="3"/>
  <c r="I5" i="3"/>
  <c r="J5" i="3"/>
  <c r="I6" i="3"/>
  <c r="J6" i="3"/>
  <c r="I7" i="3"/>
  <c r="J7" i="3"/>
  <c r="I8" i="3"/>
  <c r="J8" i="3"/>
  <c r="I4" i="3"/>
  <c r="J4" i="3"/>
  <c r="C8" i="7"/>
  <c r="C9" i="7"/>
  <c r="C10" i="7"/>
  <c r="C11" i="7"/>
  <c r="C12" i="7"/>
  <c r="C13" i="7"/>
  <c r="C14" i="7"/>
  <c r="C15" i="7"/>
  <c r="C16" i="7"/>
  <c r="C17" i="7"/>
  <c r="C18" i="7"/>
  <c r="E8" i="7"/>
  <c r="E9" i="7"/>
  <c r="E10" i="7"/>
  <c r="E11" i="7"/>
  <c r="E12" i="7"/>
  <c r="E13" i="7"/>
  <c r="E14" i="7"/>
  <c r="E15" i="7"/>
  <c r="E16" i="7"/>
  <c r="E17" i="7"/>
  <c r="E18" i="7"/>
  <c r="G8" i="7"/>
  <c r="G9" i="7"/>
  <c r="G10" i="7"/>
  <c r="G11" i="7"/>
  <c r="G12" i="7"/>
  <c r="G13" i="7"/>
  <c r="G14" i="7"/>
  <c r="G15" i="7"/>
  <c r="G16" i="7"/>
  <c r="G17" i="7"/>
  <c r="G18" i="7"/>
  <c r="I8" i="7"/>
  <c r="I9" i="7"/>
  <c r="I10" i="7"/>
  <c r="I11" i="7"/>
  <c r="I12" i="7"/>
  <c r="I13" i="7"/>
  <c r="I14" i="7"/>
  <c r="I15" i="7"/>
  <c r="I16" i="7"/>
  <c r="I17" i="7"/>
  <c r="I18" i="7"/>
  <c r="K8" i="7"/>
  <c r="K9" i="7"/>
  <c r="K10" i="7"/>
  <c r="K11" i="7"/>
  <c r="K12" i="7"/>
  <c r="K13" i="7"/>
  <c r="K14" i="7"/>
  <c r="K15" i="7"/>
  <c r="K16" i="7"/>
  <c r="K17" i="7"/>
  <c r="K18" i="7"/>
  <c r="M8" i="7"/>
  <c r="M9" i="7"/>
  <c r="M10" i="7"/>
  <c r="M11" i="7"/>
  <c r="M12" i="7"/>
  <c r="M13" i="7"/>
  <c r="M14" i="7"/>
  <c r="M15" i="7"/>
  <c r="M16" i="7"/>
  <c r="M17" i="7"/>
  <c r="M18" i="7"/>
  <c r="M7" i="7"/>
  <c r="K7" i="7"/>
  <c r="I7" i="7"/>
  <c r="G7" i="7"/>
  <c r="E7" i="7"/>
  <c r="C7" i="7"/>
  <c r="L8" i="7"/>
  <c r="L10" i="7"/>
  <c r="L11" i="7"/>
  <c r="L12" i="7"/>
  <c r="L13" i="7"/>
  <c r="L14" i="7"/>
  <c r="L15" i="7"/>
  <c r="L16" i="7"/>
  <c r="L17" i="7"/>
  <c r="L18" i="7"/>
  <c r="J8" i="7"/>
  <c r="J10" i="7"/>
  <c r="J11" i="7"/>
  <c r="J12" i="7"/>
  <c r="J13" i="7"/>
  <c r="J14" i="7"/>
  <c r="J15" i="7"/>
  <c r="J16" i="7"/>
  <c r="J17" i="7"/>
  <c r="J18" i="7"/>
  <c r="F18" i="7"/>
  <c r="H10" i="7"/>
  <c r="H11" i="7"/>
  <c r="H12" i="7"/>
  <c r="H13" i="7"/>
  <c r="H14" i="7"/>
  <c r="H15" i="7"/>
  <c r="H16" i="7"/>
  <c r="H17" i="7"/>
  <c r="H18" i="7"/>
  <c r="F10" i="7"/>
  <c r="F11" i="7"/>
  <c r="F12" i="7"/>
  <c r="F13" i="7"/>
  <c r="F14" i="7"/>
  <c r="F15" i="7"/>
  <c r="F16" i="7"/>
  <c r="F17" i="7"/>
  <c r="L7" i="7"/>
  <c r="J7" i="7"/>
  <c r="H7" i="7"/>
  <c r="F7" i="7"/>
  <c r="D10" i="7"/>
  <c r="D11" i="7"/>
  <c r="D12" i="7"/>
  <c r="D13" i="7"/>
  <c r="D14" i="7"/>
  <c r="D15" i="7"/>
  <c r="D16" i="7"/>
  <c r="D17" i="7"/>
  <c r="D18" i="7"/>
  <c r="D7" i="7"/>
  <c r="B10" i="7"/>
  <c r="N10" i="7"/>
  <c r="B11" i="7"/>
  <c r="B12" i="7"/>
  <c r="B13" i="7"/>
  <c r="B14" i="7"/>
  <c r="B15" i="7"/>
  <c r="B16" i="7"/>
  <c r="B17" i="7"/>
  <c r="B18" i="7"/>
  <c r="B7" i="7"/>
  <c r="F12" i="6"/>
  <c r="L4" i="7"/>
  <c r="D4" i="7"/>
  <c r="D25" i="3"/>
  <c r="G14" i="3"/>
  <c r="G15" i="3"/>
  <c r="G16" i="3"/>
  <c r="G17" i="3"/>
  <c r="G18" i="3"/>
  <c r="G19" i="3"/>
  <c r="G20" i="3"/>
  <c r="G21" i="3"/>
  <c r="G22" i="3"/>
  <c r="G23" i="3"/>
  <c r="G24" i="3"/>
  <c r="G13" i="3"/>
  <c r="F9" i="3"/>
  <c r="B4" i="7"/>
  <c r="G16" i="6"/>
  <c r="G17" i="6"/>
  <c r="G18" i="6"/>
  <c r="G19" i="6"/>
  <c r="G20" i="6"/>
  <c r="G21" i="6"/>
  <c r="G22" i="6"/>
  <c r="G23" i="6"/>
  <c r="G24" i="6"/>
  <c r="G25" i="6"/>
  <c r="G26" i="6"/>
  <c r="G15" i="6"/>
  <c r="G14" i="5"/>
  <c r="G15" i="5"/>
  <c r="G16" i="5"/>
  <c r="G17" i="5"/>
  <c r="G18" i="5"/>
  <c r="G19" i="5"/>
  <c r="G20" i="5"/>
  <c r="G21" i="5"/>
  <c r="G22" i="5"/>
  <c r="G23" i="5"/>
  <c r="G24" i="5"/>
  <c r="G13" i="5"/>
  <c r="G15" i="2"/>
  <c r="G16" i="2"/>
  <c r="G17" i="2"/>
  <c r="G18" i="2"/>
  <c r="G19" i="2"/>
  <c r="G20" i="2"/>
  <c r="G21" i="2"/>
  <c r="G22" i="2"/>
  <c r="G23" i="2"/>
  <c r="G24" i="2"/>
  <c r="G25" i="2"/>
  <c r="G14" i="2"/>
  <c r="G14" i="1"/>
  <c r="G15" i="1"/>
  <c r="G16" i="1"/>
  <c r="G17" i="1"/>
  <c r="G18" i="1"/>
  <c r="G19" i="1"/>
  <c r="G20" i="1"/>
  <c r="G21" i="1"/>
  <c r="G22" i="1"/>
  <c r="G23" i="1"/>
  <c r="G24" i="1"/>
  <c r="G13" i="1"/>
  <c r="G16" i="4"/>
  <c r="G17" i="4"/>
  <c r="G18" i="4"/>
  <c r="G19" i="4"/>
  <c r="G20" i="4"/>
  <c r="G21" i="4"/>
  <c r="G22" i="4"/>
  <c r="G23" i="4"/>
  <c r="G24" i="4"/>
  <c r="G25" i="4"/>
  <c r="G26" i="4"/>
  <c r="G15" i="4"/>
  <c r="F27" i="6"/>
  <c r="D27" i="6"/>
  <c r="F29" i="6"/>
  <c r="F8" i="5"/>
  <c r="J4" i="7"/>
  <c r="F25" i="5"/>
  <c r="F26" i="2"/>
  <c r="F10" i="2"/>
  <c r="H4" i="7"/>
  <c r="F27" i="4"/>
  <c r="F4" i="7"/>
  <c r="F25" i="1"/>
  <c r="E25" i="1"/>
  <c r="D25" i="1"/>
  <c r="G25" i="1"/>
  <c r="D25" i="5"/>
  <c r="G25" i="5"/>
  <c r="D26" i="2"/>
  <c r="D27" i="4"/>
  <c r="G27" i="4"/>
  <c r="E27" i="6"/>
  <c r="C27" i="6"/>
  <c r="B27" i="6"/>
  <c r="E25" i="5"/>
  <c r="C25" i="5"/>
  <c r="B25" i="5"/>
  <c r="E27" i="4"/>
  <c r="C27" i="4"/>
  <c r="B27" i="4"/>
  <c r="F25" i="3"/>
  <c r="E25" i="3"/>
  <c r="C25" i="3"/>
  <c r="B25" i="3"/>
  <c r="E26" i="2"/>
  <c r="C26" i="2"/>
  <c r="B26" i="2"/>
  <c r="G27" i="6"/>
  <c r="G26" i="2"/>
  <c r="F29" i="4"/>
  <c r="F28" i="2"/>
  <c r="F27" i="1"/>
  <c r="O18" i="7"/>
  <c r="O16" i="7"/>
  <c r="O14" i="7"/>
  <c r="O12" i="7"/>
  <c r="O10" i="7"/>
  <c r="O8" i="7"/>
  <c r="F27" i="5"/>
  <c r="O7" i="7"/>
  <c r="O17" i="7"/>
  <c r="O15" i="7"/>
  <c r="O13" i="7"/>
  <c r="O11" i="7"/>
  <c r="O9" i="7"/>
  <c r="O19" i="7"/>
  <c r="Q10" i="7"/>
  <c r="P10" i="7"/>
  <c r="N18" i="7"/>
  <c r="E19" i="7"/>
  <c r="M19" i="7"/>
  <c r="K19" i="7"/>
  <c r="C19" i="7"/>
  <c r="G19" i="7"/>
  <c r="N16" i="7"/>
  <c r="N12" i="7"/>
  <c r="N8" i="7"/>
  <c r="I19" i="7"/>
  <c r="N13" i="7"/>
  <c r="N9" i="7"/>
  <c r="N14" i="7"/>
  <c r="N7" i="7"/>
  <c r="N15" i="7"/>
  <c r="N11" i="7"/>
  <c r="N17" i="7"/>
  <c r="H19" i="7"/>
  <c r="H20" i="7"/>
  <c r="J19" i="7"/>
  <c r="J20" i="7"/>
  <c r="B19" i="7"/>
  <c r="B20" i="7"/>
  <c r="D19" i="7"/>
  <c r="D20" i="7"/>
  <c r="F19" i="7"/>
  <c r="F20" i="7"/>
  <c r="L19" i="7"/>
  <c r="L20" i="7"/>
  <c r="N4" i="7"/>
  <c r="G25" i="3"/>
  <c r="Q12" i="7"/>
  <c r="P12" i="7"/>
  <c r="P9" i="7"/>
  <c r="P8" i="7"/>
  <c r="Q14" i="7"/>
  <c r="P14" i="7"/>
  <c r="P7" i="7"/>
  <c r="Q9" i="7"/>
  <c r="Q11" i="7"/>
  <c r="P11" i="7"/>
  <c r="P17" i="7"/>
  <c r="Q17" i="7"/>
  <c r="Q15" i="7"/>
  <c r="P15" i="7"/>
  <c r="P13" i="7"/>
  <c r="Q13" i="7"/>
  <c r="Q16" i="7"/>
  <c r="P16" i="7"/>
  <c r="Q18" i="7"/>
  <c r="P18" i="7"/>
  <c r="Q7" i="7"/>
  <c r="Q8" i="7"/>
  <c r="N19" i="7"/>
</calcChain>
</file>

<file path=xl/sharedStrings.xml><?xml version="1.0" encoding="utf-8"?>
<sst xmlns="http://schemas.openxmlformats.org/spreadsheetml/2006/main" count="669" uniqueCount="176">
  <si>
    <t>AGENT</t>
  </si>
  <si>
    <t>2014 COMM</t>
  </si>
  <si>
    <t>2014 Budget</t>
  </si>
  <si>
    <t>BJA</t>
  </si>
  <si>
    <t>Belinda</t>
  </si>
  <si>
    <t>Anderson</t>
  </si>
  <si>
    <t>MRS</t>
  </si>
  <si>
    <t>Mark</t>
  </si>
  <si>
    <t>Salvati</t>
  </si>
  <si>
    <t>NBF</t>
  </si>
  <si>
    <t>Nick</t>
  </si>
  <si>
    <t>Fletcher</t>
  </si>
  <si>
    <t>GAB</t>
  </si>
  <si>
    <t>George</t>
  </si>
  <si>
    <t>Bushby</t>
  </si>
  <si>
    <t>N/A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</si>
  <si>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</si>
  <si>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</si>
  <si>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</si>
  <si>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</si>
  <si>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</si>
  <si>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</si>
  <si>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</si>
  <si>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</si>
  <si>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</si>
  <si>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</si>
  <si>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</si>
  <si>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</si>
  <si>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F14</t>
  </si>
  <si>
    <t>F14 Sales</t>
  </si>
  <si>
    <t>F15</t>
  </si>
  <si>
    <t>F15 Sales</t>
  </si>
  <si>
    <t>Office Target</t>
  </si>
  <si>
    <t>JGS</t>
  </si>
  <si>
    <t>Jason</t>
  </si>
  <si>
    <t>Salan</t>
  </si>
  <si>
    <t>TLS</t>
  </si>
  <si>
    <t>Traci</t>
  </si>
  <si>
    <t>Stella</t>
  </si>
  <si>
    <t>SM</t>
  </si>
  <si>
    <t>Stephanie</t>
  </si>
  <si>
    <t>Michael</t>
  </si>
  <si>
    <t>MKW</t>
  </si>
  <si>
    <t>Maurie</t>
  </si>
  <si>
    <t>Walters</t>
  </si>
  <si>
    <t>RTW</t>
  </si>
  <si>
    <t>Robin</t>
  </si>
  <si>
    <t>Waterbury</t>
  </si>
  <si>
    <t>TGL</t>
  </si>
  <si>
    <t xml:space="preserve">Todd </t>
  </si>
  <si>
    <t>Lucas</t>
  </si>
  <si>
    <t>JJD</t>
  </si>
  <si>
    <t>Jeremy</t>
  </si>
  <si>
    <t>Desmier</t>
  </si>
  <si>
    <t>MWD</t>
  </si>
  <si>
    <t>Dehnert</t>
  </si>
  <si>
    <t>JL</t>
  </si>
  <si>
    <t>Jack</t>
  </si>
  <si>
    <t>Lim</t>
  </si>
  <si>
    <t>GJC</t>
  </si>
  <si>
    <t>Guy</t>
  </si>
  <si>
    <t>Coles</t>
  </si>
  <si>
    <t>DBK</t>
  </si>
  <si>
    <t>Daiman</t>
  </si>
  <si>
    <t>Kane</t>
  </si>
  <si>
    <t>TJH</t>
  </si>
  <si>
    <t>Tim</t>
  </si>
  <si>
    <t>Heavyside</t>
  </si>
  <si>
    <t>MNF</t>
  </si>
  <si>
    <t>TKL</t>
  </si>
  <si>
    <t>Thomas</t>
  </si>
  <si>
    <t>Lo</t>
  </si>
  <si>
    <t>GRL</t>
  </si>
  <si>
    <t>Gail</t>
  </si>
  <si>
    <t>Logan</t>
  </si>
  <si>
    <t>DPT</t>
  </si>
  <si>
    <t>David</t>
  </si>
  <si>
    <t>Taylor</t>
  </si>
  <si>
    <t>BEW</t>
  </si>
  <si>
    <t>Brooke</t>
  </si>
  <si>
    <t>Warwick</t>
  </si>
  <si>
    <t>SAZ</t>
  </si>
  <si>
    <t>Steven</t>
  </si>
  <si>
    <t>Zervas</t>
  </si>
  <si>
    <t>ASH</t>
  </si>
  <si>
    <t>Albert</t>
  </si>
  <si>
    <t>Hazelden</t>
  </si>
  <si>
    <t>RJW</t>
  </si>
  <si>
    <t>Reilly</t>
  </si>
  <si>
    <t>Waterfield</t>
  </si>
  <si>
    <t>JLP</t>
  </si>
  <si>
    <t>Jo</t>
  </si>
  <si>
    <t>Parker</t>
  </si>
  <si>
    <t>NJH</t>
  </si>
  <si>
    <t>Nicholas</t>
  </si>
  <si>
    <t>Holmes</t>
  </si>
  <si>
    <t>SLC</t>
  </si>
  <si>
    <t>Sam</t>
  </si>
  <si>
    <t>Camilleri</t>
  </si>
  <si>
    <t>BTW</t>
  </si>
  <si>
    <t>Ben</t>
  </si>
  <si>
    <t>Williams</t>
  </si>
  <si>
    <t>RAS</t>
  </si>
  <si>
    <t>Robert</t>
  </si>
  <si>
    <t>Sheahan</t>
  </si>
  <si>
    <t>GPK</t>
  </si>
  <si>
    <t>Graeme</t>
  </si>
  <si>
    <t>Keogh</t>
  </si>
  <si>
    <t>TN</t>
  </si>
  <si>
    <t>Troy</t>
  </si>
  <si>
    <t>Nelson</t>
  </si>
  <si>
    <t>MER</t>
  </si>
  <si>
    <t>Richardson</t>
  </si>
  <si>
    <t>CCF</t>
  </si>
  <si>
    <t>Cristina</t>
  </si>
  <si>
    <t>Fotia</t>
  </si>
  <si>
    <t>LDW</t>
  </si>
  <si>
    <t>Lachlan</t>
  </si>
  <si>
    <t>HAWTHORN</t>
  </si>
  <si>
    <t>2015 Office BUDGET</t>
  </si>
  <si>
    <t>2015 TRAVEL TARGET</t>
  </si>
  <si>
    <t>FY14</t>
  </si>
  <si>
    <t>FY14 Sales</t>
  </si>
  <si>
    <t>FY15</t>
  </si>
  <si>
    <t>FY15 Sales</t>
  </si>
  <si>
    <t>2015 Office Target</t>
  </si>
  <si>
    <t xml:space="preserve">Difference </t>
  </si>
  <si>
    <t>Difference</t>
  </si>
  <si>
    <t>Balwyn North</t>
  </si>
  <si>
    <t>Canterbury</t>
  </si>
  <si>
    <t>Manningham</t>
  </si>
  <si>
    <t>Maroondah</t>
  </si>
  <si>
    <t>Whitehorse</t>
  </si>
  <si>
    <t xml:space="preserve">   </t>
  </si>
  <si>
    <t>% of Office Target Achieved</t>
  </si>
  <si>
    <t>AH</t>
  </si>
  <si>
    <t>Adam</t>
  </si>
  <si>
    <t>Harris</t>
  </si>
  <si>
    <t>?</t>
  </si>
  <si>
    <t>F&amp;P</t>
  </si>
  <si>
    <t>Hawthorn</t>
  </si>
  <si>
    <t xml:space="preserve">F15 </t>
  </si>
  <si>
    <t xml:space="preserve"> </t>
  </si>
  <si>
    <t>Actual</t>
  </si>
  <si>
    <t>Budget Target</t>
  </si>
  <si>
    <t>Total Achieved</t>
  </si>
  <si>
    <t>YTD % of each office Budget Achieved</t>
  </si>
  <si>
    <t>Target Budget</t>
  </si>
  <si>
    <t>AUG Expected</t>
  </si>
  <si>
    <t>AUG % Achieved</t>
  </si>
  <si>
    <t>YTD Expected</t>
  </si>
  <si>
    <t>YTD % Achieved</t>
  </si>
  <si>
    <t>SEP Expected</t>
  </si>
  <si>
    <t>SEP % Achieved</t>
  </si>
  <si>
    <t>OCT Expected</t>
  </si>
  <si>
    <t>OCT % Achieved</t>
  </si>
  <si>
    <t>NOV Expected</t>
  </si>
  <si>
    <t>NOV % Achieved</t>
  </si>
  <si>
    <t>DEC Expected</t>
  </si>
  <si>
    <t>DEC % Achieved</t>
  </si>
  <si>
    <t>JAN Expected</t>
  </si>
  <si>
    <t>JAN % Achieved</t>
  </si>
  <si>
    <t>FEB Expected</t>
  </si>
  <si>
    <t>FEB % Achieved</t>
  </si>
  <si>
    <t>MAR Expected</t>
  </si>
  <si>
    <t>MAR % Achieved</t>
  </si>
  <si>
    <t>APR Expected</t>
  </si>
  <si>
    <t>APR % Achieved</t>
  </si>
  <si>
    <t>MAY Expected</t>
  </si>
  <si>
    <t>MAY % Achieved</t>
  </si>
  <si>
    <t>JUN Expected</t>
  </si>
  <si>
    <t>JUN % Achieved</t>
  </si>
  <si>
    <t>JUL Expected</t>
  </si>
  <si>
    <t>JUL % Achieved</t>
  </si>
  <si>
    <t xml:space="preserve"> % budget achieved each month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</si>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</sst>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164" formatCode="&quot;$&quot;#,##0.00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_-&quot;$&quot;* #,##0_-;\-&quot;$&quot;* #,##0_-;_-&quot;$&quot;* &quot;-&quot;??_-;_-@_-"/>
    <numFmt numFmtId="170" formatCode="&quot;$&quot;#,##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gfa Rotis Serif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Agfa Rotis Serif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34" borderId="0" applyNumberFormat="0" applyBorder="0" applyAlignment="0" applyProtection="0"/>
    <xf numFmtId="0" fontId="23" fillId="51" borderId="10" applyNumberFormat="0" applyAlignment="0" applyProtection="0"/>
    <xf numFmtId="0" fontId="24" fillId="52" borderId="11" applyNumberFormat="0" applyAlignment="0" applyProtection="0"/>
    <xf numFmtId="44" fontId="18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30" fillId="38" borderId="10" applyNumberFormat="0" applyAlignment="0" applyProtection="0"/>
    <xf numFmtId="0" fontId="31" fillId="0" borderId="15" applyNumberFormat="0" applyFill="0" applyAlignment="0" applyProtection="0"/>
    <xf numFmtId="0" fontId="32" fillId="53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8" borderId="8" applyNumberFormat="0" applyFont="0" applyAlignment="0" applyProtection="0"/>
    <xf numFmtId="0" fontId="20" fillId="54" borderId="16" applyNumberFormat="0" applyFont="0" applyAlignment="0" applyProtection="0"/>
    <xf numFmtId="0" fontId="33" fillId="51" borderId="17" applyNumberFormat="0" applyAlignment="0" applyProtection="0"/>
    <xf numFmtId="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" fillId="8" borderId="8" applyNumberFormat="0" applyFont="0" applyAlignment="0" applyProtection="0"/>
  </cellStyleXfs>
  <cellXfs count="337">
    <xf numFmtId="0" fontId="0" fillId="0" borderId="0" xfId="0"/>
    <xf numFmtId="44" fontId="0" fillId="0" borderId="0" xfId="0" applyNumberFormat="1"/>
    <xf numFmtId="44" fontId="19" fillId="55" borderId="0" xfId="70" applyFont="1" applyFill="1" applyBorder="1" applyAlignment="1">
      <alignment wrapText="1"/>
    </xf>
    <xf numFmtId="0" fontId="0" fillId="0" borderId="0" xfId="0"/>
    <xf numFmtId="44" fontId="0" fillId="0" borderId="34" xfId="1" applyFont="1" applyBorder="1"/>
    <xf numFmtId="168" fontId="41" fillId="60" borderId="30" xfId="123" applyNumberFormat="1" applyFont="1" applyFill="1" applyBorder="1" applyAlignment="1"/>
    <xf numFmtId="168" fontId="41" fillId="60" borderId="34" xfId="123" applyNumberFormat="1" applyFont="1" applyFill="1" applyBorder="1" applyAlignment="1"/>
    <xf numFmtId="0" fontId="0" fillId="0" borderId="44" xfId="0" applyBorder="1"/>
    <xf numFmtId="0" fontId="16" fillId="0" borderId="28" xfId="0" applyFont="1" applyBorder="1"/>
    <xf numFmtId="0" fontId="0" fillId="0" borderId="29" xfId="0" applyBorder="1"/>
    <xf numFmtId="44" fontId="0" fillId="0" borderId="36" xfId="1" applyFont="1" applyBorder="1"/>
    <xf numFmtId="0" fontId="0" fillId="0" borderId="37" xfId="0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44" fontId="0" fillId="56" borderId="36" xfId="1" applyFont="1" applyFill="1" applyBorder="1"/>
    <xf numFmtId="44" fontId="0" fillId="0" borderId="39" xfId="0" applyNumberFormat="1" applyBorder="1"/>
    <xf numFmtId="44" fontId="0" fillId="0" borderId="33" xfId="0" applyNumberFormat="1" applyBorder="1"/>
    <xf numFmtId="44" fontId="0" fillId="0" borderId="32" xfId="1" applyFont="1" applyBorder="1"/>
    <xf numFmtId="165" fontId="41" fillId="60" borderId="38" xfId="124" applyNumberFormat="1" applyFont="1" applyFill="1" applyBorder="1" applyAlignment="1"/>
    <xf numFmtId="3" fontId="41" fillId="60" borderId="39" xfId="98" applyNumberFormat="1" applyFont="1" applyFill="1" applyBorder="1" applyAlignment="1">
      <alignment horizontal="center"/>
    </xf>
    <xf numFmtId="1" fontId="41" fillId="60" borderId="39" xfId="98" applyNumberFormat="1" applyFont="1" applyFill="1" applyBorder="1" applyAlignment="1">
      <alignment horizontal="center"/>
    </xf>
    <xf numFmtId="168" fontId="41" fillId="60" borderId="38" xfId="123" applyNumberFormat="1" applyFont="1" applyFill="1" applyBorder="1" applyAlignment="1"/>
    <xf numFmtId="1" fontId="41" fillId="60" borderId="31" xfId="98" applyNumberFormat="1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44" fontId="0" fillId="0" borderId="42" xfId="1" applyFont="1" applyBorder="1"/>
    <xf numFmtId="0" fontId="0" fillId="0" borderId="43" xfId="0" applyBorder="1" applyAlignment="1">
      <alignment horizontal="center"/>
    </xf>
    <xf numFmtId="164" fontId="19" fillId="55" borderId="0" xfId="0" applyNumberFormat="1" applyFont="1" applyFill="1" applyBorder="1"/>
    <xf numFmtId="0" fontId="19" fillId="55" borderId="0" xfId="0" applyFont="1" applyFill="1" applyBorder="1" applyAlignment="1">
      <alignment wrapText="1"/>
    </xf>
    <xf numFmtId="0" fontId="16" fillId="0" borderId="0" xfId="0" applyFont="1"/>
    <xf numFmtId="0" fontId="0" fillId="0" borderId="0" xfId="0"/>
    <xf numFmtId="1" fontId="41" fillId="60" borderId="33" xfId="98" applyNumberFormat="1" applyFont="1" applyFill="1" applyBorder="1" applyAlignment="1">
      <alignment horizontal="center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4" fontId="19" fillId="55" borderId="21" xfId="0" applyNumberFormat="1" applyFont="1" applyFill="1" applyBorder="1"/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4" fontId="19" fillId="55" borderId="21" xfId="0" applyNumberFormat="1" applyFont="1" applyFill="1" applyBorder="1"/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4" fontId="19" fillId="55" borderId="21" xfId="0" applyNumberFormat="1" applyFont="1" applyFill="1" applyBorder="1"/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4" fontId="19" fillId="55" borderId="21" xfId="0" applyNumberFormat="1" applyFont="1" applyFill="1" applyBorder="1"/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24" xfId="0" applyFont="1" applyFill="1" applyBorder="1" applyAlignment="1">
      <alignment wrapText="1"/>
    </xf>
    <xf numFmtId="0" fontId="19" fillId="55" borderId="25" xfId="0" applyFont="1" applyFill="1" applyBorder="1" applyAlignment="1">
      <alignment wrapText="1"/>
    </xf>
    <xf numFmtId="44" fontId="19" fillId="55" borderId="25" xfId="70" applyFont="1" applyFill="1" applyBorder="1" applyAlignment="1">
      <alignment wrapText="1"/>
    </xf>
    <xf numFmtId="44" fontId="19" fillId="57" borderId="26" xfId="70" applyNumberFormat="1" applyFont="1" applyFill="1" applyBorder="1"/>
    <xf numFmtId="164" fontId="19" fillId="55" borderId="26" xfId="0" applyNumberFormat="1" applyFont="1" applyFill="1" applyBorder="1"/>
    <xf numFmtId="44" fontId="40" fillId="59" borderId="21" xfId="70" applyFont="1" applyFill="1" applyBorder="1"/>
    <xf numFmtId="0" fontId="0" fillId="0" borderId="0" xfId="0"/>
    <xf numFmtId="164" fontId="19" fillId="55" borderId="21" xfId="0" applyNumberFormat="1" applyFont="1" applyFill="1" applyBorder="1"/>
    <xf numFmtId="44" fontId="19" fillId="57" borderId="21" xfId="70" applyFont="1" applyFill="1" applyBorder="1"/>
    <xf numFmtId="0" fontId="19" fillId="55" borderId="21" xfId="0" applyFont="1" applyFill="1" applyBorder="1" applyAlignment="1">
      <alignment wrapText="1"/>
    </xf>
    <xf numFmtId="44" fontId="19" fillId="55" borderId="21" xfId="70" applyFont="1" applyFill="1" applyBorder="1" applyAlignment="1">
      <alignment wrapText="1"/>
    </xf>
    <xf numFmtId="0" fontId="0" fillId="0" borderId="0" xfId="0"/>
    <xf numFmtId="165" fontId="41" fillId="60" borderId="38" xfId="124" applyNumberFormat="1" applyFont="1" applyFill="1" applyBorder="1" applyAlignment="1"/>
    <xf numFmtId="3" fontId="41" fillId="60" borderId="39" xfId="98" applyNumberFormat="1" applyFont="1" applyFill="1" applyBorder="1" applyAlignment="1">
      <alignment horizontal="center"/>
    </xf>
    <xf numFmtId="1" fontId="41" fillId="60" borderId="39" xfId="98" applyNumberFormat="1" applyFont="1" applyFill="1" applyBorder="1" applyAlignment="1">
      <alignment horizontal="center"/>
    </xf>
    <xf numFmtId="168" fontId="41" fillId="60" borderId="38" xfId="123" applyNumberFormat="1" applyFont="1" applyFill="1" applyBorder="1" applyAlignment="1"/>
    <xf numFmtId="0" fontId="0" fillId="0" borderId="0" xfId="0" applyAlignment="1">
      <alignment horizontal="right"/>
    </xf>
    <xf numFmtId="44" fontId="38" fillId="59" borderId="21" xfId="70" applyFont="1" applyFill="1" applyBorder="1" applyAlignment="1">
      <alignment horizontal="right"/>
    </xf>
    <xf numFmtId="0" fontId="0" fillId="0" borderId="0" xfId="0"/>
    <xf numFmtId="44" fontId="19" fillId="57" borderId="21" xfId="70" applyFont="1" applyFill="1" applyBorder="1"/>
    <xf numFmtId="44" fontId="19" fillId="57" borderId="21" xfId="70" applyNumberFormat="1" applyFont="1" applyFill="1" applyBorder="1"/>
    <xf numFmtId="0" fontId="19" fillId="55" borderId="21" xfId="0" applyFont="1" applyFill="1" applyBorder="1" applyAlignment="1">
      <alignment wrapText="1"/>
    </xf>
    <xf numFmtId="44" fontId="19" fillId="55" borderId="21" xfId="70" applyFont="1" applyFill="1" applyBorder="1" applyAlignment="1">
      <alignment wrapText="1"/>
    </xf>
    <xf numFmtId="44" fontId="19" fillId="59" borderId="21" xfId="70" applyFont="1" applyFill="1" applyBorder="1"/>
    <xf numFmtId="168" fontId="41" fillId="60" borderId="38" xfId="123" applyNumberFormat="1" applyFont="1" applyFill="1" applyBorder="1" applyAlignment="1"/>
    <xf numFmtId="1" fontId="41" fillId="60" borderId="39" xfId="98" applyNumberFormat="1" applyFont="1" applyFill="1" applyBorder="1" applyAlignment="1">
      <alignment horizontal="center"/>
    </xf>
    <xf numFmtId="3" fontId="41" fillId="60" borderId="39" xfId="98" applyNumberFormat="1" applyFont="1" applyFill="1" applyBorder="1" applyAlignment="1">
      <alignment horizontal="center"/>
    </xf>
    <xf numFmtId="165" fontId="41" fillId="60" borderId="38" xfId="98" applyNumberFormat="1" applyFont="1" applyFill="1" applyBorder="1" applyAlignment="1"/>
    <xf numFmtId="168" fontId="41" fillId="60" borderId="38" xfId="123" applyNumberFormat="1" applyFont="1" applyFill="1" applyBorder="1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5" fontId="41" fillId="60" borderId="40" xfId="98" applyNumberFormat="1" applyFont="1" applyFill="1" applyBorder="1" applyAlignment="1"/>
    <xf numFmtId="1" fontId="41" fillId="60" borderId="41" xfId="98" applyNumberFormat="1" applyFont="1" applyFill="1" applyBorder="1" applyAlignment="1">
      <alignment horizontal="center"/>
    </xf>
    <xf numFmtId="3" fontId="41" fillId="60" borderId="41" xfId="98" applyNumberFormat="1" applyFont="1" applyFill="1" applyBorder="1" applyAlignment="1">
      <alignment horizontal="center"/>
    </xf>
    <xf numFmtId="168" fontId="41" fillId="60" borderId="40" xfId="123" applyNumberFormat="1" applyFont="1" applyFill="1" applyBorder="1" applyAlignment="1"/>
    <xf numFmtId="1" fontId="41" fillId="60" borderId="39" xfId="98" applyNumberFormat="1" applyFont="1" applyFill="1" applyBorder="1" applyAlignment="1">
      <alignment horizontal="center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38" fillId="59" borderId="21" xfId="70" applyFont="1" applyFill="1" applyBorder="1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NumberFormat="1" applyFont="1" applyFill="1" applyBorder="1"/>
    <xf numFmtId="44" fontId="19" fillId="59" borderId="21" xfId="70" applyFont="1" applyFill="1" applyBorder="1"/>
    <xf numFmtId="0" fontId="0" fillId="0" borderId="0" xfId="0"/>
    <xf numFmtId="164" fontId="19" fillId="55" borderId="21" xfId="0" applyNumberFormat="1" applyFont="1" applyFill="1" applyBorder="1"/>
    <xf numFmtId="0" fontId="0" fillId="0" borderId="0" xfId="0" applyBorder="1"/>
    <xf numFmtId="9" fontId="0" fillId="0" borderId="0" xfId="2" applyFont="1" applyBorder="1"/>
    <xf numFmtId="44" fontId="0" fillId="0" borderId="42" xfId="2" applyNumberFormat="1" applyFont="1" applyBorder="1" applyAlignment="1">
      <alignment horizontal="center"/>
    </xf>
    <xf numFmtId="44" fontId="0" fillId="0" borderId="35" xfId="2" applyNumberFormat="1" applyFont="1" applyBorder="1" applyAlignment="1">
      <alignment horizontal="center"/>
    </xf>
    <xf numFmtId="9" fontId="0" fillId="0" borderId="27" xfId="2" applyFont="1" applyBorder="1" applyAlignment="1">
      <alignment horizontal="center" vertical="center"/>
    </xf>
    <xf numFmtId="44" fontId="0" fillId="0" borderId="31" xfId="0" applyNumberFormat="1" applyBorder="1"/>
    <xf numFmtId="44" fontId="0" fillId="56" borderId="30" xfId="1" applyFont="1" applyFill="1" applyBorder="1"/>
    <xf numFmtId="0" fontId="0" fillId="0" borderId="0" xfId="0"/>
    <xf numFmtId="0" fontId="42" fillId="0" borderId="0" xfId="0" applyFont="1"/>
    <xf numFmtId="0" fontId="16" fillId="0" borderId="27" xfId="0" applyFont="1" applyBorder="1" applyAlignment="1">
      <alignment horizontal="center" vertical="center" wrapText="1"/>
    </xf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19" fillId="59" borderId="21" xfId="70" applyFont="1" applyFill="1" applyBorder="1"/>
    <xf numFmtId="165" fontId="41" fillId="60" borderId="38" xfId="124" applyNumberFormat="1" applyFont="1" applyFill="1" applyBorder="1" applyAlignment="1"/>
    <xf numFmtId="3" fontId="41" fillId="60" borderId="39" xfId="98" applyNumberFormat="1" applyFont="1" applyFill="1" applyBorder="1" applyAlignment="1">
      <alignment horizontal="center"/>
    </xf>
    <xf numFmtId="1" fontId="41" fillId="60" borderId="39" xfId="98" applyNumberFormat="1" applyFont="1" applyFill="1" applyBorder="1" applyAlignment="1">
      <alignment horizontal="center"/>
    </xf>
    <xf numFmtId="168" fontId="41" fillId="60" borderId="38" xfId="123" applyNumberFormat="1" applyFont="1" applyFill="1" applyBorder="1" applyAlignment="1"/>
    <xf numFmtId="1" fontId="41" fillId="60" borderId="37" xfId="98" applyNumberFormat="1" applyFont="1" applyFill="1" applyBorder="1" applyAlignment="1">
      <alignment horizontal="center"/>
    </xf>
    <xf numFmtId="1" fontId="41" fillId="60" borderId="33" xfId="98" applyNumberFormat="1" applyFont="1" applyFill="1" applyBorder="1" applyAlignment="1">
      <alignment horizontal="center"/>
    </xf>
    <xf numFmtId="9" fontId="0" fillId="0" borderId="21" xfId="2" applyFont="1" applyBorder="1"/>
    <xf numFmtId="44" fontId="38" fillId="59" borderId="21" xfId="70" applyFont="1" applyFill="1" applyBorder="1"/>
    <xf numFmtId="164" fontId="19" fillId="55" borderId="21" xfId="0" applyNumberFormat="1" applyFont="1" applyFill="1" applyBorder="1"/>
    <xf numFmtId="44" fontId="19" fillId="57" borderId="21" xfId="70" applyNumberFormat="1" applyFont="1" applyFill="1" applyBorder="1"/>
    <xf numFmtId="168" fontId="41" fillId="60" borderId="34" xfId="123" applyNumberFormat="1" applyFont="1" applyFill="1" applyBorder="1" applyAlignment="1"/>
    <xf numFmtId="0" fontId="0" fillId="0" borderId="44" xfId="0" applyBorder="1"/>
    <xf numFmtId="0" fontId="16" fillId="0" borderId="28" xfId="0" applyFont="1" applyBorder="1"/>
    <xf numFmtId="0" fontId="0" fillId="0" borderId="29" xfId="0" applyBorder="1"/>
    <xf numFmtId="44" fontId="0" fillId="0" borderId="36" xfId="1" applyFont="1" applyBorder="1"/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44" fontId="0" fillId="0" borderId="37" xfId="0" applyNumberFormat="1" applyBorder="1"/>
    <xf numFmtId="44" fontId="0" fillId="56" borderId="38" xfId="1" applyFont="1" applyFill="1" applyBorder="1"/>
    <xf numFmtId="44" fontId="0" fillId="56" borderId="34" xfId="1" applyFont="1" applyFill="1" applyBorder="1"/>
    <xf numFmtId="168" fontId="41" fillId="60" borderId="36" xfId="123" applyNumberFormat="1" applyFont="1" applyFill="1" applyBorder="1" applyAlignment="1"/>
    <xf numFmtId="44" fontId="0" fillId="0" borderId="42" xfId="1" applyFont="1" applyBorder="1"/>
    <xf numFmtId="0" fontId="0" fillId="0" borderId="43" xfId="0" applyBorder="1" applyAlignment="1">
      <alignment horizontal="center"/>
    </xf>
    <xf numFmtId="44" fontId="0" fillId="0" borderId="35" xfId="2" applyNumberFormat="1" applyFont="1" applyBorder="1" applyAlignment="1">
      <alignment horizontal="center"/>
    </xf>
    <xf numFmtId="9" fontId="0" fillId="0" borderId="27" xfId="2" applyFont="1" applyBorder="1" applyAlignment="1">
      <alignment horizontal="center" vertical="center"/>
    </xf>
    <xf numFmtId="44" fontId="0" fillId="0" borderId="21" xfId="0" applyNumberFormat="1" applyBorder="1"/>
    <xf numFmtId="44" fontId="38" fillId="59" borderId="21" xfId="70" applyFont="1" applyFill="1" applyBorder="1" applyAlignment="1">
      <alignment horizontal="right"/>
    </xf>
    <xf numFmtId="0" fontId="16" fillId="0" borderId="46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44" fontId="0" fillId="0" borderId="43" xfId="0" applyNumberFormat="1" applyBorder="1"/>
    <xf numFmtId="0" fontId="0" fillId="0" borderId="48" xfId="0" applyBorder="1" applyAlignment="1">
      <alignment horizontal="center"/>
    </xf>
    <xf numFmtId="44" fontId="0" fillId="56" borderId="49" xfId="1" applyFont="1" applyFill="1" applyBorder="1"/>
    <xf numFmtId="44" fontId="0" fillId="0" borderId="50" xfId="0" applyNumberFormat="1" applyBorder="1"/>
    <xf numFmtId="9" fontId="0" fillId="0" borderId="0" xfId="2" applyFont="1"/>
    <xf numFmtId="164" fontId="19" fillId="55" borderId="21" xfId="0" applyNumberFormat="1" applyFont="1" applyFill="1" applyBorder="1" applyAlignment="1">
      <alignment horizontal="center"/>
    </xf>
    <xf numFmtId="0" fontId="43" fillId="0" borderId="0" xfId="0" applyFont="1"/>
    <xf numFmtId="10" fontId="0" fillId="0" borderId="0" xfId="2" applyNumberFormat="1" applyFont="1"/>
    <xf numFmtId="0" fontId="42" fillId="0" borderId="0" xfId="0" applyFont="1" applyAlignment="1">
      <alignment horizontal="left"/>
    </xf>
    <xf numFmtId="0" fontId="0" fillId="0" borderId="0" xfId="0"/>
    <xf numFmtId="44" fontId="37" fillId="58" borderId="20" xfId="70" applyFont="1" applyFill="1" applyBorder="1" applyAlignment="1">
      <alignment horizontal="center" vertical="center" wrapText="1"/>
    </xf>
    <xf numFmtId="0" fontId="37" fillId="58" borderId="21" xfId="0" applyFont="1" applyFill="1" applyBorder="1" applyAlignment="1">
      <alignment horizontal="center" vertical="center"/>
    </xf>
    <xf numFmtId="44" fontId="37" fillId="58" borderId="21" xfId="70" applyFont="1" applyFill="1" applyBorder="1" applyAlignment="1">
      <alignment horizontal="center" vertical="center"/>
    </xf>
    <xf numFmtId="44" fontId="39" fillId="58" borderId="21" xfId="70" applyFont="1" applyFill="1" applyBorder="1" applyAlignment="1">
      <alignment horizontal="center" vertical="center"/>
    </xf>
    <xf numFmtId="44" fontId="0" fillId="0" borderId="0" xfId="0" applyNumberFormat="1" applyBorder="1"/>
    <xf numFmtId="44" fontId="0" fillId="0" borderId="53" xfId="0" applyNumberFormat="1" applyBorder="1"/>
    <xf numFmtId="168" fontId="41" fillId="60" borderId="56" xfId="123" applyNumberFormat="1" applyFont="1" applyFill="1" applyBorder="1"/>
    <xf numFmtId="3" fontId="41" fillId="60" borderId="57" xfId="98" applyNumberFormat="1" applyFont="1" applyFill="1" applyBorder="1" applyAlignment="1">
      <alignment horizontal="center"/>
    </xf>
    <xf numFmtId="9" fontId="0" fillId="0" borderId="55" xfId="2" applyFont="1" applyBorder="1"/>
    <xf numFmtId="44" fontId="19" fillId="57" borderId="26" xfId="70" applyFont="1" applyFill="1" applyBorder="1"/>
    <xf numFmtId="44" fontId="38" fillId="59" borderId="26" xfId="70" applyFont="1" applyFill="1" applyBorder="1"/>
    <xf numFmtId="44" fontId="0" fillId="0" borderId="55" xfId="0" applyNumberFormat="1" applyBorder="1"/>
    <xf numFmtId="44" fontId="19" fillId="55" borderId="21" xfId="70" applyFont="1" applyFill="1" applyBorder="1" applyAlignment="1">
      <alignment horizontal="center" wrapText="1"/>
    </xf>
    <xf numFmtId="44" fontId="19" fillId="57" borderId="21" xfId="70" applyFont="1" applyFill="1" applyBorder="1" applyAlignment="1">
      <alignment horizontal="center"/>
    </xf>
    <xf numFmtId="44" fontId="38" fillId="59" borderId="21" xfId="70" applyFont="1" applyFill="1" applyBorder="1" applyAlignment="1">
      <alignment horizontal="center"/>
    </xf>
    <xf numFmtId="44" fontId="0" fillId="0" borderId="58" xfId="0" applyNumberFormat="1" applyBorder="1"/>
    <xf numFmtId="0" fontId="16" fillId="0" borderId="59" xfId="0" applyFont="1" applyBorder="1"/>
    <xf numFmtId="0" fontId="16" fillId="0" borderId="60" xfId="0" applyFont="1" applyBorder="1"/>
    <xf numFmtId="0" fontId="0" fillId="0" borderId="61" xfId="0" applyBorder="1"/>
    <xf numFmtId="0" fontId="16" fillId="0" borderId="63" xfId="0" applyFont="1" applyBorder="1"/>
    <xf numFmtId="44" fontId="0" fillId="0" borderId="48" xfId="0" applyNumberFormat="1" applyBorder="1"/>
    <xf numFmtId="0" fontId="16" fillId="0" borderId="42" xfId="0" applyFont="1" applyBorder="1"/>
    <xf numFmtId="44" fontId="0" fillId="0" borderId="66" xfId="0" applyNumberFormat="1" applyBorder="1"/>
    <xf numFmtId="9" fontId="0" fillId="0" borderId="0" xfId="2" applyFont="1" applyBorder="1" applyAlignment="1">
      <alignment horizontal="center" vertical="center"/>
    </xf>
    <xf numFmtId="44" fontId="0" fillId="56" borderId="55" xfId="0" applyNumberFormat="1" applyFill="1" applyBorder="1"/>
    <xf numFmtId="44" fontId="0" fillId="56" borderId="21" xfId="0" applyNumberFormat="1" applyFill="1" applyBorder="1"/>
    <xf numFmtId="44" fontId="0" fillId="56" borderId="26" xfId="0" applyNumberFormat="1" applyFill="1" applyBorder="1"/>
    <xf numFmtId="0" fontId="45" fillId="57" borderId="27" xfId="0" applyFont="1" applyFill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/>
    </xf>
    <xf numFmtId="0" fontId="0" fillId="56" borderId="53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56" borderId="62" xfId="0" applyFill="1" applyBorder="1" applyAlignment="1">
      <alignment horizontal="center" vertical="center"/>
    </xf>
    <xf numFmtId="0" fontId="0" fillId="57" borderId="61" xfId="0" applyFill="1" applyBorder="1" applyAlignment="1">
      <alignment horizontal="center" vertical="center"/>
    </xf>
    <xf numFmtId="44" fontId="0" fillId="56" borderId="63" xfId="0" applyNumberFormat="1" applyFill="1" applyBorder="1"/>
    <xf numFmtId="44" fontId="0" fillId="0" borderId="71" xfId="0" applyNumberFormat="1" applyBorder="1"/>
    <xf numFmtId="44" fontId="0" fillId="0" borderId="52" xfId="0" applyNumberFormat="1" applyBorder="1"/>
    <xf numFmtId="44" fontId="16" fillId="56" borderId="62" xfId="0" applyNumberFormat="1" applyFont="1" applyFill="1" applyBorder="1"/>
    <xf numFmtId="44" fontId="0" fillId="0" borderId="53" xfId="0" applyNumberFormat="1" applyFont="1" applyBorder="1"/>
    <xf numFmtId="44" fontId="0" fillId="0" borderId="68" xfId="0" applyNumberFormat="1" applyFont="1" applyBorder="1"/>
    <xf numFmtId="44" fontId="0" fillId="0" borderId="62" xfId="0" applyNumberFormat="1" applyFont="1" applyBorder="1"/>
    <xf numFmtId="0" fontId="44" fillId="0" borderId="69" xfId="0" applyFont="1" applyFill="1" applyBorder="1" applyAlignment="1">
      <alignment horizontal="left" vertical="center" wrapText="1"/>
    </xf>
    <xf numFmtId="9" fontId="0" fillId="0" borderId="67" xfId="2" applyFont="1" applyBorder="1" applyAlignment="1">
      <alignment horizontal="center" vertical="center"/>
    </xf>
    <xf numFmtId="44" fontId="0" fillId="56" borderId="73" xfId="0" applyNumberFormat="1" applyFill="1" applyBorder="1"/>
    <xf numFmtId="44" fontId="0" fillId="56" borderId="34" xfId="0" applyNumberFormat="1" applyFill="1" applyBorder="1"/>
    <xf numFmtId="44" fontId="38" fillId="59" borderId="55" xfId="70" applyFont="1" applyFill="1" applyBorder="1"/>
    <xf numFmtId="44" fontId="38" fillId="61" borderId="75" xfId="1" applyFont="1" applyFill="1" applyBorder="1" applyAlignment="1">
      <alignment wrapText="1"/>
    </xf>
    <xf numFmtId="44" fontId="38" fillId="61" borderId="76" xfId="1" applyFont="1" applyFill="1" applyBorder="1" applyAlignment="1">
      <alignment wrapText="1"/>
    </xf>
    <xf numFmtId="44" fontId="38" fillId="61" borderId="77" xfId="1" applyFont="1" applyFill="1" applyBorder="1" applyAlignment="1">
      <alignment wrapText="1"/>
    </xf>
    <xf numFmtId="44" fontId="38" fillId="61" borderId="78" xfId="1" applyFont="1" applyFill="1" applyBorder="1" applyAlignment="1">
      <alignment wrapText="1"/>
    </xf>
    <xf numFmtId="44" fontId="38" fillId="56" borderId="21" xfId="1" applyFont="1" applyFill="1" applyBorder="1" applyAlignment="1">
      <alignment wrapText="1"/>
    </xf>
    <xf numFmtId="9" fontId="38" fillId="56" borderId="21" xfId="2" applyFont="1" applyFill="1" applyBorder="1" applyAlignment="1">
      <alignment wrapText="1"/>
    </xf>
    <xf numFmtId="9" fontId="38" fillId="56" borderId="55" xfId="2" applyFont="1" applyFill="1" applyBorder="1" applyAlignment="1">
      <alignment wrapText="1"/>
    </xf>
    <xf numFmtId="44" fontId="38" fillId="56" borderId="55" xfId="1" applyFont="1" applyFill="1" applyBorder="1" applyAlignment="1">
      <alignment wrapText="1"/>
    </xf>
    <xf numFmtId="0" fontId="0" fillId="0" borderId="33" xfId="0" applyBorder="1"/>
    <xf numFmtId="44" fontId="0" fillId="56" borderId="80" xfId="0" applyNumberFormat="1" applyFill="1" applyBorder="1"/>
    <xf numFmtId="9" fontId="0" fillId="0" borderId="37" xfId="0" applyNumberFormat="1" applyBorder="1"/>
    <xf numFmtId="44" fontId="0" fillId="0" borderId="81" xfId="0" applyNumberFormat="1" applyBorder="1"/>
    <xf numFmtId="9" fontId="0" fillId="0" borderId="39" xfId="2" applyFont="1" applyBorder="1"/>
    <xf numFmtId="0" fontId="0" fillId="57" borderId="27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39" fillId="58" borderId="21" xfId="0" applyFont="1" applyFill="1" applyBorder="1" applyAlignment="1">
      <alignment horizontal="center" vertical="center"/>
    </xf>
    <xf numFmtId="0" fontId="39" fillId="58" borderId="21" xfId="0" applyFont="1" applyFill="1" applyBorder="1" applyAlignment="1">
      <alignment horizontal="center" vertical="center" wrapText="1"/>
    </xf>
    <xf numFmtId="0" fontId="39" fillId="58" borderId="74" xfId="0" applyFont="1" applyFill="1" applyBorder="1" applyAlignment="1">
      <alignment horizontal="center" vertical="center"/>
    </xf>
    <xf numFmtId="0" fontId="38" fillId="0" borderId="0" xfId="0" applyFont="1"/>
    <xf numFmtId="44" fontId="38" fillId="0" borderId="55" xfId="1" applyFont="1" applyBorder="1"/>
    <xf numFmtId="44" fontId="38" fillId="56" borderId="55" xfId="0" applyNumberFormat="1" applyFont="1" applyFill="1" applyBorder="1"/>
    <xf numFmtId="9" fontId="38" fillId="56" borderId="55" xfId="2" applyFont="1" applyFill="1" applyBorder="1"/>
    <xf numFmtId="44" fontId="38" fillId="56" borderId="55" xfId="1" applyFont="1" applyFill="1" applyBorder="1"/>
    <xf numFmtId="0" fontId="38" fillId="0" borderId="55" xfId="0" applyFont="1" applyBorder="1"/>
    <xf numFmtId="44" fontId="38" fillId="56" borderId="21" xfId="0" applyNumberFormat="1" applyFont="1" applyFill="1" applyBorder="1"/>
    <xf numFmtId="9" fontId="38" fillId="56" borderId="21" xfId="2" applyFont="1" applyFill="1" applyBorder="1"/>
    <xf numFmtId="44" fontId="38" fillId="0" borderId="21" xfId="1" applyFont="1" applyBorder="1"/>
    <xf numFmtId="0" fontId="38" fillId="0" borderId="21" xfId="0" applyFont="1" applyBorder="1"/>
    <xf numFmtId="44" fontId="38" fillId="0" borderId="41" xfId="1" applyFont="1" applyBorder="1"/>
    <xf numFmtId="44" fontId="38" fillId="0" borderId="74" xfId="1" applyFont="1" applyBorder="1"/>
    <xf numFmtId="44" fontId="38" fillId="0" borderId="21" xfId="0" applyNumberFormat="1" applyFont="1" applyBorder="1"/>
    <xf numFmtId="44" fontId="38" fillId="0" borderId="0" xfId="0" applyNumberFormat="1" applyFont="1" applyBorder="1"/>
    <xf numFmtId="44" fontId="38" fillId="0" borderId="0" xfId="0" applyNumberFormat="1" applyFont="1"/>
    <xf numFmtId="169" fontId="38" fillId="56" borderId="55" xfId="0" applyNumberFormat="1" applyFont="1" applyFill="1" applyBorder="1"/>
    <xf numFmtId="169" fontId="38" fillId="56" borderId="21" xfId="0" applyNumberFormat="1" applyFont="1" applyFill="1" applyBorder="1"/>
    <xf numFmtId="169" fontId="38" fillId="56" borderId="55" xfId="1" applyNumberFormat="1" applyFont="1" applyFill="1" applyBorder="1"/>
    <xf numFmtId="170" fontId="19" fillId="55" borderId="21" xfId="0" applyNumberFormat="1" applyFont="1" applyFill="1" applyBorder="1"/>
    <xf numFmtId="169" fontId="19" fillId="57" borderId="21" xfId="70" applyNumberFormat="1" applyFont="1" applyFill="1" applyBorder="1"/>
    <xf numFmtId="169" fontId="38" fillId="59" borderId="21" xfId="70" applyNumberFormat="1" applyFont="1" applyFill="1" applyBorder="1"/>
    <xf numFmtId="169" fontId="38" fillId="59" borderId="21" xfId="70" applyNumberFormat="1" applyFont="1" applyFill="1" applyBorder="1" applyAlignment="1">
      <alignment horizontal="right"/>
    </xf>
    <xf numFmtId="169" fontId="38" fillId="56" borderId="21" xfId="1" applyNumberFormat="1" applyFont="1" applyFill="1" applyBorder="1" applyAlignment="1">
      <alignment wrapText="1"/>
    </xf>
    <xf numFmtId="169" fontId="38" fillId="61" borderId="77" xfId="1" applyNumberFormat="1" applyFont="1" applyFill="1" applyBorder="1" applyAlignment="1">
      <alignment wrapText="1"/>
    </xf>
    <xf numFmtId="169" fontId="38" fillId="61" borderId="78" xfId="1" applyNumberFormat="1" applyFont="1" applyFill="1" applyBorder="1" applyAlignment="1">
      <alignment wrapText="1"/>
    </xf>
    <xf numFmtId="169" fontId="38" fillId="0" borderId="74" xfId="1" applyNumberFormat="1" applyFont="1" applyBorder="1"/>
    <xf numFmtId="0" fontId="46" fillId="0" borderId="0" xfId="0" applyFont="1"/>
    <xf numFmtId="169" fontId="38" fillId="56" borderId="51" xfId="1" applyNumberFormat="1" applyFont="1" applyFill="1" applyBorder="1" applyAlignment="1">
      <alignment wrapText="1"/>
    </xf>
    <xf numFmtId="169" fontId="38" fillId="56" borderId="54" xfId="1" applyNumberFormat="1" applyFont="1" applyFill="1" applyBorder="1" applyAlignment="1">
      <alignment wrapText="1"/>
    </xf>
    <xf numFmtId="169" fontId="38" fillId="56" borderId="21" xfId="1" applyNumberFormat="1" applyFont="1" applyFill="1" applyBorder="1"/>
    <xf numFmtId="44" fontId="38" fillId="60" borderId="21" xfId="70" applyFont="1" applyFill="1" applyBorder="1"/>
    <xf numFmtId="44" fontId="38" fillId="60" borderId="0" xfId="70" applyFont="1" applyFill="1" applyBorder="1"/>
    <xf numFmtId="44" fontId="38" fillId="60" borderId="21" xfId="70" applyFont="1" applyFill="1" applyBorder="1" applyAlignment="1">
      <alignment horizontal="right"/>
    </xf>
    <xf numFmtId="169" fontId="38" fillId="56" borderId="40" xfId="1" applyNumberFormat="1" applyFont="1" applyFill="1" applyBorder="1" applyAlignment="1">
      <alignment wrapText="1"/>
    </xf>
    <xf numFmtId="169" fontId="38" fillId="56" borderId="40" xfId="1" applyNumberFormat="1" applyFont="1" applyFill="1" applyBorder="1"/>
    <xf numFmtId="0" fontId="0" fillId="60" borderId="0" xfId="0" applyFill="1"/>
    <xf numFmtId="0" fontId="39" fillId="62" borderId="21" xfId="0" applyFont="1" applyFill="1" applyBorder="1" applyAlignment="1">
      <alignment horizontal="center" vertical="center"/>
    </xf>
    <xf numFmtId="44" fontId="39" fillId="62" borderId="21" xfId="70" applyFont="1" applyFill="1" applyBorder="1" applyAlignment="1">
      <alignment horizontal="center" vertical="center"/>
    </xf>
    <xf numFmtId="0" fontId="39" fillId="62" borderId="74" xfId="0" applyFont="1" applyFill="1" applyBorder="1" applyAlignment="1">
      <alignment horizontal="center" vertical="center"/>
    </xf>
    <xf numFmtId="44" fontId="38" fillId="61" borderId="21" xfId="1" applyFont="1" applyFill="1" applyBorder="1" applyAlignment="1">
      <alignment wrapText="1"/>
    </xf>
    <xf numFmtId="0" fontId="47" fillId="0" borderId="44" xfId="0" applyFont="1" applyBorder="1"/>
    <xf numFmtId="0" fontId="48" fillId="0" borderId="42" xfId="0" applyFont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0" borderId="53" xfId="0" applyFont="1" applyBorder="1" applyAlignment="1">
      <alignment horizontal="center"/>
    </xf>
    <xf numFmtId="0" fontId="48" fillId="0" borderId="27" xfId="0" applyFont="1" applyFill="1" applyBorder="1" applyAlignment="1">
      <alignment horizontal="center"/>
    </xf>
    <xf numFmtId="0" fontId="48" fillId="0" borderId="28" xfId="0" applyFont="1" applyBorder="1"/>
    <xf numFmtId="168" fontId="49" fillId="60" borderId="38" xfId="123" applyNumberFormat="1" applyFont="1" applyFill="1" applyBorder="1" applyAlignment="1"/>
    <xf numFmtId="1" fontId="49" fillId="60" borderId="39" xfId="98" applyNumberFormat="1" applyFont="1" applyFill="1" applyBorder="1" applyAlignment="1">
      <alignment horizontal="center"/>
    </xf>
    <xf numFmtId="44" fontId="47" fillId="0" borderId="55" xfId="0" applyNumberFormat="1" applyFont="1" applyFill="1" applyBorder="1"/>
    <xf numFmtId="0" fontId="47" fillId="0" borderId="37" xfId="0" applyFont="1" applyBorder="1" applyAlignment="1">
      <alignment horizontal="center"/>
    </xf>
    <xf numFmtId="44" fontId="47" fillId="56" borderId="30" xfId="1" applyFont="1" applyFill="1" applyBorder="1"/>
    <xf numFmtId="44" fontId="47" fillId="0" borderId="79" xfId="0" applyNumberFormat="1" applyFont="1" applyBorder="1"/>
    <xf numFmtId="9" fontId="47" fillId="0" borderId="82" xfId="2" applyFont="1" applyBorder="1"/>
    <xf numFmtId="44" fontId="47" fillId="56" borderId="38" xfId="1" applyFont="1" applyFill="1" applyBorder="1"/>
    <xf numFmtId="44" fontId="47" fillId="0" borderId="48" xfId="0" applyNumberFormat="1" applyFont="1" applyBorder="1"/>
    <xf numFmtId="9" fontId="47" fillId="0" borderId="28" xfId="2" applyFont="1" applyBorder="1"/>
    <xf numFmtId="165" fontId="49" fillId="60" borderId="38" xfId="124" applyNumberFormat="1" applyFont="1" applyFill="1" applyBorder="1" applyAlignment="1"/>
    <xf numFmtId="3" fontId="49" fillId="60" borderId="39" xfId="98" applyNumberFormat="1" applyFont="1" applyFill="1" applyBorder="1" applyAlignment="1">
      <alignment horizontal="center"/>
    </xf>
    <xf numFmtId="44" fontId="47" fillId="56" borderId="34" xfId="1" applyFont="1" applyFill="1" applyBorder="1"/>
    <xf numFmtId="44" fontId="47" fillId="0" borderId="45" xfId="0" applyNumberFormat="1" applyFont="1" applyBorder="1"/>
    <xf numFmtId="9" fontId="47" fillId="0" borderId="83" xfId="2" applyFont="1" applyBorder="1"/>
    <xf numFmtId="0" fontId="47" fillId="0" borderId="29" xfId="0" applyFont="1" applyBorder="1"/>
    <xf numFmtId="44" fontId="47" fillId="0" borderId="32" xfId="1" applyFont="1" applyBorder="1"/>
    <xf numFmtId="0" fontId="47" fillId="0" borderId="45" xfId="0" applyFont="1" applyBorder="1" applyAlignment="1">
      <alignment horizontal="center"/>
    </xf>
    <xf numFmtId="44" fontId="47" fillId="0" borderId="42" xfId="1" applyFont="1" applyBorder="1"/>
    <xf numFmtId="0" fontId="47" fillId="0" borderId="43" xfId="0" applyFont="1" applyBorder="1" applyAlignment="1">
      <alignment horizontal="center"/>
    </xf>
    <xf numFmtId="44" fontId="47" fillId="0" borderId="35" xfId="1" applyFont="1" applyBorder="1"/>
    <xf numFmtId="10" fontId="47" fillId="0" borderId="27" xfId="0" applyNumberFormat="1" applyFont="1" applyBorder="1"/>
    <xf numFmtId="44" fontId="0" fillId="0" borderId="53" xfId="0" applyNumberFormat="1" applyBorder="1" applyAlignment="1">
      <alignment horizontal="center" vertical="center"/>
    </xf>
    <xf numFmtId="44" fontId="0" fillId="0" borderId="65" xfId="0" applyNumberFormat="1" applyBorder="1" applyAlignment="1">
      <alignment horizontal="center" vertical="center"/>
    </xf>
    <xf numFmtId="0" fontId="16" fillId="0" borderId="53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57" borderId="72" xfId="0" applyFont="1" applyFill="1" applyBorder="1" applyAlignment="1">
      <alignment horizontal="center"/>
    </xf>
    <xf numFmtId="0" fontId="16" fillId="57" borderId="70" xfId="0" applyFont="1" applyFill="1" applyBorder="1" applyAlignment="1">
      <alignment horizontal="center"/>
    </xf>
    <xf numFmtId="44" fontId="0" fillId="0" borderId="42" xfId="0" applyNumberFormat="1" applyBorder="1" applyAlignment="1">
      <alignment horizontal="center" vertical="center"/>
    </xf>
    <xf numFmtId="44" fontId="0" fillId="0" borderId="43" xfId="0" applyNumberFormat="1" applyBorder="1" applyAlignment="1">
      <alignment horizontal="center" vertical="center"/>
    </xf>
    <xf numFmtId="44" fontId="0" fillId="0" borderId="64" xfId="0" applyNumberFormat="1" applyBorder="1" applyAlignment="1">
      <alignment horizontal="center" vertical="center"/>
    </xf>
    <xf numFmtId="0" fontId="16" fillId="0" borderId="64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37" fillId="58" borderId="20" xfId="0" applyFont="1" applyFill="1" applyBorder="1" applyAlignment="1">
      <alignment horizontal="center" vertical="center" wrapText="1"/>
    </xf>
    <xf numFmtId="0" fontId="37" fillId="58" borderId="22" xfId="0" applyFont="1" applyFill="1" applyBorder="1" applyAlignment="1">
      <alignment horizontal="center" vertical="center" wrapText="1"/>
    </xf>
    <xf numFmtId="0" fontId="37" fillId="58" borderId="23" xfId="0" applyFont="1" applyFill="1" applyBorder="1" applyAlignment="1">
      <alignment horizontal="center" vertical="center" wrapText="1"/>
    </xf>
  </cellXfs>
  <cellStyles count="126">
    <cellStyle name="20% - Accent1" xfId="20" builtinId="30" customBuiltin="1"/>
    <cellStyle name="20% - Accent1 2" xfId="43"/>
    <cellStyle name="20% - Accent2" xfId="24" builtinId="34" customBuiltin="1"/>
    <cellStyle name="20% - Accent2 2" xfId="44"/>
    <cellStyle name="20% - Accent3" xfId="28" builtinId="38" customBuiltin="1"/>
    <cellStyle name="20% - Accent3 2" xfId="45"/>
    <cellStyle name="20% - Accent4" xfId="32" builtinId="42" customBuiltin="1"/>
    <cellStyle name="20% - Accent4 2" xfId="46"/>
    <cellStyle name="20% - Accent5" xfId="36" builtinId="46" customBuiltin="1"/>
    <cellStyle name="20% - Accent5 2" xfId="47"/>
    <cellStyle name="20% - Accent6" xfId="40" builtinId="50" customBuiltin="1"/>
    <cellStyle name="20% - Accent6 2" xfId="48"/>
    <cellStyle name="40% - Accent1" xfId="21" builtinId="31" customBuiltin="1"/>
    <cellStyle name="40% - Accent1 2" xfId="49"/>
    <cellStyle name="40% - Accent2" xfId="25" builtinId="35" customBuiltin="1"/>
    <cellStyle name="40% - Accent2 2" xfId="50"/>
    <cellStyle name="40% - Accent3" xfId="29" builtinId="39" customBuiltin="1"/>
    <cellStyle name="40% - Accent3 2" xfId="51"/>
    <cellStyle name="40% - Accent4" xfId="33" builtinId="43" customBuiltin="1"/>
    <cellStyle name="40% - Accent4 2" xfId="52"/>
    <cellStyle name="40% - Accent5" xfId="37" builtinId="47" customBuiltin="1"/>
    <cellStyle name="40% - Accent5 2" xfId="53"/>
    <cellStyle name="40% - Accent6" xfId="41" builtinId="51" customBuiltin="1"/>
    <cellStyle name="40% - Accent6 2" xfId="54"/>
    <cellStyle name="60% - Accent1" xfId="22" builtinId="32" customBuiltin="1"/>
    <cellStyle name="60% - Accent1 2" xfId="55"/>
    <cellStyle name="60% - Accent2" xfId="26" builtinId="36" customBuiltin="1"/>
    <cellStyle name="60% - Accent2 2" xfId="56"/>
    <cellStyle name="60% - Accent3" xfId="30" builtinId="40" customBuiltin="1"/>
    <cellStyle name="60% - Accent3 2" xfId="57"/>
    <cellStyle name="60% - Accent4" xfId="34" builtinId="44" customBuiltin="1"/>
    <cellStyle name="60% - Accent4 2" xfId="58"/>
    <cellStyle name="60% - Accent5" xfId="38" builtinId="48" customBuiltin="1"/>
    <cellStyle name="60% - Accent5 2" xfId="59"/>
    <cellStyle name="60% - Accent6" xfId="42" builtinId="52" customBuiltin="1"/>
    <cellStyle name="60% - Accent6 2" xfId="60"/>
    <cellStyle name="Accent1" xfId="19" builtinId="29" customBuiltin="1"/>
    <cellStyle name="Accent1 2" xfId="61"/>
    <cellStyle name="Accent2" xfId="23" builtinId="33" customBuiltin="1"/>
    <cellStyle name="Accent2 2" xfId="62"/>
    <cellStyle name="Accent3" xfId="27" builtinId="37" customBuiltin="1"/>
    <cellStyle name="Accent3 2" xfId="63"/>
    <cellStyle name="Accent4" xfId="31" builtinId="41" customBuiltin="1"/>
    <cellStyle name="Accent4 2" xfId="64"/>
    <cellStyle name="Accent5" xfId="35" builtinId="45" customBuiltin="1"/>
    <cellStyle name="Accent5 2" xfId="65"/>
    <cellStyle name="Accent6" xfId="39" builtinId="49" customBuiltin="1"/>
    <cellStyle name="Accent6 2" xfId="66"/>
    <cellStyle name="Bad" xfId="9" builtinId="27" customBuiltin="1"/>
    <cellStyle name="Bad 2" xfId="67"/>
    <cellStyle name="Calculation" xfId="13" builtinId="22" customBuiltin="1"/>
    <cellStyle name="Calculation 2" xfId="68"/>
    <cellStyle name="Check Cell" xfId="15" builtinId="23" customBuiltin="1"/>
    <cellStyle name="Check Cell 2" xfId="69"/>
    <cellStyle name="Comma 2" xfId="124"/>
    <cellStyle name="Currency" xfId="1" builtinId="4"/>
    <cellStyle name="Currency 10" xfId="71"/>
    <cellStyle name="Currency 11" xfId="72"/>
    <cellStyle name="Currency 12" xfId="73"/>
    <cellStyle name="Currency 13" xfId="74"/>
    <cellStyle name="Currency 14" xfId="70"/>
    <cellStyle name="Currency 15" xfId="123"/>
    <cellStyle name="Currency 2" xfId="75"/>
    <cellStyle name="Currency 2 2" xfId="76"/>
    <cellStyle name="Currency 2 3" xfId="77"/>
    <cellStyle name="Currency 2 4" xfId="78"/>
    <cellStyle name="Currency 2 5" xfId="79"/>
    <cellStyle name="Currency 2 6" xfId="80"/>
    <cellStyle name="Currency 2 7" xfId="81"/>
    <cellStyle name="Currency 3" xfId="82"/>
    <cellStyle name="Currency 4" xfId="83"/>
    <cellStyle name="Currency 5" xfId="84"/>
    <cellStyle name="Currency 6" xfId="85"/>
    <cellStyle name="Currency 7" xfId="86"/>
    <cellStyle name="Currency 8" xfId="87"/>
    <cellStyle name="Currency 9" xfId="88"/>
    <cellStyle name="Explanatory Text" xfId="17" builtinId="53" customBuiltin="1"/>
    <cellStyle name="Explanatory Text 2" xfId="89"/>
    <cellStyle name="Good" xfId="8" builtinId="26" customBuiltin="1"/>
    <cellStyle name="Good 2" xfId="90"/>
    <cellStyle name="Heading 1" xfId="4" builtinId="16" customBuiltin="1"/>
    <cellStyle name="Heading 1 2" xfId="91"/>
    <cellStyle name="Heading 2" xfId="5" builtinId="17" customBuiltin="1"/>
    <cellStyle name="Heading 2 2" xfId="92"/>
    <cellStyle name="Heading 3" xfId="6" builtinId="18" customBuiltin="1"/>
    <cellStyle name="Heading 3 2" xfId="93"/>
    <cellStyle name="Heading 4" xfId="7" builtinId="19" customBuiltin="1"/>
    <cellStyle name="Heading 4 2" xfId="94"/>
    <cellStyle name="Input" xfId="11" builtinId="20" customBuiltin="1"/>
    <cellStyle name="Input 2" xfId="95"/>
    <cellStyle name="Linked Cell" xfId="14" builtinId="24" customBuiltin="1"/>
    <cellStyle name="Linked Cell 2" xfId="96"/>
    <cellStyle name="Neutral" xfId="10" builtinId="28" customBuiltin="1"/>
    <cellStyle name="Neutral 2" xfId="97"/>
    <cellStyle name="Normal" xfId="0" builtinId="0"/>
    <cellStyle name="Normal 10" xfId="98"/>
    <cellStyle name="Normal 11" xfId="99"/>
    <cellStyle name="Normal 12" xfId="100"/>
    <cellStyle name="Normal 2" xfId="101"/>
    <cellStyle name="Normal 2 2" xfId="102"/>
    <cellStyle name="Normal 2 3" xfId="103"/>
    <cellStyle name="Normal 2 4" xfId="104"/>
    <cellStyle name="Normal 2 5" xfId="105"/>
    <cellStyle name="Normal 2 6" xfId="106"/>
    <cellStyle name="Normal 2 7" xfId="107"/>
    <cellStyle name="Normal 2 8" xfId="108"/>
    <cellStyle name="Normal 3" xfId="109"/>
    <cellStyle name="Normal 4" xfId="110"/>
    <cellStyle name="Normal 5" xfId="111"/>
    <cellStyle name="Normal 6" xfId="112"/>
    <cellStyle name="Normal 7" xfId="113"/>
    <cellStyle name="Normal 8" xfId="114"/>
    <cellStyle name="Normal 9" xfId="115"/>
    <cellStyle name="Note" xfId="125" builtinId="10" customBuiltin="1"/>
    <cellStyle name="Note 2" xfId="117"/>
    <cellStyle name="Note 3" xfId="116"/>
    <cellStyle name="Output" xfId="12" builtinId="21" customBuiltin="1"/>
    <cellStyle name="Output 2" xfId="118"/>
    <cellStyle name="Percent" xfId="2" builtinId="5"/>
    <cellStyle name="Percent 2" xfId="119"/>
    <cellStyle name="Title" xfId="3" builtinId="15" customBuiltin="1"/>
    <cellStyle name="Title 2" xfId="120"/>
    <cellStyle name="Total" xfId="18" builtinId="25" customBuiltin="1"/>
    <cellStyle name="Total 2" xfId="121"/>
    <cellStyle name="Warning Text" xfId="16" builtinId="11" customBuiltin="1"/>
    <cellStyle name="Warning Text 2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/>
  <cols>
    <col min="1" max="1" width="13.28515625" style="191" customWidth="1"/>
    <col min="2" max="7" width="14.28515625" bestFit="1" customWidth="1"/>
    <col min="8" max="8" width="15.28515625" bestFit="1" customWidth="1"/>
    <col min="9" max="9" width="14.28515625" bestFit="1" customWidth="1"/>
    <col min="10" max="10" width="12.5703125" bestFit="1" customWidth="1"/>
    <col min="11" max="11" width="14.28515625" style="191" bestFit="1" customWidth="1"/>
    <col min="12" max="12" width="12.5703125" bestFit="1" customWidth="1"/>
    <col min="13" max="13" width="14.28515625" style="191" bestFit="1" customWidth="1"/>
    <col min="14" max="14" width="14.28515625" bestFit="1" customWidth="1"/>
    <col min="15" max="15" width="15" style="191" customWidth="1"/>
    <col min="16" max="16" width="15" customWidth="1"/>
    <col min="17" max="17" width="14.5703125" customWidth="1"/>
  </cols>
  <sheetData>
    <row r="1" spans="1:21" ht="21">
      <c r="A1" s="146" t="s">
        <v>139</v>
      </c>
    </row>
    <row r="2" spans="1:21" ht="15.75" thickBot="1"/>
    <row r="3" spans="1:21" ht="15.75" thickBot="1">
      <c r="B3" s="333" t="s">
        <v>128</v>
      </c>
      <c r="C3" s="332"/>
      <c r="D3" s="325" t="s">
        <v>129</v>
      </c>
      <c r="E3" s="332"/>
      <c r="F3" s="325" t="s">
        <v>140</v>
      </c>
      <c r="G3" s="332"/>
      <c r="H3" s="325" t="s">
        <v>130</v>
      </c>
      <c r="I3" s="332"/>
      <c r="J3" s="325" t="s">
        <v>131</v>
      </c>
      <c r="K3" s="332"/>
      <c r="L3" s="325" t="s">
        <v>132</v>
      </c>
      <c r="M3" s="326"/>
      <c r="N3" s="327" t="s">
        <v>139</v>
      </c>
      <c r="O3" s="328"/>
      <c r="Q3" s="191"/>
      <c r="S3" s="191"/>
      <c r="U3" s="191"/>
    </row>
    <row r="4" spans="1:21" ht="15.75" thickBot="1">
      <c r="A4" s="213" t="s">
        <v>147</v>
      </c>
      <c r="B4" s="323">
        <f>'Balwyn Nth'!F9</f>
        <v>2950000</v>
      </c>
      <c r="C4" s="331"/>
      <c r="D4" s="323">
        <f>Canterbury!F12</f>
        <v>0</v>
      </c>
      <c r="E4" s="331"/>
      <c r="F4" s="323">
        <f>'Hawthorn '!F8</f>
        <v>1850000</v>
      </c>
      <c r="G4" s="331"/>
      <c r="H4" s="323">
        <f>Manningham!F10</f>
        <v>3775000</v>
      </c>
      <c r="I4" s="331"/>
      <c r="J4" s="323">
        <f>Maroondah!F8</f>
        <v>1250000</v>
      </c>
      <c r="K4" s="331"/>
      <c r="L4" s="323">
        <f>Whitehorse!F12</f>
        <v>3250000</v>
      </c>
      <c r="M4" s="324"/>
      <c r="N4" s="329">
        <f>SUM(B4:L4)</f>
        <v>13075000</v>
      </c>
      <c r="O4" s="330"/>
      <c r="Q4" s="191"/>
      <c r="S4" s="191"/>
      <c r="U4" s="191"/>
    </row>
    <row r="5" spans="1:21" ht="15.75" thickBot="1"/>
    <row r="6" spans="1:21" ht="21.75" customHeight="1" thickBot="1">
      <c r="A6" s="220" t="s">
        <v>141</v>
      </c>
      <c r="B6" s="221" t="s">
        <v>143</v>
      </c>
      <c r="C6" s="222" t="s">
        <v>144</v>
      </c>
      <c r="D6" s="223" t="s">
        <v>143</v>
      </c>
      <c r="E6" s="222" t="s">
        <v>144</v>
      </c>
      <c r="F6" s="221" t="s">
        <v>143</v>
      </c>
      <c r="G6" s="222" t="s">
        <v>144</v>
      </c>
      <c r="H6" s="221" t="s">
        <v>143</v>
      </c>
      <c r="I6" s="222" t="s">
        <v>144</v>
      </c>
      <c r="J6" s="221" t="s">
        <v>143</v>
      </c>
      <c r="K6" s="222" t="s">
        <v>144</v>
      </c>
      <c r="L6" s="223" t="s">
        <v>143</v>
      </c>
      <c r="M6" s="222" t="s">
        <v>144</v>
      </c>
      <c r="N6" s="224" t="s">
        <v>145</v>
      </c>
      <c r="O6" s="224" t="s">
        <v>175</v>
      </c>
      <c r="P6" s="219" t="s">
        <v>174</v>
      </c>
      <c r="Q6" s="250" t="s">
        <v>151</v>
      </c>
    </row>
    <row r="7" spans="1:21">
      <c r="A7" s="211" t="s">
        <v>16</v>
      </c>
      <c r="B7" s="216">
        <f>'Balwyn Nth'!D13</f>
        <v>0</v>
      </c>
      <c r="C7" s="203">
        <f>'Balwyn Nth'!F13</f>
        <v>220000</v>
      </c>
      <c r="D7" s="216">
        <f>Canterbury!D15</f>
        <v>0</v>
      </c>
      <c r="E7" s="203">
        <f>Canterbury!F15</f>
        <v>230000</v>
      </c>
      <c r="F7" s="216">
        <f>'Hawthorn '!D13</f>
        <v>0</v>
      </c>
      <c r="G7" s="203">
        <f>'Hawthorn '!F13</f>
        <v>115000</v>
      </c>
      <c r="H7" s="216">
        <f>Manningham!D14</f>
        <v>0</v>
      </c>
      <c r="I7" s="203">
        <f>Manningham!F14</f>
        <v>210000</v>
      </c>
      <c r="J7" s="216">
        <f>Maroondah!D13</f>
        <v>0</v>
      </c>
      <c r="K7" s="212">
        <f>Maroondah!F13</f>
        <v>70000</v>
      </c>
      <c r="L7" s="216">
        <f>Whitehorse!D15</f>
        <v>0</v>
      </c>
      <c r="M7" s="214">
        <f>Whitehorse!F15</f>
        <v>125000</v>
      </c>
      <c r="N7" s="234">
        <f>SUM(B7,D7,F7,H7,J7,L7)</f>
        <v>0</v>
      </c>
      <c r="O7" s="216">
        <f>SUM(C7,E7,G7,I7,K7,M7)</f>
        <v>970000</v>
      </c>
      <c r="P7" s="200" t="str">
        <f>IF(N7=0,"",N7/O7)</f>
        <v/>
      </c>
      <c r="Q7" s="247">
        <f>N7/O7</f>
        <v>0</v>
      </c>
    </row>
    <row r="8" spans="1:21">
      <c r="A8" s="208" t="s">
        <v>17</v>
      </c>
      <c r="B8" s="217">
        <v>183710</v>
      </c>
      <c r="C8" s="203">
        <f>'Balwyn Nth'!F14</f>
        <v>175000</v>
      </c>
      <c r="D8" s="217">
        <v>368322</v>
      </c>
      <c r="E8" s="203">
        <f>Canterbury!F16</f>
        <v>410000</v>
      </c>
      <c r="F8" s="217">
        <v>111519</v>
      </c>
      <c r="G8" s="203">
        <f>'Hawthorn '!F14</f>
        <v>60000</v>
      </c>
      <c r="H8" s="217">
        <v>378329</v>
      </c>
      <c r="I8" s="203">
        <f>Manningham!F15</f>
        <v>215000</v>
      </c>
      <c r="J8" s="217">
        <f>Maroondah!D14</f>
        <v>0</v>
      </c>
      <c r="K8" s="212">
        <f>Maroondah!F14</f>
        <v>80000</v>
      </c>
      <c r="L8" s="217">
        <f>Whitehorse!D16</f>
        <v>0</v>
      </c>
      <c r="M8" s="214">
        <f>Whitehorse!F16</f>
        <v>185000</v>
      </c>
      <c r="N8" s="225">
        <f>SUM(B8,D8,F8,H8,J8,L8)</f>
        <v>1041880</v>
      </c>
      <c r="O8" s="217">
        <f t="shared" ref="O8:O18" si="0">SUM(C8,E8,G8,I8,K8,M8)</f>
        <v>1125000</v>
      </c>
      <c r="P8" s="159">
        <f>IF(N9=0,"",N8/O8)</f>
        <v>0.92611555555555558</v>
      </c>
      <c r="Q8" s="249">
        <f>SUM(N7:N8)/SUM(O7:O8)</f>
        <v>0.49731742243436755</v>
      </c>
    </row>
    <row r="9" spans="1:21">
      <c r="A9" s="208" t="s">
        <v>18</v>
      </c>
      <c r="B9" s="217">
        <v>183663</v>
      </c>
      <c r="C9" s="203">
        <f>'Balwyn Nth'!F15</f>
        <v>245000</v>
      </c>
      <c r="D9" s="217">
        <v>414798</v>
      </c>
      <c r="E9" s="203">
        <f>Canterbury!F17</f>
        <v>485000</v>
      </c>
      <c r="F9" s="217">
        <v>75572</v>
      </c>
      <c r="G9" s="203">
        <f>'Hawthorn '!F15</f>
        <v>270000</v>
      </c>
      <c r="H9" s="217">
        <v>334276</v>
      </c>
      <c r="I9" s="203">
        <f>Manningham!F16</f>
        <v>555000</v>
      </c>
      <c r="J9" s="217">
        <v>42065</v>
      </c>
      <c r="K9" s="212">
        <f>Maroondah!F15</f>
        <v>150000</v>
      </c>
      <c r="L9" s="217">
        <v>282801</v>
      </c>
      <c r="M9" s="214">
        <f>Whitehorse!F17</f>
        <v>425000</v>
      </c>
      <c r="N9" s="225">
        <f t="shared" ref="N9:N16" si="1">SUM(B9,D9,F9,H9,J9,L9)</f>
        <v>1333175</v>
      </c>
      <c r="O9" s="217">
        <f t="shared" si="0"/>
        <v>2130000</v>
      </c>
      <c r="P9" s="159">
        <f t="shared" ref="P9:P18" si="2">IF(N9=0,"",N9/O9)</f>
        <v>0.62590375586854463</v>
      </c>
      <c r="Q9" s="249">
        <f>SUM(N7:N9)/SUM(O7:O9)</f>
        <v>0.56214319526627221</v>
      </c>
    </row>
    <row r="10" spans="1:21">
      <c r="A10" s="208" t="s">
        <v>19</v>
      </c>
      <c r="B10" s="217">
        <f>'Balwyn Nth'!D16</f>
        <v>0</v>
      </c>
      <c r="C10" s="203">
        <f>'Balwyn Nth'!F16</f>
        <v>215000</v>
      </c>
      <c r="D10" s="217">
        <f>Canterbury!D18</f>
        <v>0</v>
      </c>
      <c r="E10" s="203">
        <f>Canterbury!F18</f>
        <v>580000</v>
      </c>
      <c r="F10" s="217">
        <f>'Hawthorn '!D16</f>
        <v>0</v>
      </c>
      <c r="G10" s="203">
        <f>'Hawthorn '!F16</f>
        <v>145000</v>
      </c>
      <c r="H10" s="217">
        <f>Manningham!D17</f>
        <v>0</v>
      </c>
      <c r="I10" s="203">
        <f>Manningham!F17</f>
        <v>350000</v>
      </c>
      <c r="J10" s="217">
        <f>Maroondah!D16</f>
        <v>0</v>
      </c>
      <c r="K10" s="212">
        <f>Maroondah!F16</f>
        <v>160000</v>
      </c>
      <c r="L10" s="217">
        <f>Whitehorse!D18</f>
        <v>0</v>
      </c>
      <c r="M10" s="214">
        <f>Whitehorse!F18</f>
        <v>365000</v>
      </c>
      <c r="N10" s="225">
        <f>SUM(B10,D10,F10,H10,J10,L10)</f>
        <v>0</v>
      </c>
      <c r="O10" s="217">
        <f t="shared" si="0"/>
        <v>1815000</v>
      </c>
      <c r="P10" s="159" t="str">
        <f t="shared" si="2"/>
        <v/>
      </c>
      <c r="Q10" s="249" t="str">
        <f>IF(N10=0,"",SUM(N7:N10)/SUM(O7:O10))</f>
        <v/>
      </c>
    </row>
    <row r="11" spans="1:21">
      <c r="A11" s="208" t="s">
        <v>20</v>
      </c>
      <c r="B11" s="217">
        <f>'Balwyn Nth'!D17</f>
        <v>0</v>
      </c>
      <c r="C11" s="203">
        <f>'Balwyn Nth'!F17</f>
        <v>325000</v>
      </c>
      <c r="D11" s="217">
        <f>Canterbury!D19</f>
        <v>0</v>
      </c>
      <c r="E11" s="203">
        <f>Canterbury!F19</f>
        <v>365000</v>
      </c>
      <c r="F11" s="217">
        <f>'Hawthorn '!D17</f>
        <v>0</v>
      </c>
      <c r="G11" s="203">
        <f>'Hawthorn '!F17</f>
        <v>145000</v>
      </c>
      <c r="H11" s="217">
        <f>Manningham!D18</f>
        <v>0</v>
      </c>
      <c r="I11" s="203">
        <f>Manningham!F18</f>
        <v>420000</v>
      </c>
      <c r="J11" s="217">
        <f>Maroondah!D17</f>
        <v>0</v>
      </c>
      <c r="K11" s="212">
        <f>Maroondah!F17</f>
        <v>120000</v>
      </c>
      <c r="L11" s="217">
        <f>Whitehorse!D19</f>
        <v>0</v>
      </c>
      <c r="M11" s="214">
        <f>Whitehorse!F19</f>
        <v>235000</v>
      </c>
      <c r="N11" s="225">
        <f t="shared" si="1"/>
        <v>0</v>
      </c>
      <c r="O11" s="217">
        <f t="shared" si="0"/>
        <v>1610000</v>
      </c>
      <c r="P11" s="159" t="str">
        <f t="shared" si="2"/>
        <v/>
      </c>
      <c r="Q11" s="249" t="str">
        <f>IF(N11=0,"",SUM(N7:N11)/SUM(O7:O11))</f>
        <v/>
      </c>
    </row>
    <row r="12" spans="1:21">
      <c r="A12" s="208" t="s">
        <v>21</v>
      </c>
      <c r="B12" s="217">
        <f>'Balwyn Nth'!D18</f>
        <v>0</v>
      </c>
      <c r="C12" s="203">
        <f>'Balwyn Nth'!F18</f>
        <v>355000</v>
      </c>
      <c r="D12" s="217">
        <f>Canterbury!D20</f>
        <v>0</v>
      </c>
      <c r="E12" s="203">
        <f>Canterbury!F20</f>
        <v>720000</v>
      </c>
      <c r="F12" s="217">
        <f>'Hawthorn '!D18</f>
        <v>0</v>
      </c>
      <c r="G12" s="203">
        <f>'Hawthorn '!F18</f>
        <v>215000</v>
      </c>
      <c r="H12" s="217">
        <f>Manningham!D19</f>
        <v>0</v>
      </c>
      <c r="I12" s="203">
        <f>Manningham!F19</f>
        <v>435000</v>
      </c>
      <c r="J12" s="217">
        <f>Maroondah!D18</f>
        <v>0</v>
      </c>
      <c r="K12" s="212">
        <f>Maroondah!F18</f>
        <v>100000</v>
      </c>
      <c r="L12" s="217">
        <f>Whitehorse!D20</f>
        <v>0</v>
      </c>
      <c r="M12" s="214">
        <f>Whitehorse!F20</f>
        <v>415000</v>
      </c>
      <c r="N12" s="225">
        <f t="shared" si="1"/>
        <v>0</v>
      </c>
      <c r="O12" s="217">
        <f t="shared" si="0"/>
        <v>2240000</v>
      </c>
      <c r="P12" s="159" t="str">
        <f t="shared" si="2"/>
        <v/>
      </c>
      <c r="Q12" s="249" t="str">
        <f>IF(N12=0,"",SUM(N7:N12)/SUM(O7:O12))</f>
        <v/>
      </c>
    </row>
    <row r="13" spans="1:21">
      <c r="A13" s="208" t="s">
        <v>22</v>
      </c>
      <c r="B13" s="217">
        <f>'Balwyn Nth'!D19</f>
        <v>0</v>
      </c>
      <c r="C13" s="203">
        <f>'Balwyn Nth'!F19</f>
        <v>100000</v>
      </c>
      <c r="D13" s="217">
        <f>Canterbury!D21</f>
        <v>0</v>
      </c>
      <c r="E13" s="203">
        <f>Canterbury!F21</f>
        <v>100000</v>
      </c>
      <c r="F13" s="217">
        <f>'Hawthorn '!D19</f>
        <v>0</v>
      </c>
      <c r="G13" s="203">
        <f>'Hawthorn '!F19</f>
        <v>40000</v>
      </c>
      <c r="H13" s="217">
        <f>Manningham!D20</f>
        <v>0</v>
      </c>
      <c r="I13" s="203">
        <f>Manningham!F20</f>
        <v>145000</v>
      </c>
      <c r="J13" s="217">
        <f>Maroondah!D19</f>
        <v>0</v>
      </c>
      <c r="K13" s="212">
        <f>Maroondah!F19</f>
        <v>70000</v>
      </c>
      <c r="L13" s="217">
        <f>Whitehorse!D21</f>
        <v>0</v>
      </c>
      <c r="M13" s="214">
        <f>Whitehorse!F21</f>
        <v>40000</v>
      </c>
      <c r="N13" s="225">
        <f t="shared" si="1"/>
        <v>0</v>
      </c>
      <c r="O13" s="217">
        <f t="shared" si="0"/>
        <v>495000</v>
      </c>
      <c r="P13" s="159" t="str">
        <f t="shared" si="2"/>
        <v/>
      </c>
      <c r="Q13" s="249" t="str">
        <f>IF(N13=0,"",SUM(N7:N13)/SUM(O7:O13))</f>
        <v/>
      </c>
    </row>
    <row r="14" spans="1:21">
      <c r="A14" s="208" t="s">
        <v>23</v>
      </c>
      <c r="B14" s="217">
        <f>'Balwyn Nth'!D20</f>
        <v>0</v>
      </c>
      <c r="C14" s="203">
        <f>'Balwyn Nth'!F20</f>
        <v>290000</v>
      </c>
      <c r="D14" s="217">
        <f>Canterbury!D22</f>
        <v>0</v>
      </c>
      <c r="E14" s="203">
        <f>Canterbury!F22</f>
        <v>285000</v>
      </c>
      <c r="F14" s="217">
        <f>'Hawthorn '!D20</f>
        <v>0</v>
      </c>
      <c r="G14" s="203">
        <f>'Hawthorn '!F20</f>
        <v>95000</v>
      </c>
      <c r="H14" s="217">
        <f>Manningham!D21</f>
        <v>0</v>
      </c>
      <c r="I14" s="203">
        <f>Manningham!F21</f>
        <v>185000</v>
      </c>
      <c r="J14" s="217">
        <f>Maroondah!D20</f>
        <v>0</v>
      </c>
      <c r="K14" s="212">
        <f>Maroondah!F20</f>
        <v>120000</v>
      </c>
      <c r="L14" s="217">
        <f>Whitehorse!D22</f>
        <v>0</v>
      </c>
      <c r="M14" s="214">
        <f>Whitehorse!F22</f>
        <v>105000</v>
      </c>
      <c r="N14" s="225">
        <f t="shared" si="1"/>
        <v>0</v>
      </c>
      <c r="O14" s="217">
        <f t="shared" si="0"/>
        <v>1080000</v>
      </c>
      <c r="P14" s="159" t="str">
        <f t="shared" si="2"/>
        <v/>
      </c>
      <c r="Q14" s="249" t="str">
        <f>IF(N14=0,"",SUM(N7:N14)/SUM(O7:O14))</f>
        <v/>
      </c>
    </row>
    <row r="15" spans="1:21">
      <c r="A15" s="208" t="s">
        <v>24</v>
      </c>
      <c r="B15" s="217">
        <f>'Balwyn Nth'!D21</f>
        <v>0</v>
      </c>
      <c r="C15" s="203">
        <f>'Balwyn Nth'!F21</f>
        <v>320000</v>
      </c>
      <c r="D15" s="217">
        <f>Canterbury!D23</f>
        <v>0</v>
      </c>
      <c r="E15" s="203">
        <f>Canterbury!F23</f>
        <v>550000</v>
      </c>
      <c r="F15" s="217">
        <f>'Hawthorn '!D21</f>
        <v>0</v>
      </c>
      <c r="G15" s="203">
        <f>'Hawthorn '!F21</f>
        <v>255000</v>
      </c>
      <c r="H15" s="217">
        <f>Manningham!D22</f>
        <v>0</v>
      </c>
      <c r="I15" s="203">
        <f>Manningham!F22</f>
        <v>410000</v>
      </c>
      <c r="J15" s="217">
        <f>Maroondah!D21</f>
        <v>0</v>
      </c>
      <c r="K15" s="212">
        <f>Maroondah!F21</f>
        <v>160000</v>
      </c>
      <c r="L15" s="217">
        <f>Whitehorse!D23</f>
        <v>0</v>
      </c>
      <c r="M15" s="214">
        <f>Whitehorse!F23</f>
        <v>450000</v>
      </c>
      <c r="N15" s="225">
        <f t="shared" si="1"/>
        <v>0</v>
      </c>
      <c r="O15" s="217">
        <f t="shared" si="0"/>
        <v>2145000</v>
      </c>
      <c r="P15" s="159" t="str">
        <f t="shared" si="2"/>
        <v/>
      </c>
      <c r="Q15" s="249" t="str">
        <f>IF(N15=0,"",SUM(N7:N15)/SUM(O7:O15))</f>
        <v/>
      </c>
      <c r="U15" s="191" t="s">
        <v>142</v>
      </c>
    </row>
    <row r="16" spans="1:21">
      <c r="A16" s="208" t="s">
        <v>25</v>
      </c>
      <c r="B16" s="217">
        <f>'Balwyn Nth'!D22</f>
        <v>0</v>
      </c>
      <c r="C16" s="203">
        <f>'Balwyn Nth'!F22</f>
        <v>180000</v>
      </c>
      <c r="D16" s="217">
        <f>Canterbury!D24</f>
        <v>0</v>
      </c>
      <c r="E16" s="203">
        <f>Canterbury!F24</f>
        <v>470000</v>
      </c>
      <c r="F16" s="217">
        <f>'Hawthorn '!D22</f>
        <v>0</v>
      </c>
      <c r="G16" s="203">
        <f>'Hawthorn '!F22</f>
        <v>150000</v>
      </c>
      <c r="H16" s="217">
        <f>Manningham!D23</f>
        <v>0</v>
      </c>
      <c r="I16" s="203">
        <f>Manningham!F23</f>
        <v>205000</v>
      </c>
      <c r="J16" s="217">
        <f>Maroondah!D22</f>
        <v>0</v>
      </c>
      <c r="K16" s="212">
        <f>Maroondah!F22</f>
        <v>60000</v>
      </c>
      <c r="L16" s="217">
        <f>Whitehorse!D24</f>
        <v>0</v>
      </c>
      <c r="M16" s="214">
        <f>Whitehorse!F24</f>
        <v>330000</v>
      </c>
      <c r="N16" s="225">
        <f t="shared" si="1"/>
        <v>0</v>
      </c>
      <c r="O16" s="217">
        <f t="shared" si="0"/>
        <v>1395000</v>
      </c>
      <c r="P16" s="159" t="str">
        <f t="shared" si="2"/>
        <v/>
      </c>
      <c r="Q16" s="249" t="str">
        <f>IF(N16=0,"",SUM(N7:N16)/SUM(O7:O16))</f>
        <v/>
      </c>
    </row>
    <row r="17" spans="1:17">
      <c r="A17" s="208" t="s">
        <v>26</v>
      </c>
      <c r="B17" s="217">
        <f>'Balwyn Nth'!D23</f>
        <v>0</v>
      </c>
      <c r="C17" s="203">
        <f>'Balwyn Nth'!F23</f>
        <v>190000</v>
      </c>
      <c r="D17" s="217">
        <f>Canterbury!D25</f>
        <v>0</v>
      </c>
      <c r="E17" s="203">
        <f>Canterbury!F25</f>
        <v>330000</v>
      </c>
      <c r="F17" s="217">
        <f>'Hawthorn '!D23</f>
        <v>0</v>
      </c>
      <c r="G17" s="203">
        <f>'Hawthorn '!F23</f>
        <v>170000</v>
      </c>
      <c r="H17" s="217">
        <f>Manningham!D24</f>
        <v>0</v>
      </c>
      <c r="I17" s="203">
        <f>Manningham!F24</f>
        <v>240000</v>
      </c>
      <c r="J17" s="217">
        <f>Maroondah!D23</f>
        <v>0</v>
      </c>
      <c r="K17" s="212">
        <f>Maroondah!F23</f>
        <v>75000</v>
      </c>
      <c r="L17" s="217">
        <f>Whitehorse!D25</f>
        <v>0</v>
      </c>
      <c r="M17" s="214">
        <f>Whitehorse!F25</f>
        <v>295000</v>
      </c>
      <c r="N17" s="225">
        <f>SUM(B17,D17,F17,H17,J17,L17)</f>
        <v>0</v>
      </c>
      <c r="O17" s="217">
        <f t="shared" si="0"/>
        <v>1300000</v>
      </c>
      <c r="P17" s="159" t="str">
        <f t="shared" si="2"/>
        <v/>
      </c>
      <c r="Q17" s="249" t="str">
        <f>IF(N17=0,"",SUM(N7:N17)/SUM(O7:O17))</f>
        <v/>
      </c>
    </row>
    <row r="18" spans="1:17" ht="15.75" thickBot="1">
      <c r="A18" s="209" t="s">
        <v>27</v>
      </c>
      <c r="B18" s="218">
        <f>'Balwyn Nth'!D24</f>
        <v>0</v>
      </c>
      <c r="C18" s="226">
        <f>'Balwyn Nth'!F24</f>
        <v>335000</v>
      </c>
      <c r="D18" s="218">
        <f>Canterbury!D26</f>
        <v>0</v>
      </c>
      <c r="E18" s="226">
        <f>Canterbury!F26</f>
        <v>500000</v>
      </c>
      <c r="F18" s="218">
        <f>'Hawthorn '!D24</f>
        <v>0</v>
      </c>
      <c r="G18" s="226">
        <f>'Hawthorn '!F24</f>
        <v>190000</v>
      </c>
      <c r="H18" s="218">
        <f>Manningham!D25</f>
        <v>0</v>
      </c>
      <c r="I18" s="226">
        <f>Manningham!F25</f>
        <v>405000</v>
      </c>
      <c r="J18" s="218">
        <f>Maroondah!D24</f>
        <v>0</v>
      </c>
      <c r="K18" s="227">
        <f>Maroondah!F24</f>
        <v>85000</v>
      </c>
      <c r="L18" s="218">
        <f>Whitehorse!D26</f>
        <v>0</v>
      </c>
      <c r="M18" s="196">
        <f>Whitehorse!F26</f>
        <v>280000</v>
      </c>
      <c r="N18" s="225">
        <f>SUM(B18,D18,F18,H18,J18,L18)</f>
        <v>0</v>
      </c>
      <c r="O18" s="217">
        <f t="shared" si="0"/>
        <v>1795000</v>
      </c>
      <c r="P18" s="159" t="str">
        <f t="shared" si="2"/>
        <v/>
      </c>
      <c r="Q18" s="249" t="str">
        <f>IF(N18=0,"",SUM(N7:N18)/SUM(O7:O18))</f>
        <v/>
      </c>
    </row>
    <row r="19" spans="1:17" ht="15.75" thickBot="1">
      <c r="A19" s="210"/>
      <c r="B19" s="228">
        <f t="shared" ref="B19:L19" si="3">SUM(B7:B18)</f>
        <v>367373</v>
      </c>
      <c r="C19" s="231">
        <f>SUM(C7:C18)</f>
        <v>2950000</v>
      </c>
      <c r="D19" s="228">
        <f t="shared" si="3"/>
        <v>783120</v>
      </c>
      <c r="E19" s="231">
        <f>SUM(E7:E18)</f>
        <v>5025000</v>
      </c>
      <c r="F19" s="228">
        <f t="shared" si="3"/>
        <v>187091</v>
      </c>
      <c r="G19" s="231">
        <f>SUM(G7:G18)</f>
        <v>1850000</v>
      </c>
      <c r="H19" s="228">
        <f t="shared" si="3"/>
        <v>712605</v>
      </c>
      <c r="I19" s="231">
        <f>SUM(I7:I18)</f>
        <v>3775000</v>
      </c>
      <c r="J19" s="228">
        <f t="shared" si="3"/>
        <v>42065</v>
      </c>
      <c r="K19" s="229">
        <f>SUM(K7:K18)</f>
        <v>1250000</v>
      </c>
      <c r="L19" s="228">
        <f t="shared" si="3"/>
        <v>282801</v>
      </c>
      <c r="M19" s="230">
        <f>SUM(M7:M18)</f>
        <v>3250000</v>
      </c>
      <c r="N19" s="235">
        <f>SUM(N7:N18)</f>
        <v>2375055</v>
      </c>
      <c r="O19" s="246">
        <f>SUM(O7:O18)</f>
        <v>18100000</v>
      </c>
      <c r="P19" s="248"/>
      <c r="Q19" s="245"/>
    </row>
    <row r="20" spans="1:17" ht="34.5" thickBot="1">
      <c r="A20" s="232" t="s">
        <v>146</v>
      </c>
      <c r="B20" s="233">
        <f>B19/B4</f>
        <v>0.12453322033898305</v>
      </c>
      <c r="C20" s="215"/>
      <c r="D20" s="233" t="e">
        <f>D19/D4</f>
        <v>#DIV/0!</v>
      </c>
      <c r="E20" s="215"/>
      <c r="F20" s="233">
        <f>F19/F4</f>
        <v>0.10113027027027027</v>
      </c>
      <c r="G20" s="215"/>
      <c r="H20" s="233">
        <f>H19/H4</f>
        <v>0.18876953642384106</v>
      </c>
      <c r="I20" s="215"/>
      <c r="J20" s="233">
        <f>J19/J4</f>
        <v>3.3652000000000001E-2</v>
      </c>
      <c r="K20" s="215"/>
      <c r="L20" s="233">
        <f>L19/L4</f>
        <v>8.7015692307692308E-2</v>
      </c>
      <c r="M20" s="215"/>
    </row>
    <row r="21" spans="1:17">
      <c r="M21"/>
      <c r="O21"/>
    </row>
    <row r="22" spans="1:17" ht="47.25" customHeight="1">
      <c r="M22"/>
      <c r="O22"/>
    </row>
    <row r="23" spans="1:17">
      <c r="M23"/>
      <c r="O23"/>
    </row>
    <row r="24" spans="1:17">
      <c r="M24"/>
      <c r="O24"/>
    </row>
    <row r="25" spans="1:17">
      <c r="M25"/>
      <c r="O25"/>
    </row>
    <row r="26" spans="1:17">
      <c r="M26"/>
      <c r="O26"/>
    </row>
    <row r="27" spans="1:17">
      <c r="G27" s="191"/>
    </row>
  </sheetData>
  <mergeCells count="14">
    <mergeCell ref="B3:C3"/>
    <mergeCell ref="B4:C4"/>
    <mergeCell ref="D3:E3"/>
    <mergeCell ref="D4:E4"/>
    <mergeCell ref="F3:G3"/>
    <mergeCell ref="F4:G4"/>
    <mergeCell ref="L4:M4"/>
    <mergeCell ref="L3:M3"/>
    <mergeCell ref="N3:O3"/>
    <mergeCell ref="N4:O4"/>
    <mergeCell ref="H4:I4"/>
    <mergeCell ref="H3:I3"/>
    <mergeCell ref="J4:K4"/>
    <mergeCell ref="J3:K3"/>
  </mergeCells>
  <pageMargins left="0.7" right="0.7" top="0.75" bottom="0.75" header="0.3" footer="0.3"/>
  <pageSetup paperSize="9" orientation="portrait" r:id="rId1"/>
  <ignoredErrors>
    <ignoredError sqref="P10 P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1"/>
  <sheetViews>
    <sheetView tabSelected="1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H1" sqref="H1:M1048576"/>
    </sheetView>
  </sheetViews>
  <sheetFormatPr defaultRowHeight="15" outlineLevelCol="2"/>
  <cols>
    <col min="1" max="1" width="7.5703125" style="66" customWidth="1"/>
    <col min="2" max="2" width="13.85546875" style="66" customWidth="1"/>
    <col min="3" max="3" width="9" style="66" customWidth="1"/>
    <col min="4" max="4" width="13" style="66" customWidth="1"/>
    <col min="5" max="5" width="12" style="66" customWidth="1"/>
    <col min="6" max="6" width="16.85546875" style="66" customWidth="1"/>
    <col min="7" max="7" width="18.140625" style="66" customWidth="1"/>
    <col min="8" max="8" width="15.42578125" customWidth="1"/>
    <col min="9" max="9" width="13.85546875" style="191" hidden="1" customWidth="1" outlineLevel="1"/>
    <col min="10" max="12" width="11.85546875" style="191" hidden="1" customWidth="1" outlineLevel="1"/>
    <col min="13" max="13" width="11.7109375" customWidth="1" collapsed="1"/>
    <col min="14" max="14" width="13" style="191" hidden="1" customWidth="1" outlineLevel="1"/>
    <col min="15" max="17" width="11.7109375" style="191" hidden="1" customWidth="1" outlineLevel="1"/>
    <col min="18" max="18" width="11.7109375" customWidth="1" collapsed="1"/>
    <col min="19" max="20" width="11.7109375" style="191" hidden="1" customWidth="1" outlineLevel="1"/>
    <col min="21" max="21" width="13" style="191" hidden="1" customWidth="1" outlineLevel="1"/>
    <col min="22" max="22" width="11.7109375" style="191" hidden="1" customWidth="1" outlineLevel="1"/>
    <col min="23" max="23" width="11.7109375" customWidth="1" collapsed="1"/>
    <col min="24" max="25" width="11.7109375" style="191" hidden="1" customWidth="1" outlineLevel="1"/>
    <col min="26" max="26" width="13" style="191" hidden="1" customWidth="1" outlineLevel="1"/>
    <col min="27" max="27" width="11.7109375" style="191" hidden="1" customWidth="1" outlineLevel="1"/>
    <col min="28" max="28" width="11.7109375" customWidth="1" collapsed="1"/>
    <col min="29" max="29" width="12.5703125" style="191" hidden="1" customWidth="1" outlineLevel="1"/>
    <col min="30" max="30" width="11.7109375" style="191" hidden="1" customWidth="1" outlineLevel="1"/>
    <col min="31" max="31" width="12.7109375" style="191" hidden="1" customWidth="1" outlineLevel="1"/>
    <col min="32" max="32" width="11.7109375" style="191" hidden="1" customWidth="1" outlineLevel="1"/>
    <col min="33" max="33" width="11.7109375" customWidth="1" collapsed="1"/>
    <col min="34" max="34" width="13.42578125" style="191" hidden="1" customWidth="1" outlineLevel="1"/>
    <col min="35" max="35" width="11.7109375" style="191" hidden="1" customWidth="1" outlineLevel="1"/>
    <col min="36" max="36" width="12.5703125" style="191" hidden="1" customWidth="1" outlineLevel="1"/>
    <col min="37" max="37" width="11.7109375" style="191" hidden="1" customWidth="1" outlineLevel="1"/>
    <col min="38" max="38" width="11.7109375" customWidth="1" collapsed="1"/>
    <col min="39" max="40" width="11.7109375" style="191" hidden="1" customWidth="1" outlineLevel="1"/>
    <col min="41" max="41" width="13.140625" style="191" hidden="1" customWidth="1" outlineLevel="1"/>
    <col min="42" max="42" width="11.7109375" style="191" hidden="1" customWidth="1" outlineLevel="1"/>
    <col min="43" max="43" width="11.7109375" customWidth="1" collapsed="1"/>
    <col min="44" max="44" width="12.28515625" style="191" hidden="1" customWidth="1" outlineLevel="1"/>
    <col min="45" max="45" width="11.7109375" style="191" hidden="1" customWidth="1" outlineLevel="1"/>
    <col min="46" max="46" width="12.85546875" style="191" hidden="1" customWidth="1" outlineLevel="1"/>
    <col min="47" max="47" width="11.7109375" style="191" hidden="1" customWidth="1" outlineLevel="1"/>
    <col min="48" max="48" width="11.7109375" customWidth="1" collapsed="1"/>
    <col min="49" max="49" width="12.42578125" style="191" hidden="1" customWidth="1" outlineLevel="2"/>
    <col min="50" max="50" width="11.7109375" style="191" hidden="1" customWidth="1" outlineLevel="2"/>
    <col min="51" max="51" width="12.7109375" style="191" hidden="1" customWidth="1" outlineLevel="2"/>
    <col min="52" max="52" width="11.7109375" style="191" hidden="1" customWidth="1" outlineLevel="2"/>
    <col min="53" max="53" width="11.7109375" customWidth="1" collapsed="1"/>
    <col min="54" max="55" width="11.7109375" style="191" hidden="1" customWidth="1" outlineLevel="1"/>
    <col min="56" max="56" width="13.28515625" style="191" hidden="1" customWidth="1" outlineLevel="1"/>
    <col min="57" max="57" width="11.7109375" style="191" hidden="1" customWidth="1" outlineLevel="1"/>
    <col min="58" max="58" width="11.7109375" customWidth="1" collapsed="1"/>
    <col min="59" max="60" width="11.7109375" style="191" hidden="1" customWidth="1" outlineLevel="1"/>
    <col min="61" max="61" width="14.42578125" style="191" hidden="1" customWidth="1" outlineLevel="1"/>
    <col min="62" max="62" width="11.7109375" style="191" hidden="1" customWidth="1" outlineLevel="1"/>
    <col min="63" max="63" width="11.7109375" customWidth="1" collapsed="1"/>
    <col min="64" max="64" width="13.85546875" style="191" hidden="1" customWidth="1" outlineLevel="1"/>
    <col min="65" max="65" width="11.7109375" style="191" hidden="1" customWidth="1" outlineLevel="1"/>
    <col min="66" max="66" width="15.7109375" style="191" hidden="1" customWidth="1" outlineLevel="1"/>
    <col min="67" max="67" width="11.7109375" style="191" hidden="1" customWidth="1" outlineLevel="1"/>
    <col min="68" max="68" width="9.140625" collapsed="1"/>
    <col min="72" max="16384" width="9.140625" style="66"/>
  </cols>
  <sheetData>
    <row r="1" spans="1:67" ht="21">
      <c r="A1" s="146" t="s">
        <v>128</v>
      </c>
    </row>
    <row r="2" spans="1:67" s="191" customFormat="1" ht="15" customHeight="1">
      <c r="A2" s="146"/>
    </row>
    <row r="3" spans="1:67" s="255" customFormat="1" ht="25.5">
      <c r="A3" s="334" t="s">
        <v>0</v>
      </c>
      <c r="B3" s="335"/>
      <c r="C3" s="336"/>
      <c r="D3" s="192" t="s">
        <v>1</v>
      </c>
      <c r="E3" s="193" t="s">
        <v>2</v>
      </c>
      <c r="F3" s="194" t="s">
        <v>119</v>
      </c>
      <c r="G3" s="195" t="s">
        <v>120</v>
      </c>
      <c r="H3" s="291" t="s">
        <v>16</v>
      </c>
      <c r="I3" s="253" t="s">
        <v>172</v>
      </c>
      <c r="J3" s="253" t="s">
        <v>173</v>
      </c>
      <c r="K3" s="253" t="s">
        <v>150</v>
      </c>
      <c r="L3" s="253" t="s">
        <v>151</v>
      </c>
      <c r="M3" s="293" t="s">
        <v>17</v>
      </c>
      <c r="N3" s="253" t="s">
        <v>148</v>
      </c>
      <c r="O3" s="253" t="s">
        <v>149</v>
      </c>
      <c r="P3" s="253" t="s">
        <v>150</v>
      </c>
      <c r="Q3" s="253" t="s">
        <v>151</v>
      </c>
      <c r="R3" s="291" t="s">
        <v>18</v>
      </c>
      <c r="S3" s="253" t="s">
        <v>152</v>
      </c>
      <c r="T3" s="253" t="s">
        <v>153</v>
      </c>
      <c r="U3" s="253" t="s">
        <v>150</v>
      </c>
      <c r="V3" s="253" t="s">
        <v>151</v>
      </c>
      <c r="W3" s="291" t="s">
        <v>19</v>
      </c>
      <c r="X3" s="253" t="s">
        <v>154</v>
      </c>
      <c r="Y3" s="253" t="s">
        <v>155</v>
      </c>
      <c r="Z3" s="253" t="s">
        <v>150</v>
      </c>
      <c r="AA3" s="253" t="s">
        <v>151</v>
      </c>
      <c r="AB3" s="291" t="s">
        <v>20</v>
      </c>
      <c r="AC3" s="253" t="s">
        <v>156</v>
      </c>
      <c r="AD3" s="253" t="s">
        <v>157</v>
      </c>
      <c r="AE3" s="253" t="s">
        <v>150</v>
      </c>
      <c r="AF3" s="253" t="s">
        <v>151</v>
      </c>
      <c r="AG3" s="291" t="s">
        <v>21</v>
      </c>
      <c r="AH3" s="253" t="s">
        <v>158</v>
      </c>
      <c r="AI3" s="253" t="s">
        <v>159</v>
      </c>
      <c r="AJ3" s="253" t="s">
        <v>150</v>
      </c>
      <c r="AK3" s="253" t="s">
        <v>151</v>
      </c>
      <c r="AL3" s="291" t="s">
        <v>22</v>
      </c>
      <c r="AM3" s="253" t="s">
        <v>160</v>
      </c>
      <c r="AN3" s="253" t="s">
        <v>161</v>
      </c>
      <c r="AO3" s="253" t="s">
        <v>150</v>
      </c>
      <c r="AP3" s="253" t="s">
        <v>151</v>
      </c>
      <c r="AQ3" s="291" t="s">
        <v>23</v>
      </c>
      <c r="AR3" s="253" t="s">
        <v>162</v>
      </c>
      <c r="AS3" s="253" t="s">
        <v>163</v>
      </c>
      <c r="AT3" s="253" t="s">
        <v>150</v>
      </c>
      <c r="AU3" s="253" t="s">
        <v>151</v>
      </c>
      <c r="AV3" s="291" t="s">
        <v>24</v>
      </c>
      <c r="AW3" s="253" t="s">
        <v>164</v>
      </c>
      <c r="AX3" s="253" t="s">
        <v>165</v>
      </c>
      <c r="AY3" s="253" t="s">
        <v>150</v>
      </c>
      <c r="AZ3" s="253" t="s">
        <v>151</v>
      </c>
      <c r="BA3" s="291" t="s">
        <v>25</v>
      </c>
      <c r="BB3" s="253" t="s">
        <v>166</v>
      </c>
      <c r="BC3" s="253" t="s">
        <v>167</v>
      </c>
      <c r="BD3" s="253" t="s">
        <v>150</v>
      </c>
      <c r="BE3" s="253" t="s">
        <v>151</v>
      </c>
      <c r="BF3" s="291" t="s">
        <v>26</v>
      </c>
      <c r="BG3" s="253" t="s">
        <v>168</v>
      </c>
      <c r="BH3" s="253" t="s">
        <v>169</v>
      </c>
      <c r="BI3" s="253" t="s">
        <v>150</v>
      </c>
      <c r="BJ3" s="253" t="s">
        <v>151</v>
      </c>
      <c r="BK3" s="291" t="s">
        <v>27</v>
      </c>
      <c r="BL3" s="253" t="s">
        <v>170</v>
      </c>
      <c r="BM3" s="253" t="s">
        <v>171</v>
      </c>
      <c r="BN3" s="253" t="s">
        <v>150</v>
      </c>
      <c r="BO3" s="253" t="s">
        <v>151</v>
      </c>
    </row>
    <row r="4" spans="1:67" s="255" customFormat="1" ht="12.75">
      <c r="A4" s="148" t="s">
        <v>51</v>
      </c>
      <c r="B4" s="150" t="s">
        <v>52</v>
      </c>
      <c r="C4" s="150" t="s">
        <v>53</v>
      </c>
      <c r="D4" s="149">
        <v>810591.29</v>
      </c>
      <c r="E4" s="161">
        <v>750000</v>
      </c>
      <c r="F4" s="151">
        <v>950000</v>
      </c>
      <c r="G4" s="236">
        <v>1100000</v>
      </c>
      <c r="H4" s="294"/>
      <c r="I4" s="241">
        <f>F4*7.46%</f>
        <v>70870</v>
      </c>
      <c r="J4" s="242">
        <f>H4/I4</f>
        <v>0</v>
      </c>
      <c r="K4" s="241">
        <f>F4*7.46%</f>
        <v>70870</v>
      </c>
      <c r="L4" s="242">
        <f>H4/K4</f>
        <v>0</v>
      </c>
      <c r="M4" s="239"/>
      <c r="N4" s="241">
        <f>F4*5.93%</f>
        <v>56335</v>
      </c>
      <c r="O4" s="243">
        <f>M4/N4</f>
        <v>0</v>
      </c>
      <c r="P4" s="244">
        <f>F4*13.39%</f>
        <v>127205.00000000001</v>
      </c>
      <c r="Q4" s="243">
        <f>SUM(H4,M4)/P4</f>
        <v>0</v>
      </c>
      <c r="R4" s="256"/>
      <c r="S4" s="257">
        <f>F4*8.31%</f>
        <v>78945</v>
      </c>
      <c r="T4" s="258">
        <f>R4/S4</f>
        <v>0</v>
      </c>
      <c r="U4" s="259">
        <f>F4*21.69%</f>
        <v>206055</v>
      </c>
      <c r="V4" s="258">
        <f>SUM(H4,M4,R4)/U4</f>
        <v>0</v>
      </c>
      <c r="W4" s="260"/>
      <c r="X4" s="257">
        <f>F4*7.29%</f>
        <v>69255</v>
      </c>
      <c r="Y4" s="258">
        <f>W4/X4</f>
        <v>0</v>
      </c>
      <c r="Z4" s="259">
        <f>F4*28.98%</f>
        <v>275310</v>
      </c>
      <c r="AA4" s="258">
        <f>SUM(H4,M4,R4,W4)/Z4</f>
        <v>0</v>
      </c>
      <c r="AB4" s="260"/>
      <c r="AC4" s="257">
        <f>F4*11.02%</f>
        <v>104690</v>
      </c>
      <c r="AD4" s="258">
        <f>AB4/AC4</f>
        <v>0</v>
      </c>
      <c r="AE4" s="272">
        <f>F4*40%</f>
        <v>380000</v>
      </c>
      <c r="AF4" s="258">
        <f>SUM(H4,M4,R4,W4,AB4)/AE4</f>
        <v>0</v>
      </c>
      <c r="AG4" s="260"/>
      <c r="AH4" s="270">
        <f>F4*12.03%</f>
        <v>114284.99999999999</v>
      </c>
      <c r="AI4" s="258">
        <f>AG4/AH4</f>
        <v>0</v>
      </c>
      <c r="AJ4" s="270">
        <f>F4*52.03%</f>
        <v>494285</v>
      </c>
      <c r="AK4" s="258">
        <f>SUM(H4,M4,R4,W4,AB4,AG4)/AJ4</f>
        <v>0</v>
      </c>
      <c r="AL4" s="260"/>
      <c r="AM4" s="270">
        <f>F4*3.39%</f>
        <v>32205</v>
      </c>
      <c r="AN4" s="258">
        <f>AL4/AM4</f>
        <v>0</v>
      </c>
      <c r="AO4" s="270">
        <f>F4*55.42%</f>
        <v>526490</v>
      </c>
      <c r="AP4" s="258">
        <f>SUM(H4,M4,R4,W4,AB4,AG4,AL4)/AO4</f>
        <v>0</v>
      </c>
      <c r="AQ4" s="260"/>
      <c r="AR4" s="270">
        <f>F4*9.83%</f>
        <v>93385</v>
      </c>
      <c r="AS4" s="258">
        <f>AQ4/AR4</f>
        <v>0</v>
      </c>
      <c r="AT4" s="270">
        <f>F4*65.25%</f>
        <v>619875</v>
      </c>
      <c r="AU4" s="258">
        <f>SUM(H4,M4,R4,W4,AB4,AG4,AL4,AQ4)/AT4</f>
        <v>0</v>
      </c>
      <c r="AV4" s="260"/>
      <c r="AW4" s="270">
        <f>F4*10.85%</f>
        <v>103075</v>
      </c>
      <c r="AX4" s="258">
        <f>AV4/AW4</f>
        <v>0</v>
      </c>
      <c r="AY4" s="270">
        <f>F4*76.1%</f>
        <v>722949.99999999988</v>
      </c>
      <c r="AZ4" s="258">
        <f>SUM(H4,M4,R4,W4,AB4,AG4,AL4,AQ4,AV4)/AY4</f>
        <v>0</v>
      </c>
      <c r="BA4" s="260"/>
      <c r="BB4" s="270">
        <f>F4*6.1%</f>
        <v>57950</v>
      </c>
      <c r="BC4" s="258">
        <f>BA4/BB4</f>
        <v>0</v>
      </c>
      <c r="BD4" s="270">
        <f>F4*82.2%</f>
        <v>780900.00000000012</v>
      </c>
      <c r="BE4" s="258">
        <f>SUM(H4,M4,R4,W4,AB4,AG4,AL4,AQ4,AV4,BA4)/BD4</f>
        <v>0</v>
      </c>
      <c r="BF4" s="260"/>
      <c r="BG4" s="270">
        <f>F4*6.44%</f>
        <v>61180</v>
      </c>
      <c r="BH4" s="258">
        <f>BF4/BG4</f>
        <v>0</v>
      </c>
      <c r="BI4" s="270">
        <f>F4*88.64%</f>
        <v>842080</v>
      </c>
      <c r="BJ4" s="258">
        <f>SUM(H4,M4,R4,W4,AB4,AG4,AL4,AQ4,AV4,BA4,BF4)/BI4</f>
        <v>0</v>
      </c>
      <c r="BK4" s="260"/>
      <c r="BL4" s="270">
        <f>F4*11.36%</f>
        <v>107920</v>
      </c>
      <c r="BM4" s="258">
        <f>BK4/BL4</f>
        <v>0</v>
      </c>
      <c r="BN4" s="271">
        <f>F4*100%</f>
        <v>950000</v>
      </c>
      <c r="BO4" s="262">
        <f>SUM(H4,M4,R4,W4,AB4,AG4,AL4,AQ4,AV4,BA4,BF4,BK4)/BN4</f>
        <v>0</v>
      </c>
    </row>
    <row r="5" spans="1:67" s="255" customFormat="1" ht="12.75">
      <c r="A5" s="148" t="s">
        <v>62</v>
      </c>
      <c r="B5" s="150" t="s">
        <v>63</v>
      </c>
      <c r="C5" s="150" t="s">
        <v>64</v>
      </c>
      <c r="D5" s="149">
        <v>1015833.87</v>
      </c>
      <c r="E5" s="161">
        <v>700000</v>
      </c>
      <c r="F5" s="151">
        <v>1200000</v>
      </c>
      <c r="G5" s="160">
        <v>1300000</v>
      </c>
      <c r="H5" s="294"/>
      <c r="I5" s="241">
        <f t="shared" ref="I5:I8" si="0">F5*7.46%</f>
        <v>89520</v>
      </c>
      <c r="J5" s="242">
        <f t="shared" ref="J5:J8" si="1">H5/I5</f>
        <v>0</v>
      </c>
      <c r="K5" s="241">
        <f t="shared" ref="K5:K8" si="2">F5*7.46%</f>
        <v>89520</v>
      </c>
      <c r="L5" s="242">
        <f t="shared" ref="L5:L8" si="3">H5/K5</f>
        <v>0</v>
      </c>
      <c r="M5" s="240"/>
      <c r="N5" s="241">
        <f t="shared" ref="N5:N8" si="4">F5*5.93%</f>
        <v>71160</v>
      </c>
      <c r="O5" s="243">
        <f t="shared" ref="O5:O8" si="5">M5/N5</f>
        <v>0</v>
      </c>
      <c r="P5" s="244">
        <f>F5*13.39%</f>
        <v>160680.00000000003</v>
      </c>
      <c r="Q5" s="243">
        <f>SUM(H5,M5)/P5</f>
        <v>0</v>
      </c>
      <c r="R5" s="263"/>
      <c r="S5" s="257">
        <f t="shared" ref="S5:S8" si="6">F5*8.31%</f>
        <v>99720.000000000015</v>
      </c>
      <c r="T5" s="258">
        <f t="shared" ref="T5:T8" si="7">R5/S5</f>
        <v>0</v>
      </c>
      <c r="U5" s="259">
        <f t="shared" ref="U5:U8" si="8">F5*21.69%</f>
        <v>260280</v>
      </c>
      <c r="V5" s="258">
        <f t="shared" ref="V5:V8" si="9">SUM(H5,M5,R5)/U5</f>
        <v>0</v>
      </c>
      <c r="W5" s="264"/>
      <c r="X5" s="257">
        <f t="shared" ref="X5:X8" si="10">F5*7.29%</f>
        <v>87480.000000000015</v>
      </c>
      <c r="Y5" s="258">
        <f t="shared" ref="Y5:Y8" si="11">W5/X5</f>
        <v>0</v>
      </c>
      <c r="Z5" s="259">
        <f t="shared" ref="Z5:Z8" si="12">F5*28.98%</f>
        <v>347760</v>
      </c>
      <c r="AA5" s="258">
        <f t="shared" ref="AA5:AA8" si="13">SUM(H5,M5,R5,W5)/Z5</f>
        <v>0</v>
      </c>
      <c r="AB5" s="264"/>
      <c r="AC5" s="257">
        <f t="shared" ref="AC5:AC8" si="14">F5*11.02%</f>
        <v>132240</v>
      </c>
      <c r="AD5" s="258">
        <f t="shared" ref="AD5:AD8" si="15">AB5/AC5</f>
        <v>0</v>
      </c>
      <c r="AE5" s="272">
        <f t="shared" ref="AE5:AE8" si="16">F5*40%</f>
        <v>480000</v>
      </c>
      <c r="AF5" s="258">
        <f t="shared" ref="AF5:AF8" si="17">SUM(H5,M5,R5,W5,AB5)/AE5</f>
        <v>0</v>
      </c>
      <c r="AG5" s="264"/>
      <c r="AH5" s="270">
        <f t="shared" ref="AH5:AH8" si="18">F5*12.03%</f>
        <v>144360</v>
      </c>
      <c r="AI5" s="258">
        <f t="shared" ref="AI5:AI8" si="19">AG5/AH5</f>
        <v>0</v>
      </c>
      <c r="AJ5" s="270">
        <f t="shared" ref="AJ5:AJ8" si="20">F5*52.03%</f>
        <v>624360</v>
      </c>
      <c r="AK5" s="258">
        <f t="shared" ref="AK5:AK8" si="21">SUM(H5,M5,R5,W5,AB5,AG5)/AJ5</f>
        <v>0</v>
      </c>
      <c r="AL5" s="264"/>
      <c r="AM5" s="270">
        <f t="shared" ref="AM5:AM8" si="22">F5*3.39%</f>
        <v>40680</v>
      </c>
      <c r="AN5" s="258">
        <f t="shared" ref="AN5:AN8" si="23">AL5/AM5</f>
        <v>0</v>
      </c>
      <c r="AO5" s="270">
        <f t="shared" ref="AO5:AO8" si="24">F5*55.42%</f>
        <v>665040</v>
      </c>
      <c r="AP5" s="258">
        <f t="shared" ref="AP5:AP8" si="25">SUM(H5,M5,R5,W5,AB5,AG5,AL5)/AO5</f>
        <v>0</v>
      </c>
      <c r="AQ5" s="264"/>
      <c r="AR5" s="270">
        <f t="shared" ref="AR5:AR8" si="26">F5*9.83%</f>
        <v>117960</v>
      </c>
      <c r="AS5" s="258">
        <f t="shared" ref="AS5:AS8" si="27">AQ5/AR5</f>
        <v>0</v>
      </c>
      <c r="AT5" s="270">
        <f t="shared" ref="AT5:AT8" si="28">F5*65.25%</f>
        <v>783000</v>
      </c>
      <c r="AU5" s="258">
        <f t="shared" ref="AU5:AU8" si="29">SUM(H5,M5,R5,W5,AB5,AG5,AL5,AQ5)/AT5</f>
        <v>0</v>
      </c>
      <c r="AV5" s="264"/>
      <c r="AW5" s="270">
        <f t="shared" ref="AW5:AW8" si="30">F5*10.85%</f>
        <v>130200</v>
      </c>
      <c r="AX5" s="258">
        <f t="shared" ref="AX5:AX8" si="31">AV5/AW5</f>
        <v>0</v>
      </c>
      <c r="AY5" s="270">
        <f t="shared" ref="AY5:AY8" si="32">F5*76.1%</f>
        <v>913199.99999999988</v>
      </c>
      <c r="AZ5" s="258">
        <f t="shared" ref="AZ5:AZ8" si="33">SUM(H5,M5,R5,W5,AB5,AG5,AL5,AQ5,AV5)/AY5</f>
        <v>0</v>
      </c>
      <c r="BA5" s="264"/>
      <c r="BB5" s="270">
        <f t="shared" ref="BB5:BB8" si="34">F5*6.1%</f>
        <v>73200</v>
      </c>
      <c r="BC5" s="258">
        <f t="shared" ref="BC5:BC8" si="35">BA5/BB5</f>
        <v>0</v>
      </c>
      <c r="BD5" s="270">
        <f t="shared" ref="BD5:BD8" si="36">F5*82.2%</f>
        <v>986400.00000000012</v>
      </c>
      <c r="BE5" s="258">
        <f t="shared" ref="BE5:BE8" si="37">SUM(H5,M5,R5,W5,AB5,AG5,AL5,AQ5,AV5,BA5)/BD5</f>
        <v>0</v>
      </c>
      <c r="BF5" s="264"/>
      <c r="BG5" s="270">
        <f t="shared" ref="BG5:BG8" si="38">F5*6.44%</f>
        <v>77280</v>
      </c>
      <c r="BH5" s="258">
        <f t="shared" ref="BH5:BH8" si="39">BF5/BG5</f>
        <v>0</v>
      </c>
      <c r="BI5" s="270">
        <f t="shared" ref="BI5:BI8" si="40">F5*88.64%</f>
        <v>1063680</v>
      </c>
      <c r="BJ5" s="258">
        <f t="shared" ref="BJ5:BJ8" si="41">SUM(H5,M5,R5,W5,AB5,AG5,AL5,AQ5,AV5,BA5,BF5)/BI5</f>
        <v>0</v>
      </c>
      <c r="BK5" s="264"/>
      <c r="BL5" s="270">
        <f t="shared" ref="BL5:BL8" si="42">F5*11.36%</f>
        <v>136320</v>
      </c>
      <c r="BM5" s="258">
        <f t="shared" ref="BM5:BM8" si="43">BK5/BL5</f>
        <v>0</v>
      </c>
      <c r="BN5" s="271">
        <f t="shared" ref="BN5:BN8" si="44">F5*100%</f>
        <v>1200000</v>
      </c>
      <c r="BO5" s="262">
        <f t="shared" ref="BO5:BO8" si="45">SUM(H5,M5,R5,W5,AB5,AG5,AL5,AQ5,AV5,BA5,BF5,BK5)/BN5</f>
        <v>0</v>
      </c>
    </row>
    <row r="6" spans="1:67" s="255" customFormat="1" ht="12.75">
      <c r="A6" s="148" t="s">
        <v>54</v>
      </c>
      <c r="B6" s="150" t="s">
        <v>41</v>
      </c>
      <c r="C6" s="150" t="s">
        <v>55</v>
      </c>
      <c r="D6" s="149">
        <v>217422.8</v>
      </c>
      <c r="E6" s="161">
        <v>300000</v>
      </c>
      <c r="F6" s="151">
        <v>300000</v>
      </c>
      <c r="G6" s="152">
        <v>400000</v>
      </c>
      <c r="H6" s="263">
        <v>0</v>
      </c>
      <c r="I6" s="241">
        <f t="shared" si="0"/>
        <v>22380</v>
      </c>
      <c r="J6" s="242">
        <f t="shared" si="1"/>
        <v>0</v>
      </c>
      <c r="K6" s="241">
        <f t="shared" si="2"/>
        <v>22380</v>
      </c>
      <c r="L6" s="242">
        <f t="shared" si="3"/>
        <v>0</v>
      </c>
      <c r="M6" s="240"/>
      <c r="N6" s="241">
        <f t="shared" si="4"/>
        <v>17790</v>
      </c>
      <c r="O6" s="243">
        <f t="shared" si="5"/>
        <v>0</v>
      </c>
      <c r="P6" s="244">
        <f t="shared" ref="P6:P8" si="46">F6*13.39%</f>
        <v>40170.000000000007</v>
      </c>
      <c r="Q6" s="243">
        <f t="shared" ref="Q6:Q8" si="47">SUM(H6,M6)/P6</f>
        <v>0</v>
      </c>
      <c r="R6" s="263"/>
      <c r="S6" s="257">
        <f t="shared" si="6"/>
        <v>24930.000000000004</v>
      </c>
      <c r="T6" s="258">
        <f t="shared" si="7"/>
        <v>0</v>
      </c>
      <c r="U6" s="259">
        <f t="shared" si="8"/>
        <v>65070</v>
      </c>
      <c r="V6" s="258">
        <f t="shared" si="9"/>
        <v>0</v>
      </c>
      <c r="W6" s="264"/>
      <c r="X6" s="257">
        <f t="shared" si="10"/>
        <v>21870.000000000004</v>
      </c>
      <c r="Y6" s="258">
        <f t="shared" si="11"/>
        <v>0</v>
      </c>
      <c r="Z6" s="259">
        <f t="shared" si="12"/>
        <v>86940</v>
      </c>
      <c r="AA6" s="258">
        <f t="shared" si="13"/>
        <v>0</v>
      </c>
      <c r="AB6" s="264"/>
      <c r="AC6" s="257">
        <f t="shared" si="14"/>
        <v>33060</v>
      </c>
      <c r="AD6" s="258">
        <f t="shared" si="15"/>
        <v>0</v>
      </c>
      <c r="AE6" s="272">
        <f t="shared" si="16"/>
        <v>120000</v>
      </c>
      <c r="AF6" s="258">
        <f t="shared" si="17"/>
        <v>0</v>
      </c>
      <c r="AG6" s="264"/>
      <c r="AH6" s="270">
        <f t="shared" si="18"/>
        <v>36090</v>
      </c>
      <c r="AI6" s="258">
        <f t="shared" si="19"/>
        <v>0</v>
      </c>
      <c r="AJ6" s="270">
        <f t="shared" si="20"/>
        <v>156090</v>
      </c>
      <c r="AK6" s="258">
        <f t="shared" si="21"/>
        <v>0</v>
      </c>
      <c r="AL6" s="264"/>
      <c r="AM6" s="270">
        <f t="shared" si="22"/>
        <v>10170</v>
      </c>
      <c r="AN6" s="258">
        <f t="shared" si="23"/>
        <v>0</v>
      </c>
      <c r="AO6" s="270">
        <f t="shared" si="24"/>
        <v>166260</v>
      </c>
      <c r="AP6" s="258">
        <f t="shared" si="25"/>
        <v>0</v>
      </c>
      <c r="AQ6" s="264"/>
      <c r="AR6" s="270">
        <f t="shared" si="26"/>
        <v>29490</v>
      </c>
      <c r="AS6" s="258">
        <f t="shared" si="27"/>
        <v>0</v>
      </c>
      <c r="AT6" s="270">
        <f t="shared" si="28"/>
        <v>195750</v>
      </c>
      <c r="AU6" s="258">
        <f t="shared" si="29"/>
        <v>0</v>
      </c>
      <c r="AV6" s="264"/>
      <c r="AW6" s="270">
        <f t="shared" si="30"/>
        <v>32550</v>
      </c>
      <c r="AX6" s="258">
        <f t="shared" si="31"/>
        <v>0</v>
      </c>
      <c r="AY6" s="270">
        <f t="shared" si="32"/>
        <v>228299.99999999997</v>
      </c>
      <c r="AZ6" s="258">
        <f t="shared" si="33"/>
        <v>0</v>
      </c>
      <c r="BA6" s="264"/>
      <c r="BB6" s="270">
        <f t="shared" si="34"/>
        <v>18300</v>
      </c>
      <c r="BC6" s="258">
        <f t="shared" si="35"/>
        <v>0</v>
      </c>
      <c r="BD6" s="270">
        <f t="shared" si="36"/>
        <v>246600.00000000003</v>
      </c>
      <c r="BE6" s="258">
        <f t="shared" si="37"/>
        <v>0</v>
      </c>
      <c r="BF6" s="264"/>
      <c r="BG6" s="270">
        <f t="shared" si="38"/>
        <v>19320</v>
      </c>
      <c r="BH6" s="258">
        <f t="shared" si="39"/>
        <v>0</v>
      </c>
      <c r="BI6" s="270">
        <f t="shared" si="40"/>
        <v>265920</v>
      </c>
      <c r="BJ6" s="258">
        <f t="shared" si="41"/>
        <v>0</v>
      </c>
      <c r="BK6" s="264"/>
      <c r="BL6" s="270">
        <f t="shared" si="42"/>
        <v>34080</v>
      </c>
      <c r="BM6" s="258">
        <f t="shared" si="43"/>
        <v>0</v>
      </c>
      <c r="BN6" s="271">
        <f t="shared" si="44"/>
        <v>300000</v>
      </c>
      <c r="BO6" s="262">
        <f t="shared" si="45"/>
        <v>0</v>
      </c>
    </row>
    <row r="7" spans="1:67" s="255" customFormat="1" ht="12.75">
      <c r="A7" s="148" t="s">
        <v>56</v>
      </c>
      <c r="B7" s="150" t="s">
        <v>57</v>
      </c>
      <c r="C7" s="150" t="s">
        <v>58</v>
      </c>
      <c r="D7" s="149">
        <v>16700.84</v>
      </c>
      <c r="E7" s="161">
        <v>0</v>
      </c>
      <c r="F7" s="151">
        <v>200000</v>
      </c>
      <c r="G7" s="152">
        <v>250000</v>
      </c>
      <c r="H7" s="263">
        <v>0</v>
      </c>
      <c r="I7" s="241">
        <f t="shared" si="0"/>
        <v>14920</v>
      </c>
      <c r="J7" s="242">
        <f t="shared" si="1"/>
        <v>0</v>
      </c>
      <c r="K7" s="241">
        <f t="shared" si="2"/>
        <v>14920</v>
      </c>
      <c r="L7" s="242">
        <f t="shared" si="3"/>
        <v>0</v>
      </c>
      <c r="M7" s="240"/>
      <c r="N7" s="241">
        <f t="shared" si="4"/>
        <v>11860</v>
      </c>
      <c r="O7" s="243">
        <f t="shared" si="5"/>
        <v>0</v>
      </c>
      <c r="P7" s="244">
        <f t="shared" si="46"/>
        <v>26780.000000000004</v>
      </c>
      <c r="Q7" s="243">
        <f t="shared" si="47"/>
        <v>0</v>
      </c>
      <c r="R7" s="263"/>
      <c r="S7" s="257">
        <f>F7*8.31%</f>
        <v>16620</v>
      </c>
      <c r="T7" s="258">
        <f t="shared" si="7"/>
        <v>0</v>
      </c>
      <c r="U7" s="259">
        <f t="shared" si="8"/>
        <v>43380</v>
      </c>
      <c r="V7" s="258">
        <f t="shared" si="9"/>
        <v>0</v>
      </c>
      <c r="W7" s="264"/>
      <c r="X7" s="257">
        <f t="shared" si="10"/>
        <v>14580.000000000002</v>
      </c>
      <c r="Y7" s="258">
        <f t="shared" si="11"/>
        <v>0</v>
      </c>
      <c r="Z7" s="259">
        <f t="shared" si="12"/>
        <v>57960</v>
      </c>
      <c r="AA7" s="258">
        <f t="shared" si="13"/>
        <v>0</v>
      </c>
      <c r="AB7" s="264"/>
      <c r="AC7" s="257">
        <f t="shared" si="14"/>
        <v>22040</v>
      </c>
      <c r="AD7" s="258">
        <f t="shared" si="15"/>
        <v>0</v>
      </c>
      <c r="AE7" s="272">
        <f t="shared" si="16"/>
        <v>80000</v>
      </c>
      <c r="AF7" s="258">
        <f t="shared" si="17"/>
        <v>0</v>
      </c>
      <c r="AG7" s="264"/>
      <c r="AH7" s="270">
        <f t="shared" si="18"/>
        <v>24059.999999999996</v>
      </c>
      <c r="AI7" s="258">
        <f t="shared" si="19"/>
        <v>0</v>
      </c>
      <c r="AJ7" s="270">
        <f t="shared" si="20"/>
        <v>104060</v>
      </c>
      <c r="AK7" s="258">
        <f t="shared" si="21"/>
        <v>0</v>
      </c>
      <c r="AL7" s="264"/>
      <c r="AM7" s="270">
        <f t="shared" si="22"/>
        <v>6780</v>
      </c>
      <c r="AN7" s="258">
        <f t="shared" si="23"/>
        <v>0</v>
      </c>
      <c r="AO7" s="270">
        <f t="shared" si="24"/>
        <v>110840</v>
      </c>
      <c r="AP7" s="258">
        <f t="shared" si="25"/>
        <v>0</v>
      </c>
      <c r="AQ7" s="264"/>
      <c r="AR7" s="270">
        <f t="shared" si="26"/>
        <v>19660</v>
      </c>
      <c r="AS7" s="258">
        <f t="shared" si="27"/>
        <v>0</v>
      </c>
      <c r="AT7" s="270">
        <f t="shared" si="28"/>
        <v>130500</v>
      </c>
      <c r="AU7" s="258">
        <f t="shared" si="29"/>
        <v>0</v>
      </c>
      <c r="AV7" s="264"/>
      <c r="AW7" s="270">
        <f t="shared" si="30"/>
        <v>21700</v>
      </c>
      <c r="AX7" s="258">
        <f t="shared" si="31"/>
        <v>0</v>
      </c>
      <c r="AY7" s="270">
        <f t="shared" si="32"/>
        <v>152199.99999999997</v>
      </c>
      <c r="AZ7" s="258">
        <f t="shared" si="33"/>
        <v>0</v>
      </c>
      <c r="BA7" s="264"/>
      <c r="BB7" s="270">
        <f t="shared" si="34"/>
        <v>12200</v>
      </c>
      <c r="BC7" s="258">
        <f t="shared" si="35"/>
        <v>0</v>
      </c>
      <c r="BD7" s="270">
        <f t="shared" si="36"/>
        <v>164400</v>
      </c>
      <c r="BE7" s="258">
        <f t="shared" si="37"/>
        <v>0</v>
      </c>
      <c r="BF7" s="264"/>
      <c r="BG7" s="270">
        <f t="shared" si="38"/>
        <v>12880</v>
      </c>
      <c r="BH7" s="258">
        <f t="shared" si="39"/>
        <v>0</v>
      </c>
      <c r="BI7" s="270">
        <f t="shared" si="40"/>
        <v>177280</v>
      </c>
      <c r="BJ7" s="258">
        <f t="shared" si="41"/>
        <v>0</v>
      </c>
      <c r="BK7" s="264"/>
      <c r="BL7" s="270">
        <f t="shared" si="42"/>
        <v>22720</v>
      </c>
      <c r="BM7" s="258">
        <f t="shared" si="43"/>
        <v>0</v>
      </c>
      <c r="BN7" s="271">
        <f t="shared" si="44"/>
        <v>200000</v>
      </c>
      <c r="BO7" s="262">
        <f t="shared" si="45"/>
        <v>0</v>
      </c>
    </row>
    <row r="8" spans="1:67" s="255" customFormat="1" ht="12.75">
      <c r="A8" s="148" t="s">
        <v>59</v>
      </c>
      <c r="B8" s="150" t="s">
        <v>60</v>
      </c>
      <c r="C8" s="150" t="s">
        <v>61</v>
      </c>
      <c r="D8" s="149">
        <v>197237.39</v>
      </c>
      <c r="E8" s="161">
        <v>300000</v>
      </c>
      <c r="F8" s="151">
        <v>300000</v>
      </c>
      <c r="G8" s="152">
        <v>380000</v>
      </c>
      <c r="H8" s="294"/>
      <c r="I8" s="241">
        <f t="shared" si="0"/>
        <v>22380</v>
      </c>
      <c r="J8" s="242">
        <f t="shared" si="1"/>
        <v>0</v>
      </c>
      <c r="K8" s="241">
        <f t="shared" si="2"/>
        <v>22380</v>
      </c>
      <c r="L8" s="242">
        <f t="shared" si="3"/>
        <v>0</v>
      </c>
      <c r="M8" s="266">
        <v>0</v>
      </c>
      <c r="N8" s="241">
        <f t="shared" si="4"/>
        <v>17790</v>
      </c>
      <c r="O8" s="243">
        <f t="shared" si="5"/>
        <v>0</v>
      </c>
      <c r="P8" s="244">
        <f t="shared" si="46"/>
        <v>40170.000000000007</v>
      </c>
      <c r="Q8" s="243">
        <f t="shared" si="47"/>
        <v>0</v>
      </c>
      <c r="R8" s="263"/>
      <c r="S8" s="257">
        <f t="shared" si="6"/>
        <v>24930.000000000004</v>
      </c>
      <c r="T8" s="258">
        <f t="shared" si="7"/>
        <v>0</v>
      </c>
      <c r="U8" s="259">
        <f t="shared" si="8"/>
        <v>65070</v>
      </c>
      <c r="V8" s="258">
        <f t="shared" si="9"/>
        <v>0</v>
      </c>
      <c r="W8" s="264"/>
      <c r="X8" s="257">
        <f t="shared" si="10"/>
        <v>21870.000000000004</v>
      </c>
      <c r="Y8" s="258">
        <f t="shared" si="11"/>
        <v>0</v>
      </c>
      <c r="Z8" s="259">
        <f t="shared" si="12"/>
        <v>86940</v>
      </c>
      <c r="AA8" s="258">
        <f t="shared" si="13"/>
        <v>0</v>
      </c>
      <c r="AB8" s="264"/>
      <c r="AC8" s="257">
        <f t="shared" si="14"/>
        <v>33060</v>
      </c>
      <c r="AD8" s="258">
        <f t="shared" si="15"/>
        <v>0</v>
      </c>
      <c r="AE8" s="272">
        <f t="shared" si="16"/>
        <v>120000</v>
      </c>
      <c r="AF8" s="258">
        <f t="shared" si="17"/>
        <v>0</v>
      </c>
      <c r="AG8" s="264"/>
      <c r="AH8" s="270">
        <f t="shared" si="18"/>
        <v>36090</v>
      </c>
      <c r="AI8" s="258">
        <f t="shared" si="19"/>
        <v>0</v>
      </c>
      <c r="AJ8" s="270">
        <f t="shared" si="20"/>
        <v>156090</v>
      </c>
      <c r="AK8" s="258">
        <f t="shared" si="21"/>
        <v>0</v>
      </c>
      <c r="AL8" s="264"/>
      <c r="AM8" s="270">
        <f t="shared" si="22"/>
        <v>10170</v>
      </c>
      <c r="AN8" s="258">
        <f t="shared" si="23"/>
        <v>0</v>
      </c>
      <c r="AO8" s="270">
        <f t="shared" si="24"/>
        <v>166260</v>
      </c>
      <c r="AP8" s="258">
        <f t="shared" si="25"/>
        <v>0</v>
      </c>
      <c r="AQ8" s="264"/>
      <c r="AR8" s="270">
        <f t="shared" si="26"/>
        <v>29490</v>
      </c>
      <c r="AS8" s="258">
        <f t="shared" si="27"/>
        <v>0</v>
      </c>
      <c r="AT8" s="270">
        <f t="shared" si="28"/>
        <v>195750</v>
      </c>
      <c r="AU8" s="258">
        <f t="shared" si="29"/>
        <v>0</v>
      </c>
      <c r="AV8" s="264"/>
      <c r="AW8" s="270">
        <f t="shared" si="30"/>
        <v>32550</v>
      </c>
      <c r="AX8" s="258">
        <f t="shared" si="31"/>
        <v>0</v>
      </c>
      <c r="AY8" s="270">
        <f t="shared" si="32"/>
        <v>228299.99999999997</v>
      </c>
      <c r="AZ8" s="258">
        <f t="shared" si="33"/>
        <v>0</v>
      </c>
      <c r="BA8" s="264"/>
      <c r="BB8" s="270">
        <f t="shared" si="34"/>
        <v>18300</v>
      </c>
      <c r="BC8" s="258">
        <f t="shared" si="35"/>
        <v>0</v>
      </c>
      <c r="BD8" s="270">
        <f t="shared" si="36"/>
        <v>246600.00000000003</v>
      </c>
      <c r="BE8" s="258">
        <f t="shared" si="37"/>
        <v>0</v>
      </c>
      <c r="BF8" s="264"/>
      <c r="BG8" s="270">
        <f t="shared" si="38"/>
        <v>19320</v>
      </c>
      <c r="BH8" s="258">
        <f t="shared" si="39"/>
        <v>0</v>
      </c>
      <c r="BI8" s="270">
        <f t="shared" si="40"/>
        <v>265920</v>
      </c>
      <c r="BJ8" s="258">
        <f t="shared" si="41"/>
        <v>0</v>
      </c>
      <c r="BK8" s="264"/>
      <c r="BL8" s="270">
        <f t="shared" si="42"/>
        <v>34080</v>
      </c>
      <c r="BM8" s="258">
        <f t="shared" si="43"/>
        <v>0</v>
      </c>
      <c r="BN8" s="271">
        <f t="shared" si="44"/>
        <v>300000</v>
      </c>
      <c r="BO8" s="262">
        <f t="shared" si="45"/>
        <v>0</v>
      </c>
    </row>
    <row r="9" spans="1:67" s="255" customFormat="1" ht="12.75">
      <c r="F9" s="267">
        <f>SUM(F4:F8)</f>
        <v>2950000</v>
      </c>
      <c r="G9" s="268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</row>
    <row r="10" spans="1:67" s="255" customFormat="1" ht="12.75">
      <c r="F10" s="268"/>
      <c r="G10" s="268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</row>
    <row r="11" spans="1:67" s="255" customFormat="1" ht="13.5" thickBot="1">
      <c r="N11" s="269"/>
    </row>
    <row r="12" spans="1:67" s="255" customFormat="1" ht="13.5" thickBot="1">
      <c r="A12" s="295"/>
      <c r="B12" s="296" t="s">
        <v>28</v>
      </c>
      <c r="C12" s="297" t="s">
        <v>29</v>
      </c>
      <c r="D12" s="296" t="s">
        <v>30</v>
      </c>
      <c r="E12" s="297" t="s">
        <v>31</v>
      </c>
      <c r="F12" s="296" t="s">
        <v>32</v>
      </c>
      <c r="G12" s="298" t="s">
        <v>127</v>
      </c>
      <c r="H12" s="299" t="s">
        <v>151</v>
      </c>
    </row>
    <row r="13" spans="1:67" s="255" customFormat="1" ht="12.75">
      <c r="A13" s="300" t="s">
        <v>16</v>
      </c>
      <c r="B13" s="301">
        <v>184714</v>
      </c>
      <c r="C13" s="302">
        <v>11</v>
      </c>
      <c r="D13" s="303">
        <v>0</v>
      </c>
      <c r="E13" s="304">
        <v>0</v>
      </c>
      <c r="F13" s="305">
        <v>220000</v>
      </c>
      <c r="G13" s="306" t="str">
        <f>IF(D13=0,"",D13-F13)</f>
        <v/>
      </c>
      <c r="H13" s="307" t="str">
        <f>IF(D13=0,"",D13/F13)</f>
        <v/>
      </c>
      <c r="J13" s="269"/>
      <c r="K13" s="269"/>
      <c r="L13" s="269"/>
    </row>
    <row r="14" spans="1:67" s="255" customFormat="1" ht="12.75">
      <c r="A14" s="300" t="s">
        <v>17</v>
      </c>
      <c r="B14" s="301">
        <v>144568</v>
      </c>
      <c r="C14" s="302">
        <v>8</v>
      </c>
      <c r="D14" s="303">
        <v>0</v>
      </c>
      <c r="E14" s="304">
        <v>0</v>
      </c>
      <c r="F14" s="308">
        <v>175000</v>
      </c>
      <c r="G14" s="309" t="str">
        <f t="shared" ref="G14:G25" si="48">IF(D14=0,"",D14-F14)</f>
        <v/>
      </c>
      <c r="H14" s="310" t="str">
        <f>IF(D14=0,"",SUM(D13:D14)/SUM(F13:F14))</f>
        <v/>
      </c>
      <c r="J14" s="269"/>
      <c r="K14" s="269"/>
      <c r="L14" s="269"/>
    </row>
    <row r="15" spans="1:67" s="255" customFormat="1" ht="12.75">
      <c r="A15" s="300" t="s">
        <v>18</v>
      </c>
      <c r="B15" s="301">
        <v>199648</v>
      </c>
      <c r="C15" s="302">
        <v>14</v>
      </c>
      <c r="D15" s="303">
        <v>0</v>
      </c>
      <c r="E15" s="304">
        <v>0</v>
      </c>
      <c r="F15" s="308">
        <v>245000</v>
      </c>
      <c r="G15" s="309" t="str">
        <f t="shared" si="48"/>
        <v/>
      </c>
      <c r="H15" s="310" t="str">
        <f>IF(D15=0,"",SUM(D13:D15)/SUM(F13:F15))</f>
        <v/>
      </c>
      <c r="J15" s="269"/>
      <c r="K15" s="269"/>
      <c r="L15" s="269"/>
    </row>
    <row r="16" spans="1:67" s="255" customFormat="1" ht="12.75">
      <c r="A16" s="300" t="s">
        <v>19</v>
      </c>
      <c r="B16" s="301">
        <v>176642</v>
      </c>
      <c r="C16" s="302">
        <v>10</v>
      </c>
      <c r="D16" s="303">
        <v>0</v>
      </c>
      <c r="E16" s="304">
        <v>0</v>
      </c>
      <c r="F16" s="308">
        <v>215000</v>
      </c>
      <c r="G16" s="309" t="str">
        <f t="shared" si="48"/>
        <v/>
      </c>
      <c r="H16" s="310" t="str">
        <f>IF(D16=0,"",SUM(D13:D16)/SUM(F13:F16))</f>
        <v/>
      </c>
      <c r="J16" s="269"/>
      <c r="K16" s="269"/>
      <c r="L16" s="269"/>
    </row>
    <row r="17" spans="1:12" s="255" customFormat="1" ht="12.75">
      <c r="A17" s="300" t="s">
        <v>20</v>
      </c>
      <c r="B17" s="311">
        <v>266145</v>
      </c>
      <c r="C17" s="302">
        <v>16</v>
      </c>
      <c r="D17" s="303">
        <v>0</v>
      </c>
      <c r="E17" s="304">
        <v>0</v>
      </c>
      <c r="F17" s="308">
        <v>325000</v>
      </c>
      <c r="G17" s="309" t="str">
        <f t="shared" si="48"/>
        <v/>
      </c>
      <c r="H17" s="310" t="str">
        <f>IF(D17=0,"",SUM(D13:D17)/SUM(F13:F17))</f>
        <v/>
      </c>
      <c r="J17" s="269"/>
      <c r="K17" s="269"/>
      <c r="L17" s="269"/>
    </row>
    <row r="18" spans="1:12" s="255" customFormat="1" ht="12.75">
      <c r="A18" s="300" t="s">
        <v>21</v>
      </c>
      <c r="B18" s="301">
        <v>291664</v>
      </c>
      <c r="C18" s="302">
        <v>17</v>
      </c>
      <c r="D18" s="303">
        <v>0</v>
      </c>
      <c r="E18" s="304">
        <v>0</v>
      </c>
      <c r="F18" s="308">
        <v>355000</v>
      </c>
      <c r="G18" s="309" t="str">
        <f t="shared" si="48"/>
        <v/>
      </c>
      <c r="H18" s="310" t="str">
        <f>IF(D18=0,"",SUM(D13:D18)/SUM(F13:F18))</f>
        <v/>
      </c>
      <c r="J18" s="269"/>
      <c r="K18" s="269"/>
      <c r="L18" s="269"/>
    </row>
    <row r="19" spans="1:12" s="255" customFormat="1" ht="12.75">
      <c r="A19" s="300" t="s">
        <v>22</v>
      </c>
      <c r="B19" s="301">
        <v>0</v>
      </c>
      <c r="C19" s="302">
        <v>0</v>
      </c>
      <c r="D19" s="303">
        <v>0</v>
      </c>
      <c r="E19" s="304">
        <v>0</v>
      </c>
      <c r="F19" s="308">
        <v>100000</v>
      </c>
      <c r="G19" s="309" t="str">
        <f t="shared" si="48"/>
        <v/>
      </c>
      <c r="H19" s="310" t="str">
        <f>IF(D19=0,"",SUM(D13:D19)/SUM(F13:F19))</f>
        <v/>
      </c>
      <c r="J19" s="269"/>
      <c r="K19" s="269"/>
      <c r="L19" s="269"/>
    </row>
    <row r="20" spans="1:12" s="255" customFormat="1" ht="12.75">
      <c r="A20" s="300" t="s">
        <v>23</v>
      </c>
      <c r="B20" s="301">
        <v>237324</v>
      </c>
      <c r="C20" s="302">
        <v>12</v>
      </c>
      <c r="D20" s="303">
        <v>0</v>
      </c>
      <c r="E20" s="304">
        <v>0</v>
      </c>
      <c r="F20" s="308">
        <v>290000</v>
      </c>
      <c r="G20" s="309" t="str">
        <f t="shared" si="48"/>
        <v/>
      </c>
      <c r="H20" s="310" t="str">
        <f>IF(D20=0,"",SUM(D13:D20)/SUM(F13:F20))</f>
        <v/>
      </c>
      <c r="J20" s="269"/>
      <c r="K20" s="269"/>
      <c r="L20" s="269"/>
    </row>
    <row r="21" spans="1:12" s="255" customFormat="1" ht="12.75">
      <c r="A21" s="300" t="s">
        <v>24</v>
      </c>
      <c r="B21" s="301">
        <v>262623</v>
      </c>
      <c r="C21" s="302">
        <v>12</v>
      </c>
      <c r="D21" s="303">
        <v>0</v>
      </c>
      <c r="E21" s="304">
        <v>0</v>
      </c>
      <c r="F21" s="308">
        <v>320000</v>
      </c>
      <c r="G21" s="309" t="str">
        <f t="shared" si="48"/>
        <v/>
      </c>
      <c r="H21" s="310" t="str">
        <f>IF(D21=0,"",SUM(D13:D21)/SUM(F13:F21))</f>
        <v/>
      </c>
      <c r="J21" s="269"/>
      <c r="K21" s="269"/>
      <c r="L21" s="269"/>
    </row>
    <row r="22" spans="1:12" s="255" customFormat="1" ht="12.75">
      <c r="A22" s="300" t="s">
        <v>25</v>
      </c>
      <c r="B22" s="301">
        <v>147976</v>
      </c>
      <c r="C22" s="302">
        <v>7</v>
      </c>
      <c r="D22" s="303">
        <v>0</v>
      </c>
      <c r="E22" s="304">
        <v>0</v>
      </c>
      <c r="F22" s="308">
        <v>180000</v>
      </c>
      <c r="G22" s="309" t="str">
        <f t="shared" si="48"/>
        <v/>
      </c>
      <c r="H22" s="310" t="str">
        <f>IF(D22=0,"",SUM(D13:D22)/SUM(F13:F22))</f>
        <v/>
      </c>
      <c r="J22" s="269"/>
      <c r="K22" s="269"/>
      <c r="L22" s="269"/>
    </row>
    <row r="23" spans="1:12" s="255" customFormat="1" ht="12.75">
      <c r="A23" s="300" t="s">
        <v>26</v>
      </c>
      <c r="B23" s="301">
        <v>154546</v>
      </c>
      <c r="C23" s="312">
        <v>8</v>
      </c>
      <c r="D23" s="303">
        <v>0</v>
      </c>
      <c r="E23" s="304">
        <v>0</v>
      </c>
      <c r="F23" s="308">
        <v>190000</v>
      </c>
      <c r="G23" s="309" t="str">
        <f t="shared" si="48"/>
        <v/>
      </c>
      <c r="H23" s="310" t="str">
        <f>IF(D23=0,"",SUM(D13:D23)/SUM(F13:F23))</f>
        <v/>
      </c>
      <c r="J23" s="269"/>
      <c r="K23" s="269"/>
      <c r="L23" s="269"/>
    </row>
    <row r="24" spans="1:12" s="255" customFormat="1" ht="13.5" thickBot="1">
      <c r="A24" s="300" t="s">
        <v>27</v>
      </c>
      <c r="B24" s="301">
        <v>274680</v>
      </c>
      <c r="C24" s="302">
        <v>14</v>
      </c>
      <c r="D24" s="303">
        <v>0</v>
      </c>
      <c r="E24" s="304">
        <v>0</v>
      </c>
      <c r="F24" s="313">
        <v>335000</v>
      </c>
      <c r="G24" s="314" t="str">
        <f t="shared" si="48"/>
        <v/>
      </c>
      <c r="H24" s="315" t="str">
        <f>IF(D24=0,"",SUM(D13:D24)/SUM(F13:F24))</f>
        <v/>
      </c>
      <c r="J24" s="269"/>
      <c r="K24" s="269"/>
      <c r="L24" s="269"/>
    </row>
    <row r="25" spans="1:12" s="255" customFormat="1" ht="13.5" thickBot="1">
      <c r="A25" s="316"/>
      <c r="B25" s="317">
        <f>SUM(B13:B24)</f>
        <v>2340530</v>
      </c>
      <c r="C25" s="318">
        <f>SUM(C13:C24)</f>
        <v>129</v>
      </c>
      <c r="D25" s="319">
        <f>SUM(D13:D24)</f>
        <v>0</v>
      </c>
      <c r="E25" s="320">
        <f>SUM(E13:E24)</f>
        <v>0</v>
      </c>
      <c r="F25" s="321">
        <f>SUM(F13:F24)</f>
        <v>2950000</v>
      </c>
      <c r="G25" s="314" t="str">
        <f t="shared" si="48"/>
        <v/>
      </c>
      <c r="H25" s="322"/>
      <c r="I25" s="269"/>
      <c r="J25" s="269"/>
      <c r="K25" s="269"/>
      <c r="L25" s="269"/>
    </row>
    <row r="26" spans="1:12" s="255" customFormat="1" ht="12.75"/>
    <row r="27" spans="1:12" s="255" customFormat="1">
      <c r="A27"/>
      <c r="B27"/>
      <c r="C27"/>
      <c r="D27"/>
    </row>
    <row r="28" spans="1:12" s="255" customFormat="1">
      <c r="A28"/>
      <c r="B28"/>
      <c r="C28"/>
      <c r="D28"/>
    </row>
    <row r="29" spans="1:12" s="255" customFormat="1">
      <c r="A29"/>
      <c r="B29"/>
      <c r="C29"/>
      <c r="D29"/>
    </row>
    <row r="30" spans="1:12" s="255" customFormat="1">
      <c r="A30"/>
      <c r="B30"/>
      <c r="C30"/>
      <c r="D30"/>
    </row>
    <row r="31" spans="1:12" s="255" customFormat="1">
      <c r="A31"/>
      <c r="B31"/>
      <c r="C31"/>
      <c r="D31"/>
    </row>
    <row r="32" spans="1:12" s="255" customFormat="1">
      <c r="A32"/>
      <c r="B32"/>
      <c r="C32"/>
      <c r="D32"/>
    </row>
    <row r="33" spans="1:4" s="255" customFormat="1">
      <c r="A33"/>
      <c r="B33"/>
      <c r="C33"/>
      <c r="D33"/>
    </row>
    <row r="34" spans="1:4" s="255" customFormat="1">
      <c r="A34"/>
      <c r="B34"/>
      <c r="C34"/>
      <c r="D34"/>
    </row>
    <row r="35" spans="1:4" s="255" customFormat="1">
      <c r="A35"/>
      <c r="B35"/>
      <c r="C35"/>
      <c r="D35"/>
    </row>
    <row r="36" spans="1:4" s="255" customFormat="1">
      <c r="A36"/>
      <c r="B36"/>
      <c r="C36"/>
      <c r="D36"/>
    </row>
    <row r="37" spans="1:4" s="255" customFormat="1">
      <c r="A37"/>
      <c r="B37"/>
      <c r="C37"/>
      <c r="D37"/>
    </row>
    <row r="38" spans="1:4" s="255" customFormat="1">
      <c r="A38"/>
      <c r="B38"/>
      <c r="C38"/>
      <c r="D38"/>
    </row>
    <row r="39" spans="1:4" s="255" customFormat="1">
      <c r="A39"/>
      <c r="B39"/>
      <c r="C39"/>
      <c r="D39"/>
    </row>
    <row r="40" spans="1:4" s="255" customFormat="1">
      <c r="A40"/>
      <c r="B40"/>
      <c r="C40"/>
      <c r="D40"/>
    </row>
    <row r="41" spans="1:4" s="255" customFormat="1">
      <c r="A41"/>
      <c r="B41"/>
      <c r="C41"/>
      <c r="D41"/>
    </row>
    <row r="42" spans="1:4" s="255" customFormat="1">
      <c r="A42"/>
      <c r="B42"/>
      <c r="C42"/>
      <c r="D42"/>
    </row>
    <row r="43" spans="1:4" s="255" customFormat="1">
      <c r="A43"/>
      <c r="B43"/>
      <c r="C43"/>
      <c r="D43"/>
    </row>
    <row r="44" spans="1:4" s="255" customFormat="1">
      <c r="A44"/>
      <c r="B44"/>
      <c r="C44"/>
      <c r="D44"/>
    </row>
    <row r="45" spans="1:4" s="255" customFormat="1" ht="12.75"/>
    <row r="46" spans="1:4" s="255" customFormat="1" ht="12.75"/>
    <row r="47" spans="1:4" s="255" customFormat="1" ht="12.75"/>
    <row r="48" spans="1:4" s="255" customFormat="1" ht="12.75"/>
    <row r="49" s="255" customFormat="1" ht="12.75"/>
    <row r="50" s="255" customFormat="1" ht="12.75"/>
    <row r="51" s="255" customFormat="1" ht="12.75"/>
  </sheetData>
  <mergeCells count="1">
    <mergeCell ref="A3:C3"/>
  </mergeCells>
  <pageMargins left="0.7" right="0.7" top="0.75" bottom="0.75" header="0.3" footer="0.3"/>
  <pageSetup paperSize="9" scale="56" orientation="landscape" r:id="rId1"/>
  <ignoredErrors>
    <ignoredError sqref="H15:H23 H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9"/>
  <sheetViews>
    <sheetView topLeftCell="C1" workbookViewId="0">
      <selection activeCell="H1" sqref="H1:M1048576"/>
    </sheetView>
  </sheetViews>
  <sheetFormatPr defaultRowHeight="15" outlineLevelCol="1"/>
  <cols>
    <col min="1" max="1" width="10.5703125" style="71" customWidth="1"/>
    <col min="2" max="2" width="14.28515625" style="71" bestFit="1" customWidth="1"/>
    <col min="3" max="3" width="9.42578125" style="71" customWidth="1"/>
    <col min="4" max="4" width="13.28515625" style="71" customWidth="1"/>
    <col min="5" max="5" width="14.28515625" style="71" customWidth="1"/>
    <col min="6" max="6" width="18" style="71" customWidth="1"/>
    <col min="7" max="7" width="19.85546875" style="71" customWidth="1"/>
    <col min="8" max="8" width="13.42578125" style="191" customWidth="1"/>
    <col min="9" max="9" width="15.140625" customWidth="1" outlineLevel="1"/>
    <col min="10" max="10" width="13.42578125" customWidth="1" outlineLevel="1"/>
    <col min="11" max="11" width="11.85546875" customWidth="1" outlineLevel="1"/>
    <col min="12" max="12" width="9.28515625" customWidth="1" outlineLevel="1"/>
    <col min="13" max="13" width="10.85546875" bestFit="1" customWidth="1"/>
    <col min="14" max="14" width="10.85546875" hidden="1" customWidth="1" outlineLevel="1"/>
    <col min="15" max="15" width="9.28515625" hidden="1" customWidth="1" outlineLevel="1"/>
    <col min="16" max="16" width="11.85546875" hidden="1" customWidth="1" outlineLevel="1"/>
    <col min="17" max="17" width="9.28515625" style="71" hidden="1" customWidth="1" outlineLevel="1"/>
    <col min="18" max="18" width="11.7109375" style="71" bestFit="1" customWidth="1" collapsed="1"/>
    <col min="19" max="19" width="12.7109375" style="71" hidden="1" customWidth="1" outlineLevel="1"/>
    <col min="20" max="20" width="9.28515625" style="71" hidden="1" customWidth="1" outlineLevel="1"/>
    <col min="21" max="21" width="12.7109375" style="71" hidden="1" customWidth="1" outlineLevel="1"/>
    <col min="22" max="22" width="9.28515625" style="71" hidden="1" customWidth="1" outlineLevel="1"/>
    <col min="23" max="23" width="9.140625" style="71" collapsed="1"/>
    <col min="24" max="24" width="12.7109375" style="71" bestFit="1" customWidth="1" outlineLevel="1"/>
    <col min="25" max="25" width="9.28515625" style="71" bestFit="1" customWidth="1" outlineLevel="1"/>
    <col min="26" max="26" width="12" style="71" bestFit="1" customWidth="1" outlineLevel="1"/>
    <col min="27" max="27" width="9.28515625" style="71" bestFit="1" customWidth="1" outlineLevel="1"/>
    <col min="28" max="28" width="9.140625" style="71"/>
    <col min="29" max="29" width="12" style="71" bestFit="1" customWidth="1" outlineLevel="1"/>
    <col min="30" max="30" width="9.28515625" style="71" bestFit="1" customWidth="1" outlineLevel="1"/>
    <col min="31" max="31" width="12" style="71" bestFit="1" customWidth="1" outlineLevel="1"/>
    <col min="32" max="32" width="9.28515625" style="71" bestFit="1" customWidth="1" outlineLevel="1"/>
    <col min="33" max="33" width="9.140625" style="71"/>
    <col min="34" max="34" width="12" style="71" bestFit="1" customWidth="1" outlineLevel="1"/>
    <col min="35" max="35" width="9.28515625" style="71" bestFit="1" customWidth="1" outlineLevel="1"/>
    <col min="36" max="36" width="12" style="71" bestFit="1" customWidth="1" outlineLevel="1"/>
    <col min="37" max="37" width="9.28515625" style="71" bestFit="1" customWidth="1" outlineLevel="1"/>
    <col min="38" max="38" width="9.140625" style="71"/>
    <col min="39" max="39" width="11" style="71" bestFit="1" customWidth="1" outlineLevel="1"/>
    <col min="40" max="40" width="9.28515625" style="71" bestFit="1" customWidth="1" outlineLevel="1"/>
    <col min="41" max="41" width="12" style="71" bestFit="1" customWidth="1" outlineLevel="1"/>
    <col min="42" max="42" width="9.28515625" style="71" bestFit="1" customWidth="1" outlineLevel="1"/>
    <col min="43" max="43" width="9.140625" style="71"/>
    <col min="44" max="44" width="12" style="71" bestFit="1" customWidth="1" outlineLevel="1"/>
    <col min="45" max="45" width="9.28515625" style="71" bestFit="1" customWidth="1" outlineLevel="1"/>
    <col min="46" max="46" width="12" style="71" bestFit="1" customWidth="1" outlineLevel="1"/>
    <col min="47" max="47" width="9.28515625" style="71" bestFit="1" customWidth="1" outlineLevel="1"/>
    <col min="48" max="48" width="9.140625" style="71"/>
    <col min="49" max="49" width="12" style="71" bestFit="1" customWidth="1" outlineLevel="1"/>
    <col min="50" max="50" width="9.28515625" style="71" bestFit="1" customWidth="1" outlineLevel="1"/>
    <col min="51" max="51" width="13.5703125" style="71" bestFit="1" customWidth="1" outlineLevel="1"/>
    <col min="52" max="52" width="9.28515625" style="71" bestFit="1" customWidth="1" outlineLevel="1"/>
    <col min="53" max="53" width="9.140625" style="71"/>
    <col min="54" max="54" width="11" style="71" bestFit="1" customWidth="1" outlineLevel="1"/>
    <col min="55" max="55" width="9.28515625" style="71" bestFit="1" customWidth="1" outlineLevel="1"/>
    <col min="56" max="56" width="13.5703125" style="71" bestFit="1" customWidth="1" outlineLevel="1"/>
    <col min="57" max="57" width="9.28515625" style="71" bestFit="1" customWidth="1" outlineLevel="1"/>
    <col min="58" max="58" width="9.140625" style="71"/>
    <col min="59" max="59" width="11" style="71" bestFit="1" customWidth="1" outlineLevel="1"/>
    <col min="60" max="60" width="9.28515625" style="71" bestFit="1" customWidth="1" outlineLevel="1"/>
    <col min="61" max="61" width="13.5703125" style="71" bestFit="1" customWidth="1" outlineLevel="1"/>
    <col min="62" max="62" width="9.28515625" style="71" bestFit="1" customWidth="1" outlineLevel="1"/>
    <col min="63" max="63" width="9.140625" style="71"/>
    <col min="64" max="64" width="12" style="71" bestFit="1" customWidth="1" outlineLevel="1"/>
    <col min="65" max="65" width="9.28515625" style="71" bestFit="1" customWidth="1" outlineLevel="1"/>
    <col min="66" max="66" width="13.5703125" style="71" bestFit="1" customWidth="1" outlineLevel="1"/>
    <col min="67" max="67" width="9.28515625" style="71" bestFit="1" customWidth="1" outlineLevel="1"/>
    <col min="68" max="16384" width="9.140625" style="71"/>
  </cols>
  <sheetData>
    <row r="1" spans="1:171" ht="21">
      <c r="A1" s="146" t="s">
        <v>129</v>
      </c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</row>
    <row r="2" spans="1:171" s="191" customFormat="1" ht="15" customHeight="1">
      <c r="A2" s="146"/>
    </row>
    <row r="3" spans="1:171" s="255" customFormat="1" ht="25.5">
      <c r="A3" s="334" t="s">
        <v>0</v>
      </c>
      <c r="B3" s="335"/>
      <c r="C3" s="336"/>
      <c r="D3" s="192" t="s">
        <v>1</v>
      </c>
      <c r="E3" s="193" t="s">
        <v>2</v>
      </c>
      <c r="F3" s="194" t="s">
        <v>119</v>
      </c>
      <c r="G3" s="195" t="s">
        <v>120</v>
      </c>
      <c r="H3" s="292" t="s">
        <v>16</v>
      </c>
      <c r="I3" s="253" t="s">
        <v>172</v>
      </c>
      <c r="J3" s="253" t="s">
        <v>173</v>
      </c>
      <c r="K3" s="253" t="s">
        <v>150</v>
      </c>
      <c r="L3" s="253" t="s">
        <v>151</v>
      </c>
      <c r="M3" s="254" t="s">
        <v>17</v>
      </c>
      <c r="N3" s="253" t="s">
        <v>148</v>
      </c>
      <c r="O3" s="253" t="s">
        <v>149</v>
      </c>
      <c r="P3" s="253" t="s">
        <v>150</v>
      </c>
      <c r="Q3" s="253" t="s">
        <v>151</v>
      </c>
      <c r="R3" s="252" t="s">
        <v>18</v>
      </c>
      <c r="S3" s="253" t="s">
        <v>152</v>
      </c>
      <c r="T3" s="253" t="s">
        <v>153</v>
      </c>
      <c r="U3" s="253" t="s">
        <v>150</v>
      </c>
      <c r="V3" s="253" t="s">
        <v>151</v>
      </c>
      <c r="W3" s="291" t="s">
        <v>19</v>
      </c>
      <c r="X3" s="253" t="s">
        <v>154</v>
      </c>
      <c r="Y3" s="253" t="s">
        <v>155</v>
      </c>
      <c r="Z3" s="253" t="s">
        <v>150</v>
      </c>
      <c r="AA3" s="253" t="s">
        <v>151</v>
      </c>
      <c r="AB3" s="291" t="s">
        <v>20</v>
      </c>
      <c r="AC3" s="253" t="s">
        <v>156</v>
      </c>
      <c r="AD3" s="253" t="s">
        <v>157</v>
      </c>
      <c r="AE3" s="253" t="s">
        <v>150</v>
      </c>
      <c r="AF3" s="253" t="s">
        <v>151</v>
      </c>
      <c r="AG3" s="291" t="s">
        <v>21</v>
      </c>
      <c r="AH3" s="253" t="s">
        <v>158</v>
      </c>
      <c r="AI3" s="253" t="s">
        <v>159</v>
      </c>
      <c r="AJ3" s="253" t="s">
        <v>150</v>
      </c>
      <c r="AK3" s="253" t="s">
        <v>151</v>
      </c>
      <c r="AL3" s="291" t="s">
        <v>22</v>
      </c>
      <c r="AM3" s="253" t="s">
        <v>160</v>
      </c>
      <c r="AN3" s="253" t="s">
        <v>161</v>
      </c>
      <c r="AO3" s="253" t="s">
        <v>150</v>
      </c>
      <c r="AP3" s="253" t="s">
        <v>151</v>
      </c>
      <c r="AQ3" s="291" t="s">
        <v>23</v>
      </c>
      <c r="AR3" s="253" t="s">
        <v>162</v>
      </c>
      <c r="AS3" s="253" t="s">
        <v>163</v>
      </c>
      <c r="AT3" s="253" t="s">
        <v>150</v>
      </c>
      <c r="AU3" s="253" t="s">
        <v>151</v>
      </c>
      <c r="AV3" s="291" t="s">
        <v>24</v>
      </c>
      <c r="AW3" s="253" t="s">
        <v>164</v>
      </c>
      <c r="AX3" s="253" t="s">
        <v>165</v>
      </c>
      <c r="AY3" s="253" t="s">
        <v>150</v>
      </c>
      <c r="AZ3" s="253" t="s">
        <v>151</v>
      </c>
      <c r="BA3" s="291" t="s">
        <v>25</v>
      </c>
      <c r="BB3" s="253" t="s">
        <v>166</v>
      </c>
      <c r="BC3" s="253" t="s">
        <v>167</v>
      </c>
      <c r="BD3" s="253" t="s">
        <v>150</v>
      </c>
      <c r="BE3" s="253" t="s">
        <v>151</v>
      </c>
      <c r="BF3" s="291" t="s">
        <v>26</v>
      </c>
      <c r="BG3" s="253" t="s">
        <v>168</v>
      </c>
      <c r="BH3" s="253" t="s">
        <v>169</v>
      </c>
      <c r="BI3" s="253" t="s">
        <v>150</v>
      </c>
      <c r="BJ3" s="253" t="s">
        <v>151</v>
      </c>
      <c r="BK3" s="291" t="s">
        <v>27</v>
      </c>
      <c r="BL3" s="253" t="s">
        <v>170</v>
      </c>
      <c r="BM3" s="253" t="s">
        <v>171</v>
      </c>
      <c r="BN3" s="253" t="s">
        <v>150</v>
      </c>
      <c r="BO3" s="253" t="s">
        <v>151</v>
      </c>
    </row>
    <row r="4" spans="1:171" s="255" customFormat="1" ht="12.75">
      <c r="A4" s="148" t="s">
        <v>65</v>
      </c>
      <c r="B4" s="150" t="s">
        <v>66</v>
      </c>
      <c r="C4" s="150" t="s">
        <v>67</v>
      </c>
      <c r="D4" s="149">
        <v>1724571.47</v>
      </c>
      <c r="E4" s="273">
        <v>1500000</v>
      </c>
      <c r="F4" s="274">
        <v>2000000</v>
      </c>
      <c r="G4" s="275">
        <v>2020000</v>
      </c>
      <c r="H4" s="285"/>
      <c r="I4" s="288">
        <f>E4*7.46%</f>
        <v>111900</v>
      </c>
      <c r="J4" s="242">
        <f>G4/I4</f>
        <v>18.051831992850758</v>
      </c>
      <c r="K4" s="277">
        <f>E4*7.46%</f>
        <v>111900</v>
      </c>
      <c r="L4" s="242">
        <f>G4/K4</f>
        <v>18.051831992850758</v>
      </c>
      <c r="M4" s="278">
        <v>90685.244555172496</v>
      </c>
      <c r="N4" s="277">
        <f>E4*5.93%</f>
        <v>88950</v>
      </c>
      <c r="O4" s="243">
        <f>M4/N4</f>
        <v>1.0195080894342046</v>
      </c>
      <c r="P4" s="244">
        <f>E4*13.39%</f>
        <v>200850.00000000003</v>
      </c>
      <c r="Q4" s="243">
        <f>SUM(G4,M4)/P4</f>
        <v>10.508763975878377</v>
      </c>
      <c r="R4" s="256">
        <v>42539</v>
      </c>
      <c r="S4" s="270">
        <f>E4*8.31%</f>
        <v>124650.00000000001</v>
      </c>
      <c r="T4" s="258">
        <f>R4/S4</f>
        <v>0.34126754913758522</v>
      </c>
      <c r="U4" s="272">
        <f>E4*21.69%</f>
        <v>325350</v>
      </c>
      <c r="V4" s="258">
        <f>SUM(G4,M4,R4)/U4</f>
        <v>6.6181780991399188</v>
      </c>
      <c r="W4" s="260"/>
      <c r="X4" s="270">
        <f>E4*7.29%</f>
        <v>109350.00000000001</v>
      </c>
      <c r="Y4" s="258">
        <f>W4/X4</f>
        <v>0</v>
      </c>
      <c r="Z4" s="272">
        <f>E4*28.98%</f>
        <v>434700</v>
      </c>
      <c r="AA4" s="258">
        <f>SUM(G4,M4,R4,W4)/Z4</f>
        <v>4.9533569002879512</v>
      </c>
      <c r="AB4" s="260"/>
      <c r="AC4" s="270">
        <f>E4*11.02%</f>
        <v>165300</v>
      </c>
      <c r="AD4" s="258">
        <f>AB4/AC4</f>
        <v>0</v>
      </c>
      <c r="AE4" s="272">
        <f>E4*40%</f>
        <v>600000</v>
      </c>
      <c r="AF4" s="258">
        <f>SUM(G4,M4,R4,W4,AB4)/AE4</f>
        <v>3.5887070742586209</v>
      </c>
      <c r="AG4" s="260"/>
      <c r="AH4" s="270">
        <f>E4*12.03%</f>
        <v>180449.99999999997</v>
      </c>
      <c r="AI4" s="258">
        <f>AG4/AH4</f>
        <v>0</v>
      </c>
      <c r="AJ4" s="270">
        <f>E4*52.03%</f>
        <v>780450</v>
      </c>
      <c r="AK4" s="258">
        <f>SUM(G4,M4,R4,W4,AB4,AG4)/AJ4</f>
        <v>2.7589522000835065</v>
      </c>
      <c r="AL4" s="260"/>
      <c r="AM4" s="270">
        <f>E4*3.39%</f>
        <v>50850</v>
      </c>
      <c r="AN4" s="258">
        <f>AL4/AM4</f>
        <v>0</v>
      </c>
      <c r="AO4" s="270">
        <f>E4*55.42%</f>
        <v>831300</v>
      </c>
      <c r="AP4" s="258">
        <f>SUM(G4,M4,R4,W4,AB4,AG4,AL4)/AO4</f>
        <v>2.5901891550044178</v>
      </c>
      <c r="AQ4" s="260"/>
      <c r="AR4" s="270">
        <f>E4*9.83%</f>
        <v>147450</v>
      </c>
      <c r="AS4" s="258">
        <f>AQ4/AR4</f>
        <v>0</v>
      </c>
      <c r="AT4" s="270">
        <f>E4*65.25%</f>
        <v>978750</v>
      </c>
      <c r="AU4" s="258">
        <f>SUM(G4,M4,R4,W4,AB4,AG4,AL4,AQ4)/AT4</f>
        <v>2.1999736853692693</v>
      </c>
      <c r="AV4" s="260"/>
      <c r="AW4" s="270">
        <f>E4*10.85%</f>
        <v>162750</v>
      </c>
      <c r="AX4" s="258">
        <f>AV4/AW4</f>
        <v>0</v>
      </c>
      <c r="AY4" s="270">
        <f>E4*76.1%</f>
        <v>1141499.9999999998</v>
      </c>
      <c r="AZ4" s="258">
        <f>SUM(G4,M4,R4,W4,AB4,AG4,AL4,AQ4,AV4)/AY4</f>
        <v>1.8863112085459246</v>
      </c>
      <c r="BA4" s="260"/>
      <c r="BB4" s="270">
        <f>E4*6.1%</f>
        <v>91500</v>
      </c>
      <c r="BC4" s="258">
        <f>BA4/BB4</f>
        <v>0</v>
      </c>
      <c r="BD4" s="270">
        <f>E4*82.2%</f>
        <v>1233000</v>
      </c>
      <c r="BE4" s="258">
        <f>SUM(G4,M4,R4,W4,AB4,AG4,AL4,AQ4,AV4,BA4)/BD4</f>
        <v>1.7463294765248762</v>
      </c>
      <c r="BF4" s="260"/>
      <c r="BG4" s="270">
        <f>E4*6.44%</f>
        <v>96600</v>
      </c>
      <c r="BH4" s="258">
        <f>BF4/BG4</f>
        <v>0</v>
      </c>
      <c r="BI4" s="270">
        <f>E4*88.64%</f>
        <v>1329600</v>
      </c>
      <c r="BJ4" s="258">
        <f>SUM(G4,M4,R4,W4,AB4,AG4,AL4,AQ4,AV4,BA4,BF4)/BI4</f>
        <v>1.6194526508387279</v>
      </c>
      <c r="BK4" s="260"/>
      <c r="BL4" s="270">
        <f>E4*11.36%</f>
        <v>170400</v>
      </c>
      <c r="BM4" s="258">
        <f>BK4/BL4</f>
        <v>0</v>
      </c>
      <c r="BN4" s="271">
        <f>E4*100%</f>
        <v>1500000</v>
      </c>
      <c r="BO4" s="262">
        <f>SUM(G4,M4,R4,W4,AB4,AG4,AL4,AQ4,AV4,BA4,BF4,BK4)/BN4</f>
        <v>1.4354828297034483</v>
      </c>
    </row>
    <row r="5" spans="1:171" s="255" customFormat="1" ht="12.75">
      <c r="A5" s="148" t="s">
        <v>68</v>
      </c>
      <c r="B5" s="150" t="s">
        <v>7</v>
      </c>
      <c r="C5" s="150" t="s">
        <v>11</v>
      </c>
      <c r="D5" s="149">
        <v>424326.9</v>
      </c>
      <c r="E5" s="273">
        <v>375000</v>
      </c>
      <c r="F5" s="274">
        <v>550000</v>
      </c>
      <c r="G5" s="275">
        <v>600000</v>
      </c>
      <c r="H5" s="285"/>
      <c r="I5" s="288">
        <f t="shared" ref="I5:I8" si="0">E5*7.46%</f>
        <v>27975</v>
      </c>
      <c r="J5" s="242">
        <f t="shared" ref="J5:J11" si="1">G5/I5</f>
        <v>21.447721179624665</v>
      </c>
      <c r="K5" s="277">
        <f t="shared" ref="K5:K11" si="2">E5*7.46%</f>
        <v>27975</v>
      </c>
      <c r="L5" s="242">
        <f t="shared" ref="L5:L8" si="3">G5/K5</f>
        <v>21.447721179624665</v>
      </c>
      <c r="M5" s="279">
        <v>58526.815000000002</v>
      </c>
      <c r="N5" s="277">
        <f t="shared" ref="N5:N8" si="4">E5*5.93%</f>
        <v>22237.5</v>
      </c>
      <c r="O5" s="243">
        <f t="shared" ref="O5:O8" si="5">M5/N5</f>
        <v>2.63189724564362</v>
      </c>
      <c r="P5" s="244">
        <f>E5*13.39%</f>
        <v>50212.500000000007</v>
      </c>
      <c r="Q5" s="243">
        <f>SUM(G5,M5)/P5</f>
        <v>13.11479840677122</v>
      </c>
      <c r="R5" s="263">
        <v>61699</v>
      </c>
      <c r="S5" s="270">
        <f t="shared" ref="S5:S8" si="6">E5*8.31%</f>
        <v>31162.500000000004</v>
      </c>
      <c r="T5" s="258">
        <f t="shared" ref="T5:T8" si="7">R5/S5</f>
        <v>1.9799117529081425</v>
      </c>
      <c r="U5" s="272">
        <f t="shared" ref="U5:U8" si="8">E5*21.69%</f>
        <v>81337.5</v>
      </c>
      <c r="V5" s="258">
        <f t="shared" ref="V5:V8" si="9">SUM(G5,M5,R5)/U5</f>
        <v>8.8547818042108499</v>
      </c>
      <c r="W5" s="264"/>
      <c r="X5" s="270">
        <f t="shared" ref="X5:X8" si="10">E5*7.29%</f>
        <v>27337.500000000004</v>
      </c>
      <c r="Y5" s="258">
        <f t="shared" ref="Y5:Y8" si="11">W5/X5</f>
        <v>0</v>
      </c>
      <c r="Z5" s="272">
        <f t="shared" ref="Z5:Z8" si="12">E5*28.98%</f>
        <v>108675</v>
      </c>
      <c r="AA5" s="258">
        <f t="shared" ref="AA5:AA8" si="13">SUM(G5,M5,R5,W5)/Z5</f>
        <v>6.6273366919714745</v>
      </c>
      <c r="AB5" s="264"/>
      <c r="AC5" s="270">
        <f t="shared" ref="AC5:AC8" si="14">E5*11.02%</f>
        <v>41325</v>
      </c>
      <c r="AD5" s="258">
        <f t="shared" ref="AD5:AD8" si="15">AB5/AC5</f>
        <v>0</v>
      </c>
      <c r="AE5" s="272">
        <f t="shared" ref="AE5:AE8" si="16">E5*40%</f>
        <v>150000</v>
      </c>
      <c r="AF5" s="258">
        <f t="shared" ref="AF5:AF8" si="17">SUM(G5,M5,R5,W5,AB5)/AE5</f>
        <v>4.8015054333333334</v>
      </c>
      <c r="AG5" s="264"/>
      <c r="AH5" s="270">
        <f t="shared" ref="AH5:AH8" si="18">E5*12.03%</f>
        <v>45112.499999999993</v>
      </c>
      <c r="AI5" s="258">
        <f t="shared" ref="AI5:AI8" si="19">AG5/AH5</f>
        <v>0</v>
      </c>
      <c r="AJ5" s="270">
        <f t="shared" ref="AJ5:AJ8" si="20">E5*52.03%</f>
        <v>195112.5</v>
      </c>
      <c r="AK5" s="258">
        <f t="shared" ref="AK5:AK8" si="21">SUM(G5,M5,R5,W5,AB5,AG5)/AJ5</f>
        <v>3.6913361009673902</v>
      </c>
      <c r="AL5" s="264"/>
      <c r="AM5" s="270">
        <f t="shared" ref="AM5:AM8" si="22">E5*3.39%</f>
        <v>12712.5</v>
      </c>
      <c r="AN5" s="258">
        <f t="shared" ref="AN5:AN8" si="23">AL5/AM5</f>
        <v>0</v>
      </c>
      <c r="AO5" s="270">
        <f t="shared" ref="AO5:AO8" si="24">E5*55.42%</f>
        <v>207825</v>
      </c>
      <c r="AP5" s="258">
        <f t="shared" ref="AP5:AP8" si="25">SUM(G5,M5,R5,W5,AB5,AG5,AL5)/AO5</f>
        <v>3.4655398291832067</v>
      </c>
      <c r="AQ5" s="264"/>
      <c r="AR5" s="270">
        <f t="shared" ref="AR5:AR8" si="26">E5*9.83%</f>
        <v>36862.5</v>
      </c>
      <c r="AS5" s="258">
        <f t="shared" ref="AS5:AS8" si="27">AQ5/AR5</f>
        <v>0</v>
      </c>
      <c r="AT5" s="270">
        <f t="shared" ref="AT5:AT8" si="28">E5*65.25%</f>
        <v>244687.5</v>
      </c>
      <c r="AU5" s="258">
        <f t="shared" ref="AU5:AU8" si="29">SUM(G5,M5,R5,W5,AB5,AG5,AL5,AQ5)/AT5</f>
        <v>2.9434516066411236</v>
      </c>
      <c r="AV5" s="264"/>
      <c r="AW5" s="270">
        <f t="shared" ref="AW5:AW8" si="30">E5*10.85%</f>
        <v>40687.5</v>
      </c>
      <c r="AX5" s="258">
        <f t="shared" ref="AX5:AX8" si="31">AV5/AW5</f>
        <v>0</v>
      </c>
      <c r="AY5" s="270">
        <f t="shared" ref="AY5:AY8" si="32">E5*76.1%</f>
        <v>285374.99999999994</v>
      </c>
      <c r="AZ5" s="258">
        <f t="shared" ref="AZ5:AZ8" si="33">SUM(G5,M5,R5,W5,AB5,AG5,AL5,AQ5,AV5)/AY5</f>
        <v>2.5237873499780994</v>
      </c>
      <c r="BA5" s="264"/>
      <c r="BB5" s="270">
        <f t="shared" ref="BB5:BB8" si="34">E5*6.1%</f>
        <v>22875</v>
      </c>
      <c r="BC5" s="258">
        <f t="shared" ref="BC5:BC8" si="35">BA5/BB5</f>
        <v>0</v>
      </c>
      <c r="BD5" s="270">
        <f t="shared" ref="BD5:BD8" si="36">E5*82.2%</f>
        <v>308250</v>
      </c>
      <c r="BE5" s="258">
        <f t="shared" ref="BE5:BE8" si="37">SUM(G5,M5,R5,W5,AB5,AG5,AL5,AQ5,AV5,BA5)/BD5</f>
        <v>2.3364989943227896</v>
      </c>
      <c r="BF5" s="264"/>
      <c r="BG5" s="270">
        <f t="shared" ref="BG5:BG8" si="38">E5*6.44%</f>
        <v>24150</v>
      </c>
      <c r="BH5" s="258">
        <f t="shared" ref="BH5:BH8" si="39">BF5/BG5</f>
        <v>0</v>
      </c>
      <c r="BI5" s="270">
        <f t="shared" ref="BI5:BI8" si="40">E5*88.64%</f>
        <v>332400</v>
      </c>
      <c r="BJ5" s="258">
        <f t="shared" ref="BJ5:BJ8" si="41">SUM(G5,M5,R5,W5,AB5,AG5,AL5,AQ5,AV5,BA5,BF5)/BI5</f>
        <v>2.1667443291215402</v>
      </c>
      <c r="BK5" s="264"/>
      <c r="BL5" s="270">
        <f t="shared" ref="BL5:BL8" si="42">E5*11.36%</f>
        <v>42600</v>
      </c>
      <c r="BM5" s="258">
        <f t="shared" ref="BM5:BM8" si="43">BK5/BL5</f>
        <v>0</v>
      </c>
      <c r="BN5" s="271">
        <f t="shared" ref="BN5:BN8" si="44">E5*100%</f>
        <v>375000</v>
      </c>
      <c r="BO5" s="262">
        <f t="shared" ref="BO5:BO8" si="45">SUM(G5,M5,R5,W5,AB5,AG5,AL5,AQ5,AV5,BA5,BF5,BK5)/BN5</f>
        <v>1.9206021733333332</v>
      </c>
    </row>
    <row r="6" spans="1:171" s="255" customFormat="1" ht="12.75">
      <c r="A6" s="148" t="s">
        <v>69</v>
      </c>
      <c r="B6" s="150" t="s">
        <v>70</v>
      </c>
      <c r="C6" s="150" t="s">
        <v>71</v>
      </c>
      <c r="D6" s="149">
        <v>222325.64</v>
      </c>
      <c r="E6" s="273">
        <v>300000</v>
      </c>
      <c r="F6" s="274">
        <v>300000</v>
      </c>
      <c r="G6" s="275">
        <v>400000</v>
      </c>
      <c r="H6" s="285"/>
      <c r="I6" s="288">
        <f t="shared" si="0"/>
        <v>22380</v>
      </c>
      <c r="J6" s="242">
        <f t="shared" si="1"/>
        <v>17.873100983020553</v>
      </c>
      <c r="K6" s="277">
        <f t="shared" si="2"/>
        <v>22380</v>
      </c>
      <c r="L6" s="242">
        <f t="shared" si="3"/>
        <v>17.873100983020553</v>
      </c>
      <c r="M6" s="279">
        <v>4625.0006000000003</v>
      </c>
      <c r="N6" s="277">
        <f t="shared" si="4"/>
        <v>17790</v>
      </c>
      <c r="O6" s="243">
        <f t="shared" si="5"/>
        <v>0.25997754918493537</v>
      </c>
      <c r="P6" s="244">
        <f t="shared" ref="P6:P8" si="46">E6*13.39%</f>
        <v>40170.000000000007</v>
      </c>
      <c r="Q6" s="243">
        <f t="shared" ref="Q6:Q8" si="47">SUM(G6,M6)/P6</f>
        <v>10.072815548917101</v>
      </c>
      <c r="R6" s="263">
        <v>47679</v>
      </c>
      <c r="S6" s="270">
        <f t="shared" si="6"/>
        <v>24930.000000000004</v>
      </c>
      <c r="T6" s="258">
        <f t="shared" si="7"/>
        <v>1.91251504211793</v>
      </c>
      <c r="U6" s="272">
        <f t="shared" si="8"/>
        <v>65070</v>
      </c>
      <c r="V6" s="258">
        <f t="shared" si="9"/>
        <v>6.9510373536191796</v>
      </c>
      <c r="W6" s="264"/>
      <c r="X6" s="270">
        <f t="shared" si="10"/>
        <v>21870.000000000004</v>
      </c>
      <c r="Y6" s="258">
        <f t="shared" si="11"/>
        <v>0</v>
      </c>
      <c r="Z6" s="272">
        <f t="shared" si="12"/>
        <v>86940</v>
      </c>
      <c r="AA6" s="258">
        <f t="shared" si="13"/>
        <v>5.2024844789510007</v>
      </c>
      <c r="AB6" s="264"/>
      <c r="AC6" s="270">
        <f t="shared" si="14"/>
        <v>33060</v>
      </c>
      <c r="AD6" s="258">
        <f t="shared" si="15"/>
        <v>0</v>
      </c>
      <c r="AE6" s="272">
        <f t="shared" si="16"/>
        <v>120000</v>
      </c>
      <c r="AF6" s="258">
        <f t="shared" si="17"/>
        <v>3.7692000050000001</v>
      </c>
      <c r="AG6" s="264"/>
      <c r="AH6" s="270">
        <f t="shared" si="18"/>
        <v>36090</v>
      </c>
      <c r="AI6" s="258">
        <f t="shared" si="19"/>
        <v>0</v>
      </c>
      <c r="AJ6" s="270">
        <f t="shared" si="20"/>
        <v>156090</v>
      </c>
      <c r="AK6" s="258">
        <f t="shared" si="21"/>
        <v>2.8977128618104939</v>
      </c>
      <c r="AL6" s="264"/>
      <c r="AM6" s="270">
        <f t="shared" si="22"/>
        <v>10170</v>
      </c>
      <c r="AN6" s="258">
        <f t="shared" si="23"/>
        <v>0</v>
      </c>
      <c r="AO6" s="270">
        <f t="shared" si="24"/>
        <v>166260</v>
      </c>
      <c r="AP6" s="258">
        <f t="shared" si="25"/>
        <v>2.7204619307109348</v>
      </c>
      <c r="AQ6" s="264"/>
      <c r="AR6" s="270">
        <f t="shared" si="26"/>
        <v>29490</v>
      </c>
      <c r="AS6" s="258">
        <f t="shared" si="27"/>
        <v>0</v>
      </c>
      <c r="AT6" s="270">
        <f t="shared" si="28"/>
        <v>195750</v>
      </c>
      <c r="AU6" s="258">
        <f t="shared" si="29"/>
        <v>2.3106206927203066</v>
      </c>
      <c r="AV6" s="264"/>
      <c r="AW6" s="270">
        <f t="shared" si="30"/>
        <v>32550</v>
      </c>
      <c r="AX6" s="258">
        <f t="shared" si="31"/>
        <v>0</v>
      </c>
      <c r="AY6" s="270">
        <f t="shared" si="32"/>
        <v>228299.99999999997</v>
      </c>
      <c r="AZ6" s="258">
        <f t="shared" si="33"/>
        <v>1.9811826570302238</v>
      </c>
      <c r="BA6" s="264"/>
      <c r="BB6" s="270">
        <f t="shared" si="34"/>
        <v>18300</v>
      </c>
      <c r="BC6" s="258">
        <f t="shared" si="35"/>
        <v>0</v>
      </c>
      <c r="BD6" s="270">
        <f t="shared" si="36"/>
        <v>246600.00000000003</v>
      </c>
      <c r="BE6" s="258">
        <f t="shared" si="37"/>
        <v>1.8341605863746957</v>
      </c>
      <c r="BF6" s="264"/>
      <c r="BG6" s="270">
        <f t="shared" si="38"/>
        <v>19320</v>
      </c>
      <c r="BH6" s="258">
        <f t="shared" si="39"/>
        <v>0</v>
      </c>
      <c r="BI6" s="270">
        <f t="shared" si="40"/>
        <v>265920</v>
      </c>
      <c r="BJ6" s="258">
        <f t="shared" si="41"/>
        <v>1.70090252933213</v>
      </c>
      <c r="BK6" s="264"/>
      <c r="BL6" s="270">
        <f t="shared" si="42"/>
        <v>34080</v>
      </c>
      <c r="BM6" s="258">
        <f t="shared" si="43"/>
        <v>0</v>
      </c>
      <c r="BN6" s="271">
        <f t="shared" si="44"/>
        <v>300000</v>
      </c>
      <c r="BO6" s="262">
        <f t="shared" si="45"/>
        <v>1.5076800020000001</v>
      </c>
    </row>
    <row r="7" spans="1:171" s="255" customFormat="1" ht="12.75">
      <c r="A7" s="148" t="s">
        <v>72</v>
      </c>
      <c r="B7" s="150" t="s">
        <v>73</v>
      </c>
      <c r="C7" s="150" t="s">
        <v>74</v>
      </c>
      <c r="D7" s="149">
        <v>560456.78</v>
      </c>
      <c r="E7" s="273">
        <v>300000</v>
      </c>
      <c r="F7" s="274">
        <v>650000</v>
      </c>
      <c r="G7" s="275">
        <v>730000</v>
      </c>
      <c r="H7" s="285"/>
      <c r="I7" s="288">
        <f t="shared" si="0"/>
        <v>22380</v>
      </c>
      <c r="J7" s="242">
        <f t="shared" si="1"/>
        <v>32.618409294012508</v>
      </c>
      <c r="K7" s="277">
        <f t="shared" si="2"/>
        <v>22380</v>
      </c>
      <c r="L7" s="242">
        <f t="shared" si="3"/>
        <v>32.618409294012508</v>
      </c>
      <c r="M7" s="279">
        <v>28718.2168206026</v>
      </c>
      <c r="N7" s="277">
        <f t="shared" si="4"/>
        <v>17790</v>
      </c>
      <c r="O7" s="243">
        <f t="shared" si="5"/>
        <v>1.6142898718719842</v>
      </c>
      <c r="P7" s="244">
        <f t="shared" si="46"/>
        <v>40170.000000000007</v>
      </c>
      <c r="Q7" s="243">
        <f t="shared" si="47"/>
        <v>18.887682768747883</v>
      </c>
      <c r="R7" s="263">
        <v>1950</v>
      </c>
      <c r="S7" s="270">
        <f>E7*8.31%</f>
        <v>24930.000000000004</v>
      </c>
      <c r="T7" s="258">
        <f t="shared" si="7"/>
        <v>7.8219013237063761E-2</v>
      </c>
      <c r="U7" s="272">
        <f t="shared" si="8"/>
        <v>65070</v>
      </c>
      <c r="V7" s="258">
        <f t="shared" si="9"/>
        <v>11.689998721693602</v>
      </c>
      <c r="W7" s="264"/>
      <c r="X7" s="270">
        <f t="shared" si="10"/>
        <v>21870.000000000004</v>
      </c>
      <c r="Y7" s="258">
        <f t="shared" si="11"/>
        <v>0</v>
      </c>
      <c r="Z7" s="272">
        <f t="shared" si="12"/>
        <v>86940</v>
      </c>
      <c r="AA7" s="258">
        <f t="shared" si="13"/>
        <v>8.749346869342105</v>
      </c>
      <c r="AB7" s="264"/>
      <c r="AC7" s="270">
        <f t="shared" si="14"/>
        <v>33060</v>
      </c>
      <c r="AD7" s="258">
        <f t="shared" si="15"/>
        <v>0</v>
      </c>
      <c r="AE7" s="272">
        <f t="shared" si="16"/>
        <v>120000</v>
      </c>
      <c r="AF7" s="258">
        <f t="shared" si="17"/>
        <v>6.3389018068383551</v>
      </c>
      <c r="AG7" s="264"/>
      <c r="AH7" s="270">
        <f t="shared" si="18"/>
        <v>36090</v>
      </c>
      <c r="AI7" s="258">
        <f t="shared" si="19"/>
        <v>0</v>
      </c>
      <c r="AJ7" s="270">
        <f t="shared" si="20"/>
        <v>156090</v>
      </c>
      <c r="AK7" s="258">
        <f t="shared" si="21"/>
        <v>4.8732668128682342</v>
      </c>
      <c r="AL7" s="264"/>
      <c r="AM7" s="270">
        <f t="shared" si="22"/>
        <v>10170</v>
      </c>
      <c r="AN7" s="258">
        <f t="shared" si="23"/>
        <v>0</v>
      </c>
      <c r="AO7" s="270">
        <f t="shared" si="24"/>
        <v>166260</v>
      </c>
      <c r="AP7" s="258">
        <f t="shared" si="25"/>
        <v>4.5751727223661893</v>
      </c>
      <c r="AQ7" s="264"/>
      <c r="AR7" s="270">
        <f t="shared" si="26"/>
        <v>29490</v>
      </c>
      <c r="AS7" s="258">
        <f t="shared" si="27"/>
        <v>0</v>
      </c>
      <c r="AT7" s="270">
        <f t="shared" si="28"/>
        <v>195750</v>
      </c>
      <c r="AU7" s="258">
        <f t="shared" si="29"/>
        <v>3.8859168164526317</v>
      </c>
      <c r="AV7" s="264"/>
      <c r="AW7" s="270">
        <f t="shared" si="30"/>
        <v>32550</v>
      </c>
      <c r="AX7" s="258">
        <f t="shared" si="31"/>
        <v>0</v>
      </c>
      <c r="AY7" s="270">
        <f t="shared" si="32"/>
        <v>228299.99999999997</v>
      </c>
      <c r="AZ7" s="258">
        <f t="shared" si="33"/>
        <v>3.3318800561568231</v>
      </c>
      <c r="BA7" s="264"/>
      <c r="BB7" s="270">
        <f t="shared" si="34"/>
        <v>18300</v>
      </c>
      <c r="BC7" s="258">
        <f t="shared" si="35"/>
        <v>0</v>
      </c>
      <c r="BD7" s="270">
        <f t="shared" si="36"/>
        <v>246600.00000000003</v>
      </c>
      <c r="BE7" s="258">
        <f t="shared" si="37"/>
        <v>3.0846237502863039</v>
      </c>
      <c r="BF7" s="264"/>
      <c r="BG7" s="270">
        <f t="shared" si="38"/>
        <v>19320</v>
      </c>
      <c r="BH7" s="258">
        <f t="shared" si="39"/>
        <v>0</v>
      </c>
      <c r="BI7" s="270">
        <f t="shared" si="40"/>
        <v>265920</v>
      </c>
      <c r="BJ7" s="258">
        <f t="shared" si="41"/>
        <v>2.8605152557934819</v>
      </c>
      <c r="BK7" s="264"/>
      <c r="BL7" s="270">
        <f t="shared" si="42"/>
        <v>34080</v>
      </c>
      <c r="BM7" s="258">
        <f t="shared" si="43"/>
        <v>0</v>
      </c>
      <c r="BN7" s="271">
        <f t="shared" si="44"/>
        <v>300000</v>
      </c>
      <c r="BO7" s="262">
        <f t="shared" si="45"/>
        <v>2.5355607227353421</v>
      </c>
    </row>
    <row r="8" spans="1:171" s="255" customFormat="1" ht="12.75">
      <c r="A8" s="148" t="s">
        <v>75</v>
      </c>
      <c r="B8" s="150" t="s">
        <v>76</v>
      </c>
      <c r="C8" s="150" t="s">
        <v>77</v>
      </c>
      <c r="D8" s="149">
        <v>652643.46</v>
      </c>
      <c r="E8" s="273">
        <v>600000</v>
      </c>
      <c r="F8" s="274">
        <v>700000</v>
      </c>
      <c r="G8" s="275">
        <v>770000</v>
      </c>
      <c r="H8" s="285"/>
      <c r="I8" s="288">
        <f t="shared" si="0"/>
        <v>44760</v>
      </c>
      <c r="J8" s="242">
        <f t="shared" si="1"/>
        <v>17.202859696157283</v>
      </c>
      <c r="K8" s="277">
        <f t="shared" si="2"/>
        <v>44760</v>
      </c>
      <c r="L8" s="242">
        <f t="shared" si="3"/>
        <v>17.202859696157283</v>
      </c>
      <c r="M8" s="280">
        <v>0</v>
      </c>
      <c r="N8" s="277">
        <f t="shared" si="4"/>
        <v>35580</v>
      </c>
      <c r="O8" s="243">
        <f t="shared" si="5"/>
        <v>0</v>
      </c>
      <c r="P8" s="244">
        <f t="shared" si="46"/>
        <v>80340.000000000015</v>
      </c>
      <c r="Q8" s="243">
        <f t="shared" si="47"/>
        <v>9.584266865820263</v>
      </c>
      <c r="R8" s="263">
        <v>29795</v>
      </c>
      <c r="S8" s="270">
        <f t="shared" si="6"/>
        <v>49860.000000000007</v>
      </c>
      <c r="T8" s="258">
        <f t="shared" si="7"/>
        <v>0.59757320497392696</v>
      </c>
      <c r="U8" s="272">
        <f t="shared" si="8"/>
        <v>130140</v>
      </c>
      <c r="V8" s="258">
        <f t="shared" si="9"/>
        <v>6.1456508375595513</v>
      </c>
      <c r="W8" s="264"/>
      <c r="X8" s="270">
        <f t="shared" si="10"/>
        <v>43740.000000000007</v>
      </c>
      <c r="Y8" s="258">
        <f t="shared" si="11"/>
        <v>0</v>
      </c>
      <c r="Z8" s="272">
        <f t="shared" si="12"/>
        <v>173880</v>
      </c>
      <c r="AA8" s="258">
        <f t="shared" si="13"/>
        <v>4.5996951920864966</v>
      </c>
      <c r="AB8" s="264"/>
      <c r="AC8" s="270">
        <f t="shared" si="14"/>
        <v>66120</v>
      </c>
      <c r="AD8" s="258">
        <f t="shared" si="15"/>
        <v>0</v>
      </c>
      <c r="AE8" s="272">
        <f t="shared" si="16"/>
        <v>240000</v>
      </c>
      <c r="AF8" s="258">
        <f t="shared" si="17"/>
        <v>3.3324791666666669</v>
      </c>
      <c r="AG8" s="264"/>
      <c r="AH8" s="270">
        <f t="shared" si="18"/>
        <v>72180</v>
      </c>
      <c r="AI8" s="258">
        <f t="shared" si="19"/>
        <v>0</v>
      </c>
      <c r="AJ8" s="270">
        <f t="shared" si="20"/>
        <v>312180</v>
      </c>
      <c r="AK8" s="258">
        <f t="shared" si="21"/>
        <v>2.5619674546735856</v>
      </c>
      <c r="AL8" s="264"/>
      <c r="AM8" s="270">
        <f t="shared" si="22"/>
        <v>20340</v>
      </c>
      <c r="AN8" s="258">
        <f t="shared" si="23"/>
        <v>0</v>
      </c>
      <c r="AO8" s="270">
        <f t="shared" si="24"/>
        <v>332520</v>
      </c>
      <c r="AP8" s="258">
        <f t="shared" si="25"/>
        <v>2.4052538193191388</v>
      </c>
      <c r="AQ8" s="264"/>
      <c r="AR8" s="270">
        <f t="shared" si="26"/>
        <v>58980</v>
      </c>
      <c r="AS8" s="258">
        <f t="shared" si="27"/>
        <v>0</v>
      </c>
      <c r="AT8" s="270">
        <f t="shared" si="28"/>
        <v>391500</v>
      </c>
      <c r="AU8" s="258">
        <f t="shared" si="29"/>
        <v>2.0428991060025541</v>
      </c>
      <c r="AV8" s="264"/>
      <c r="AW8" s="270">
        <f t="shared" si="30"/>
        <v>65100</v>
      </c>
      <c r="AX8" s="258">
        <f t="shared" si="31"/>
        <v>0</v>
      </c>
      <c r="AY8" s="270">
        <f t="shared" si="32"/>
        <v>456599.99999999994</v>
      </c>
      <c r="AZ8" s="258">
        <f t="shared" si="33"/>
        <v>1.7516316250547528</v>
      </c>
      <c r="BA8" s="264"/>
      <c r="BB8" s="270">
        <f t="shared" si="34"/>
        <v>36600</v>
      </c>
      <c r="BC8" s="258">
        <f t="shared" si="35"/>
        <v>0</v>
      </c>
      <c r="BD8" s="270">
        <f t="shared" si="36"/>
        <v>493200.00000000006</v>
      </c>
      <c r="BE8" s="258">
        <f t="shared" si="37"/>
        <v>1.6216443633414435</v>
      </c>
      <c r="BF8" s="264"/>
      <c r="BG8" s="270">
        <f t="shared" si="38"/>
        <v>38640</v>
      </c>
      <c r="BH8" s="258">
        <f t="shared" si="39"/>
        <v>0</v>
      </c>
      <c r="BI8" s="270">
        <f t="shared" si="40"/>
        <v>531840</v>
      </c>
      <c r="BJ8" s="258">
        <f t="shared" si="41"/>
        <v>1.5038263387484958</v>
      </c>
      <c r="BK8" s="264"/>
      <c r="BL8" s="270">
        <f t="shared" si="42"/>
        <v>68160</v>
      </c>
      <c r="BM8" s="258">
        <f t="shared" si="43"/>
        <v>0</v>
      </c>
      <c r="BN8" s="271">
        <f t="shared" si="44"/>
        <v>600000</v>
      </c>
      <c r="BO8" s="262">
        <f t="shared" si="45"/>
        <v>1.3329916666666666</v>
      </c>
    </row>
    <row r="9" spans="1:171" s="255" customFormat="1" ht="12.75">
      <c r="A9" s="148" t="s">
        <v>78</v>
      </c>
      <c r="B9" s="150" t="s">
        <v>79</v>
      </c>
      <c r="C9" s="150" t="s">
        <v>80</v>
      </c>
      <c r="D9" s="149">
        <v>226938.06</v>
      </c>
      <c r="E9" s="273">
        <v>200000</v>
      </c>
      <c r="F9" s="274">
        <v>300000</v>
      </c>
      <c r="G9" s="275">
        <v>350000</v>
      </c>
      <c r="H9" s="285"/>
      <c r="I9" s="283">
        <v>26309.940717769601</v>
      </c>
      <c r="J9" s="242">
        <f t="shared" si="1"/>
        <v>13.302956618355729</v>
      </c>
      <c r="K9" s="277">
        <f t="shared" si="2"/>
        <v>14920</v>
      </c>
      <c r="L9" s="242">
        <f>G9/K9</f>
        <v>23.458445040214478</v>
      </c>
      <c r="M9" s="280">
        <v>1</v>
      </c>
      <c r="N9" s="277">
        <f>E9*5.93%</f>
        <v>11860</v>
      </c>
      <c r="O9" s="243">
        <f t="shared" ref="O9:O11" si="48">M9/N9</f>
        <v>8.4317032040472176E-5</v>
      </c>
      <c r="P9" s="244">
        <f>E9*13.39%</f>
        <v>26780.000000000004</v>
      </c>
      <c r="Q9" s="243">
        <f>SUM(G9,M9)/P9</f>
        <v>13.069492158327108</v>
      </c>
      <c r="R9" s="263">
        <v>29796</v>
      </c>
      <c r="S9" s="270">
        <f>E9*8.31%</f>
        <v>16620</v>
      </c>
      <c r="T9" s="258">
        <f t="shared" ref="T9:T11" si="49">R9/S9</f>
        <v>1.7927797833935017</v>
      </c>
      <c r="U9" s="272">
        <f>E9*21.69%</f>
        <v>43380</v>
      </c>
      <c r="V9" s="258">
        <f>SUM(G9,M9,R9)/U9</f>
        <v>8.7551175656984785</v>
      </c>
      <c r="W9" s="264"/>
      <c r="X9" s="270">
        <f>E9*7.29%</f>
        <v>14580.000000000002</v>
      </c>
      <c r="Y9" s="258">
        <f t="shared" ref="Y9:Y11" si="50">W9/X9</f>
        <v>0</v>
      </c>
      <c r="Z9" s="272">
        <f>E9*28.98%</f>
        <v>57960</v>
      </c>
      <c r="AA9" s="258">
        <f>SUM(G9,M9,R9,W9)/Z9</f>
        <v>6.5527432712215319</v>
      </c>
      <c r="AB9" s="264"/>
      <c r="AC9" s="270">
        <f>E9*11.02%</f>
        <v>22040</v>
      </c>
      <c r="AD9" s="258">
        <f t="shared" ref="AD9:AD11" si="51">AB9/AC9</f>
        <v>0</v>
      </c>
      <c r="AE9" s="272">
        <f>E9*40%</f>
        <v>80000</v>
      </c>
      <c r="AF9" s="258">
        <f>SUM(G9,M9,R9,W9,AB9)/AE9</f>
        <v>4.7474625000000001</v>
      </c>
      <c r="AG9" s="264"/>
      <c r="AH9" s="270">
        <f>E9*12.03%</f>
        <v>24059.999999999996</v>
      </c>
      <c r="AI9" s="258">
        <f t="shared" ref="AI9:AI11" si="52">AG9/AH9</f>
        <v>0</v>
      </c>
      <c r="AJ9" s="270">
        <f>E9*52.03%</f>
        <v>104060</v>
      </c>
      <c r="AK9" s="258">
        <f>SUM(G9,M9,R9,W9,AB9,AG9)/AJ9</f>
        <v>3.6497885835095136</v>
      </c>
      <c r="AL9" s="264"/>
      <c r="AM9" s="270">
        <f>E9*3.39%</f>
        <v>6780</v>
      </c>
      <c r="AN9" s="258">
        <f t="shared" ref="AN9:AN11" si="53">AL9/AM9</f>
        <v>0</v>
      </c>
      <c r="AO9" s="270">
        <f>E9*55.42%</f>
        <v>110840</v>
      </c>
      <c r="AP9" s="258">
        <f>SUM(G9,M9,R9,W9,AB9,AG9,AL9)/AO9</f>
        <v>3.4265337423312885</v>
      </c>
      <c r="AQ9" s="264"/>
      <c r="AR9" s="270">
        <f>E9*9.83%</f>
        <v>19660</v>
      </c>
      <c r="AS9" s="258">
        <f t="shared" ref="AS9:AS11" si="54">AQ9/AR9</f>
        <v>0</v>
      </c>
      <c r="AT9" s="270">
        <f>E9*65.25%</f>
        <v>130500</v>
      </c>
      <c r="AU9" s="258">
        <f>SUM(G9,M9,R9,W9,AB9,AG9,AL9,AQ9)/AT9</f>
        <v>2.9103218390804599</v>
      </c>
      <c r="AV9" s="264"/>
      <c r="AW9" s="270">
        <f>E9*10.85%</f>
        <v>21700</v>
      </c>
      <c r="AX9" s="258">
        <f t="shared" ref="AX9:AX11" si="55">AV9/AW9</f>
        <v>0</v>
      </c>
      <c r="AY9" s="270">
        <f>E9*76.1%</f>
        <v>152199.99999999997</v>
      </c>
      <c r="AZ9" s="258">
        <f>SUM(G9,M9,R9,W9,AB9,AG9,AL9,AQ9,AV9)/AY9</f>
        <v>2.4953810775295668</v>
      </c>
      <c r="BA9" s="264"/>
      <c r="BB9" s="270">
        <f>E9*6.1%</f>
        <v>12200</v>
      </c>
      <c r="BC9" s="258">
        <f t="shared" ref="BC9:BC11" si="56">BA9/BB9</f>
        <v>0</v>
      </c>
      <c r="BD9" s="270">
        <f>E9*82.2%</f>
        <v>164400</v>
      </c>
      <c r="BE9" s="258">
        <f>SUM(G9,M9,R9,W9,AB9,AG9,AL9,AQ9,AV9,BA9)/BD9</f>
        <v>2.3102007299270073</v>
      </c>
      <c r="BF9" s="264"/>
      <c r="BG9" s="270">
        <f>E9*6.44%</f>
        <v>12880</v>
      </c>
      <c r="BH9" s="258">
        <f t="shared" ref="BH9:BH11" si="57">BF9/BG9</f>
        <v>0</v>
      </c>
      <c r="BI9" s="270">
        <f>E9*88.64%</f>
        <v>177280</v>
      </c>
      <c r="BJ9" s="258">
        <f>SUM(G9,M9,R9,W9,AB9,AG9,AL9,AQ9,AV9,BA9,BF9)/BI9</f>
        <v>2.1423567238267149</v>
      </c>
      <c r="BK9" s="264"/>
      <c r="BL9" s="270">
        <f>E9*11.36%</f>
        <v>22720</v>
      </c>
      <c r="BM9" s="258">
        <f t="shared" ref="BM9:BM11" si="58">BK9/BL9</f>
        <v>0</v>
      </c>
      <c r="BN9" s="271">
        <f>E9*100%</f>
        <v>200000</v>
      </c>
      <c r="BO9" s="262">
        <f>SUM(G9,M9,R9,W9,AB9,AG9,AL9,AQ9,AV9,BA9,BF9,BK9)/BN9</f>
        <v>1.8989849999999999</v>
      </c>
    </row>
    <row r="10" spans="1:171" s="281" customFormat="1" ht="12.75">
      <c r="A10" s="81" t="s">
        <v>81</v>
      </c>
      <c r="B10" s="81" t="s">
        <v>82</v>
      </c>
      <c r="C10" s="81" t="s">
        <v>83</v>
      </c>
      <c r="D10" s="82">
        <v>213577.61</v>
      </c>
      <c r="E10" s="273">
        <v>200000</v>
      </c>
      <c r="F10" s="274">
        <v>325000</v>
      </c>
      <c r="G10" s="275">
        <v>350000</v>
      </c>
      <c r="H10" s="285"/>
      <c r="I10" s="283">
        <v>9074.5499999999993</v>
      </c>
      <c r="J10" s="242">
        <f t="shared" si="1"/>
        <v>38.569405645459007</v>
      </c>
      <c r="K10" s="277">
        <f t="shared" si="2"/>
        <v>14920</v>
      </c>
      <c r="L10" s="242">
        <f>G10/K10</f>
        <v>23.458445040214478</v>
      </c>
      <c r="M10" s="280">
        <v>2</v>
      </c>
      <c r="N10" s="277">
        <f>E10*5.93%</f>
        <v>11860</v>
      </c>
      <c r="O10" s="243">
        <f t="shared" si="48"/>
        <v>1.6863406408094435E-4</v>
      </c>
      <c r="P10" s="244">
        <f>E10*13.39%</f>
        <v>26780.000000000004</v>
      </c>
      <c r="Q10" s="243">
        <f>SUM(G10,M10)/P10</f>
        <v>13.069529499626585</v>
      </c>
      <c r="R10" s="263">
        <v>29797</v>
      </c>
      <c r="S10" s="270">
        <f>E10*8.31%</f>
        <v>16620</v>
      </c>
      <c r="T10" s="258">
        <f t="shared" si="49"/>
        <v>1.7928399518652227</v>
      </c>
      <c r="U10" s="272">
        <f>E10*21.69%</f>
        <v>43380</v>
      </c>
      <c r="V10" s="258">
        <f>SUM(G10,M10,R10)/U10</f>
        <v>8.7551636698939603</v>
      </c>
      <c r="W10" s="264"/>
      <c r="X10" s="270">
        <f>E10*7.29%</f>
        <v>14580.000000000002</v>
      </c>
      <c r="Y10" s="258">
        <f t="shared" si="50"/>
        <v>0</v>
      </c>
      <c r="Z10" s="272">
        <f>E10*28.98%</f>
        <v>57960</v>
      </c>
      <c r="AA10" s="258">
        <f>SUM(G10,M10,R10,W10)/Z10</f>
        <v>6.552777777777778</v>
      </c>
      <c r="AB10" s="264"/>
      <c r="AC10" s="270">
        <f>E10*11.02%</f>
        <v>22040</v>
      </c>
      <c r="AD10" s="258">
        <f t="shared" si="51"/>
        <v>0</v>
      </c>
      <c r="AE10" s="272">
        <f>E10*40%</f>
        <v>80000</v>
      </c>
      <c r="AF10" s="258">
        <f>SUM(G10,M10,R10,W10,AB10)/AE10</f>
        <v>4.7474875000000001</v>
      </c>
      <c r="AG10" s="264"/>
      <c r="AH10" s="270">
        <f>E10*12.03%</f>
        <v>24059.999999999996</v>
      </c>
      <c r="AI10" s="258">
        <f t="shared" si="52"/>
        <v>0</v>
      </c>
      <c r="AJ10" s="270">
        <f>E10*52.03%</f>
        <v>104060</v>
      </c>
      <c r="AK10" s="258">
        <f>SUM(G10,M10,R10,W10,AB10,AG10)/AJ10</f>
        <v>3.649807803190467</v>
      </c>
      <c r="AL10" s="264"/>
      <c r="AM10" s="270">
        <f>E10*3.39%</f>
        <v>6780</v>
      </c>
      <c r="AN10" s="258">
        <f t="shared" si="53"/>
        <v>0</v>
      </c>
      <c r="AO10" s="270">
        <f>E10*55.42%</f>
        <v>110840</v>
      </c>
      <c r="AP10" s="258">
        <f>SUM(G10,M10,R10,W10,AB10,AG10,AL10)/AO10</f>
        <v>3.4265517863587154</v>
      </c>
      <c r="AQ10" s="264"/>
      <c r="AR10" s="270">
        <f>E10*9.83%</f>
        <v>19660</v>
      </c>
      <c r="AS10" s="258">
        <f t="shared" si="54"/>
        <v>0</v>
      </c>
      <c r="AT10" s="270">
        <f>E10*65.25%</f>
        <v>130500</v>
      </c>
      <c r="AU10" s="258">
        <f>SUM(G10,M10,R10,W10,AB10,AG10,AL10,AQ10)/AT10</f>
        <v>2.9103371647509579</v>
      </c>
      <c r="AV10" s="264"/>
      <c r="AW10" s="270">
        <f>E10*10.85%</f>
        <v>21700</v>
      </c>
      <c r="AX10" s="258">
        <f t="shared" si="55"/>
        <v>0</v>
      </c>
      <c r="AY10" s="270">
        <f>E10*76.1%</f>
        <v>152199.99999999997</v>
      </c>
      <c r="AZ10" s="258">
        <f>SUM(G10,M10,R10,W10,AB10,AG10,AL10,AQ10,AV10)/AY10</f>
        <v>2.4953942181340345</v>
      </c>
      <c r="BA10" s="264"/>
      <c r="BB10" s="270">
        <f>E10*6.1%</f>
        <v>12200</v>
      </c>
      <c r="BC10" s="258">
        <f t="shared" si="56"/>
        <v>0</v>
      </c>
      <c r="BD10" s="270">
        <f>E10*82.2%</f>
        <v>164400</v>
      </c>
      <c r="BE10" s="258">
        <f>SUM(G10,M10,R10,W10,AB10,AG10,AL10,AQ10,AV10,BA10)/BD10</f>
        <v>2.3102128953771288</v>
      </c>
      <c r="BF10" s="264"/>
      <c r="BG10" s="270">
        <f>E10*6.44%</f>
        <v>12880</v>
      </c>
      <c r="BH10" s="258">
        <f t="shared" si="57"/>
        <v>0</v>
      </c>
      <c r="BI10" s="270">
        <f>E10*88.64%</f>
        <v>177280</v>
      </c>
      <c r="BJ10" s="258">
        <f>SUM(G10,M10,R10,W10,AB10,AG10,AL10,AQ10,AV10,BA10,BF10)/BI10</f>
        <v>2.1423680054151624</v>
      </c>
      <c r="BK10" s="264"/>
      <c r="BL10" s="270">
        <f>E10*11.36%</f>
        <v>22720</v>
      </c>
      <c r="BM10" s="258">
        <f t="shared" si="58"/>
        <v>0</v>
      </c>
      <c r="BN10" s="271">
        <f>E10*100%</f>
        <v>200000</v>
      </c>
      <c r="BO10" s="262">
        <f>SUM(G10,M10,R10,W10,AB10,AG10,AL10,AQ10,AV10,BA10,BF10,BK10)/BN10</f>
        <v>1.898995</v>
      </c>
      <c r="BP10" s="255"/>
      <c r="BQ10" s="255"/>
      <c r="BR10" s="255"/>
      <c r="BS10" s="255"/>
      <c r="BT10" s="255"/>
      <c r="BU10" s="255"/>
      <c r="BV10" s="255"/>
      <c r="BW10" s="255"/>
      <c r="BX10" s="255"/>
      <c r="BY10" s="255"/>
      <c r="BZ10" s="255"/>
      <c r="CA10" s="255"/>
      <c r="CB10" s="255"/>
      <c r="CC10" s="255"/>
      <c r="CD10" s="255"/>
      <c r="CE10" s="255"/>
      <c r="CF10" s="255"/>
      <c r="CG10" s="255"/>
      <c r="CH10" s="255"/>
      <c r="CI10" s="255"/>
      <c r="CJ10" s="255"/>
      <c r="CK10" s="255"/>
      <c r="CL10" s="255"/>
      <c r="CM10" s="255"/>
      <c r="CN10" s="255"/>
      <c r="CO10" s="255"/>
      <c r="CP10" s="255"/>
      <c r="CQ10" s="255"/>
      <c r="CR10" s="255"/>
      <c r="CS10" s="255"/>
      <c r="CT10" s="255"/>
      <c r="CU10" s="255"/>
      <c r="CV10" s="255"/>
      <c r="CW10" s="255"/>
      <c r="CX10" s="255"/>
      <c r="CY10" s="255"/>
      <c r="CZ10" s="255"/>
      <c r="DA10" s="255"/>
      <c r="DB10" s="255"/>
      <c r="DC10" s="255"/>
      <c r="DD10" s="255"/>
      <c r="DE10" s="255"/>
      <c r="DF10" s="255"/>
      <c r="DG10" s="255"/>
      <c r="DH10" s="255"/>
      <c r="DI10" s="255"/>
      <c r="DJ10" s="255"/>
      <c r="DK10" s="255"/>
      <c r="DL10" s="255"/>
      <c r="DM10" s="255"/>
      <c r="DN10" s="255"/>
      <c r="DO10" s="255"/>
      <c r="DP10" s="255"/>
      <c r="DQ10" s="255"/>
      <c r="DR10" s="255"/>
      <c r="DS10" s="255"/>
      <c r="DT10" s="255"/>
      <c r="DU10" s="255"/>
      <c r="DV10" s="255"/>
      <c r="DW10" s="255"/>
      <c r="DX10" s="255"/>
      <c r="DY10" s="255"/>
      <c r="DZ10" s="255"/>
      <c r="EA10" s="255"/>
      <c r="EB10" s="255"/>
      <c r="EC10" s="255"/>
      <c r="ED10" s="255"/>
      <c r="EE10" s="255"/>
      <c r="EF10" s="255"/>
      <c r="EG10" s="255"/>
      <c r="EH10" s="255"/>
      <c r="EI10" s="255"/>
      <c r="EJ10" s="255"/>
      <c r="EK10" s="255"/>
      <c r="EL10" s="255"/>
      <c r="EM10" s="255"/>
      <c r="EN10" s="255"/>
      <c r="EO10" s="255"/>
      <c r="EP10" s="255"/>
      <c r="EQ10" s="255"/>
      <c r="ER10" s="255"/>
      <c r="ES10" s="255"/>
      <c r="ET10" s="255"/>
      <c r="EU10" s="255"/>
      <c r="EV10" s="255"/>
      <c r="EW10" s="255"/>
      <c r="EX10" s="255"/>
      <c r="EY10" s="255"/>
      <c r="EZ10" s="255"/>
      <c r="FA10" s="255"/>
      <c r="FB10" s="255"/>
      <c r="FC10" s="255"/>
      <c r="FD10" s="255"/>
      <c r="FE10" s="255"/>
      <c r="FF10" s="255"/>
      <c r="FG10" s="255"/>
      <c r="FH10" s="255"/>
      <c r="FI10" s="255"/>
      <c r="FJ10" s="255"/>
      <c r="FK10" s="255"/>
      <c r="FL10" s="255"/>
      <c r="FM10" s="255"/>
      <c r="FN10" s="255"/>
      <c r="FO10" s="255"/>
    </row>
    <row r="11" spans="1:171" s="255" customFormat="1" ht="12.75">
      <c r="A11" s="81" t="s">
        <v>84</v>
      </c>
      <c r="B11" s="81" t="s">
        <v>85</v>
      </c>
      <c r="C11" s="81" t="s">
        <v>86</v>
      </c>
      <c r="D11" s="82">
        <v>0</v>
      </c>
      <c r="E11" s="273">
        <v>0</v>
      </c>
      <c r="F11" s="274">
        <v>200000</v>
      </c>
      <c r="G11" s="276" t="s">
        <v>15</v>
      </c>
      <c r="H11" s="287"/>
      <c r="I11" s="289">
        <v>0</v>
      </c>
      <c r="J11" s="242" t="e">
        <f t="shared" si="1"/>
        <v>#VALUE!</v>
      </c>
      <c r="K11" s="241">
        <f t="shared" si="2"/>
        <v>0</v>
      </c>
      <c r="L11" s="242" t="e">
        <f>G11/K11</f>
        <v>#VALUE!</v>
      </c>
      <c r="M11" s="266">
        <v>3</v>
      </c>
      <c r="N11" s="241">
        <f>E11*5.93%</f>
        <v>0</v>
      </c>
      <c r="O11" s="243" t="e">
        <f t="shared" si="48"/>
        <v>#DIV/0!</v>
      </c>
      <c r="P11" s="244">
        <f>E11*13.39%</f>
        <v>0</v>
      </c>
      <c r="Q11" s="243" t="e">
        <f>SUM(G11,M11)/P11</f>
        <v>#DIV/0!</v>
      </c>
      <c r="R11" s="263">
        <v>29798</v>
      </c>
      <c r="S11" s="270">
        <f>E11*8.31%</f>
        <v>0</v>
      </c>
      <c r="T11" s="258" t="e">
        <f t="shared" si="49"/>
        <v>#DIV/0!</v>
      </c>
      <c r="U11" s="272">
        <f>E11*21.69%</f>
        <v>0</v>
      </c>
      <c r="V11" s="258" t="e">
        <f>SUM(G11,M11,R11)/U11</f>
        <v>#DIV/0!</v>
      </c>
      <c r="W11" s="264"/>
      <c r="X11" s="270">
        <f>E11*7.29%</f>
        <v>0</v>
      </c>
      <c r="Y11" s="258" t="e">
        <f t="shared" si="50"/>
        <v>#DIV/0!</v>
      </c>
      <c r="Z11" s="272">
        <f>E11*28.98%</f>
        <v>0</v>
      </c>
      <c r="AA11" s="258" t="e">
        <f>SUM(G11,M11,R11,W11)/Z11</f>
        <v>#DIV/0!</v>
      </c>
      <c r="AB11" s="264"/>
      <c r="AC11" s="270">
        <f>E11*11.02%</f>
        <v>0</v>
      </c>
      <c r="AD11" s="258" t="e">
        <f t="shared" si="51"/>
        <v>#DIV/0!</v>
      </c>
      <c r="AE11" s="272">
        <f>E11*40%</f>
        <v>0</v>
      </c>
      <c r="AF11" s="258" t="e">
        <f>SUM(G11,M11,R11,W11,AB11)/AE11</f>
        <v>#DIV/0!</v>
      </c>
      <c r="AG11" s="264"/>
      <c r="AH11" s="270">
        <f>E11*12.03%</f>
        <v>0</v>
      </c>
      <c r="AI11" s="258" t="e">
        <f t="shared" si="52"/>
        <v>#DIV/0!</v>
      </c>
      <c r="AJ11" s="270">
        <f>E11*52.03%</f>
        <v>0</v>
      </c>
      <c r="AK11" s="258" t="e">
        <f>SUM(G11,M11,R11,W11,AB11,AG11)/AJ11</f>
        <v>#DIV/0!</v>
      </c>
      <c r="AL11" s="264"/>
      <c r="AM11" s="270">
        <f>E11*3.39%</f>
        <v>0</v>
      </c>
      <c r="AN11" s="258" t="e">
        <f t="shared" si="53"/>
        <v>#DIV/0!</v>
      </c>
      <c r="AO11" s="270">
        <f>E11*55.42%</f>
        <v>0</v>
      </c>
      <c r="AP11" s="258" t="e">
        <f>SUM(G11,M11,R11,W11,AB11,AG11,AL11)/AO11</f>
        <v>#DIV/0!</v>
      </c>
      <c r="AQ11" s="264"/>
      <c r="AR11" s="270">
        <f>E11*9.83%</f>
        <v>0</v>
      </c>
      <c r="AS11" s="258" t="e">
        <f t="shared" si="54"/>
        <v>#DIV/0!</v>
      </c>
      <c r="AT11" s="270">
        <f>E11*65.25%</f>
        <v>0</v>
      </c>
      <c r="AU11" s="258" t="e">
        <f>SUM(G11,M11,R11,W11,AB11,AG11,AL11,AQ11)/AT11</f>
        <v>#DIV/0!</v>
      </c>
      <c r="AV11" s="264"/>
      <c r="AW11" s="270">
        <f>E11*10.85%</f>
        <v>0</v>
      </c>
      <c r="AX11" s="258" t="e">
        <f t="shared" si="55"/>
        <v>#DIV/0!</v>
      </c>
      <c r="AY11" s="270">
        <f>E11*76.1%</f>
        <v>0</v>
      </c>
      <c r="AZ11" s="258" t="e">
        <f>SUM(G11,M11,R11,W11,AB11,AG11,AL11,AQ11,AV11)/AY11</f>
        <v>#DIV/0!</v>
      </c>
      <c r="BA11" s="264"/>
      <c r="BB11" s="270">
        <f>E11*6.1%</f>
        <v>0</v>
      </c>
      <c r="BC11" s="258" t="e">
        <f t="shared" si="56"/>
        <v>#DIV/0!</v>
      </c>
      <c r="BD11" s="270">
        <f>E11*82.2%</f>
        <v>0</v>
      </c>
      <c r="BE11" s="258" t="e">
        <f>SUM(G11,M11,R11,W11,AB11,AG11,AL11,AQ11,AV11,BA11)/BD11</f>
        <v>#DIV/0!</v>
      </c>
      <c r="BF11" s="264"/>
      <c r="BG11" s="270">
        <f>E11*6.44%</f>
        <v>0</v>
      </c>
      <c r="BH11" s="258" t="e">
        <f t="shared" si="57"/>
        <v>#DIV/0!</v>
      </c>
      <c r="BI11" s="270">
        <f>E11*88.64%</f>
        <v>0</v>
      </c>
      <c r="BJ11" s="258" t="e">
        <f>SUM(G11,M11,R11,W11,AB11,AG11,AL11,AQ11,AV11,BA11,BF11)/BI11</f>
        <v>#DIV/0!</v>
      </c>
      <c r="BK11" s="264"/>
      <c r="BL11" s="270">
        <f>E11*11.36%</f>
        <v>0</v>
      </c>
      <c r="BM11" s="258" t="e">
        <f t="shared" si="58"/>
        <v>#DIV/0!</v>
      </c>
      <c r="BN11" s="271">
        <f>E11*100%</f>
        <v>0</v>
      </c>
      <c r="BO11" s="262" t="e">
        <f>SUM(G11,M11,R11,W11,AB11,AG11,AL11,AQ11,AV11,BA11,BF11,BK11)/BN11</f>
        <v>#DIV/0!</v>
      </c>
    </row>
    <row r="12" spans="1:171">
      <c r="F12" s="178"/>
      <c r="G12" s="76"/>
      <c r="H12" s="76"/>
      <c r="I12" s="1"/>
      <c r="J12" s="1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171" s="145" customFormat="1" ht="15.75" thickBot="1">
      <c r="F13" s="1"/>
      <c r="G13" s="76"/>
      <c r="H13" s="76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</row>
    <row r="14" spans="1:171" ht="15.75" thickBot="1">
      <c r="A14" s="164"/>
      <c r="B14" s="168" t="s">
        <v>121</v>
      </c>
      <c r="C14" s="169" t="s">
        <v>122</v>
      </c>
      <c r="D14" s="168" t="s">
        <v>123</v>
      </c>
      <c r="E14" s="169" t="s">
        <v>124</v>
      </c>
      <c r="F14" s="181" t="s">
        <v>125</v>
      </c>
      <c r="G14" s="180" t="s">
        <v>126</v>
      </c>
      <c r="H14" s="251"/>
    </row>
    <row r="15" spans="1:171">
      <c r="A15" s="8" t="s">
        <v>16</v>
      </c>
      <c r="B15" s="75">
        <v>200190</v>
      </c>
      <c r="C15" s="74">
        <v>13</v>
      </c>
      <c r="D15" s="10">
        <v>0</v>
      </c>
      <c r="E15" s="11">
        <v>0</v>
      </c>
      <c r="F15" s="144">
        <v>230000</v>
      </c>
      <c r="G15" s="143" t="str">
        <f>IF(D15=0, "",D15-F15)</f>
        <v/>
      </c>
      <c r="H15" s="196"/>
      <c r="I15" s="189"/>
    </row>
    <row r="16" spans="1:171">
      <c r="A16" s="8" t="s">
        <v>17</v>
      </c>
      <c r="B16" s="75">
        <v>366293</v>
      </c>
      <c r="C16" s="74">
        <v>26</v>
      </c>
      <c r="D16" s="167">
        <v>0</v>
      </c>
      <c r="E16" s="11">
        <v>0</v>
      </c>
      <c r="F16" s="171">
        <v>410000</v>
      </c>
      <c r="G16" s="15" t="str">
        <f t="shared" ref="G16:G27" si="59">IF(D16=0, "",D16-F16)</f>
        <v/>
      </c>
      <c r="H16" s="196"/>
      <c r="I16" s="189"/>
    </row>
    <row r="17" spans="1:9">
      <c r="A17" s="8" t="s">
        <v>18</v>
      </c>
      <c r="B17" s="75">
        <v>429444</v>
      </c>
      <c r="C17" s="74">
        <v>26</v>
      </c>
      <c r="D17" s="167">
        <v>0</v>
      </c>
      <c r="E17" s="11">
        <v>0</v>
      </c>
      <c r="F17" s="171">
        <v>485000</v>
      </c>
      <c r="G17" s="15" t="str">
        <f t="shared" si="59"/>
        <v/>
      </c>
      <c r="H17" s="196"/>
      <c r="I17" s="189"/>
    </row>
    <row r="18" spans="1:9">
      <c r="A18" s="8" t="s">
        <v>19</v>
      </c>
      <c r="B18" s="75">
        <v>516130</v>
      </c>
      <c r="C18" s="74">
        <v>26</v>
      </c>
      <c r="D18" s="167">
        <v>0</v>
      </c>
      <c r="E18" s="11">
        <v>0</v>
      </c>
      <c r="F18" s="171">
        <v>580000</v>
      </c>
      <c r="G18" s="15" t="str">
        <f t="shared" si="59"/>
        <v/>
      </c>
      <c r="H18" s="196"/>
      <c r="I18" s="189"/>
    </row>
    <row r="19" spans="1:9">
      <c r="A19" s="8" t="s">
        <v>20</v>
      </c>
      <c r="B19" s="72">
        <v>323952</v>
      </c>
      <c r="C19" s="74">
        <v>22</v>
      </c>
      <c r="D19" s="167">
        <v>0</v>
      </c>
      <c r="E19" s="11">
        <v>0</v>
      </c>
      <c r="F19" s="171">
        <v>365000</v>
      </c>
      <c r="G19" s="15" t="str">
        <f t="shared" si="59"/>
        <v/>
      </c>
      <c r="H19" s="196"/>
      <c r="I19" s="189"/>
    </row>
    <row r="20" spans="1:9">
      <c r="A20" s="8" t="s">
        <v>21</v>
      </c>
      <c r="B20" s="75">
        <v>641009</v>
      </c>
      <c r="C20" s="74">
        <v>39</v>
      </c>
      <c r="D20" s="167">
        <v>0</v>
      </c>
      <c r="E20" s="11">
        <v>0</v>
      </c>
      <c r="F20" s="171">
        <v>720000</v>
      </c>
      <c r="G20" s="15" t="str">
        <f t="shared" si="59"/>
        <v/>
      </c>
      <c r="H20" s="196"/>
      <c r="I20" s="189"/>
    </row>
    <row r="21" spans="1:9">
      <c r="A21" s="8" t="s">
        <v>22</v>
      </c>
      <c r="B21" s="75">
        <v>90014</v>
      </c>
      <c r="C21" s="74">
        <v>7</v>
      </c>
      <c r="D21" s="167">
        <v>0</v>
      </c>
      <c r="E21" s="11">
        <v>0</v>
      </c>
      <c r="F21" s="171">
        <v>100000</v>
      </c>
      <c r="G21" s="15" t="str">
        <f t="shared" si="59"/>
        <v/>
      </c>
      <c r="H21" s="196"/>
      <c r="I21" s="189"/>
    </row>
    <row r="22" spans="1:9">
      <c r="A22" s="8" t="s">
        <v>23</v>
      </c>
      <c r="B22" s="75">
        <v>253705</v>
      </c>
      <c r="C22" s="74">
        <v>16</v>
      </c>
      <c r="D22" s="167">
        <v>0</v>
      </c>
      <c r="E22" s="11">
        <v>0</v>
      </c>
      <c r="F22" s="171">
        <v>285000</v>
      </c>
      <c r="G22" s="15" t="str">
        <f t="shared" si="59"/>
        <v/>
      </c>
      <c r="H22" s="196"/>
      <c r="I22" s="189"/>
    </row>
    <row r="23" spans="1:9">
      <c r="A23" s="8" t="s">
        <v>24</v>
      </c>
      <c r="B23" s="75">
        <v>490393</v>
      </c>
      <c r="C23" s="74">
        <v>30</v>
      </c>
      <c r="D23" s="167">
        <v>0</v>
      </c>
      <c r="E23" s="11">
        <v>0</v>
      </c>
      <c r="F23" s="171">
        <v>550000</v>
      </c>
      <c r="G23" s="15" t="str">
        <f t="shared" si="59"/>
        <v/>
      </c>
      <c r="H23" s="196"/>
      <c r="I23" s="189"/>
    </row>
    <row r="24" spans="1:9">
      <c r="A24" s="8" t="s">
        <v>25</v>
      </c>
      <c r="B24" s="75">
        <v>415694</v>
      </c>
      <c r="C24" s="74">
        <v>28</v>
      </c>
      <c r="D24" s="167">
        <v>0</v>
      </c>
      <c r="E24" s="11">
        <v>0</v>
      </c>
      <c r="F24" s="171">
        <v>470000</v>
      </c>
      <c r="G24" s="15" t="str">
        <f t="shared" si="59"/>
        <v/>
      </c>
      <c r="H24" s="196"/>
      <c r="I24" s="189"/>
    </row>
    <row r="25" spans="1:9">
      <c r="A25" s="8" t="s">
        <v>26</v>
      </c>
      <c r="B25" s="75">
        <v>292075</v>
      </c>
      <c r="C25" s="73">
        <v>20</v>
      </c>
      <c r="D25" s="167">
        <v>0</v>
      </c>
      <c r="E25" s="11">
        <v>0</v>
      </c>
      <c r="F25" s="171">
        <v>330000</v>
      </c>
      <c r="G25" s="15" t="str">
        <f t="shared" si="59"/>
        <v/>
      </c>
      <c r="H25" s="196"/>
      <c r="I25" s="189"/>
    </row>
    <row r="26" spans="1:9" ht="15.75" thickBot="1">
      <c r="A26" s="8" t="s">
        <v>27</v>
      </c>
      <c r="B26" s="75">
        <v>444686</v>
      </c>
      <c r="C26" s="74">
        <v>23</v>
      </c>
      <c r="D26" s="4"/>
      <c r="E26" s="11">
        <v>0</v>
      </c>
      <c r="F26" s="172">
        <v>500000</v>
      </c>
      <c r="G26" s="16" t="str">
        <f t="shared" si="59"/>
        <v/>
      </c>
      <c r="H26" s="196"/>
      <c r="I26" s="189"/>
    </row>
    <row r="27" spans="1:9" ht="15.75" thickBot="1">
      <c r="A27" s="9"/>
      <c r="B27" s="17">
        <f>SUM(B15:B26)</f>
        <v>4463585</v>
      </c>
      <c r="C27" s="23">
        <f>SUM(C15:C26)</f>
        <v>276</v>
      </c>
      <c r="D27" s="140">
        <f>SUM(D15:D26)</f>
        <v>0</v>
      </c>
      <c r="E27" s="25">
        <f>SUM(E15:E26)</f>
        <v>0</v>
      </c>
      <c r="F27" s="174">
        <f>SUM(F15:F26)</f>
        <v>5025000</v>
      </c>
      <c r="G27" s="182" t="str">
        <f t="shared" si="59"/>
        <v/>
      </c>
      <c r="H27" s="196"/>
    </row>
    <row r="28" spans="1:9" ht="15.75" thickBot="1"/>
    <row r="29" spans="1:9" ht="45.75" thickBot="1">
      <c r="E29" s="147" t="s">
        <v>134</v>
      </c>
      <c r="F29" s="142">
        <f>D27/F27</f>
        <v>0</v>
      </c>
    </row>
  </sheetData>
  <mergeCells count="1">
    <mergeCell ref="A3:C3"/>
  </mergeCells>
  <pageMargins left="0.7" right="0.7" top="0.7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N27"/>
  <sheetViews>
    <sheetView workbookViewId="0">
      <selection activeCell="C16" sqref="C16"/>
    </sheetView>
  </sheetViews>
  <sheetFormatPr defaultRowHeight="15" outlineLevelCol="1"/>
  <cols>
    <col min="1" max="1" width="10.5703125" customWidth="1"/>
    <col min="2" max="2" width="14.28515625" bestFit="1" customWidth="1"/>
    <col min="3" max="3" width="10.85546875" customWidth="1"/>
    <col min="4" max="4" width="12.5703125" bestFit="1" customWidth="1"/>
    <col min="5" max="5" width="12.42578125" style="3" customWidth="1"/>
    <col min="6" max="6" width="19" customWidth="1"/>
    <col min="7" max="7" width="20.5703125" bestFit="1" customWidth="1"/>
    <col min="8" max="8" width="11.7109375" bestFit="1" customWidth="1"/>
    <col min="9" max="9" width="12.5703125" hidden="1" customWidth="1" outlineLevel="1"/>
    <col min="10" max="10" width="9.140625" hidden="1" customWidth="1" outlineLevel="1"/>
    <col min="11" max="11" width="11.7109375" hidden="1" customWidth="1" outlineLevel="1"/>
    <col min="12" max="12" width="9.140625" hidden="1" customWidth="1" outlineLevel="1"/>
    <col min="13" max="13" width="10.7109375" bestFit="1" customWidth="1" collapsed="1"/>
    <col min="14" max="14" width="11.7109375" hidden="1" customWidth="1" outlineLevel="1"/>
    <col min="15" max="15" width="0" hidden="1" customWidth="1" outlineLevel="1"/>
    <col min="16" max="16" width="11.7109375" hidden="1" customWidth="1" outlineLevel="1"/>
    <col min="17" max="17" width="0" hidden="1" customWidth="1" outlineLevel="1"/>
    <col min="18" max="18" width="11" bestFit="1" customWidth="1" collapsed="1"/>
    <col min="19" max="19" width="12" bestFit="1" customWidth="1" outlineLevel="1"/>
    <col min="20" max="20" width="12.42578125" customWidth="1" outlineLevel="1"/>
    <col min="21" max="21" width="12" bestFit="1" customWidth="1" outlineLevel="1"/>
    <col min="22" max="22" width="9.140625" outlineLevel="1"/>
    <col min="24" max="24" width="12" bestFit="1" customWidth="1" outlineLevel="1"/>
    <col min="25" max="25" width="9.140625" outlineLevel="1"/>
    <col min="26" max="26" width="12" bestFit="1" customWidth="1" outlineLevel="1"/>
    <col min="27" max="27" width="9.140625" outlineLevel="1"/>
    <col min="29" max="29" width="12" bestFit="1" customWidth="1" outlineLevel="1"/>
    <col min="30" max="30" width="9.140625" outlineLevel="1"/>
    <col min="31" max="31" width="12" bestFit="1" customWidth="1" outlineLevel="1"/>
    <col min="32" max="32" width="9.140625" outlineLevel="1"/>
    <col min="34" max="34" width="12" bestFit="1" customWidth="1" outlineLevel="1"/>
    <col min="35" max="35" width="9.140625" outlineLevel="1"/>
    <col min="36" max="36" width="12" bestFit="1" customWidth="1" outlineLevel="1"/>
    <col min="37" max="37" width="9.140625" outlineLevel="1"/>
    <col min="39" max="39" width="11" bestFit="1" customWidth="1" outlineLevel="1"/>
    <col min="40" max="40" width="9.140625" outlineLevel="1"/>
    <col min="41" max="41" width="13.5703125" bestFit="1" customWidth="1" outlineLevel="1"/>
    <col min="42" max="42" width="9.140625" outlineLevel="1"/>
    <col min="44" max="44" width="12" bestFit="1" customWidth="1" outlineLevel="1"/>
    <col min="45" max="45" width="9.140625" outlineLevel="1"/>
    <col min="46" max="46" width="13.5703125" bestFit="1" customWidth="1" outlineLevel="1"/>
    <col min="47" max="47" width="9.140625" outlineLevel="1"/>
    <col min="49" max="49" width="12" bestFit="1" customWidth="1" outlineLevel="1"/>
    <col min="50" max="50" width="9.140625" outlineLevel="1"/>
    <col min="51" max="51" width="13.5703125" bestFit="1" customWidth="1" outlineLevel="1"/>
    <col min="52" max="52" width="9.140625" outlineLevel="1"/>
    <col min="54" max="54" width="12" bestFit="1" customWidth="1" outlineLevel="1"/>
    <col min="55" max="55" width="9.140625" outlineLevel="1"/>
    <col min="56" max="56" width="13.5703125" bestFit="1" customWidth="1" outlineLevel="1"/>
    <col min="57" max="57" width="9.140625" outlineLevel="1"/>
    <col min="59" max="59" width="12" bestFit="1" customWidth="1" outlineLevel="1"/>
    <col min="60" max="60" width="9.140625" outlineLevel="1"/>
    <col min="61" max="61" width="13.5703125" bestFit="1" customWidth="1" outlineLevel="1"/>
    <col min="62" max="62" width="9.140625" outlineLevel="1"/>
    <col min="64" max="64" width="12" bestFit="1" customWidth="1" outlineLevel="1"/>
    <col min="65" max="65" width="9.140625" outlineLevel="1"/>
    <col min="66" max="66" width="13.5703125" bestFit="1" customWidth="1" outlineLevel="1"/>
    <col min="67" max="67" width="9.140625" outlineLevel="1"/>
  </cols>
  <sheetData>
    <row r="1" spans="1:170" ht="21">
      <c r="A1" s="146" t="s">
        <v>118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</row>
    <row r="2" spans="1:170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K2" s="136"/>
      <c r="EL2" s="136"/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36"/>
      <c r="FE2" s="136"/>
      <c r="FF2" s="136"/>
      <c r="FG2" s="136"/>
      <c r="FH2" s="136"/>
      <c r="FI2" s="136"/>
      <c r="FJ2" s="136"/>
      <c r="FK2" s="136"/>
      <c r="FL2" s="136"/>
      <c r="FM2" s="136"/>
      <c r="FN2" s="136"/>
    </row>
    <row r="3" spans="1:170" ht="25.5">
      <c r="A3" s="334" t="s">
        <v>0</v>
      </c>
      <c r="B3" s="335"/>
      <c r="C3" s="336"/>
      <c r="D3" s="192" t="s">
        <v>1</v>
      </c>
      <c r="E3" s="193" t="s">
        <v>2</v>
      </c>
      <c r="F3" s="194" t="s">
        <v>119</v>
      </c>
      <c r="G3" s="195" t="s">
        <v>120</v>
      </c>
      <c r="H3" s="291" t="s">
        <v>16</v>
      </c>
      <c r="I3" s="253" t="s">
        <v>172</v>
      </c>
      <c r="J3" s="253" t="s">
        <v>173</v>
      </c>
      <c r="K3" s="253" t="s">
        <v>150</v>
      </c>
      <c r="L3" s="253" t="s">
        <v>151</v>
      </c>
      <c r="M3" s="293" t="s">
        <v>17</v>
      </c>
      <c r="N3" s="253" t="s">
        <v>148</v>
      </c>
      <c r="O3" s="253" t="s">
        <v>149</v>
      </c>
      <c r="P3" s="253" t="s">
        <v>150</v>
      </c>
      <c r="Q3" s="253" t="s">
        <v>151</v>
      </c>
      <c r="R3" s="291" t="s">
        <v>18</v>
      </c>
      <c r="S3" s="253" t="s">
        <v>152</v>
      </c>
      <c r="T3" s="253" t="s">
        <v>153</v>
      </c>
      <c r="U3" s="253" t="s">
        <v>150</v>
      </c>
      <c r="V3" s="253" t="s">
        <v>151</v>
      </c>
      <c r="W3" s="291" t="s">
        <v>19</v>
      </c>
      <c r="X3" s="253" t="s">
        <v>154</v>
      </c>
      <c r="Y3" s="253" t="s">
        <v>155</v>
      </c>
      <c r="Z3" s="253" t="s">
        <v>150</v>
      </c>
      <c r="AA3" s="253" t="s">
        <v>151</v>
      </c>
      <c r="AB3" s="291" t="s">
        <v>20</v>
      </c>
      <c r="AC3" s="253" t="s">
        <v>156</v>
      </c>
      <c r="AD3" s="253" t="s">
        <v>157</v>
      </c>
      <c r="AE3" s="253" t="s">
        <v>150</v>
      </c>
      <c r="AF3" s="253" t="s">
        <v>151</v>
      </c>
      <c r="AG3" s="291" t="s">
        <v>21</v>
      </c>
      <c r="AH3" s="253" t="s">
        <v>158</v>
      </c>
      <c r="AI3" s="253" t="s">
        <v>159</v>
      </c>
      <c r="AJ3" s="253" t="s">
        <v>150</v>
      </c>
      <c r="AK3" s="253" t="s">
        <v>151</v>
      </c>
      <c r="AL3" s="291" t="s">
        <v>22</v>
      </c>
      <c r="AM3" s="253" t="s">
        <v>160</v>
      </c>
      <c r="AN3" s="253" t="s">
        <v>161</v>
      </c>
      <c r="AO3" s="253" t="s">
        <v>150</v>
      </c>
      <c r="AP3" s="253" t="s">
        <v>151</v>
      </c>
      <c r="AQ3" s="291" t="s">
        <v>23</v>
      </c>
      <c r="AR3" s="253" t="s">
        <v>162</v>
      </c>
      <c r="AS3" s="253" t="s">
        <v>163</v>
      </c>
      <c r="AT3" s="253" t="s">
        <v>150</v>
      </c>
      <c r="AU3" s="253" t="s">
        <v>151</v>
      </c>
      <c r="AV3" s="291" t="s">
        <v>24</v>
      </c>
      <c r="AW3" s="253" t="s">
        <v>164</v>
      </c>
      <c r="AX3" s="253" t="s">
        <v>165</v>
      </c>
      <c r="AY3" s="253" t="s">
        <v>150</v>
      </c>
      <c r="AZ3" s="253" t="s">
        <v>151</v>
      </c>
      <c r="BA3" s="291" t="s">
        <v>25</v>
      </c>
      <c r="BB3" s="253" t="s">
        <v>166</v>
      </c>
      <c r="BC3" s="253" t="s">
        <v>167</v>
      </c>
      <c r="BD3" s="253" t="s">
        <v>150</v>
      </c>
      <c r="BE3" s="253" t="s">
        <v>151</v>
      </c>
      <c r="BF3" s="291" t="s">
        <v>26</v>
      </c>
      <c r="BG3" s="253" t="s">
        <v>168</v>
      </c>
      <c r="BH3" s="253" t="s">
        <v>169</v>
      </c>
      <c r="BI3" s="253" t="s">
        <v>150</v>
      </c>
      <c r="BJ3" s="253" t="s">
        <v>151</v>
      </c>
      <c r="BK3" s="291" t="s">
        <v>27</v>
      </c>
      <c r="BL3" s="253" t="s">
        <v>170</v>
      </c>
      <c r="BM3" s="253" t="s">
        <v>171</v>
      </c>
      <c r="BN3" s="253" t="s">
        <v>150</v>
      </c>
      <c r="BO3" s="253" t="s">
        <v>151</v>
      </c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  <c r="CT3" s="145"/>
      <c r="CU3" s="145"/>
      <c r="CV3" s="145"/>
      <c r="CW3" s="145"/>
      <c r="CX3" s="145"/>
      <c r="CY3" s="145"/>
      <c r="CZ3" s="145"/>
      <c r="DA3" s="145"/>
      <c r="DB3" s="145"/>
      <c r="DC3" s="145"/>
      <c r="DD3" s="145"/>
      <c r="DE3" s="145"/>
      <c r="DF3" s="145"/>
      <c r="DG3" s="145"/>
      <c r="DH3" s="145"/>
      <c r="DI3" s="145"/>
      <c r="DJ3" s="145"/>
      <c r="DK3" s="145"/>
      <c r="DL3" s="145"/>
      <c r="DM3" s="145"/>
      <c r="DN3" s="145"/>
      <c r="DO3" s="145"/>
      <c r="DP3" s="145"/>
      <c r="DQ3" s="145"/>
      <c r="DR3" s="145"/>
      <c r="DS3" s="145"/>
      <c r="DT3" s="145"/>
      <c r="DU3" s="145"/>
      <c r="DV3" s="145"/>
      <c r="DW3" s="145"/>
      <c r="DX3" s="145"/>
      <c r="DY3" s="145"/>
      <c r="DZ3" s="145"/>
      <c r="EA3" s="145"/>
      <c r="EB3" s="145"/>
      <c r="EC3" s="145"/>
      <c r="ED3" s="145"/>
      <c r="EE3" s="145"/>
      <c r="EF3" s="145"/>
      <c r="EG3" s="145"/>
      <c r="EH3" s="145"/>
      <c r="EI3" s="145"/>
      <c r="EJ3" s="145"/>
      <c r="EK3" s="145"/>
      <c r="EL3" s="145"/>
      <c r="EM3" s="145"/>
      <c r="EN3" s="145"/>
      <c r="EO3" s="145"/>
      <c r="EP3" s="145"/>
      <c r="EQ3" s="145"/>
      <c r="ER3" s="145"/>
      <c r="ES3" s="145"/>
      <c r="ET3" s="145"/>
      <c r="EU3" s="145"/>
      <c r="EV3" s="145"/>
      <c r="EW3" s="145"/>
      <c r="EX3" s="145"/>
      <c r="EY3" s="145"/>
      <c r="EZ3" s="145"/>
      <c r="FA3" s="145"/>
      <c r="FB3" s="145"/>
      <c r="FC3" s="145"/>
      <c r="FD3" s="145"/>
      <c r="FE3" s="145"/>
      <c r="FF3" s="145"/>
      <c r="FG3" s="145"/>
      <c r="FH3" s="145"/>
      <c r="FI3" s="145"/>
      <c r="FJ3" s="145"/>
      <c r="FK3" s="145"/>
      <c r="FL3" s="145"/>
      <c r="FM3" s="145"/>
      <c r="FN3" s="145"/>
    </row>
    <row r="4" spans="1:170">
      <c r="A4" s="148" t="s">
        <v>3</v>
      </c>
      <c r="B4" s="150" t="s">
        <v>4</v>
      </c>
      <c r="C4" s="150" t="s">
        <v>5</v>
      </c>
      <c r="D4" s="149">
        <v>286696.81</v>
      </c>
      <c r="E4" s="161">
        <v>400000</v>
      </c>
      <c r="F4" s="151">
        <v>300000</v>
      </c>
      <c r="G4" s="152">
        <v>440000</v>
      </c>
      <c r="H4" s="237">
        <v>44629.999356190798</v>
      </c>
      <c r="I4" s="241">
        <f>F4*7.46%</f>
        <v>22380</v>
      </c>
      <c r="J4" s="242">
        <f>H4/I4</f>
        <v>1.994191213413351</v>
      </c>
      <c r="K4" s="241">
        <f>F4*7.46%</f>
        <v>22380</v>
      </c>
      <c r="L4" s="242">
        <f>H4/K4</f>
        <v>1.994191213413351</v>
      </c>
      <c r="M4" s="239">
        <v>90685.244555172496</v>
      </c>
      <c r="N4" s="241">
        <f>F4*5.93%</f>
        <v>17790</v>
      </c>
      <c r="O4" s="243">
        <f>M4/N4</f>
        <v>5.0975404471710224</v>
      </c>
      <c r="P4" s="244">
        <f>F4*13.39%</f>
        <v>40170.000000000007</v>
      </c>
      <c r="Q4" s="243">
        <f>SUM(H4,M4)/P4</f>
        <v>3.3685646978183539</v>
      </c>
      <c r="R4" s="256">
        <v>42539</v>
      </c>
      <c r="S4" s="257">
        <f>F4*8.31%</f>
        <v>24930.000000000004</v>
      </c>
      <c r="T4" s="258">
        <f>R4/S4</f>
        <v>1.7063377456879258</v>
      </c>
      <c r="U4" s="259">
        <f>F4*21.69%</f>
        <v>65070</v>
      </c>
      <c r="V4" s="258">
        <f>SUM(H4,M4,R4)/U4</f>
        <v>2.7332756095184156</v>
      </c>
      <c r="W4" s="260"/>
      <c r="X4" s="270">
        <f>F4*7.29%</f>
        <v>21870.000000000004</v>
      </c>
      <c r="Y4" s="258">
        <f>W4/X4</f>
        <v>0</v>
      </c>
      <c r="Z4" s="272">
        <f>F4*28.98%</f>
        <v>86940</v>
      </c>
      <c r="AA4" s="258">
        <f>SUM(H4,M4,R4,W4)/Z4</f>
        <v>2.0457124903538451</v>
      </c>
      <c r="AB4" s="260"/>
      <c r="AC4" s="257">
        <f>F4*11.02%</f>
        <v>33060</v>
      </c>
      <c r="AD4" s="258">
        <f>AB4/AC4</f>
        <v>0</v>
      </c>
      <c r="AE4" s="259">
        <f>F4*40%</f>
        <v>120000</v>
      </c>
      <c r="AF4" s="258">
        <f>SUM(H4,M4,R4,W4,AB4)/AE4</f>
        <v>1.4821186992613609</v>
      </c>
      <c r="AG4" s="260"/>
      <c r="AH4" s="257">
        <f>F4*12.03%</f>
        <v>36090</v>
      </c>
      <c r="AI4" s="258">
        <f>AG4/AH4</f>
        <v>0</v>
      </c>
      <c r="AJ4" s="257">
        <f>F4*52.03%</f>
        <v>156090</v>
      </c>
      <c r="AK4" s="258">
        <f>SUM(H4,M4,R4,W4,AB4,AG4)/AJ4</f>
        <v>1.1394339413887071</v>
      </c>
      <c r="AL4" s="260"/>
      <c r="AM4" s="257">
        <f>F4*3.39%</f>
        <v>10170</v>
      </c>
      <c r="AN4" s="258">
        <f>AL4/AM4</f>
        <v>0</v>
      </c>
      <c r="AO4" s="257">
        <f>F4*55.42%</f>
        <v>166260</v>
      </c>
      <c r="AP4" s="258">
        <f>SUM(H4,M4,R4,W4,AB4,AG4,AL4)/AO4</f>
        <v>1.0697356183770197</v>
      </c>
      <c r="AQ4" s="260"/>
      <c r="AR4" s="257">
        <f>F4*9.83%</f>
        <v>29490</v>
      </c>
      <c r="AS4" s="258">
        <f>AQ4/AR4</f>
        <v>0</v>
      </c>
      <c r="AT4" s="257">
        <f>F4*65.25%</f>
        <v>195750</v>
      </c>
      <c r="AU4" s="258">
        <f>SUM(H4,M4,R4,W4,AB4,AG4,AL4,AQ4)/AT4</f>
        <v>0.90857851295715608</v>
      </c>
      <c r="AV4" s="260"/>
      <c r="AW4" s="257">
        <f>F4*10.85%</f>
        <v>32550</v>
      </c>
      <c r="AX4" s="258">
        <f>AV4/AW4</f>
        <v>0</v>
      </c>
      <c r="AY4" s="257">
        <f>F4*76.1%</f>
        <v>228299.99999999997</v>
      </c>
      <c r="AZ4" s="258">
        <f>SUM(H4,M4,R4,W4,AB4,AG4,AL4,AQ4,AV4)/AY4</f>
        <v>0.7790374240532778</v>
      </c>
      <c r="BA4" s="260"/>
      <c r="BB4" s="257">
        <f>F4*6.1%</f>
        <v>18300</v>
      </c>
      <c r="BC4" s="258">
        <f>BA4/BB4</f>
        <v>0</v>
      </c>
      <c r="BD4" s="257">
        <f>F4*82.2%</f>
        <v>246600.00000000003</v>
      </c>
      <c r="BE4" s="258">
        <f>SUM(H4,M4,R4,W4,AB4,AG4,AL4,AQ4,AV4,BA4)/BD4</f>
        <v>0.72122564440942127</v>
      </c>
      <c r="BF4" s="260"/>
      <c r="BG4" s="257">
        <f>F4*6.44%</f>
        <v>19320</v>
      </c>
      <c r="BH4" s="258">
        <f>BF4/BG4</f>
        <v>0</v>
      </c>
      <c r="BI4" s="257">
        <f>F4*88.64%</f>
        <v>265920</v>
      </c>
      <c r="BJ4" s="258">
        <f>SUM(H4,M4,R4,W4,AB4,AG4,AL4,AQ4,AV4,BA4,BF4)/BI4</f>
        <v>0.66882612782552386</v>
      </c>
      <c r="BK4" s="260"/>
      <c r="BL4" s="257">
        <f>F4*11.36%</f>
        <v>34080</v>
      </c>
      <c r="BM4" s="258">
        <f>BK4/BL4</f>
        <v>0</v>
      </c>
      <c r="BN4" s="261">
        <f>F4*100%</f>
        <v>300000</v>
      </c>
      <c r="BO4" s="262">
        <f>SUM(H4,M4,R4,W4,AB4,AG4,AL4,AQ4,AV4,BA4,BF4,BK4)/BN4</f>
        <v>0.59284747970454432</v>
      </c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  <c r="ER4" s="145"/>
      <c r="ES4" s="145"/>
      <c r="ET4" s="145"/>
      <c r="EU4" s="145"/>
      <c r="EV4" s="145"/>
      <c r="EW4" s="145"/>
      <c r="EX4" s="145"/>
      <c r="EY4" s="145"/>
      <c r="EZ4" s="145"/>
      <c r="FA4" s="145"/>
      <c r="FB4" s="145"/>
      <c r="FC4" s="145"/>
      <c r="FD4" s="145"/>
      <c r="FE4" s="145"/>
      <c r="FF4" s="145"/>
      <c r="FG4" s="145"/>
      <c r="FH4" s="145"/>
      <c r="FI4" s="145"/>
      <c r="FJ4" s="145"/>
      <c r="FK4" s="145"/>
      <c r="FL4" s="145"/>
      <c r="FM4" s="145"/>
      <c r="FN4" s="145"/>
    </row>
    <row r="5" spans="1:170">
      <c r="A5" s="148" t="s">
        <v>6</v>
      </c>
      <c r="B5" s="150" t="s">
        <v>7</v>
      </c>
      <c r="C5" s="150" t="s">
        <v>8</v>
      </c>
      <c r="D5" s="149">
        <v>618549.5</v>
      </c>
      <c r="E5" s="161">
        <v>400000</v>
      </c>
      <c r="F5" s="151">
        <v>700000</v>
      </c>
      <c r="G5" s="160">
        <v>800000</v>
      </c>
      <c r="H5" s="238">
        <v>104422.37</v>
      </c>
      <c r="I5" s="241">
        <f t="shared" ref="I5:I8" si="0">F5*7.46%</f>
        <v>52220</v>
      </c>
      <c r="J5" s="242">
        <f t="shared" ref="J5:J8" si="1">H5/I5</f>
        <v>1.9996623898889314</v>
      </c>
      <c r="K5" s="241">
        <f t="shared" ref="K5:K8" si="2">F5*7.46%</f>
        <v>52220</v>
      </c>
      <c r="L5" s="242">
        <f t="shared" ref="L5:L8" si="3">H5/K5</f>
        <v>1.9996623898889314</v>
      </c>
      <c r="M5" s="240">
        <v>58526.815000000002</v>
      </c>
      <c r="N5" s="241">
        <f t="shared" ref="N5:N8" si="4">F5*5.93%</f>
        <v>41510</v>
      </c>
      <c r="O5" s="243">
        <f t="shared" ref="O5:O8" si="5">M5/N5</f>
        <v>1.4099449530233679</v>
      </c>
      <c r="P5" s="244">
        <f>F5*13.39%</f>
        <v>93730.000000000015</v>
      </c>
      <c r="Q5" s="243">
        <f>SUM(H5,M5)/P5</f>
        <v>1.7384955190440625</v>
      </c>
      <c r="R5" s="263">
        <v>61699</v>
      </c>
      <c r="S5" s="257">
        <f t="shared" ref="S5:S8" si="6">F5*8.31%</f>
        <v>58170.000000000007</v>
      </c>
      <c r="T5" s="258">
        <f t="shared" ref="T5:T8" si="7">R5/S5</f>
        <v>1.060667010486505</v>
      </c>
      <c r="U5" s="259">
        <f t="shared" ref="U5:U8" si="8">F5*21.69%</f>
        <v>151830</v>
      </c>
      <c r="V5" s="258">
        <f t="shared" ref="V5:V8" si="9">SUM(H5,M5,R5)/U5</f>
        <v>1.479603405124152</v>
      </c>
      <c r="W5" s="264"/>
      <c r="X5" s="270">
        <f t="shared" ref="X5:X8" si="10">F5*7.29%</f>
        <v>51030.000000000007</v>
      </c>
      <c r="Y5" s="258">
        <f t="shared" ref="Y5:Y8" si="11">W5/X5</f>
        <v>0</v>
      </c>
      <c r="Z5" s="272">
        <f t="shared" ref="Z5:Z8" si="12">F5*28.98%</f>
        <v>202860</v>
      </c>
      <c r="AA5" s="258">
        <f t="shared" ref="AA5:AA8" si="13">SUM(H5,M5,R5,W5)/Z5</f>
        <v>1.1074050330277039</v>
      </c>
      <c r="AB5" s="264"/>
      <c r="AC5" s="257">
        <f t="shared" ref="AC5:AC8" si="14">F5*11.02%</f>
        <v>77140</v>
      </c>
      <c r="AD5" s="258">
        <f t="shared" ref="AD5:AD8" si="15">AB5/AC5</f>
        <v>0</v>
      </c>
      <c r="AE5" s="259">
        <f t="shared" ref="AE5:AE8" si="16">F5*40%</f>
        <v>280000</v>
      </c>
      <c r="AF5" s="258">
        <f t="shared" ref="AF5:AF8" si="17">SUM(H5,M5,R5,W5,AB5)/AE5</f>
        <v>0.80231494642857137</v>
      </c>
      <c r="AG5" s="264"/>
      <c r="AH5" s="257">
        <f t="shared" ref="AH5:AH8" si="18">F5*12.03%</f>
        <v>84210</v>
      </c>
      <c r="AI5" s="258">
        <f t="shared" ref="AI5:AI8" si="19">AG5/AH5</f>
        <v>0</v>
      </c>
      <c r="AJ5" s="257">
        <f t="shared" ref="AJ5:AJ8" si="20">F5*52.03%</f>
        <v>364210</v>
      </c>
      <c r="AK5" s="258">
        <f t="shared" ref="AK5:AK8" si="21">SUM(H5,M5,R5,W5,AB5,AG5)/AJ5</f>
        <v>0.61680949177672217</v>
      </c>
      <c r="AL5" s="264"/>
      <c r="AM5" s="257">
        <f t="shared" ref="AM5:AM8" si="22">F5*3.39%</f>
        <v>23730</v>
      </c>
      <c r="AN5" s="258">
        <f t="shared" ref="AN5:AN8" si="23">AL5/AM5</f>
        <v>0</v>
      </c>
      <c r="AO5" s="257">
        <f t="shared" ref="AO5:AO8" si="24">F5*55.42%</f>
        <v>387940</v>
      </c>
      <c r="AP5" s="258">
        <f t="shared" ref="AP5:AP8" si="25">SUM(H5,M5,R5,W5,AB5,AG5,AL5)/AO5</f>
        <v>0.57907971593545393</v>
      </c>
      <c r="AQ5" s="264"/>
      <c r="AR5" s="257">
        <f t="shared" ref="AR5:AR8" si="26">F5*9.83%</f>
        <v>68810</v>
      </c>
      <c r="AS5" s="258">
        <f t="shared" ref="AS5:AS8" si="27">AQ5/AR5</f>
        <v>0</v>
      </c>
      <c r="AT5" s="257">
        <f t="shared" ref="AT5:AT8" si="28">F5*65.25%</f>
        <v>456750</v>
      </c>
      <c r="AU5" s="258">
        <f t="shared" ref="AU5:AU8" si="29">SUM(H5,M5,R5,W5,AB5,AG5,AL5,AQ5)/AT5</f>
        <v>0.49184058018609744</v>
      </c>
      <c r="AV5" s="264"/>
      <c r="AW5" s="257">
        <f t="shared" ref="AW5:AW8" si="30">F5*10.85%</f>
        <v>75950</v>
      </c>
      <c r="AX5" s="258">
        <f t="shared" ref="AX5:AX8" si="31">AV5/AW5</f>
        <v>0</v>
      </c>
      <c r="AY5" s="257">
        <f t="shared" ref="AY5:AY8" si="32">F5*76.1%</f>
        <v>532699.99999999988</v>
      </c>
      <c r="AZ5" s="258">
        <f t="shared" ref="AZ5:AZ8" si="33">SUM(H5,M5,R5,W5,AB5,AG5,AL5,AQ5,AV5)/AY5</f>
        <v>0.42171613478505732</v>
      </c>
      <c r="BA5" s="264"/>
      <c r="BB5" s="257">
        <f t="shared" ref="BB5:BB8" si="34">F5*6.1%</f>
        <v>42700</v>
      </c>
      <c r="BC5" s="258">
        <f t="shared" ref="BC5:BC8" si="35">BA5/BB5</f>
        <v>0</v>
      </c>
      <c r="BD5" s="257">
        <f t="shared" ref="BD5:BD8" si="36">F5*82.2%</f>
        <v>575400</v>
      </c>
      <c r="BE5" s="258">
        <f t="shared" ref="BE5:BE8" si="37">SUM(H5,M5,R5,W5,AB5,AG5,AL5,AQ5,AV5,BA5)/BD5</f>
        <v>0.39042089850538753</v>
      </c>
      <c r="BF5" s="264"/>
      <c r="BG5" s="257">
        <f t="shared" ref="BG5:BG8" si="38">F5*6.44%</f>
        <v>45080</v>
      </c>
      <c r="BH5" s="258">
        <f t="shared" ref="BH5:BH8" si="39">BF5/BG5</f>
        <v>0</v>
      </c>
      <c r="BI5" s="257">
        <f t="shared" ref="BI5:BI8" si="40">F5*88.64%</f>
        <v>620480</v>
      </c>
      <c r="BJ5" s="258">
        <f t="shared" ref="BJ5:BJ8" si="41">SUM(H5,M5,R5,W5,AB5,AG5,AL5,AQ5,AV5,BA5,BF5)/BI5</f>
        <v>0.36205548124033005</v>
      </c>
      <c r="BK5" s="264"/>
      <c r="BL5" s="257">
        <f t="shared" ref="BL5:BL8" si="42">F5*11.36%</f>
        <v>79520</v>
      </c>
      <c r="BM5" s="258">
        <f t="shared" ref="BM5:BM8" si="43">BK5/BL5</f>
        <v>0</v>
      </c>
      <c r="BN5" s="261">
        <f t="shared" ref="BN5:BN8" si="44">F5*100%</f>
        <v>700000</v>
      </c>
      <c r="BO5" s="262">
        <f t="shared" ref="BO5:BO8" si="45">SUM(H5,M5,R5,W5,AB5,AG5,AL5,AQ5,AV5,BA5,BF5,BK5)/BN5</f>
        <v>0.32092597857142857</v>
      </c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  <c r="ER5" s="145"/>
      <c r="ES5" s="145"/>
      <c r="ET5" s="145"/>
      <c r="EU5" s="145"/>
      <c r="EV5" s="145"/>
      <c r="EW5" s="145"/>
      <c r="EX5" s="145"/>
      <c r="EY5" s="145"/>
      <c r="EZ5" s="145"/>
      <c r="FA5" s="145"/>
      <c r="FB5" s="145"/>
      <c r="FC5" s="145"/>
      <c r="FD5" s="145"/>
      <c r="FE5" s="145"/>
      <c r="FF5" s="145"/>
      <c r="FG5" s="145"/>
      <c r="FH5" s="145"/>
      <c r="FI5" s="145"/>
      <c r="FJ5" s="145"/>
      <c r="FK5" s="145"/>
      <c r="FL5" s="145"/>
      <c r="FM5" s="145"/>
      <c r="FN5" s="145"/>
    </row>
    <row r="6" spans="1:170">
      <c r="A6" s="148" t="s">
        <v>9</v>
      </c>
      <c r="B6" s="150" t="s">
        <v>10</v>
      </c>
      <c r="C6" s="150" t="s">
        <v>11</v>
      </c>
      <c r="D6" s="149">
        <v>547365.67000000004</v>
      </c>
      <c r="E6" s="161">
        <v>475000</v>
      </c>
      <c r="F6" s="151">
        <v>650000</v>
      </c>
      <c r="G6" s="160">
        <v>725000</v>
      </c>
      <c r="H6" s="265">
        <v>0</v>
      </c>
      <c r="I6" s="241">
        <f t="shared" si="0"/>
        <v>48490</v>
      </c>
      <c r="J6" s="242">
        <f t="shared" si="1"/>
        <v>0</v>
      </c>
      <c r="K6" s="241">
        <f t="shared" si="2"/>
        <v>48490</v>
      </c>
      <c r="L6" s="242">
        <f t="shared" si="3"/>
        <v>0</v>
      </c>
      <c r="M6" s="240">
        <v>4625.0006000000003</v>
      </c>
      <c r="N6" s="241">
        <f t="shared" si="4"/>
        <v>38545</v>
      </c>
      <c r="O6" s="243">
        <f t="shared" si="5"/>
        <v>0.11998963808535479</v>
      </c>
      <c r="P6" s="244">
        <f t="shared" ref="P6:P8" si="46">F6*13.39%</f>
        <v>87035.000000000015</v>
      </c>
      <c r="Q6" s="243">
        <f t="shared" ref="Q6:Q8" si="47">SUM(H6,M6)/P6</f>
        <v>5.3139548457517088E-2</v>
      </c>
      <c r="R6" s="263">
        <v>47679</v>
      </c>
      <c r="S6" s="257">
        <f t="shared" si="6"/>
        <v>54015.000000000007</v>
      </c>
      <c r="T6" s="258">
        <f t="shared" si="7"/>
        <v>0.88269925020827533</v>
      </c>
      <c r="U6" s="259">
        <f t="shared" si="8"/>
        <v>140985</v>
      </c>
      <c r="V6" s="258">
        <f t="shared" si="9"/>
        <v>0.37098982586800011</v>
      </c>
      <c r="W6" s="264"/>
      <c r="X6" s="270">
        <f t="shared" si="10"/>
        <v>47385.000000000007</v>
      </c>
      <c r="Y6" s="258">
        <f t="shared" si="11"/>
        <v>0</v>
      </c>
      <c r="Z6" s="272">
        <f t="shared" si="12"/>
        <v>188370</v>
      </c>
      <c r="AA6" s="258">
        <f t="shared" si="13"/>
        <v>0.27766629824281996</v>
      </c>
      <c r="AB6" s="264"/>
      <c r="AC6" s="257">
        <f t="shared" si="14"/>
        <v>71630</v>
      </c>
      <c r="AD6" s="258">
        <f t="shared" si="15"/>
        <v>0</v>
      </c>
      <c r="AE6" s="259">
        <f t="shared" si="16"/>
        <v>260000</v>
      </c>
      <c r="AF6" s="258">
        <f t="shared" si="17"/>
        <v>0.20116923307692308</v>
      </c>
      <c r="AG6" s="264"/>
      <c r="AH6" s="257">
        <f t="shared" si="18"/>
        <v>78195</v>
      </c>
      <c r="AI6" s="258">
        <f t="shared" si="19"/>
        <v>0</v>
      </c>
      <c r="AJ6" s="257">
        <f t="shared" si="20"/>
        <v>338195</v>
      </c>
      <c r="AK6" s="258">
        <f t="shared" si="21"/>
        <v>0.15465633909430948</v>
      </c>
      <c r="AL6" s="264"/>
      <c r="AM6" s="257">
        <f t="shared" si="22"/>
        <v>22035</v>
      </c>
      <c r="AN6" s="258">
        <f t="shared" si="23"/>
        <v>0</v>
      </c>
      <c r="AO6" s="257">
        <f t="shared" si="24"/>
        <v>360230</v>
      </c>
      <c r="AP6" s="258">
        <f t="shared" si="25"/>
        <v>0.14519612636371207</v>
      </c>
      <c r="AQ6" s="264"/>
      <c r="AR6" s="257">
        <f t="shared" si="26"/>
        <v>63895</v>
      </c>
      <c r="AS6" s="258">
        <f t="shared" si="27"/>
        <v>0</v>
      </c>
      <c r="AT6" s="257">
        <f t="shared" si="28"/>
        <v>424125</v>
      </c>
      <c r="AU6" s="258">
        <f t="shared" si="29"/>
        <v>0.1233221352195697</v>
      </c>
      <c r="AV6" s="264"/>
      <c r="AW6" s="257">
        <f t="shared" si="30"/>
        <v>70525</v>
      </c>
      <c r="AX6" s="258">
        <f t="shared" si="31"/>
        <v>0</v>
      </c>
      <c r="AY6" s="257">
        <f t="shared" si="32"/>
        <v>494649.99999999994</v>
      </c>
      <c r="AZ6" s="258">
        <f t="shared" si="33"/>
        <v>0.10573941291822501</v>
      </c>
      <c r="BA6" s="264"/>
      <c r="BB6" s="257">
        <f t="shared" si="34"/>
        <v>39650</v>
      </c>
      <c r="BC6" s="258">
        <f t="shared" si="35"/>
        <v>0</v>
      </c>
      <c r="BD6" s="257">
        <f t="shared" si="36"/>
        <v>534300</v>
      </c>
      <c r="BE6" s="258">
        <f t="shared" si="37"/>
        <v>9.7892570840351856E-2</v>
      </c>
      <c r="BF6" s="264"/>
      <c r="BG6" s="257">
        <f t="shared" si="38"/>
        <v>41860</v>
      </c>
      <c r="BH6" s="258">
        <f t="shared" si="39"/>
        <v>0</v>
      </c>
      <c r="BI6" s="257">
        <f t="shared" si="40"/>
        <v>576160</v>
      </c>
      <c r="BJ6" s="258">
        <f t="shared" si="41"/>
        <v>9.0780339836156618E-2</v>
      </c>
      <c r="BK6" s="264"/>
      <c r="BL6" s="257">
        <f t="shared" si="42"/>
        <v>73840</v>
      </c>
      <c r="BM6" s="258">
        <f t="shared" si="43"/>
        <v>0</v>
      </c>
      <c r="BN6" s="261">
        <f t="shared" si="44"/>
        <v>650000</v>
      </c>
      <c r="BO6" s="262">
        <f t="shared" si="45"/>
        <v>8.046769323076923E-2</v>
      </c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  <c r="ER6" s="145"/>
      <c r="ES6" s="145"/>
      <c r="ET6" s="145"/>
      <c r="EU6" s="145"/>
      <c r="EV6" s="145"/>
      <c r="EW6" s="145"/>
      <c r="EX6" s="145"/>
      <c r="EY6" s="145"/>
      <c r="EZ6" s="145"/>
      <c r="FA6" s="145"/>
      <c r="FB6" s="145"/>
      <c r="FC6" s="145"/>
      <c r="FD6" s="145"/>
      <c r="FE6" s="145"/>
      <c r="FF6" s="145"/>
      <c r="FG6" s="145"/>
      <c r="FH6" s="145"/>
      <c r="FI6" s="145"/>
      <c r="FJ6" s="145"/>
      <c r="FK6" s="145"/>
      <c r="FL6" s="145"/>
      <c r="FM6" s="145"/>
      <c r="FN6" s="145"/>
    </row>
    <row r="7" spans="1:170">
      <c r="A7" s="148" t="s">
        <v>12</v>
      </c>
      <c r="B7" s="150" t="s">
        <v>13</v>
      </c>
      <c r="C7" s="150" t="s">
        <v>14</v>
      </c>
      <c r="D7" s="149">
        <v>0</v>
      </c>
      <c r="E7" s="161">
        <v>0</v>
      </c>
      <c r="F7" s="162">
        <v>200000</v>
      </c>
      <c r="G7" s="179" t="s">
        <v>15</v>
      </c>
      <c r="H7" s="265">
        <v>0</v>
      </c>
      <c r="I7" s="241">
        <f t="shared" si="0"/>
        <v>14920</v>
      </c>
      <c r="J7" s="242">
        <f t="shared" si="1"/>
        <v>0</v>
      </c>
      <c r="K7" s="241">
        <f t="shared" si="2"/>
        <v>14920</v>
      </c>
      <c r="L7" s="242">
        <f t="shared" si="3"/>
        <v>0</v>
      </c>
      <c r="M7" s="240">
        <v>28718.2168206026</v>
      </c>
      <c r="N7" s="241">
        <f t="shared" si="4"/>
        <v>11860</v>
      </c>
      <c r="O7" s="243">
        <f t="shared" si="5"/>
        <v>2.4214348078079766</v>
      </c>
      <c r="P7" s="244">
        <f t="shared" si="46"/>
        <v>26780.000000000004</v>
      </c>
      <c r="Q7" s="243">
        <f t="shared" si="47"/>
        <v>1.0723755347499102</v>
      </c>
      <c r="R7" s="263">
        <v>1950</v>
      </c>
      <c r="S7" s="257">
        <f>F7*8.31%</f>
        <v>16620</v>
      </c>
      <c r="T7" s="258">
        <f t="shared" si="7"/>
        <v>0.11732851985559567</v>
      </c>
      <c r="U7" s="259">
        <f t="shared" si="8"/>
        <v>43380</v>
      </c>
      <c r="V7" s="258">
        <f t="shared" si="9"/>
        <v>0.70696673168747348</v>
      </c>
      <c r="W7" s="264"/>
      <c r="X7" s="270">
        <f t="shared" si="10"/>
        <v>14580.000000000002</v>
      </c>
      <c r="Y7" s="258">
        <f t="shared" si="11"/>
        <v>0</v>
      </c>
      <c r="Z7" s="272">
        <f t="shared" si="12"/>
        <v>57960</v>
      </c>
      <c r="AA7" s="258">
        <f t="shared" si="13"/>
        <v>0.52912727433751894</v>
      </c>
      <c r="AB7" s="264"/>
      <c r="AC7" s="257">
        <f t="shared" si="14"/>
        <v>22040</v>
      </c>
      <c r="AD7" s="258">
        <f t="shared" si="15"/>
        <v>0</v>
      </c>
      <c r="AE7" s="259">
        <f t="shared" si="16"/>
        <v>80000</v>
      </c>
      <c r="AF7" s="258">
        <f t="shared" si="17"/>
        <v>0.38335271025753248</v>
      </c>
      <c r="AG7" s="264"/>
      <c r="AH7" s="257">
        <f t="shared" si="18"/>
        <v>24059.999999999996</v>
      </c>
      <c r="AI7" s="258">
        <f t="shared" si="19"/>
        <v>0</v>
      </c>
      <c r="AJ7" s="257">
        <f t="shared" si="20"/>
        <v>104060</v>
      </c>
      <c r="AK7" s="258">
        <f t="shared" si="21"/>
        <v>0.29471667134924656</v>
      </c>
      <c r="AL7" s="264"/>
      <c r="AM7" s="257">
        <f t="shared" si="22"/>
        <v>6780</v>
      </c>
      <c r="AN7" s="258">
        <f t="shared" si="23"/>
        <v>0</v>
      </c>
      <c r="AO7" s="257">
        <f t="shared" si="24"/>
        <v>110840</v>
      </c>
      <c r="AP7" s="258">
        <f t="shared" si="25"/>
        <v>0.27668907272286719</v>
      </c>
      <c r="AQ7" s="264"/>
      <c r="AR7" s="257">
        <f t="shared" si="26"/>
        <v>19660</v>
      </c>
      <c r="AS7" s="258">
        <f t="shared" si="27"/>
        <v>0</v>
      </c>
      <c r="AT7" s="257">
        <f t="shared" si="28"/>
        <v>130500</v>
      </c>
      <c r="AU7" s="258">
        <f t="shared" si="29"/>
        <v>0.23500549287818084</v>
      </c>
      <c r="AV7" s="264"/>
      <c r="AW7" s="257">
        <f t="shared" si="30"/>
        <v>21700</v>
      </c>
      <c r="AX7" s="258">
        <f t="shared" si="31"/>
        <v>0</v>
      </c>
      <c r="AY7" s="257">
        <f t="shared" si="32"/>
        <v>152199.99999999997</v>
      </c>
      <c r="AZ7" s="258">
        <f t="shared" si="33"/>
        <v>0.20149945348621948</v>
      </c>
      <c r="BA7" s="264"/>
      <c r="BB7" s="257">
        <f t="shared" si="34"/>
        <v>12200</v>
      </c>
      <c r="BC7" s="258">
        <f t="shared" si="35"/>
        <v>0</v>
      </c>
      <c r="BD7" s="257">
        <f t="shared" si="36"/>
        <v>164400</v>
      </c>
      <c r="BE7" s="258">
        <f t="shared" si="37"/>
        <v>0.18654633102556326</v>
      </c>
      <c r="BF7" s="264"/>
      <c r="BG7" s="257">
        <f t="shared" si="38"/>
        <v>12880</v>
      </c>
      <c r="BH7" s="258">
        <f t="shared" si="39"/>
        <v>0</v>
      </c>
      <c r="BI7" s="257">
        <f t="shared" si="40"/>
        <v>177280</v>
      </c>
      <c r="BJ7" s="258">
        <f t="shared" si="41"/>
        <v>0.17299310029672044</v>
      </c>
      <c r="BK7" s="264"/>
      <c r="BL7" s="257">
        <f t="shared" si="42"/>
        <v>22720</v>
      </c>
      <c r="BM7" s="258">
        <f t="shared" si="43"/>
        <v>0</v>
      </c>
      <c r="BN7" s="261">
        <f t="shared" si="44"/>
        <v>200000</v>
      </c>
      <c r="BO7" s="262">
        <f t="shared" si="45"/>
        <v>0.153341084103013</v>
      </c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  <c r="ER7" s="145"/>
      <c r="ES7" s="145"/>
      <c r="ET7" s="145"/>
      <c r="EU7" s="145"/>
      <c r="EV7" s="145"/>
      <c r="EW7" s="145"/>
      <c r="EX7" s="145"/>
      <c r="EY7" s="145"/>
      <c r="EZ7" s="145"/>
      <c r="FA7" s="145"/>
      <c r="FB7" s="145"/>
      <c r="FC7" s="145"/>
      <c r="FD7" s="145"/>
      <c r="FE7" s="145"/>
      <c r="FF7" s="145"/>
      <c r="FG7" s="145"/>
      <c r="FH7" s="145"/>
      <c r="FI7" s="145"/>
      <c r="FJ7" s="145"/>
      <c r="FK7" s="145"/>
      <c r="FL7" s="145"/>
      <c r="FM7" s="145"/>
      <c r="FN7" s="145"/>
    </row>
    <row r="8" spans="1:170">
      <c r="A8" s="145"/>
      <c r="B8" s="145"/>
      <c r="C8" s="145"/>
      <c r="D8" s="145"/>
      <c r="E8" s="145"/>
      <c r="F8" s="178">
        <f>SUM(F4:F7)</f>
        <v>1850000</v>
      </c>
      <c r="G8" s="145"/>
      <c r="H8" s="238">
        <v>15616.3366202364</v>
      </c>
      <c r="I8" s="241">
        <f t="shared" si="0"/>
        <v>138010</v>
      </c>
      <c r="J8" s="242">
        <f t="shared" si="1"/>
        <v>0.11315366002634882</v>
      </c>
      <c r="K8" s="241">
        <f t="shared" si="2"/>
        <v>138010</v>
      </c>
      <c r="L8" s="242">
        <f t="shared" si="3"/>
        <v>0.11315366002634882</v>
      </c>
      <c r="M8" s="266">
        <v>0</v>
      </c>
      <c r="N8" s="241">
        <f t="shared" si="4"/>
        <v>109705</v>
      </c>
      <c r="O8" s="243">
        <f t="shared" si="5"/>
        <v>0</v>
      </c>
      <c r="P8" s="244">
        <f t="shared" si="46"/>
        <v>247715.00000000003</v>
      </c>
      <c r="Q8" s="243">
        <f t="shared" si="47"/>
        <v>6.3041546213335478E-2</v>
      </c>
      <c r="R8" s="263">
        <v>29795</v>
      </c>
      <c r="S8" s="257">
        <f t="shared" si="6"/>
        <v>153735</v>
      </c>
      <c r="T8" s="258">
        <f t="shared" si="7"/>
        <v>0.19380752593748984</v>
      </c>
      <c r="U8" s="259">
        <f t="shared" si="8"/>
        <v>401265</v>
      </c>
      <c r="V8" s="258">
        <f t="shared" si="9"/>
        <v>0.11317044003398352</v>
      </c>
      <c r="W8" s="264"/>
      <c r="X8" s="270">
        <f t="shared" si="10"/>
        <v>134865</v>
      </c>
      <c r="Y8" s="258">
        <f t="shared" si="11"/>
        <v>0</v>
      </c>
      <c r="Z8" s="272">
        <f t="shared" si="12"/>
        <v>536130</v>
      </c>
      <c r="AA8" s="258">
        <f t="shared" si="13"/>
        <v>8.4702099528540464E-2</v>
      </c>
      <c r="AB8" s="264"/>
      <c r="AC8" s="257">
        <f t="shared" si="14"/>
        <v>203870</v>
      </c>
      <c r="AD8" s="258">
        <f t="shared" si="15"/>
        <v>0</v>
      </c>
      <c r="AE8" s="259">
        <f t="shared" si="16"/>
        <v>740000</v>
      </c>
      <c r="AF8" s="258">
        <f t="shared" si="17"/>
        <v>6.1366671108427563E-2</v>
      </c>
      <c r="AG8" s="264"/>
      <c r="AH8" s="257">
        <f t="shared" si="18"/>
        <v>222554.99999999997</v>
      </c>
      <c r="AI8" s="258">
        <f t="shared" si="19"/>
        <v>0</v>
      </c>
      <c r="AJ8" s="257">
        <f t="shared" si="20"/>
        <v>962555</v>
      </c>
      <c r="AK8" s="258">
        <f t="shared" si="21"/>
        <v>4.7177913594793439E-2</v>
      </c>
      <c r="AL8" s="264"/>
      <c r="AM8" s="257">
        <f t="shared" si="22"/>
        <v>62715</v>
      </c>
      <c r="AN8" s="258">
        <f t="shared" si="23"/>
        <v>0</v>
      </c>
      <c r="AO8" s="257">
        <f t="shared" si="24"/>
        <v>1025270</v>
      </c>
      <c r="AP8" s="258">
        <f t="shared" si="25"/>
        <v>4.4292075863173991E-2</v>
      </c>
      <c r="AQ8" s="264"/>
      <c r="AR8" s="257">
        <f t="shared" si="26"/>
        <v>181855</v>
      </c>
      <c r="AS8" s="258">
        <f t="shared" si="27"/>
        <v>0</v>
      </c>
      <c r="AT8" s="257">
        <f t="shared" si="28"/>
        <v>1207125</v>
      </c>
      <c r="AU8" s="258">
        <f t="shared" si="29"/>
        <v>3.7619415238882799E-2</v>
      </c>
      <c r="AV8" s="264"/>
      <c r="AW8" s="257">
        <f t="shared" si="30"/>
        <v>200725</v>
      </c>
      <c r="AX8" s="258">
        <f t="shared" si="31"/>
        <v>0</v>
      </c>
      <c r="AY8" s="257">
        <f t="shared" si="32"/>
        <v>1407849.9999999998</v>
      </c>
      <c r="AZ8" s="258">
        <f t="shared" si="33"/>
        <v>3.2255806101670212E-2</v>
      </c>
      <c r="BA8" s="264"/>
      <c r="BB8" s="257">
        <f t="shared" si="34"/>
        <v>112850</v>
      </c>
      <c r="BC8" s="258">
        <f t="shared" si="35"/>
        <v>0</v>
      </c>
      <c r="BD8" s="257">
        <f t="shared" si="36"/>
        <v>1520700.0000000002</v>
      </c>
      <c r="BE8" s="258">
        <f t="shared" si="37"/>
        <v>2.9862127060062072E-2</v>
      </c>
      <c r="BF8" s="264"/>
      <c r="BG8" s="257">
        <f t="shared" si="38"/>
        <v>119140</v>
      </c>
      <c r="BH8" s="258">
        <f t="shared" si="39"/>
        <v>0</v>
      </c>
      <c r="BI8" s="257">
        <f t="shared" si="40"/>
        <v>1639840</v>
      </c>
      <c r="BJ8" s="258">
        <f t="shared" si="41"/>
        <v>2.7692541113911357E-2</v>
      </c>
      <c r="BK8" s="264"/>
      <c r="BL8" s="257">
        <f t="shared" si="42"/>
        <v>210160</v>
      </c>
      <c r="BM8" s="258">
        <f t="shared" si="43"/>
        <v>0</v>
      </c>
      <c r="BN8" s="261">
        <f t="shared" si="44"/>
        <v>1850000</v>
      </c>
      <c r="BO8" s="262">
        <f t="shared" si="45"/>
        <v>2.4546668443371025E-2</v>
      </c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</row>
    <row r="9" spans="1:170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</row>
    <row r="10" spans="1:170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</row>
    <row r="11" spans="1:170" ht="15.75" thickBot="1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</row>
    <row r="12" spans="1:170" ht="15.75" thickBot="1">
      <c r="A12" s="164"/>
      <c r="B12" s="168" t="s">
        <v>121</v>
      </c>
      <c r="C12" s="169" t="s">
        <v>122</v>
      </c>
      <c r="D12" s="168" t="s">
        <v>123</v>
      </c>
      <c r="E12" s="169" t="s">
        <v>124</v>
      </c>
      <c r="F12" s="181" t="s">
        <v>125</v>
      </c>
      <c r="G12" s="180" t="s">
        <v>126</v>
      </c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</row>
    <row r="13" spans="1:170">
      <c r="A13" s="165" t="s">
        <v>16</v>
      </c>
      <c r="B13" s="173">
        <v>96177</v>
      </c>
      <c r="C13" s="157">
        <v>6</v>
      </c>
      <c r="D13" s="167">
        <v>0</v>
      </c>
      <c r="E13" s="183">
        <v>0</v>
      </c>
      <c r="F13" s="144">
        <v>115000</v>
      </c>
      <c r="G13" s="143" t="str">
        <f>IF(D13=0,"",D13-F13)</f>
        <v/>
      </c>
      <c r="H13" s="186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</row>
    <row r="14" spans="1:170">
      <c r="A14" s="165" t="s">
        <v>17</v>
      </c>
      <c r="B14" s="156">
        <v>50373</v>
      </c>
      <c r="C14" s="155">
        <v>3</v>
      </c>
      <c r="D14" s="167">
        <v>0</v>
      </c>
      <c r="E14" s="183">
        <v>0</v>
      </c>
      <c r="F14" s="171">
        <v>60000</v>
      </c>
      <c r="G14" s="15" t="str">
        <f t="shared" ref="G14:G25" si="48">IF(D14=0,"",D14-F14)</f>
        <v/>
      </c>
      <c r="H14" s="186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</row>
    <row r="15" spans="1:170">
      <c r="A15" s="165" t="s">
        <v>18</v>
      </c>
      <c r="B15" s="156">
        <v>229775</v>
      </c>
      <c r="C15" s="155">
        <v>11</v>
      </c>
      <c r="D15" s="167">
        <v>0</v>
      </c>
      <c r="E15" s="183">
        <v>0</v>
      </c>
      <c r="F15" s="171">
        <v>270000</v>
      </c>
      <c r="G15" s="15" t="str">
        <f t="shared" si="48"/>
        <v/>
      </c>
      <c r="H15" s="186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</row>
    <row r="16" spans="1:170">
      <c r="A16" s="165" t="s">
        <v>19</v>
      </c>
      <c r="B16" s="156">
        <v>124055</v>
      </c>
      <c r="C16" s="155">
        <v>9</v>
      </c>
      <c r="D16" s="167">
        <v>0</v>
      </c>
      <c r="E16" s="183">
        <v>0</v>
      </c>
      <c r="F16" s="171">
        <v>145000</v>
      </c>
      <c r="G16" s="15" t="str">
        <f t="shared" si="48"/>
        <v/>
      </c>
      <c r="H16" s="186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</row>
    <row r="17" spans="1:170">
      <c r="A17" s="165" t="s">
        <v>20</v>
      </c>
      <c r="B17" s="153">
        <v>122682</v>
      </c>
      <c r="C17" s="155">
        <v>9</v>
      </c>
      <c r="D17" s="167">
        <v>0</v>
      </c>
      <c r="E17" s="183">
        <v>0</v>
      </c>
      <c r="F17" s="171">
        <v>145000</v>
      </c>
      <c r="G17" s="15" t="str">
        <f t="shared" si="48"/>
        <v/>
      </c>
      <c r="H17" s="18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</row>
    <row r="18" spans="1:170">
      <c r="A18" s="165" t="s">
        <v>21</v>
      </c>
      <c r="B18" s="156">
        <v>182723</v>
      </c>
      <c r="C18" s="155">
        <v>11</v>
      </c>
      <c r="D18" s="167">
        <v>0</v>
      </c>
      <c r="E18" s="183">
        <v>0</v>
      </c>
      <c r="F18" s="171">
        <v>215000</v>
      </c>
      <c r="G18" s="15" t="str">
        <f t="shared" si="48"/>
        <v/>
      </c>
      <c r="H18" s="18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</row>
    <row r="19" spans="1:170">
      <c r="A19" s="165" t="s">
        <v>22</v>
      </c>
      <c r="B19" s="156">
        <v>30636</v>
      </c>
      <c r="C19" s="155">
        <v>2</v>
      </c>
      <c r="D19" s="167">
        <v>0</v>
      </c>
      <c r="E19" s="183">
        <v>0</v>
      </c>
      <c r="F19" s="171">
        <v>40000</v>
      </c>
      <c r="G19" s="15" t="str">
        <f t="shared" si="48"/>
        <v/>
      </c>
      <c r="H19" s="18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</row>
    <row r="20" spans="1:170">
      <c r="A20" s="165" t="s">
        <v>23</v>
      </c>
      <c r="B20" s="156">
        <v>80814</v>
      </c>
      <c r="C20" s="155">
        <v>6</v>
      </c>
      <c r="D20" s="167">
        <v>0</v>
      </c>
      <c r="E20" s="183">
        <v>0</v>
      </c>
      <c r="F20" s="171">
        <v>95000</v>
      </c>
      <c r="G20" s="15" t="str">
        <f t="shared" si="48"/>
        <v/>
      </c>
      <c r="H20" s="18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</row>
    <row r="21" spans="1:170">
      <c r="A21" s="165" t="s">
        <v>24</v>
      </c>
      <c r="B21" s="156">
        <v>214969</v>
      </c>
      <c r="C21" s="155">
        <v>12</v>
      </c>
      <c r="D21" s="167">
        <v>0</v>
      </c>
      <c r="E21" s="183">
        <v>0</v>
      </c>
      <c r="F21" s="171">
        <v>255000</v>
      </c>
      <c r="G21" s="15" t="str">
        <f t="shared" si="48"/>
        <v/>
      </c>
      <c r="H21" s="18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</row>
    <row r="22" spans="1:170">
      <c r="A22" s="165" t="s">
        <v>25</v>
      </c>
      <c r="B22" s="156">
        <v>125138</v>
      </c>
      <c r="C22" s="155">
        <v>7</v>
      </c>
      <c r="D22" s="167">
        <v>0</v>
      </c>
      <c r="E22" s="183">
        <v>0</v>
      </c>
      <c r="F22" s="171">
        <v>150000</v>
      </c>
      <c r="G22" s="15" t="str">
        <f t="shared" si="48"/>
        <v/>
      </c>
      <c r="H22" s="18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</row>
    <row r="23" spans="1:170">
      <c r="A23" s="165" t="s">
        <v>26</v>
      </c>
      <c r="B23" s="156">
        <v>142805</v>
      </c>
      <c r="C23" s="154">
        <v>9</v>
      </c>
      <c r="D23" s="167">
        <v>0</v>
      </c>
      <c r="E23" s="183">
        <v>0</v>
      </c>
      <c r="F23" s="171">
        <v>170000</v>
      </c>
      <c r="G23" s="15" t="str">
        <f t="shared" si="48"/>
        <v/>
      </c>
      <c r="H23" s="18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</row>
    <row r="24" spans="1:170" ht="15.75" thickBot="1">
      <c r="A24" s="165" t="s">
        <v>27</v>
      </c>
      <c r="B24" s="163">
        <v>160588</v>
      </c>
      <c r="C24" s="158">
        <v>11</v>
      </c>
      <c r="D24" s="167">
        <v>0</v>
      </c>
      <c r="E24" s="183">
        <v>0</v>
      </c>
      <c r="F24" s="184">
        <v>190000</v>
      </c>
      <c r="G24" s="185" t="str">
        <f t="shared" si="48"/>
        <v/>
      </c>
      <c r="H24" s="18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</row>
    <row r="25" spans="1:170" ht="15.75" thickBot="1">
      <c r="A25" s="166"/>
      <c r="B25" s="174">
        <v>1560735</v>
      </c>
      <c r="C25" s="175">
        <v>96</v>
      </c>
      <c r="D25" s="176">
        <f>SUM(D13:D24)</f>
        <v>0</v>
      </c>
      <c r="E25" s="23">
        <f>SUM(E13:E24)</f>
        <v>0</v>
      </c>
      <c r="F25" s="174">
        <f>SUM(F13:F24)</f>
        <v>1850000</v>
      </c>
      <c r="G25" s="182" t="str">
        <f t="shared" si="48"/>
        <v/>
      </c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</row>
    <row r="26" spans="1:170" ht="15.75" thickBot="1">
      <c r="A26" s="145"/>
      <c r="B26" s="145"/>
      <c r="C26" s="145"/>
      <c r="D26" s="145"/>
      <c r="E26" s="145"/>
      <c r="F26" s="145"/>
      <c r="G26" s="145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</row>
    <row r="27" spans="1:170" ht="45.75" thickBot="1">
      <c r="A27" s="145"/>
      <c r="B27" s="145"/>
      <c r="C27" s="145"/>
      <c r="D27" s="145"/>
      <c r="E27" s="147" t="s">
        <v>134</v>
      </c>
      <c r="F27" s="177">
        <f>D25/F25</f>
        <v>0</v>
      </c>
      <c r="G27" s="145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</row>
  </sheetData>
  <mergeCells count="1">
    <mergeCell ref="A3:C3"/>
  </mergeCells>
  <pageMargins left="0.7" right="0.7" top="0.75" bottom="0.75" header="0.3" footer="0.3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N28"/>
  <sheetViews>
    <sheetView topLeftCell="A13" workbookViewId="0">
      <selection activeCell="D24" sqref="D24:D25"/>
    </sheetView>
  </sheetViews>
  <sheetFormatPr defaultRowHeight="15" outlineLevelCol="1"/>
  <cols>
    <col min="1" max="1" width="10.5703125" style="3" customWidth="1"/>
    <col min="2" max="2" width="14.28515625" style="3" bestFit="1" customWidth="1"/>
    <col min="3" max="3" width="11" style="3" customWidth="1"/>
    <col min="4" max="4" width="13.28515625" style="3" customWidth="1"/>
    <col min="5" max="5" width="14.28515625" style="3" customWidth="1"/>
    <col min="6" max="6" width="17.7109375" style="3" customWidth="1"/>
    <col min="7" max="7" width="19.85546875" style="3" customWidth="1"/>
    <col min="8" max="8" width="15.28515625" style="3" customWidth="1"/>
    <col min="9" max="9" width="12.85546875" style="3" customWidth="1"/>
    <col min="10" max="13" width="9.140625" style="3"/>
    <col min="14" max="15" width="9.140625" style="3" outlineLevel="1"/>
    <col min="16" max="16" width="11.5703125" style="3" customWidth="1" outlineLevel="1"/>
    <col min="17" max="17" width="9.140625" style="3" outlineLevel="1"/>
    <col min="18" max="18" width="9.140625" style="3"/>
    <col min="19" max="19" width="9.140625" style="3" outlineLevel="1"/>
    <col min="20" max="20" width="11.28515625" style="3" customWidth="1" outlineLevel="1"/>
    <col min="21" max="22" width="9.140625" style="3" outlineLevel="1"/>
    <col min="23" max="23" width="9.140625" style="3"/>
    <col min="24" max="27" width="9.140625" style="3" outlineLevel="1"/>
    <col min="28" max="28" width="9.140625" style="3"/>
    <col min="29" max="32" width="10.5703125" style="3" customWidth="1" outlineLevel="1"/>
    <col min="33" max="33" width="9.140625" style="3"/>
    <col min="34" max="34" width="9.5703125" style="3" bestFit="1" customWidth="1" outlineLevel="1"/>
    <col min="35" max="35" width="9.140625" style="3" outlineLevel="1"/>
    <col min="36" max="36" width="9.5703125" style="3" bestFit="1" customWidth="1" outlineLevel="1"/>
    <col min="37" max="37" width="9.140625" style="3" outlineLevel="1"/>
    <col min="38" max="38" width="9.140625" style="3"/>
    <col min="39" max="40" width="9.140625" style="3" outlineLevel="1"/>
    <col min="41" max="41" width="9.5703125" style="3" bestFit="1" customWidth="1" outlineLevel="1"/>
    <col min="42" max="42" width="9.140625" style="3" outlineLevel="1"/>
    <col min="43" max="43" width="9.140625" style="3"/>
    <col min="44" max="47" width="9.140625" style="3" outlineLevel="1"/>
    <col min="48" max="48" width="9.140625" style="3"/>
    <col min="49" max="50" width="9.140625" style="3" outlineLevel="1"/>
    <col min="51" max="51" width="9.5703125" style="3" bestFit="1" customWidth="1" outlineLevel="1"/>
    <col min="52" max="52" width="9.140625" style="3" outlineLevel="1"/>
    <col min="53" max="53" width="9.140625" style="3"/>
    <col min="54" max="55" width="9.140625" style="3" outlineLevel="1"/>
    <col min="56" max="56" width="9.5703125" style="3" bestFit="1" customWidth="1" outlineLevel="1"/>
    <col min="57" max="57" width="9.140625" style="3" outlineLevel="1"/>
    <col min="58" max="58" width="9.140625" style="3"/>
    <col min="59" max="60" width="9.140625" style="3" outlineLevel="1"/>
    <col min="61" max="61" width="9.5703125" style="3" bestFit="1" customWidth="1" outlineLevel="1"/>
    <col min="62" max="62" width="9.140625" style="3" outlineLevel="1"/>
    <col min="63" max="63" width="9.140625" style="3"/>
    <col min="64" max="65" width="9.140625" style="3" outlineLevel="1"/>
    <col min="66" max="66" width="9.5703125" style="3" bestFit="1" customWidth="1" outlineLevel="1"/>
    <col min="67" max="67" width="9.140625" style="3" outlineLevel="1"/>
    <col min="68" max="16384" width="9.140625" style="3"/>
  </cols>
  <sheetData>
    <row r="1" spans="1:170" s="191" customFormat="1" ht="21">
      <c r="A1" s="146" t="s">
        <v>130</v>
      </c>
    </row>
    <row r="2" spans="1:170">
      <c r="E2" s="66"/>
    </row>
    <row r="3" spans="1:170" s="145" customFormat="1" ht="25.5">
      <c r="A3" s="334" t="s">
        <v>0</v>
      </c>
      <c r="B3" s="335"/>
      <c r="C3" s="336"/>
      <c r="D3" s="192" t="s">
        <v>1</v>
      </c>
      <c r="E3" s="193" t="s">
        <v>2</v>
      </c>
      <c r="F3" s="194" t="s">
        <v>119</v>
      </c>
      <c r="G3" s="195" t="s">
        <v>120</v>
      </c>
      <c r="H3" s="292" t="s">
        <v>16</v>
      </c>
      <c r="I3" s="253" t="s">
        <v>172</v>
      </c>
      <c r="J3" s="253" t="s">
        <v>173</v>
      </c>
      <c r="K3" s="253" t="s">
        <v>150</v>
      </c>
      <c r="L3" s="253" t="s">
        <v>151</v>
      </c>
      <c r="M3" s="293" t="s">
        <v>17</v>
      </c>
      <c r="N3" s="253" t="s">
        <v>148</v>
      </c>
      <c r="O3" s="253" t="s">
        <v>149</v>
      </c>
      <c r="P3" s="253" t="s">
        <v>150</v>
      </c>
      <c r="Q3" s="253" t="s">
        <v>151</v>
      </c>
      <c r="R3" s="291" t="s">
        <v>18</v>
      </c>
      <c r="S3" s="253" t="s">
        <v>152</v>
      </c>
      <c r="T3" s="253" t="s">
        <v>153</v>
      </c>
      <c r="U3" s="253" t="s">
        <v>150</v>
      </c>
      <c r="V3" s="253" t="s">
        <v>151</v>
      </c>
      <c r="W3" s="291" t="s">
        <v>19</v>
      </c>
      <c r="X3" s="253" t="s">
        <v>154</v>
      </c>
      <c r="Y3" s="253" t="s">
        <v>155</v>
      </c>
      <c r="Z3" s="253" t="s">
        <v>150</v>
      </c>
      <c r="AA3" s="253" t="s">
        <v>151</v>
      </c>
      <c r="AB3" s="291" t="s">
        <v>20</v>
      </c>
      <c r="AC3" s="253" t="s">
        <v>156</v>
      </c>
      <c r="AD3" s="253" t="s">
        <v>157</v>
      </c>
      <c r="AE3" s="253" t="s">
        <v>150</v>
      </c>
      <c r="AF3" s="253" t="s">
        <v>151</v>
      </c>
      <c r="AG3" s="291" t="s">
        <v>21</v>
      </c>
      <c r="AH3" s="253" t="s">
        <v>158</v>
      </c>
      <c r="AI3" s="253" t="s">
        <v>159</v>
      </c>
      <c r="AJ3" s="253" t="s">
        <v>150</v>
      </c>
      <c r="AK3" s="253" t="s">
        <v>151</v>
      </c>
      <c r="AL3" s="291" t="s">
        <v>22</v>
      </c>
      <c r="AM3" s="253" t="s">
        <v>160</v>
      </c>
      <c r="AN3" s="253" t="s">
        <v>161</v>
      </c>
      <c r="AO3" s="253" t="s">
        <v>150</v>
      </c>
      <c r="AP3" s="253" t="s">
        <v>151</v>
      </c>
      <c r="AQ3" s="291" t="s">
        <v>23</v>
      </c>
      <c r="AR3" s="253" t="s">
        <v>162</v>
      </c>
      <c r="AS3" s="253" t="s">
        <v>163</v>
      </c>
      <c r="AT3" s="253" t="s">
        <v>150</v>
      </c>
      <c r="AU3" s="253" t="s">
        <v>151</v>
      </c>
      <c r="AV3" s="291" t="s">
        <v>24</v>
      </c>
      <c r="AW3" s="253" t="s">
        <v>164</v>
      </c>
      <c r="AX3" s="253" t="s">
        <v>165</v>
      </c>
      <c r="AY3" s="253" t="s">
        <v>150</v>
      </c>
      <c r="AZ3" s="253" t="s">
        <v>151</v>
      </c>
      <c r="BA3" s="291" t="s">
        <v>25</v>
      </c>
      <c r="BB3" s="253" t="s">
        <v>166</v>
      </c>
      <c r="BC3" s="253" t="s">
        <v>167</v>
      </c>
      <c r="BD3" s="253" t="s">
        <v>150</v>
      </c>
      <c r="BE3" s="253" t="s">
        <v>151</v>
      </c>
      <c r="BF3" s="291" t="s">
        <v>26</v>
      </c>
      <c r="BG3" s="253" t="s">
        <v>168</v>
      </c>
      <c r="BH3" s="253" t="s">
        <v>169</v>
      </c>
      <c r="BI3" s="253" t="s">
        <v>150</v>
      </c>
      <c r="BJ3" s="253" t="s">
        <v>151</v>
      </c>
      <c r="BK3" s="291" t="s">
        <v>27</v>
      </c>
      <c r="BL3" s="253" t="s">
        <v>170</v>
      </c>
      <c r="BM3" s="253" t="s">
        <v>171</v>
      </c>
      <c r="BN3" s="253" t="s">
        <v>150</v>
      </c>
      <c r="BO3" s="253" t="s">
        <v>151</v>
      </c>
    </row>
    <row r="4" spans="1:170" s="29" customFormat="1">
      <c r="A4" s="32" t="s">
        <v>33</v>
      </c>
      <c r="B4" s="34" t="s">
        <v>34</v>
      </c>
      <c r="C4" s="34" t="s">
        <v>35</v>
      </c>
      <c r="D4" s="33">
        <v>1014372.42</v>
      </c>
      <c r="E4" s="35">
        <v>850000</v>
      </c>
      <c r="F4" s="36">
        <v>1200000</v>
      </c>
      <c r="G4" s="37">
        <v>1300000</v>
      </c>
      <c r="H4" s="285"/>
      <c r="I4" s="288">
        <f>E4*7.46%</f>
        <v>63410</v>
      </c>
      <c r="J4" s="242">
        <f>G4/I4</f>
        <v>20.501498186405929</v>
      </c>
      <c r="K4" s="277">
        <f>E4*7.46%</f>
        <v>63410</v>
      </c>
      <c r="L4" s="242">
        <f>G4/K4</f>
        <v>20.501498186405929</v>
      </c>
      <c r="M4" s="278">
        <v>90685.244555172496</v>
      </c>
      <c r="N4" s="277">
        <f>E4*5.93%</f>
        <v>50405</v>
      </c>
      <c r="O4" s="243">
        <f>M4/N4</f>
        <v>1.7991319225309492</v>
      </c>
      <c r="P4" s="244">
        <f>E4*13.39%</f>
        <v>113815.00000000001</v>
      </c>
      <c r="Q4" s="243">
        <f>SUM(G4,M4)/P4</f>
        <v>12.218822163644267</v>
      </c>
      <c r="R4" s="256">
        <v>42539</v>
      </c>
      <c r="S4" s="270">
        <f>E4*8.31%</f>
        <v>70635</v>
      </c>
      <c r="T4" s="258">
        <f>R4/S4</f>
        <v>0.60223685141926808</v>
      </c>
      <c r="U4" s="272">
        <f>E4*21.69%</f>
        <v>184365</v>
      </c>
      <c r="V4" s="258">
        <f>SUM(G4,M4,R4)/U4</f>
        <v>7.7738412635542131</v>
      </c>
      <c r="W4" s="260"/>
      <c r="X4" s="270">
        <f>E4*7.29%</f>
        <v>61965.000000000007</v>
      </c>
      <c r="Y4" s="258">
        <f>W4/X4</f>
        <v>0</v>
      </c>
      <c r="Z4" s="272">
        <f>E4*28.98%</f>
        <v>246330</v>
      </c>
      <c r="AA4" s="258">
        <f>SUM(G4,M4,R4,W4)/Z4</f>
        <v>5.8183097655793956</v>
      </c>
      <c r="AB4" s="260"/>
      <c r="AC4" s="270">
        <f>E4*11.02%</f>
        <v>93670</v>
      </c>
      <c r="AD4" s="258">
        <f>AB4/AC4</f>
        <v>0</v>
      </c>
      <c r="AE4" s="272">
        <f>E4*40%</f>
        <v>340000</v>
      </c>
      <c r="AF4" s="258">
        <f>SUM(G4,M4,R4,W4,AB4)/AE4</f>
        <v>4.2153654251622719</v>
      </c>
      <c r="AG4" s="260"/>
      <c r="AH4" s="270">
        <f>E4*12.03%</f>
        <v>102254.99999999999</v>
      </c>
      <c r="AI4" s="258">
        <f>AG4/AH4</f>
        <v>0</v>
      </c>
      <c r="AJ4" s="270">
        <f>E4*52.03%</f>
        <v>442255</v>
      </c>
      <c r="AK4" s="258">
        <f>SUM(G4,M4,R4,W4,AB4,AG4)/AJ4</f>
        <v>3.2407191429269822</v>
      </c>
      <c r="AL4" s="260"/>
      <c r="AM4" s="270">
        <f>E4*3.39%</f>
        <v>28815</v>
      </c>
      <c r="AN4" s="258">
        <f>AL4/AM4</f>
        <v>0</v>
      </c>
      <c r="AO4" s="270">
        <f>E4*55.42%</f>
        <v>471070</v>
      </c>
      <c r="AP4" s="258">
        <f>SUM(G4,M4,R4,W4,AB4,AG4,AL4)/AO4</f>
        <v>3.0424867738450176</v>
      </c>
      <c r="AQ4" s="260"/>
      <c r="AR4" s="270">
        <f>E4*9.83%</f>
        <v>83555</v>
      </c>
      <c r="AS4" s="258">
        <f>AQ4/AR4</f>
        <v>0</v>
      </c>
      <c r="AT4" s="270">
        <f>E4*65.25%</f>
        <v>554625</v>
      </c>
      <c r="AU4" s="258">
        <f>SUM(G4,M4,R4,W4,AB4,AG4,AL4,AQ4)/AT4</f>
        <v>2.5841320614021592</v>
      </c>
      <c r="AV4" s="260"/>
      <c r="AW4" s="270">
        <f>E4*10.85%</f>
        <v>92225</v>
      </c>
      <c r="AX4" s="258">
        <f>AV4/AW4</f>
        <v>0</v>
      </c>
      <c r="AY4" s="270">
        <f>E4*76.1%</f>
        <v>646849.99999999988</v>
      </c>
      <c r="AZ4" s="258">
        <f>SUM(G4,M4,R4,W4,AB4,AG4,AL4,AQ4,AV4)/AY4</f>
        <v>2.2156979895728108</v>
      </c>
      <c r="BA4" s="260"/>
      <c r="BB4" s="270">
        <f>E4*6.1%</f>
        <v>51850</v>
      </c>
      <c r="BC4" s="258">
        <f>BA4/BB4</f>
        <v>0</v>
      </c>
      <c r="BD4" s="270">
        <f>E4*82.2%</f>
        <v>698700</v>
      </c>
      <c r="BE4" s="258">
        <f>SUM(G4,M4,R4,W4,AB4,AG4,AL4,AQ4,AV4,BA4)/BD4</f>
        <v>2.0512727129743418</v>
      </c>
      <c r="BF4" s="260"/>
      <c r="BG4" s="270">
        <f>E4*6.44%</f>
        <v>54740</v>
      </c>
      <c r="BH4" s="258">
        <f>BF4/BG4</f>
        <v>0</v>
      </c>
      <c r="BI4" s="270">
        <f>E4*88.64%</f>
        <v>753440</v>
      </c>
      <c r="BJ4" s="258">
        <f>SUM(G4,M4,R4,W4,AB4,AG4,AL4,AQ4,AV4,BA4,BF4)/BI4</f>
        <v>1.9022407153259351</v>
      </c>
      <c r="BK4" s="260"/>
      <c r="BL4" s="270">
        <f>E4*11.36%</f>
        <v>96560</v>
      </c>
      <c r="BM4" s="258">
        <f>BK4/BL4</f>
        <v>0</v>
      </c>
      <c r="BN4" s="271">
        <f>E4*100%</f>
        <v>850000</v>
      </c>
      <c r="BO4" s="262">
        <f>SUM(G4,M4,R4,W4,AB4,AG4,AL4,AQ4,AV4,BA4,BF4,BK4)/BN4</f>
        <v>1.6861461700649087</v>
      </c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</row>
    <row r="5" spans="1:170" s="29" customFormat="1">
      <c r="A5" s="39" t="s">
        <v>36</v>
      </c>
      <c r="B5" s="41" t="s">
        <v>37</v>
      </c>
      <c r="C5" s="41" t="s">
        <v>38</v>
      </c>
      <c r="D5" s="40">
        <v>880704.24</v>
      </c>
      <c r="E5" s="42">
        <v>450000</v>
      </c>
      <c r="F5" s="43">
        <v>1000000</v>
      </c>
      <c r="G5" s="44">
        <v>1100000</v>
      </c>
      <c r="H5" s="285"/>
      <c r="I5" s="288">
        <f t="shared" ref="I5:I8" si="0">E5*7.46%</f>
        <v>33570</v>
      </c>
      <c r="J5" s="242">
        <f t="shared" ref="J5:J9" si="1">G5/I5</f>
        <v>32.767351802204352</v>
      </c>
      <c r="K5" s="277">
        <f t="shared" ref="K5:K9" si="2">E5*7.46%</f>
        <v>33570</v>
      </c>
      <c r="L5" s="242">
        <f t="shared" ref="L5:L8" si="3">G5/K5</f>
        <v>32.767351802204352</v>
      </c>
      <c r="M5" s="279">
        <v>58526.815000000002</v>
      </c>
      <c r="N5" s="277">
        <f t="shared" ref="N5:N8" si="4">E5*5.93%</f>
        <v>26685</v>
      </c>
      <c r="O5" s="243">
        <f t="shared" ref="O5:O9" si="5">M5/N5</f>
        <v>2.1932477047030168</v>
      </c>
      <c r="P5" s="244">
        <f>E5*13.39%</f>
        <v>60255.000000000007</v>
      </c>
      <c r="Q5" s="243">
        <f>SUM(G5,M5)/P5</f>
        <v>19.227065222803084</v>
      </c>
      <c r="R5" s="263">
        <v>61699</v>
      </c>
      <c r="S5" s="270">
        <f t="shared" ref="S5:S8" si="6">E5*8.31%</f>
        <v>37395</v>
      </c>
      <c r="T5" s="258">
        <f t="shared" ref="T5:T9" si="7">R5/S5</f>
        <v>1.6499264607567856</v>
      </c>
      <c r="U5" s="272">
        <f t="shared" ref="U5:U8" si="8">E5*21.69%</f>
        <v>97605</v>
      </c>
      <c r="V5" s="258">
        <f t="shared" ref="V5:V8" si="9">SUM(G5,M5,R5)/U5</f>
        <v>12.501673223707801</v>
      </c>
      <c r="W5" s="264"/>
      <c r="X5" s="270">
        <f t="shared" ref="X5:X8" si="10">E5*7.29%</f>
        <v>32805</v>
      </c>
      <c r="Y5" s="258">
        <f t="shared" ref="Y5:Y9" si="11">W5/X5</f>
        <v>0</v>
      </c>
      <c r="Z5" s="272">
        <f t="shared" ref="Z5:Z8" si="12">E5*28.98%</f>
        <v>130410</v>
      </c>
      <c r="AA5" s="258">
        <f t="shared" ref="AA5:AA8" si="13">SUM(G5,M5,R5,W5)/Z5</f>
        <v>9.3568423817191935</v>
      </c>
      <c r="AB5" s="264"/>
      <c r="AC5" s="270">
        <f t="shared" ref="AC5:AC8" si="14">E5*11.02%</f>
        <v>49590</v>
      </c>
      <c r="AD5" s="258">
        <f t="shared" ref="AD5:AD9" si="15">AB5/AC5</f>
        <v>0</v>
      </c>
      <c r="AE5" s="272">
        <f t="shared" ref="AE5:AE8" si="16">E5*40%</f>
        <v>180000</v>
      </c>
      <c r="AF5" s="258">
        <f t="shared" ref="AF5:AF8" si="17">SUM(G5,M5,R5,W5,AB5)/AE5</f>
        <v>6.779032305555555</v>
      </c>
      <c r="AG5" s="264"/>
      <c r="AH5" s="270">
        <f t="shared" ref="AH5:AH8" si="18">E5*12.03%</f>
        <v>54134.999999999993</v>
      </c>
      <c r="AI5" s="258">
        <f t="shared" ref="AI5:AI9" si="19">AG5/AH5</f>
        <v>0</v>
      </c>
      <c r="AJ5" s="270">
        <f t="shared" ref="AJ5:AJ8" si="20">E5*52.03%</f>
        <v>234135</v>
      </c>
      <c r="AK5" s="258">
        <f t="shared" ref="AK5:AK8" si="21">SUM(G5,M5,R5,W5,AB5,AG5)/AJ5</f>
        <v>5.2116335233946227</v>
      </c>
      <c r="AL5" s="264"/>
      <c r="AM5" s="270">
        <f t="shared" ref="AM5:AM8" si="22">E5*3.39%</f>
        <v>15255</v>
      </c>
      <c r="AN5" s="258">
        <f t="shared" ref="AN5:AN9" si="23">AL5/AM5</f>
        <v>0</v>
      </c>
      <c r="AO5" s="270">
        <f t="shared" ref="AO5:AO8" si="24">E5*55.42%</f>
        <v>249390</v>
      </c>
      <c r="AP5" s="258">
        <f t="shared" ref="AP5:AP8" si="25">SUM(G5,M5,R5,W5,AB5,AG5,AL5)/AO5</f>
        <v>4.8928417939773041</v>
      </c>
      <c r="AQ5" s="264"/>
      <c r="AR5" s="270">
        <f t="shared" ref="AR5:AR8" si="26">E5*9.83%</f>
        <v>44235</v>
      </c>
      <c r="AS5" s="258">
        <f t="shared" ref="AS5:AS9" si="27">AQ5/AR5</f>
        <v>0</v>
      </c>
      <c r="AT5" s="270">
        <f t="shared" ref="AT5:AT8" si="28">E5*65.25%</f>
        <v>293625</v>
      </c>
      <c r="AU5" s="258">
        <f t="shared" ref="AU5:AU8" si="29">SUM(G5,M5,R5,W5,AB5,AG5,AL5,AQ5)/AT5</f>
        <v>4.1557286164325244</v>
      </c>
      <c r="AV5" s="264"/>
      <c r="AW5" s="270">
        <f t="shared" ref="AW5:AW8" si="30">E5*10.85%</f>
        <v>48825</v>
      </c>
      <c r="AX5" s="258">
        <f t="shared" ref="AX5:AX9" si="31">AV5/AW5</f>
        <v>0</v>
      </c>
      <c r="AY5" s="270">
        <f t="shared" ref="AY5:AY8" si="32">E5*76.1%</f>
        <v>342449.99999999994</v>
      </c>
      <c r="AZ5" s="258">
        <f t="shared" ref="AZ5:AZ8" si="33">SUM(G5,M5,R5,W5,AB5,AG5,AL5,AQ5,AV5)/AY5</f>
        <v>3.5632232880712515</v>
      </c>
      <c r="BA5" s="264"/>
      <c r="BB5" s="270">
        <f t="shared" ref="BB5:BB8" si="34">E5*6.1%</f>
        <v>27450</v>
      </c>
      <c r="BC5" s="258">
        <f t="shared" ref="BC5:BC9" si="35">BA5/BB5</f>
        <v>0</v>
      </c>
      <c r="BD5" s="270">
        <f t="shared" ref="BD5:BD8" si="36">E5*82.2%</f>
        <v>369900</v>
      </c>
      <c r="BE5" s="258">
        <f t="shared" ref="BE5:BE8" si="37">SUM(G5,M5,R5,W5,AB5,AG5,AL5,AQ5,AV5,BA5)/BD5</f>
        <v>3.298799175452825</v>
      </c>
      <c r="BF5" s="264"/>
      <c r="BG5" s="270">
        <f t="shared" ref="BG5:BG8" si="38">E5*6.44%</f>
        <v>28980</v>
      </c>
      <c r="BH5" s="258">
        <f t="shared" ref="BH5:BH9" si="39">BF5/BG5</f>
        <v>0</v>
      </c>
      <c r="BI5" s="270">
        <f t="shared" ref="BI5:BI8" si="40">E5*88.64%</f>
        <v>398880</v>
      </c>
      <c r="BJ5" s="258">
        <f t="shared" ref="BJ5:BJ8" si="41">SUM(G5,M5,R5,W5,AB5,AG5,AL5,AQ5,AV5,BA5,BF5)/BI5</f>
        <v>3.0591301017849979</v>
      </c>
      <c r="BK5" s="264"/>
      <c r="BL5" s="270">
        <f t="shared" ref="BL5:BL8" si="42">E5*11.36%</f>
        <v>51120</v>
      </c>
      <c r="BM5" s="258">
        <f t="shared" ref="BM5:BM9" si="43">BK5/BL5</f>
        <v>0</v>
      </c>
      <c r="BN5" s="271">
        <f t="shared" ref="BN5:BN8" si="44">E5*100%</f>
        <v>450000</v>
      </c>
      <c r="BO5" s="262">
        <f t="shared" ref="BO5:BO8" si="45">SUM(G5,M5,R5,W5,AB5,AG5,AL5,AQ5,AV5,BA5,BF5,BK5)/BN5</f>
        <v>2.7116129222222223</v>
      </c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</row>
    <row r="6" spans="1:170" s="29" customFormat="1">
      <c r="A6" s="46" t="s">
        <v>39</v>
      </c>
      <c r="B6" s="48" t="s">
        <v>40</v>
      </c>
      <c r="C6" s="48" t="s">
        <v>41</v>
      </c>
      <c r="D6" s="47">
        <v>343191.81</v>
      </c>
      <c r="E6" s="49">
        <v>300000</v>
      </c>
      <c r="F6" s="50">
        <v>400000</v>
      </c>
      <c r="G6" s="51">
        <v>475000</v>
      </c>
      <c r="H6" s="285"/>
      <c r="I6" s="288">
        <f t="shared" si="0"/>
        <v>22380</v>
      </c>
      <c r="J6" s="242">
        <f t="shared" si="1"/>
        <v>21.22430741733691</v>
      </c>
      <c r="K6" s="277">
        <f t="shared" si="2"/>
        <v>22380</v>
      </c>
      <c r="L6" s="242">
        <f t="shared" si="3"/>
        <v>21.22430741733691</v>
      </c>
      <c r="M6" s="279">
        <v>4625.0006000000003</v>
      </c>
      <c r="N6" s="277">
        <f t="shared" si="4"/>
        <v>17790</v>
      </c>
      <c r="O6" s="243">
        <f t="shared" si="5"/>
        <v>0.25997754918493537</v>
      </c>
      <c r="P6" s="244">
        <f t="shared" ref="P6:P8" si="46">E6*13.39%</f>
        <v>40170.000000000007</v>
      </c>
      <c r="Q6" s="243">
        <f t="shared" ref="Q6:Q8" si="47">SUM(G6,M6)/P6</f>
        <v>11.939880522778191</v>
      </c>
      <c r="R6" s="263">
        <v>47679</v>
      </c>
      <c r="S6" s="270">
        <f t="shared" si="6"/>
        <v>24930.000000000004</v>
      </c>
      <c r="T6" s="258">
        <f t="shared" si="7"/>
        <v>1.91251504211793</v>
      </c>
      <c r="U6" s="272">
        <f t="shared" si="8"/>
        <v>65070</v>
      </c>
      <c r="V6" s="258">
        <f t="shared" si="9"/>
        <v>8.1036422406639002</v>
      </c>
      <c r="W6" s="264"/>
      <c r="X6" s="270">
        <f t="shared" si="10"/>
        <v>21870.000000000004</v>
      </c>
      <c r="Y6" s="258">
        <f t="shared" si="11"/>
        <v>0</v>
      </c>
      <c r="Z6" s="272">
        <f t="shared" si="12"/>
        <v>86940</v>
      </c>
      <c r="AA6" s="258">
        <f t="shared" si="13"/>
        <v>6.0651483850931678</v>
      </c>
      <c r="AB6" s="264"/>
      <c r="AC6" s="270">
        <f t="shared" si="14"/>
        <v>33060</v>
      </c>
      <c r="AD6" s="258">
        <f t="shared" si="15"/>
        <v>0</v>
      </c>
      <c r="AE6" s="272">
        <f t="shared" si="16"/>
        <v>120000</v>
      </c>
      <c r="AF6" s="258">
        <f t="shared" si="17"/>
        <v>4.3942000050000001</v>
      </c>
      <c r="AG6" s="264"/>
      <c r="AH6" s="270">
        <f t="shared" si="18"/>
        <v>36090</v>
      </c>
      <c r="AI6" s="258">
        <f t="shared" si="19"/>
        <v>0</v>
      </c>
      <c r="AJ6" s="270">
        <f t="shared" si="20"/>
        <v>156090</v>
      </c>
      <c r="AK6" s="258">
        <f t="shared" si="21"/>
        <v>3.3782048856428983</v>
      </c>
      <c r="AL6" s="264"/>
      <c r="AM6" s="270">
        <f t="shared" si="22"/>
        <v>10170</v>
      </c>
      <c r="AN6" s="258">
        <f t="shared" si="23"/>
        <v>0</v>
      </c>
      <c r="AO6" s="270">
        <f t="shared" si="24"/>
        <v>166260</v>
      </c>
      <c r="AP6" s="258">
        <f t="shared" si="25"/>
        <v>3.171562616383977</v>
      </c>
      <c r="AQ6" s="264"/>
      <c r="AR6" s="270">
        <f t="shared" si="26"/>
        <v>29490</v>
      </c>
      <c r="AS6" s="258">
        <f t="shared" si="27"/>
        <v>0</v>
      </c>
      <c r="AT6" s="270">
        <f t="shared" si="28"/>
        <v>195750</v>
      </c>
      <c r="AU6" s="258">
        <f t="shared" si="29"/>
        <v>2.693762455172414</v>
      </c>
      <c r="AV6" s="264"/>
      <c r="AW6" s="270">
        <f t="shared" si="30"/>
        <v>32550</v>
      </c>
      <c r="AX6" s="258">
        <f t="shared" si="31"/>
        <v>0</v>
      </c>
      <c r="AY6" s="270">
        <f t="shared" si="32"/>
        <v>228299.99999999997</v>
      </c>
      <c r="AZ6" s="258">
        <f t="shared" si="33"/>
        <v>2.3096977687253619</v>
      </c>
      <c r="BA6" s="264"/>
      <c r="BB6" s="270">
        <f t="shared" si="34"/>
        <v>18300</v>
      </c>
      <c r="BC6" s="258">
        <f t="shared" si="35"/>
        <v>0</v>
      </c>
      <c r="BD6" s="270">
        <f t="shared" si="36"/>
        <v>246600.00000000003</v>
      </c>
      <c r="BE6" s="258">
        <f t="shared" si="37"/>
        <v>2.1382968394160584</v>
      </c>
      <c r="BF6" s="264"/>
      <c r="BG6" s="270">
        <f t="shared" si="38"/>
        <v>19320</v>
      </c>
      <c r="BH6" s="258">
        <f t="shared" si="39"/>
        <v>0</v>
      </c>
      <c r="BI6" s="270">
        <f t="shared" si="40"/>
        <v>265920</v>
      </c>
      <c r="BJ6" s="258">
        <f t="shared" si="41"/>
        <v>1.9829422405234658</v>
      </c>
      <c r="BK6" s="264"/>
      <c r="BL6" s="270">
        <f t="shared" si="42"/>
        <v>34080</v>
      </c>
      <c r="BM6" s="258">
        <f t="shared" si="43"/>
        <v>0</v>
      </c>
      <c r="BN6" s="271">
        <f t="shared" si="44"/>
        <v>300000</v>
      </c>
      <c r="BO6" s="262">
        <f t="shared" si="45"/>
        <v>1.7576800020000001</v>
      </c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</row>
    <row r="7" spans="1:170">
      <c r="A7" s="53" t="s">
        <v>42</v>
      </c>
      <c r="B7" s="55" t="s">
        <v>43</v>
      </c>
      <c r="C7" s="55" t="s">
        <v>44</v>
      </c>
      <c r="D7" s="54">
        <v>275966.44</v>
      </c>
      <c r="E7" s="56">
        <v>300000</v>
      </c>
      <c r="F7" s="57">
        <v>325000</v>
      </c>
      <c r="G7" s="58">
        <v>400000</v>
      </c>
      <c r="H7" s="285"/>
      <c r="I7" s="288">
        <f t="shared" si="0"/>
        <v>22380</v>
      </c>
      <c r="J7" s="242">
        <f t="shared" si="1"/>
        <v>17.873100983020553</v>
      </c>
      <c r="K7" s="277">
        <f t="shared" si="2"/>
        <v>22380</v>
      </c>
      <c r="L7" s="242">
        <f t="shared" si="3"/>
        <v>17.873100983020553</v>
      </c>
      <c r="M7" s="279">
        <v>28718.2168206026</v>
      </c>
      <c r="N7" s="277">
        <f t="shared" si="4"/>
        <v>17790</v>
      </c>
      <c r="O7" s="243">
        <f t="shared" si="5"/>
        <v>1.6142898718719842</v>
      </c>
      <c r="P7" s="244">
        <f t="shared" si="46"/>
        <v>40170.000000000007</v>
      </c>
      <c r="Q7" s="243">
        <f t="shared" si="47"/>
        <v>10.672596883759088</v>
      </c>
      <c r="R7" s="263">
        <v>1950</v>
      </c>
      <c r="S7" s="270">
        <f>E7*8.31%</f>
        <v>24930.000000000004</v>
      </c>
      <c r="T7" s="258">
        <f t="shared" si="7"/>
        <v>7.8219013237063761E-2</v>
      </c>
      <c r="U7" s="272">
        <f t="shared" si="8"/>
        <v>65070</v>
      </c>
      <c r="V7" s="258">
        <f t="shared" si="9"/>
        <v>6.6185372186968277</v>
      </c>
      <c r="W7" s="264"/>
      <c r="X7" s="270">
        <f t="shared" si="10"/>
        <v>21870.000000000004</v>
      </c>
      <c r="Y7" s="258">
        <f t="shared" si="11"/>
        <v>0</v>
      </c>
      <c r="Z7" s="272">
        <f t="shared" si="12"/>
        <v>86940</v>
      </c>
      <c r="AA7" s="258">
        <f t="shared" si="13"/>
        <v>4.9536256823165701</v>
      </c>
      <c r="AB7" s="264"/>
      <c r="AC7" s="270">
        <f t="shared" si="14"/>
        <v>33060</v>
      </c>
      <c r="AD7" s="258">
        <f t="shared" si="15"/>
        <v>0</v>
      </c>
      <c r="AE7" s="272">
        <f t="shared" si="16"/>
        <v>120000</v>
      </c>
      <c r="AF7" s="258">
        <f t="shared" si="17"/>
        <v>3.5889018068383551</v>
      </c>
      <c r="AG7" s="264"/>
      <c r="AH7" s="270">
        <f t="shared" si="18"/>
        <v>36090</v>
      </c>
      <c r="AI7" s="258">
        <f t="shared" si="19"/>
        <v>0</v>
      </c>
      <c r="AJ7" s="270">
        <f t="shared" si="20"/>
        <v>156090</v>
      </c>
      <c r="AK7" s="258">
        <f t="shared" si="21"/>
        <v>2.7591019080056545</v>
      </c>
      <c r="AL7" s="264"/>
      <c r="AM7" s="270">
        <f t="shared" si="22"/>
        <v>10170</v>
      </c>
      <c r="AN7" s="258">
        <f t="shared" si="23"/>
        <v>0</v>
      </c>
      <c r="AO7" s="270">
        <f t="shared" si="24"/>
        <v>166260</v>
      </c>
      <c r="AP7" s="258">
        <f t="shared" si="25"/>
        <v>2.5903297054048031</v>
      </c>
      <c r="AQ7" s="264"/>
      <c r="AR7" s="270">
        <f t="shared" si="26"/>
        <v>29490</v>
      </c>
      <c r="AS7" s="258">
        <f t="shared" si="27"/>
        <v>0</v>
      </c>
      <c r="AT7" s="270">
        <f t="shared" si="28"/>
        <v>195750</v>
      </c>
      <c r="AU7" s="258">
        <f t="shared" si="29"/>
        <v>2.2000930616633592</v>
      </c>
      <c r="AV7" s="264"/>
      <c r="AW7" s="270">
        <f t="shared" si="30"/>
        <v>32550</v>
      </c>
      <c r="AX7" s="258">
        <f t="shared" si="31"/>
        <v>0</v>
      </c>
      <c r="AY7" s="270">
        <f t="shared" si="32"/>
        <v>228299.99999999997</v>
      </c>
      <c r="AZ7" s="258">
        <f t="shared" si="33"/>
        <v>1.8864135646982156</v>
      </c>
      <c r="BA7" s="264"/>
      <c r="BB7" s="270">
        <f t="shared" si="34"/>
        <v>18300</v>
      </c>
      <c r="BC7" s="258">
        <f t="shared" si="35"/>
        <v>0</v>
      </c>
      <c r="BD7" s="270">
        <f t="shared" si="36"/>
        <v>246600.00000000003</v>
      </c>
      <c r="BE7" s="258">
        <f t="shared" si="37"/>
        <v>1.7464242369043088</v>
      </c>
      <c r="BF7" s="264"/>
      <c r="BG7" s="270">
        <f t="shared" si="38"/>
        <v>19320</v>
      </c>
      <c r="BH7" s="258">
        <f t="shared" si="39"/>
        <v>0</v>
      </c>
      <c r="BI7" s="270">
        <f t="shared" si="40"/>
        <v>265920</v>
      </c>
      <c r="BJ7" s="258">
        <f t="shared" si="41"/>
        <v>1.6195405265516043</v>
      </c>
      <c r="BK7" s="264"/>
      <c r="BL7" s="270">
        <f t="shared" si="42"/>
        <v>34080</v>
      </c>
      <c r="BM7" s="258">
        <f t="shared" si="43"/>
        <v>0</v>
      </c>
      <c r="BN7" s="271">
        <f t="shared" si="44"/>
        <v>300000</v>
      </c>
      <c r="BO7" s="262">
        <f t="shared" si="45"/>
        <v>1.435560722735342</v>
      </c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</row>
    <row r="8" spans="1:170">
      <c r="A8" s="60" t="s">
        <v>45</v>
      </c>
      <c r="B8" s="61" t="s">
        <v>46</v>
      </c>
      <c r="C8" s="61" t="s">
        <v>47</v>
      </c>
      <c r="D8" s="62">
        <v>464502.33</v>
      </c>
      <c r="E8" s="64">
        <v>200000</v>
      </c>
      <c r="F8" s="63">
        <v>650000</v>
      </c>
      <c r="G8" s="65">
        <v>650000</v>
      </c>
      <c r="H8" s="285"/>
      <c r="I8" s="288">
        <f t="shared" si="0"/>
        <v>14920</v>
      </c>
      <c r="J8" s="242">
        <f t="shared" si="1"/>
        <v>43.565683646112603</v>
      </c>
      <c r="K8" s="277">
        <f t="shared" si="2"/>
        <v>14920</v>
      </c>
      <c r="L8" s="242">
        <f t="shared" si="3"/>
        <v>43.565683646112603</v>
      </c>
      <c r="M8" s="280">
        <v>0</v>
      </c>
      <c r="N8" s="277">
        <f t="shared" si="4"/>
        <v>11860</v>
      </c>
      <c r="O8" s="243">
        <f t="shared" si="5"/>
        <v>0</v>
      </c>
      <c r="P8" s="244">
        <f t="shared" si="46"/>
        <v>26780.000000000004</v>
      </c>
      <c r="Q8" s="243">
        <f t="shared" si="47"/>
        <v>24.271844660194173</v>
      </c>
      <c r="R8" s="263">
        <v>29795</v>
      </c>
      <c r="S8" s="270">
        <f t="shared" si="6"/>
        <v>16620</v>
      </c>
      <c r="T8" s="258">
        <f t="shared" si="7"/>
        <v>1.792719614921781</v>
      </c>
      <c r="U8" s="272">
        <f t="shared" si="8"/>
        <v>43380</v>
      </c>
      <c r="V8" s="258">
        <f t="shared" si="9"/>
        <v>15.670700783771323</v>
      </c>
      <c r="W8" s="264"/>
      <c r="X8" s="270">
        <f t="shared" si="10"/>
        <v>14580.000000000002</v>
      </c>
      <c r="Y8" s="258">
        <f t="shared" si="11"/>
        <v>0</v>
      </c>
      <c r="Z8" s="272">
        <f t="shared" si="12"/>
        <v>57960</v>
      </c>
      <c r="AA8" s="258">
        <f t="shared" si="13"/>
        <v>11.728692201518289</v>
      </c>
      <c r="AB8" s="264"/>
      <c r="AC8" s="270">
        <f t="shared" si="14"/>
        <v>22040</v>
      </c>
      <c r="AD8" s="258">
        <f t="shared" si="15"/>
        <v>0</v>
      </c>
      <c r="AE8" s="272">
        <f t="shared" si="16"/>
        <v>80000</v>
      </c>
      <c r="AF8" s="258">
        <f t="shared" si="17"/>
        <v>8.4974375000000002</v>
      </c>
      <c r="AG8" s="264"/>
      <c r="AH8" s="270">
        <f t="shared" si="18"/>
        <v>24059.999999999996</v>
      </c>
      <c r="AI8" s="258">
        <f t="shared" si="19"/>
        <v>0</v>
      </c>
      <c r="AJ8" s="270">
        <f t="shared" si="20"/>
        <v>104060</v>
      </c>
      <c r="AK8" s="258">
        <f t="shared" si="21"/>
        <v>6.5327215068229867</v>
      </c>
      <c r="AL8" s="264"/>
      <c r="AM8" s="270">
        <f t="shared" si="22"/>
        <v>6780</v>
      </c>
      <c r="AN8" s="258">
        <f t="shared" si="23"/>
        <v>0</v>
      </c>
      <c r="AO8" s="270">
        <f t="shared" si="24"/>
        <v>110840</v>
      </c>
      <c r="AP8" s="258">
        <f t="shared" si="25"/>
        <v>6.1331198123421151</v>
      </c>
      <c r="AQ8" s="264"/>
      <c r="AR8" s="270">
        <f t="shared" si="26"/>
        <v>19660</v>
      </c>
      <c r="AS8" s="258">
        <f t="shared" si="27"/>
        <v>0</v>
      </c>
      <c r="AT8" s="270">
        <f t="shared" si="28"/>
        <v>130500</v>
      </c>
      <c r="AU8" s="258">
        <f t="shared" si="29"/>
        <v>5.2091570881226055</v>
      </c>
      <c r="AV8" s="264"/>
      <c r="AW8" s="270">
        <f t="shared" si="30"/>
        <v>21700</v>
      </c>
      <c r="AX8" s="258">
        <f t="shared" si="31"/>
        <v>0</v>
      </c>
      <c r="AY8" s="270">
        <f t="shared" si="32"/>
        <v>152199.99999999997</v>
      </c>
      <c r="AZ8" s="258">
        <f t="shared" si="33"/>
        <v>4.4664586070959276</v>
      </c>
      <c r="BA8" s="264"/>
      <c r="BB8" s="270">
        <f t="shared" si="34"/>
        <v>12200</v>
      </c>
      <c r="BC8" s="258">
        <f t="shared" si="35"/>
        <v>0</v>
      </c>
      <c r="BD8" s="270">
        <f t="shared" si="36"/>
        <v>164400</v>
      </c>
      <c r="BE8" s="258">
        <f t="shared" si="37"/>
        <v>4.1350060827250612</v>
      </c>
      <c r="BF8" s="264"/>
      <c r="BG8" s="270">
        <f t="shared" si="38"/>
        <v>12880</v>
      </c>
      <c r="BH8" s="258">
        <f t="shared" si="39"/>
        <v>0</v>
      </c>
      <c r="BI8" s="270">
        <f t="shared" si="40"/>
        <v>177280</v>
      </c>
      <c r="BJ8" s="258">
        <f t="shared" si="41"/>
        <v>3.8345837093862816</v>
      </c>
      <c r="BK8" s="264"/>
      <c r="BL8" s="270">
        <f t="shared" si="42"/>
        <v>22720</v>
      </c>
      <c r="BM8" s="258">
        <f t="shared" si="43"/>
        <v>0</v>
      </c>
      <c r="BN8" s="271">
        <f t="shared" si="44"/>
        <v>200000</v>
      </c>
      <c r="BO8" s="262">
        <f t="shared" si="45"/>
        <v>3.3989750000000001</v>
      </c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</row>
    <row r="9" spans="1:170" s="28" customFormat="1">
      <c r="A9" s="69" t="s">
        <v>48</v>
      </c>
      <c r="B9" s="69" t="s">
        <v>49</v>
      </c>
      <c r="C9" s="69" t="s">
        <v>50</v>
      </c>
      <c r="D9" s="70">
        <v>0</v>
      </c>
      <c r="E9" s="67">
        <v>0</v>
      </c>
      <c r="F9" s="68">
        <v>200000</v>
      </c>
      <c r="G9" s="179" t="s">
        <v>15</v>
      </c>
      <c r="H9" s="285"/>
      <c r="I9" s="283">
        <v>26309.940717769601</v>
      </c>
      <c r="J9" s="242" t="e">
        <f t="shared" si="1"/>
        <v>#VALUE!</v>
      </c>
      <c r="K9" s="277">
        <f t="shared" si="2"/>
        <v>0</v>
      </c>
      <c r="L9" s="242" t="e">
        <f>G9/K9</f>
        <v>#VALUE!</v>
      </c>
      <c r="M9" s="280">
        <v>1</v>
      </c>
      <c r="N9" s="277">
        <f>E9*5.93%</f>
        <v>0</v>
      </c>
      <c r="O9" s="243" t="e">
        <f t="shared" si="5"/>
        <v>#DIV/0!</v>
      </c>
      <c r="P9" s="244">
        <f>E9*13.39%</f>
        <v>0</v>
      </c>
      <c r="Q9" s="243" t="e">
        <f>SUM(G9,M9)/P9</f>
        <v>#DIV/0!</v>
      </c>
      <c r="R9" s="263">
        <v>29796</v>
      </c>
      <c r="S9" s="270">
        <f>E9*8.31%</f>
        <v>0</v>
      </c>
      <c r="T9" s="258" t="e">
        <f t="shared" si="7"/>
        <v>#DIV/0!</v>
      </c>
      <c r="U9" s="272">
        <f>E9*21.69%</f>
        <v>0</v>
      </c>
      <c r="V9" s="258" t="e">
        <f>SUM(G9,M9,R9)/U9</f>
        <v>#DIV/0!</v>
      </c>
      <c r="W9" s="264"/>
      <c r="X9" s="270">
        <f>E9*7.29%</f>
        <v>0</v>
      </c>
      <c r="Y9" s="258" t="e">
        <f t="shared" si="11"/>
        <v>#DIV/0!</v>
      </c>
      <c r="Z9" s="272">
        <f>E9*28.98%</f>
        <v>0</v>
      </c>
      <c r="AA9" s="258" t="e">
        <f>SUM(G9,M9,R9,W9)/Z9</f>
        <v>#DIV/0!</v>
      </c>
      <c r="AB9" s="264"/>
      <c r="AC9" s="270">
        <f>E9*11.02%</f>
        <v>0</v>
      </c>
      <c r="AD9" s="258" t="e">
        <f t="shared" si="15"/>
        <v>#DIV/0!</v>
      </c>
      <c r="AE9" s="272">
        <f>E9*40%</f>
        <v>0</v>
      </c>
      <c r="AF9" s="258" t="e">
        <f>SUM(G9,M9,R9,W9,AB9)/AE9</f>
        <v>#DIV/0!</v>
      </c>
      <c r="AG9" s="264"/>
      <c r="AH9" s="270">
        <f>E9*12.03%</f>
        <v>0</v>
      </c>
      <c r="AI9" s="258" t="e">
        <f t="shared" si="19"/>
        <v>#DIV/0!</v>
      </c>
      <c r="AJ9" s="270">
        <f>E9*52.03%</f>
        <v>0</v>
      </c>
      <c r="AK9" s="258" t="e">
        <f>SUM(G9,M9,R9,W9,AB9,AG9)/AJ9</f>
        <v>#DIV/0!</v>
      </c>
      <c r="AL9" s="264"/>
      <c r="AM9" s="270">
        <f>E9*3.39%</f>
        <v>0</v>
      </c>
      <c r="AN9" s="258" t="e">
        <f t="shared" si="23"/>
        <v>#DIV/0!</v>
      </c>
      <c r="AO9" s="270">
        <f>E9*55.42%</f>
        <v>0</v>
      </c>
      <c r="AP9" s="258" t="e">
        <f>SUM(G9,M9,R9,W9,AB9,AG9,AL9)/AO9</f>
        <v>#DIV/0!</v>
      </c>
      <c r="AQ9" s="264"/>
      <c r="AR9" s="270">
        <f>E9*9.83%</f>
        <v>0</v>
      </c>
      <c r="AS9" s="258" t="e">
        <f t="shared" si="27"/>
        <v>#DIV/0!</v>
      </c>
      <c r="AT9" s="270">
        <f>E9*65.25%</f>
        <v>0</v>
      </c>
      <c r="AU9" s="258" t="e">
        <f>SUM(G9,M9,R9,W9,AB9,AG9,AL9,AQ9)/AT9</f>
        <v>#DIV/0!</v>
      </c>
      <c r="AV9" s="264"/>
      <c r="AW9" s="270">
        <f>E9*10.85%</f>
        <v>0</v>
      </c>
      <c r="AX9" s="258" t="e">
        <f t="shared" si="31"/>
        <v>#DIV/0!</v>
      </c>
      <c r="AY9" s="270">
        <f>E9*76.1%</f>
        <v>0</v>
      </c>
      <c r="AZ9" s="258" t="e">
        <f>SUM(G9,M9,R9,W9,AB9,AG9,AL9,AQ9,AV9)/AY9</f>
        <v>#DIV/0!</v>
      </c>
      <c r="BA9" s="264"/>
      <c r="BB9" s="270">
        <f>E9*6.1%</f>
        <v>0</v>
      </c>
      <c r="BC9" s="258" t="e">
        <f t="shared" si="35"/>
        <v>#DIV/0!</v>
      </c>
      <c r="BD9" s="270">
        <f>E9*82.2%</f>
        <v>0</v>
      </c>
      <c r="BE9" s="258" t="e">
        <f>SUM(G9,M9,R9,W9,AB9,AG9,AL9,AQ9,AV9,BA9)/BD9</f>
        <v>#DIV/0!</v>
      </c>
      <c r="BF9" s="264"/>
      <c r="BG9" s="270">
        <f>E9*6.44%</f>
        <v>0</v>
      </c>
      <c r="BH9" s="258" t="e">
        <f t="shared" si="39"/>
        <v>#DIV/0!</v>
      </c>
      <c r="BI9" s="270">
        <f>E9*88.64%</f>
        <v>0</v>
      </c>
      <c r="BJ9" s="258" t="e">
        <f>SUM(G9,M9,R9,W9,AB9,AG9,AL9,AQ9,AV9,BA9,BF9)/BI9</f>
        <v>#DIV/0!</v>
      </c>
      <c r="BK9" s="264"/>
      <c r="BL9" s="270">
        <f>E9*11.36%</f>
        <v>0</v>
      </c>
      <c r="BM9" s="258" t="e">
        <f t="shared" si="43"/>
        <v>#DIV/0!</v>
      </c>
      <c r="BN9" s="271">
        <f>E9*100%</f>
        <v>0</v>
      </c>
      <c r="BO9" s="262" t="e">
        <f>SUM(G9,M9,R9,W9,AB9,AG9,AL9,AQ9,AV9,BA9,BF9,BK9)/BN9</f>
        <v>#DIV/0!</v>
      </c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</row>
    <row r="10" spans="1:170" customFormat="1">
      <c r="F10" s="178">
        <f>SUM(F4:F9)</f>
        <v>3775000</v>
      </c>
      <c r="H10" s="1"/>
      <c r="I10" s="1"/>
    </row>
    <row r="12" spans="1:170" s="136" customFormat="1" ht="15.75" thickBot="1">
      <c r="H12"/>
      <c r="I12"/>
    </row>
    <row r="13" spans="1:170" ht="15.75" thickBot="1">
      <c r="A13" s="164"/>
      <c r="B13" s="168" t="s">
        <v>121</v>
      </c>
      <c r="C13" s="169" t="s">
        <v>122</v>
      </c>
      <c r="D13" s="168" t="s">
        <v>123</v>
      </c>
      <c r="E13" s="169" t="s">
        <v>124</v>
      </c>
      <c r="F13" s="168" t="s">
        <v>125</v>
      </c>
      <c r="G13" s="169" t="s">
        <v>126</v>
      </c>
      <c r="H13"/>
      <c r="I13"/>
    </row>
    <row r="14" spans="1:170">
      <c r="A14" s="8" t="s">
        <v>16</v>
      </c>
      <c r="B14" s="5">
        <v>178344</v>
      </c>
      <c r="C14" s="22">
        <v>10</v>
      </c>
      <c r="D14" s="10">
        <v>0</v>
      </c>
      <c r="E14" s="11">
        <v>0</v>
      </c>
      <c r="F14" s="14">
        <v>210000</v>
      </c>
      <c r="G14" s="170" t="str">
        <f>IF(D14=0,"",D14-F14)</f>
        <v/>
      </c>
      <c r="H14"/>
      <c r="I14"/>
    </row>
    <row r="15" spans="1:170">
      <c r="A15" s="8" t="s">
        <v>17</v>
      </c>
      <c r="B15" s="21">
        <v>183670</v>
      </c>
      <c r="C15" s="20">
        <v>10</v>
      </c>
      <c r="D15" s="167">
        <v>0</v>
      </c>
      <c r="E15" s="11">
        <v>0</v>
      </c>
      <c r="F15" s="171">
        <v>215000</v>
      </c>
      <c r="G15" s="170" t="str">
        <f t="shared" ref="G15:G26" si="48">IF(D15=0,"",D15-F15)</f>
        <v/>
      </c>
      <c r="H15"/>
      <c r="I15"/>
    </row>
    <row r="16" spans="1:170">
      <c r="A16" s="8" t="s">
        <v>18</v>
      </c>
      <c r="B16" s="21">
        <v>471907</v>
      </c>
      <c r="C16" s="20">
        <v>24</v>
      </c>
      <c r="D16" s="167">
        <v>0</v>
      </c>
      <c r="E16" s="11">
        <v>0</v>
      </c>
      <c r="F16" s="171">
        <v>555000</v>
      </c>
      <c r="G16" s="170" t="str">
        <f t="shared" si="48"/>
        <v/>
      </c>
      <c r="H16"/>
      <c r="I16"/>
    </row>
    <row r="17" spans="1:9">
      <c r="A17" s="8" t="s">
        <v>19</v>
      </c>
      <c r="B17" s="21">
        <v>296604</v>
      </c>
      <c r="C17" s="20">
        <v>16</v>
      </c>
      <c r="D17" s="167">
        <v>0</v>
      </c>
      <c r="E17" s="11">
        <v>0</v>
      </c>
      <c r="F17" s="171">
        <v>350000</v>
      </c>
      <c r="G17" s="170" t="str">
        <f t="shared" si="48"/>
        <v/>
      </c>
      <c r="H17"/>
      <c r="I17"/>
    </row>
    <row r="18" spans="1:9">
      <c r="A18" s="8" t="s">
        <v>20</v>
      </c>
      <c r="B18" s="18">
        <v>356843</v>
      </c>
      <c r="C18" s="20">
        <v>21</v>
      </c>
      <c r="D18" s="167">
        <v>0</v>
      </c>
      <c r="E18" s="11">
        <v>0</v>
      </c>
      <c r="F18" s="171">
        <v>420000</v>
      </c>
      <c r="G18" s="170" t="str">
        <f t="shared" si="48"/>
        <v/>
      </c>
      <c r="H18"/>
      <c r="I18"/>
    </row>
    <row r="19" spans="1:9">
      <c r="A19" s="8" t="s">
        <v>21</v>
      </c>
      <c r="B19" s="21">
        <v>370189</v>
      </c>
      <c r="C19" s="20">
        <v>23</v>
      </c>
      <c r="D19" s="167">
        <v>0</v>
      </c>
      <c r="E19" s="11">
        <v>0</v>
      </c>
      <c r="F19" s="171">
        <v>435000</v>
      </c>
      <c r="G19" s="170" t="str">
        <f t="shared" si="48"/>
        <v/>
      </c>
      <c r="H19"/>
      <c r="I19"/>
    </row>
    <row r="20" spans="1:9">
      <c r="A20" s="8" t="s">
        <v>22</v>
      </c>
      <c r="B20" s="21">
        <v>123134</v>
      </c>
      <c r="C20" s="20">
        <v>9</v>
      </c>
      <c r="D20" s="167">
        <v>0</v>
      </c>
      <c r="E20" s="11">
        <v>0</v>
      </c>
      <c r="F20" s="171">
        <v>145000</v>
      </c>
      <c r="G20" s="170" t="str">
        <f t="shared" si="48"/>
        <v/>
      </c>
      <c r="H20"/>
      <c r="I20"/>
    </row>
    <row r="21" spans="1:9">
      <c r="A21" s="8" t="s">
        <v>23</v>
      </c>
      <c r="B21" s="21">
        <v>158702</v>
      </c>
      <c r="C21" s="20">
        <v>9</v>
      </c>
      <c r="D21" s="167">
        <v>0</v>
      </c>
      <c r="E21" s="11">
        <v>0</v>
      </c>
      <c r="F21" s="171">
        <v>185000</v>
      </c>
      <c r="G21" s="170" t="str">
        <f t="shared" si="48"/>
        <v/>
      </c>
      <c r="H21"/>
      <c r="I21"/>
    </row>
    <row r="22" spans="1:9">
      <c r="A22" s="8" t="s">
        <v>24</v>
      </c>
      <c r="B22" s="21">
        <v>344799</v>
      </c>
      <c r="C22" s="20">
        <v>21</v>
      </c>
      <c r="D22" s="167">
        <v>0</v>
      </c>
      <c r="E22" s="11">
        <v>0</v>
      </c>
      <c r="F22" s="171">
        <v>410000</v>
      </c>
      <c r="G22" s="170" t="str">
        <f t="shared" si="48"/>
        <v/>
      </c>
      <c r="H22"/>
      <c r="I22"/>
    </row>
    <row r="23" spans="1:9">
      <c r="A23" s="8" t="s">
        <v>25</v>
      </c>
      <c r="B23" s="21">
        <v>174463</v>
      </c>
      <c r="C23" s="20">
        <v>11</v>
      </c>
      <c r="D23" s="167">
        <v>0</v>
      </c>
      <c r="E23" s="11">
        <v>0</v>
      </c>
      <c r="F23" s="171">
        <v>205000</v>
      </c>
      <c r="G23" s="170" t="str">
        <f t="shared" si="48"/>
        <v/>
      </c>
      <c r="H23"/>
      <c r="I23"/>
    </row>
    <row r="24" spans="1:9">
      <c r="A24" s="8" t="s">
        <v>26</v>
      </c>
      <c r="B24" s="21">
        <v>201828</v>
      </c>
      <c r="C24" s="19">
        <v>13</v>
      </c>
      <c r="D24" s="167">
        <v>0</v>
      </c>
      <c r="E24" s="11">
        <v>0</v>
      </c>
      <c r="F24" s="171">
        <v>240000</v>
      </c>
      <c r="G24" s="170" t="str">
        <f t="shared" si="48"/>
        <v/>
      </c>
      <c r="H24"/>
      <c r="I24"/>
    </row>
    <row r="25" spans="1:9" ht="15.75" thickBot="1">
      <c r="A25" s="8" t="s">
        <v>27</v>
      </c>
      <c r="B25" s="6">
        <v>344245</v>
      </c>
      <c r="C25" s="30">
        <v>20</v>
      </c>
      <c r="D25" s="167">
        <v>0</v>
      </c>
      <c r="E25" s="11">
        <v>0</v>
      </c>
      <c r="F25" s="184">
        <v>405000</v>
      </c>
      <c r="G25" s="207" t="str">
        <f t="shared" si="48"/>
        <v/>
      </c>
      <c r="H25"/>
      <c r="I25"/>
    </row>
    <row r="26" spans="1:9" ht="15.75" thickBot="1">
      <c r="A26" s="9"/>
      <c r="B26" s="17">
        <f>SUM(B14:B25)</f>
        <v>3204728</v>
      </c>
      <c r="C26" s="23">
        <f>SUM(C14:C25)</f>
        <v>187</v>
      </c>
      <c r="D26" s="140">
        <f>SUM(D14:D25)</f>
        <v>0</v>
      </c>
      <c r="E26" s="25">
        <f>SUM(E15:E25)</f>
        <v>0</v>
      </c>
      <c r="F26" s="174">
        <f>SUM(F14:F25)</f>
        <v>3775000</v>
      </c>
      <c r="G26" s="182" t="str">
        <f t="shared" si="48"/>
        <v/>
      </c>
      <c r="H26"/>
      <c r="I26"/>
    </row>
    <row r="27" spans="1:9" ht="15.75" thickBot="1">
      <c r="H27"/>
      <c r="I27"/>
    </row>
    <row r="28" spans="1:9" ht="45.75" thickBot="1">
      <c r="E28" s="147" t="s">
        <v>134</v>
      </c>
      <c r="F28" s="142">
        <f>D26/F26</f>
        <v>0</v>
      </c>
      <c r="H28"/>
      <c r="I28"/>
    </row>
  </sheetData>
  <mergeCells count="1">
    <mergeCell ref="A3:C3"/>
  </mergeCells>
  <pageMargins left="0.7" right="0.7" top="0.75" bottom="0.75" header="0.3" footer="0.3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27"/>
  <sheetViews>
    <sheetView workbookViewId="0">
      <selection activeCell="E13" sqref="E13:E24"/>
    </sheetView>
  </sheetViews>
  <sheetFormatPr defaultRowHeight="15" outlineLevelCol="1"/>
  <cols>
    <col min="1" max="1" width="10.5703125" style="78" customWidth="1"/>
    <col min="2" max="2" width="14.28515625" style="78" bestFit="1" customWidth="1"/>
    <col min="3" max="3" width="9.42578125" style="78" customWidth="1"/>
    <col min="4" max="4" width="12.5703125" style="78" bestFit="1" customWidth="1"/>
    <col min="5" max="5" width="12.140625" style="78" customWidth="1"/>
    <col min="6" max="6" width="19.28515625" style="78" customWidth="1"/>
    <col min="7" max="7" width="20.5703125" style="78" bestFit="1" customWidth="1"/>
    <col min="8" max="8" width="11.7109375" style="78" bestFit="1" customWidth="1"/>
    <col min="9" max="9" width="10.7109375" style="78" bestFit="1" customWidth="1" outlineLevel="1"/>
    <col min="10" max="10" width="9.140625" style="78" outlineLevel="1"/>
    <col min="11" max="11" width="11.5703125" style="78" bestFit="1" customWidth="1" outlineLevel="1"/>
    <col min="12" max="12" width="9.140625" style="78" outlineLevel="1"/>
    <col min="13" max="13" width="10.7109375" style="78" bestFit="1" customWidth="1"/>
    <col min="14" max="14" width="10.7109375" style="78" bestFit="1" customWidth="1" outlineLevel="1"/>
    <col min="15" max="15" width="9.140625" style="78" outlineLevel="1"/>
    <col min="16" max="16" width="10.7109375" style="78" bestFit="1" customWidth="1" outlineLevel="1"/>
    <col min="17" max="17" width="9.140625" style="78" outlineLevel="1"/>
    <col min="18" max="18" width="11" style="78" bestFit="1" customWidth="1"/>
    <col min="19" max="19" width="11" style="78" bestFit="1" customWidth="1" outlineLevel="1"/>
    <col min="20" max="20" width="12.85546875" style="78" customWidth="1" outlineLevel="1"/>
    <col min="21" max="21" width="12" style="78" bestFit="1" customWidth="1" outlineLevel="1"/>
    <col min="22" max="22" width="9.140625" style="78" outlineLevel="1"/>
    <col min="23" max="23" width="9.140625" style="78"/>
    <col min="24" max="24" width="11" style="78" bestFit="1" customWidth="1" outlineLevel="1"/>
    <col min="25" max="25" width="9.140625" style="78" outlineLevel="1"/>
    <col min="26" max="26" width="12" style="78" bestFit="1" customWidth="1" outlineLevel="1"/>
    <col min="27" max="27" width="9.140625" style="78" outlineLevel="1"/>
    <col min="28" max="28" width="9.140625" style="78"/>
    <col min="29" max="29" width="11" style="78" bestFit="1" customWidth="1" outlineLevel="1"/>
    <col min="30" max="30" width="8.140625" style="78" bestFit="1" customWidth="1" outlineLevel="1"/>
    <col min="31" max="31" width="9.5703125" style="78" bestFit="1" customWidth="1" outlineLevel="1"/>
    <col min="32" max="32" width="8.140625" style="78" bestFit="1" customWidth="1" outlineLevel="1"/>
    <col min="33" max="33" width="9.140625" style="78"/>
    <col min="34" max="35" width="9.140625" style="78" outlineLevel="1"/>
    <col min="36" max="36" width="9.5703125" style="78" bestFit="1" customWidth="1" outlineLevel="1"/>
    <col min="37" max="37" width="9.140625" style="78" outlineLevel="1"/>
    <col min="38" max="38" width="9.140625" style="78"/>
    <col min="39" max="40" width="9.140625" style="78" outlineLevel="1"/>
    <col min="41" max="41" width="9.5703125" style="78" bestFit="1" customWidth="1" outlineLevel="1"/>
    <col min="42" max="42" width="9.140625" style="78" outlineLevel="1"/>
    <col min="43" max="43" width="9.140625" style="78"/>
    <col min="44" max="45" width="9.140625" style="78" outlineLevel="1"/>
    <col min="46" max="46" width="9.5703125" style="78" bestFit="1" customWidth="1" outlineLevel="1"/>
    <col min="47" max="47" width="9.140625" style="78" outlineLevel="1"/>
    <col min="48" max="48" width="9.140625" style="78"/>
    <col min="49" max="50" width="9.140625" style="78" outlineLevel="1"/>
    <col min="51" max="51" width="9.5703125" style="78" bestFit="1" customWidth="1" outlineLevel="1"/>
    <col min="52" max="52" width="9.140625" style="78" outlineLevel="1"/>
    <col min="53" max="53" width="9.140625" style="78"/>
    <col min="54" max="57" width="9.140625" style="78" outlineLevel="1"/>
    <col min="58" max="58" width="9.140625" style="78"/>
    <col min="59" max="62" width="9.140625" style="78" outlineLevel="1"/>
    <col min="63" max="63" width="9.140625" style="78"/>
    <col min="64" max="67" width="9.140625" style="78" outlineLevel="1"/>
    <col min="68" max="16384" width="9.140625" style="78"/>
  </cols>
  <sheetData>
    <row r="1" spans="1:67" s="188" customFormat="1" ht="21">
      <c r="A1" s="190" t="s">
        <v>131</v>
      </c>
    </row>
    <row r="3" spans="1:67" s="191" customFormat="1" ht="25.5">
      <c r="A3" s="334" t="s">
        <v>0</v>
      </c>
      <c r="B3" s="335"/>
      <c r="C3" s="336"/>
      <c r="D3" s="192" t="s">
        <v>1</v>
      </c>
      <c r="E3" s="193" t="s">
        <v>2</v>
      </c>
      <c r="F3" s="194" t="s">
        <v>119</v>
      </c>
      <c r="G3" s="195" t="s">
        <v>120</v>
      </c>
      <c r="H3" s="291" t="s">
        <v>16</v>
      </c>
      <c r="I3" s="253" t="s">
        <v>172</v>
      </c>
      <c r="J3" s="253" t="s">
        <v>173</v>
      </c>
      <c r="K3" s="253" t="s">
        <v>150</v>
      </c>
      <c r="L3" s="253" t="s">
        <v>151</v>
      </c>
      <c r="M3" s="293" t="s">
        <v>17</v>
      </c>
      <c r="N3" s="253" t="s">
        <v>148</v>
      </c>
      <c r="O3" s="253" t="s">
        <v>149</v>
      </c>
      <c r="P3" s="253" t="s">
        <v>150</v>
      </c>
      <c r="Q3" s="253" t="s">
        <v>151</v>
      </c>
      <c r="R3" s="291" t="s">
        <v>18</v>
      </c>
      <c r="S3" s="253" t="s">
        <v>152</v>
      </c>
      <c r="T3" s="253" t="s">
        <v>153</v>
      </c>
      <c r="U3" s="253" t="s">
        <v>150</v>
      </c>
      <c r="V3" s="253" t="s">
        <v>151</v>
      </c>
      <c r="W3" s="291" t="s">
        <v>19</v>
      </c>
      <c r="X3" s="253" t="s">
        <v>154</v>
      </c>
      <c r="Y3" s="253" t="s">
        <v>155</v>
      </c>
      <c r="Z3" s="253" t="s">
        <v>150</v>
      </c>
      <c r="AA3" s="253" t="s">
        <v>151</v>
      </c>
      <c r="AB3" s="291" t="s">
        <v>20</v>
      </c>
      <c r="AC3" s="253" t="s">
        <v>156</v>
      </c>
      <c r="AD3" s="253" t="s">
        <v>157</v>
      </c>
      <c r="AE3" s="253" t="s">
        <v>150</v>
      </c>
      <c r="AF3" s="253" t="s">
        <v>151</v>
      </c>
      <c r="AG3" s="291" t="s">
        <v>21</v>
      </c>
      <c r="AH3" s="253" t="s">
        <v>158</v>
      </c>
      <c r="AI3" s="253" t="s">
        <v>159</v>
      </c>
      <c r="AJ3" s="253" t="s">
        <v>150</v>
      </c>
      <c r="AK3" s="253" t="s">
        <v>151</v>
      </c>
      <c r="AL3" s="291" t="s">
        <v>22</v>
      </c>
      <c r="AM3" s="253" t="s">
        <v>160</v>
      </c>
      <c r="AN3" s="253" t="s">
        <v>161</v>
      </c>
      <c r="AO3" s="253" t="s">
        <v>150</v>
      </c>
      <c r="AP3" s="253" t="s">
        <v>151</v>
      </c>
      <c r="AQ3" s="291" t="s">
        <v>23</v>
      </c>
      <c r="AR3" s="253" t="s">
        <v>162</v>
      </c>
      <c r="AS3" s="253" t="s">
        <v>163</v>
      </c>
      <c r="AT3" s="253" t="s">
        <v>150</v>
      </c>
      <c r="AU3" s="253" t="s">
        <v>151</v>
      </c>
      <c r="AV3" s="291" t="s">
        <v>24</v>
      </c>
      <c r="AW3" s="253" t="s">
        <v>164</v>
      </c>
      <c r="AX3" s="253" t="s">
        <v>165</v>
      </c>
      <c r="AY3" s="253" t="s">
        <v>150</v>
      </c>
      <c r="AZ3" s="253" t="s">
        <v>151</v>
      </c>
      <c r="BA3" s="291" t="s">
        <v>25</v>
      </c>
      <c r="BB3" s="253" t="s">
        <v>166</v>
      </c>
      <c r="BC3" s="253" t="s">
        <v>167</v>
      </c>
      <c r="BD3" s="253" t="s">
        <v>150</v>
      </c>
      <c r="BE3" s="253" t="s">
        <v>151</v>
      </c>
      <c r="BF3" s="291" t="s">
        <v>26</v>
      </c>
      <c r="BG3" s="253" t="s">
        <v>168</v>
      </c>
      <c r="BH3" s="253" t="s">
        <v>169</v>
      </c>
      <c r="BI3" s="253" t="s">
        <v>150</v>
      </c>
      <c r="BJ3" s="253" t="s">
        <v>151</v>
      </c>
      <c r="BK3" s="291" t="s">
        <v>27</v>
      </c>
      <c r="BL3" s="253" t="s">
        <v>170</v>
      </c>
      <c r="BM3" s="253" t="s">
        <v>171</v>
      </c>
      <c r="BN3" s="253" t="s">
        <v>150</v>
      </c>
      <c r="BO3" s="253" t="s">
        <v>151</v>
      </c>
    </row>
    <row r="4" spans="1:67">
      <c r="A4" s="89" t="s">
        <v>87</v>
      </c>
      <c r="B4" s="91" t="s">
        <v>88</v>
      </c>
      <c r="C4" s="91" t="s">
        <v>89</v>
      </c>
      <c r="D4" s="90">
        <v>442443.22</v>
      </c>
      <c r="E4" s="187" t="s">
        <v>15</v>
      </c>
      <c r="F4" s="79">
        <v>600000</v>
      </c>
      <c r="G4" s="83">
        <v>670000</v>
      </c>
      <c r="H4" s="237">
        <v>44629.999356190798</v>
      </c>
      <c r="I4" s="241">
        <f>F4*7.46%</f>
        <v>44760</v>
      </c>
      <c r="J4" s="242">
        <f>H4/I4</f>
        <v>0.99709560670667552</v>
      </c>
      <c r="K4" s="241">
        <f>F4*7.46%</f>
        <v>44760</v>
      </c>
      <c r="L4" s="242">
        <f>H4/K4</f>
        <v>0.99709560670667552</v>
      </c>
      <c r="M4" s="239">
        <v>90685.244555172496</v>
      </c>
      <c r="N4" s="241">
        <f>F4*5.93%</f>
        <v>35580</v>
      </c>
      <c r="O4" s="243">
        <f>M4/N4</f>
        <v>2.5487702235855112</v>
      </c>
      <c r="P4" s="244">
        <f>F4*13.39%</f>
        <v>80340.000000000015</v>
      </c>
      <c r="Q4" s="243">
        <f>SUM(H4,M4)/P4</f>
        <v>1.6842823489091769</v>
      </c>
      <c r="R4" s="256">
        <v>42539</v>
      </c>
      <c r="S4" s="257">
        <f>F4*8.31%</f>
        <v>49860.000000000007</v>
      </c>
      <c r="T4" s="258">
        <f>R4/S4</f>
        <v>0.85316887284396292</v>
      </c>
      <c r="U4" s="259">
        <f>F4*21.69%</f>
        <v>130140</v>
      </c>
      <c r="V4" s="258">
        <f>SUM(H4,M4,R4)/U4</f>
        <v>1.3666378047592078</v>
      </c>
      <c r="W4" s="260"/>
      <c r="X4" s="257">
        <f>F4*7.29%</f>
        <v>43740.000000000007</v>
      </c>
      <c r="Y4" s="258">
        <f>W4/X4</f>
        <v>0</v>
      </c>
      <c r="Z4" s="259">
        <f>F4*28.98%</f>
        <v>173880</v>
      </c>
      <c r="AA4" s="258">
        <f>SUM(H4,M4,R4,W4)/Z4</f>
        <v>1.0228562451769225</v>
      </c>
      <c r="AB4" s="260"/>
      <c r="AC4" s="257">
        <f>F4*11.02%</f>
        <v>66120</v>
      </c>
      <c r="AD4" s="258">
        <f>AB4/AC4</f>
        <v>0</v>
      </c>
      <c r="AE4" s="272">
        <f>F4*40%</f>
        <v>240000</v>
      </c>
      <c r="AF4" s="258">
        <f>SUM(H4,M4,R4,W4,AB4)/AE4</f>
        <v>0.74105934963068043</v>
      </c>
      <c r="AG4" s="260"/>
      <c r="AH4" s="270">
        <f>F4*12.03%</f>
        <v>72180</v>
      </c>
      <c r="AI4" s="258">
        <f>AG4/AH4</f>
        <v>0</v>
      </c>
      <c r="AJ4" s="270">
        <f>F4*52.03%</f>
        <v>312180</v>
      </c>
      <c r="AK4" s="258">
        <f>SUM(H4,M4,R4,W4,AB4,AG4)/AJ4</f>
        <v>0.56971697069435356</v>
      </c>
      <c r="AL4" s="260"/>
      <c r="AM4" s="270">
        <f>F4*3.39%</f>
        <v>20340</v>
      </c>
      <c r="AN4" s="258">
        <f>AL4/AM4</f>
        <v>0</v>
      </c>
      <c r="AO4" s="270">
        <f>F4*55.42%</f>
        <v>332520</v>
      </c>
      <c r="AP4" s="258">
        <f>SUM(H4,M4,R4,W4,AB4,AG4,AL4)/AO4</f>
        <v>0.53486780918850985</v>
      </c>
      <c r="AQ4" s="260"/>
      <c r="AR4" s="270">
        <f>F4*9.83%</f>
        <v>58980</v>
      </c>
      <c r="AS4" s="258">
        <f>AQ4/AR4</f>
        <v>0</v>
      </c>
      <c r="AT4" s="270">
        <f>F4*65.25%</f>
        <v>391500</v>
      </c>
      <c r="AU4" s="258">
        <f>SUM(H4,M4,R4,W4,AB4,AG4,AL4,AQ4)/AT4</f>
        <v>0.45428925647857804</v>
      </c>
      <c r="AV4" s="260"/>
      <c r="AW4" s="270">
        <f>F4*10.85%</f>
        <v>65100</v>
      </c>
      <c r="AX4" s="258">
        <f>AV4/AW4</f>
        <v>0</v>
      </c>
      <c r="AY4" s="270">
        <f>F4*76.1%</f>
        <v>456599.99999999994</v>
      </c>
      <c r="AZ4" s="258">
        <f>SUM(H4,M4,R4,W4,AB4,AG4,AL4,AQ4,AV4)/AY4</f>
        <v>0.3895187120266389</v>
      </c>
      <c r="BA4" s="260"/>
      <c r="BB4" s="270">
        <f>F4*6.1%</f>
        <v>36600</v>
      </c>
      <c r="BC4" s="258">
        <f>BA4/BB4</f>
        <v>0</v>
      </c>
      <c r="BD4" s="270">
        <f>F4*82.2%</f>
        <v>493200.00000000006</v>
      </c>
      <c r="BE4" s="258">
        <f>SUM(H4,M4,R4,W4,AB4,AG4,AL4,AQ4,AV4,BA4)/BD4</f>
        <v>0.36061282220471064</v>
      </c>
      <c r="BF4" s="260"/>
      <c r="BG4" s="270">
        <f>F4*6.44%</f>
        <v>38640</v>
      </c>
      <c r="BH4" s="258">
        <f>BF4/BG4</f>
        <v>0</v>
      </c>
      <c r="BI4" s="270">
        <f>F4*88.64%</f>
        <v>531840</v>
      </c>
      <c r="BJ4" s="258">
        <f>SUM(H4,M4,R4,W4,AB4,AG4,AL4,AQ4,AV4,BA4,BF4)/BI4</f>
        <v>0.33441306391276193</v>
      </c>
      <c r="BK4" s="260"/>
      <c r="BL4" s="270">
        <f>F4*11.36%</f>
        <v>68160</v>
      </c>
      <c r="BM4" s="258">
        <f>BK4/BL4</f>
        <v>0</v>
      </c>
      <c r="BN4" s="271">
        <f>F4*100%</f>
        <v>600000</v>
      </c>
      <c r="BO4" s="262">
        <f>SUM(H4,M4,R4,W4,AB4,AG4,AL4,AQ4,AV4,BA4,BF4,BK4)/BN4</f>
        <v>0.29642373985227216</v>
      </c>
    </row>
    <row r="5" spans="1:67">
      <c r="A5" s="92" t="s">
        <v>90</v>
      </c>
      <c r="B5" s="94" t="s">
        <v>91</v>
      </c>
      <c r="C5" s="94" t="s">
        <v>92</v>
      </c>
      <c r="D5" s="93">
        <v>1680</v>
      </c>
      <c r="E5" s="187" t="s">
        <v>15</v>
      </c>
      <c r="F5" s="79">
        <v>150000</v>
      </c>
      <c r="G5" s="77" t="s">
        <v>15</v>
      </c>
      <c r="H5" s="238">
        <v>104422.37</v>
      </c>
      <c r="I5" s="241">
        <f t="shared" ref="I5:I7" si="0">F5*7.46%</f>
        <v>11190</v>
      </c>
      <c r="J5" s="242">
        <f t="shared" ref="J5:J7" si="1">H5/I5</f>
        <v>9.3317578194816804</v>
      </c>
      <c r="K5" s="241">
        <f t="shared" ref="K5:K7" si="2">F5*7.46%</f>
        <v>11190</v>
      </c>
      <c r="L5" s="242">
        <f t="shared" ref="L5:L7" si="3">H5/K5</f>
        <v>9.3317578194816804</v>
      </c>
      <c r="M5" s="240">
        <v>58526.815000000002</v>
      </c>
      <c r="N5" s="241">
        <f t="shared" ref="N5:N7" si="4">F5*5.93%</f>
        <v>8895</v>
      </c>
      <c r="O5" s="243">
        <f t="shared" ref="O5:O7" si="5">M5/N5</f>
        <v>6.5797431141090499</v>
      </c>
      <c r="P5" s="244">
        <f>F5*13.39%</f>
        <v>20085.000000000004</v>
      </c>
      <c r="Q5" s="243">
        <f>SUM(H5,M5)/P5</f>
        <v>8.1129790888722919</v>
      </c>
      <c r="R5" s="263">
        <v>61699</v>
      </c>
      <c r="S5" s="257">
        <f t="shared" ref="S5:S6" si="6">F5*8.31%</f>
        <v>12465.000000000002</v>
      </c>
      <c r="T5" s="258">
        <f t="shared" ref="T5:T7" si="7">R5/S5</f>
        <v>4.9497793822703562</v>
      </c>
      <c r="U5" s="259">
        <f t="shared" ref="U5:U7" si="8">F5*21.69%</f>
        <v>32535</v>
      </c>
      <c r="V5" s="258">
        <f t="shared" ref="V5:V7" si="9">SUM(H5,M5,R5)/U5</f>
        <v>6.9048158905793757</v>
      </c>
      <c r="W5" s="264"/>
      <c r="X5" s="257">
        <f t="shared" ref="X5:X7" si="10">F5*7.29%</f>
        <v>10935.000000000002</v>
      </c>
      <c r="Y5" s="258">
        <f t="shared" ref="Y5:Y7" si="11">W5/X5</f>
        <v>0</v>
      </c>
      <c r="Z5" s="259">
        <f t="shared" ref="Z5:Z7" si="12">F5*28.98%</f>
        <v>43470</v>
      </c>
      <c r="AA5" s="258">
        <f t="shared" ref="AA5:AA7" si="13">SUM(H5,M5,R5,W5)/Z5</f>
        <v>5.1678901541292843</v>
      </c>
      <c r="AB5" s="264"/>
      <c r="AC5" s="257">
        <f t="shared" ref="AC5:AC7" si="14">F5*11.02%</f>
        <v>16530</v>
      </c>
      <c r="AD5" s="258">
        <f t="shared" ref="AD5:AD7" si="15">AB5/AC5</f>
        <v>0</v>
      </c>
      <c r="AE5" s="272">
        <f t="shared" ref="AE5:AE7" si="16">F5*40%</f>
        <v>60000</v>
      </c>
      <c r="AF5" s="258">
        <f t="shared" ref="AF5:AF7" si="17">SUM(H5,M5,R5,W5,AB5)/AE5</f>
        <v>3.7441364166666666</v>
      </c>
      <c r="AG5" s="264"/>
      <c r="AH5" s="270">
        <f t="shared" ref="AH5:AH7" si="18">F5*12.03%</f>
        <v>18045</v>
      </c>
      <c r="AI5" s="258">
        <f t="shared" ref="AI5:AI7" si="19">AG5/AH5</f>
        <v>0</v>
      </c>
      <c r="AJ5" s="270">
        <f t="shared" ref="AJ5:AJ7" si="20">F5*52.03%</f>
        <v>78045</v>
      </c>
      <c r="AK5" s="258">
        <f t="shared" ref="AK5:AK7" si="21">SUM(H5,M5,R5,W5,AB5,AG5)/AJ5</f>
        <v>2.8784442949580371</v>
      </c>
      <c r="AL5" s="264"/>
      <c r="AM5" s="270">
        <f t="shared" ref="AM5:AM7" si="22">F5*3.39%</f>
        <v>5085</v>
      </c>
      <c r="AN5" s="258">
        <f t="shared" ref="AN5:AN7" si="23">AL5/AM5</f>
        <v>0</v>
      </c>
      <c r="AO5" s="270">
        <f t="shared" ref="AO5:AO7" si="24">F5*55.42%</f>
        <v>83130</v>
      </c>
      <c r="AP5" s="258">
        <f t="shared" ref="AP5:AP7" si="25">SUM(H5,M5,R5,W5,AB5,AG5,AL5)/AO5</f>
        <v>2.7023720076987852</v>
      </c>
      <c r="AQ5" s="264"/>
      <c r="AR5" s="270">
        <f t="shared" ref="AR5:AR7" si="26">F5*9.83%</f>
        <v>14745</v>
      </c>
      <c r="AS5" s="258">
        <f t="shared" ref="AS5:AS7" si="27">AQ5/AR5</f>
        <v>0</v>
      </c>
      <c r="AT5" s="270">
        <f t="shared" ref="AT5:AT7" si="28">F5*65.25%</f>
        <v>97875</v>
      </c>
      <c r="AU5" s="258">
        <f t="shared" ref="AU5:AU7" si="29">SUM(H5,M5,R5,W5,AB5,AG5,AL5,AQ5)/AT5</f>
        <v>2.2952560408684546</v>
      </c>
      <c r="AV5" s="264"/>
      <c r="AW5" s="270">
        <f t="shared" ref="AW5:AW7" si="30">F5*10.85%</f>
        <v>16275</v>
      </c>
      <c r="AX5" s="258">
        <f t="shared" ref="AX5:AX7" si="31">AV5/AW5</f>
        <v>0</v>
      </c>
      <c r="AY5" s="270">
        <f t="shared" ref="AY5:AY7" si="32">F5*76.1%</f>
        <v>114149.99999999999</v>
      </c>
      <c r="AZ5" s="258">
        <f t="shared" ref="AZ5:AZ7" si="33">SUM(H5,M5,R5,W5,AB5,AG5,AL5,AQ5,AV5)/AY5</f>
        <v>1.9680086289969341</v>
      </c>
      <c r="BA5" s="264"/>
      <c r="BB5" s="270">
        <f t="shared" ref="BB5:BB7" si="34">F5*6.1%</f>
        <v>9150</v>
      </c>
      <c r="BC5" s="258">
        <f t="shared" ref="BC5:BC7" si="35">BA5/BB5</f>
        <v>0</v>
      </c>
      <c r="BD5" s="270">
        <f t="shared" ref="BD5:BD7" si="36">F5*82.2%</f>
        <v>123300.00000000001</v>
      </c>
      <c r="BE5" s="258">
        <f t="shared" ref="BE5:BE7" si="37">SUM(H5,M5,R5,W5,AB5,AG5,AL5,AQ5,AV5,BA5)/BD5</f>
        <v>1.8219641930251418</v>
      </c>
      <c r="BF5" s="264"/>
      <c r="BG5" s="270">
        <f t="shared" ref="BG5:BG7" si="38">F5*6.44%</f>
        <v>9660</v>
      </c>
      <c r="BH5" s="258">
        <f t="shared" ref="BH5:BH7" si="39">BF5/BG5</f>
        <v>0</v>
      </c>
      <c r="BI5" s="270">
        <f t="shared" ref="BI5:BI7" si="40">F5*88.64%</f>
        <v>132960</v>
      </c>
      <c r="BJ5" s="258">
        <f t="shared" ref="BJ5:BJ7" si="41">SUM(H5,M5,R5,W5,AB5,AG5,AL5,AQ5,AV5,BA5,BF5)/BI5</f>
        <v>1.6895922457882069</v>
      </c>
      <c r="BK5" s="264"/>
      <c r="BL5" s="270">
        <f t="shared" ref="BL5:BL7" si="42">F5*11.36%</f>
        <v>17040</v>
      </c>
      <c r="BM5" s="258">
        <f t="shared" ref="BM5:BM7" si="43">BK5/BL5</f>
        <v>0</v>
      </c>
      <c r="BN5" s="271">
        <f t="shared" ref="BN5:BN7" si="44">F5*100%</f>
        <v>150000</v>
      </c>
      <c r="BO5" s="262">
        <f t="shared" ref="BO5:BO7" si="45">SUM(H5,M5,R5,W5,AB5,AG5,AL5,AQ5,AV5,BA5,BF5,BK5)/BN5</f>
        <v>1.4976545666666667</v>
      </c>
    </row>
    <row r="6" spans="1:67">
      <c r="A6" s="95" t="s">
        <v>93</v>
      </c>
      <c r="B6" s="97" t="s">
        <v>94</v>
      </c>
      <c r="C6" s="97" t="s">
        <v>95</v>
      </c>
      <c r="D6" s="96">
        <v>73374.87</v>
      </c>
      <c r="E6" s="187" t="s">
        <v>15</v>
      </c>
      <c r="F6" s="79">
        <v>250000</v>
      </c>
      <c r="G6" s="77">
        <v>250000</v>
      </c>
      <c r="H6" s="265">
        <v>0</v>
      </c>
      <c r="I6" s="241">
        <f t="shared" si="0"/>
        <v>18650</v>
      </c>
      <c r="J6" s="242">
        <f t="shared" si="1"/>
        <v>0</v>
      </c>
      <c r="K6" s="241">
        <f t="shared" si="2"/>
        <v>18650</v>
      </c>
      <c r="L6" s="242">
        <f t="shared" si="3"/>
        <v>0</v>
      </c>
      <c r="M6" s="240">
        <v>4625.0006000000003</v>
      </c>
      <c r="N6" s="241">
        <f t="shared" si="4"/>
        <v>14825</v>
      </c>
      <c r="O6" s="243">
        <f t="shared" si="5"/>
        <v>0.31197305902192246</v>
      </c>
      <c r="P6" s="244">
        <f t="shared" ref="P6:P7" si="46">F6*13.39%</f>
        <v>33475.000000000007</v>
      </c>
      <c r="Q6" s="243">
        <f t="shared" ref="Q6:Q7" si="47">SUM(H6,M6)/P6</f>
        <v>0.13816282598954441</v>
      </c>
      <c r="R6" s="263">
        <v>47679</v>
      </c>
      <c r="S6" s="257">
        <f t="shared" si="6"/>
        <v>20775</v>
      </c>
      <c r="T6" s="258">
        <f t="shared" si="7"/>
        <v>2.2950180505415161</v>
      </c>
      <c r="U6" s="259">
        <f t="shared" si="8"/>
        <v>54225</v>
      </c>
      <c r="V6" s="258">
        <f t="shared" si="9"/>
        <v>0.96457354725680033</v>
      </c>
      <c r="W6" s="264"/>
      <c r="X6" s="257">
        <f t="shared" si="10"/>
        <v>18225</v>
      </c>
      <c r="Y6" s="258">
        <f t="shared" si="11"/>
        <v>0</v>
      </c>
      <c r="Z6" s="259">
        <f t="shared" si="12"/>
        <v>72450</v>
      </c>
      <c r="AA6" s="258">
        <f t="shared" si="13"/>
        <v>0.72193237543133193</v>
      </c>
      <c r="AB6" s="264"/>
      <c r="AC6" s="257">
        <f t="shared" si="14"/>
        <v>27549.999999999996</v>
      </c>
      <c r="AD6" s="258">
        <f t="shared" si="15"/>
        <v>0</v>
      </c>
      <c r="AE6" s="272">
        <f t="shared" si="16"/>
        <v>100000</v>
      </c>
      <c r="AF6" s="258">
        <f t="shared" si="17"/>
        <v>0.523040006</v>
      </c>
      <c r="AG6" s="264"/>
      <c r="AH6" s="270">
        <f t="shared" si="18"/>
        <v>30074.999999999996</v>
      </c>
      <c r="AI6" s="258">
        <f t="shared" si="19"/>
        <v>0</v>
      </c>
      <c r="AJ6" s="270">
        <f t="shared" si="20"/>
        <v>130075</v>
      </c>
      <c r="AK6" s="258">
        <f t="shared" si="21"/>
        <v>0.40210648164520468</v>
      </c>
      <c r="AL6" s="264"/>
      <c r="AM6" s="270">
        <f t="shared" si="22"/>
        <v>8475</v>
      </c>
      <c r="AN6" s="258">
        <f t="shared" si="23"/>
        <v>0</v>
      </c>
      <c r="AO6" s="270">
        <f t="shared" si="24"/>
        <v>138550</v>
      </c>
      <c r="AP6" s="258">
        <f t="shared" si="25"/>
        <v>0.37750992854565141</v>
      </c>
      <c r="AQ6" s="264"/>
      <c r="AR6" s="270">
        <f t="shared" si="26"/>
        <v>24575</v>
      </c>
      <c r="AS6" s="258">
        <f t="shared" si="27"/>
        <v>0</v>
      </c>
      <c r="AT6" s="270">
        <f t="shared" si="28"/>
        <v>163125</v>
      </c>
      <c r="AU6" s="258">
        <f t="shared" si="29"/>
        <v>0.3206375515708812</v>
      </c>
      <c r="AV6" s="264"/>
      <c r="AW6" s="270">
        <f t="shared" si="30"/>
        <v>27125</v>
      </c>
      <c r="AX6" s="258">
        <f t="shared" si="31"/>
        <v>0</v>
      </c>
      <c r="AY6" s="270">
        <f t="shared" si="32"/>
        <v>190249.99999999997</v>
      </c>
      <c r="AZ6" s="258">
        <f t="shared" si="33"/>
        <v>0.27492247358738509</v>
      </c>
      <c r="BA6" s="264"/>
      <c r="BB6" s="270">
        <f t="shared" si="34"/>
        <v>15250</v>
      </c>
      <c r="BC6" s="258">
        <f t="shared" si="35"/>
        <v>0</v>
      </c>
      <c r="BD6" s="270">
        <f t="shared" si="36"/>
        <v>205500.00000000003</v>
      </c>
      <c r="BE6" s="258">
        <f t="shared" si="37"/>
        <v>0.2545206841849148</v>
      </c>
      <c r="BF6" s="264"/>
      <c r="BG6" s="270">
        <f t="shared" si="38"/>
        <v>16100</v>
      </c>
      <c r="BH6" s="258">
        <f t="shared" si="39"/>
        <v>0</v>
      </c>
      <c r="BI6" s="270">
        <f t="shared" si="40"/>
        <v>221600</v>
      </c>
      <c r="BJ6" s="258">
        <f t="shared" si="41"/>
        <v>0.23602888357400723</v>
      </c>
      <c r="BK6" s="264"/>
      <c r="BL6" s="270">
        <f t="shared" si="42"/>
        <v>28399.999999999996</v>
      </c>
      <c r="BM6" s="258">
        <f t="shared" si="43"/>
        <v>0</v>
      </c>
      <c r="BN6" s="271">
        <f t="shared" si="44"/>
        <v>250000</v>
      </c>
      <c r="BO6" s="262">
        <f t="shared" si="45"/>
        <v>0.20921600239999999</v>
      </c>
    </row>
    <row r="7" spans="1:67">
      <c r="A7" s="99" t="s">
        <v>96</v>
      </c>
      <c r="B7" s="101" t="s">
        <v>97</v>
      </c>
      <c r="C7" s="101" t="s">
        <v>98</v>
      </c>
      <c r="D7" s="100">
        <v>12581.4</v>
      </c>
      <c r="E7" s="187" t="s">
        <v>15</v>
      </c>
      <c r="F7" s="80">
        <v>250000</v>
      </c>
      <c r="G7" s="77" t="s">
        <v>15</v>
      </c>
      <c r="H7" s="265">
        <v>0</v>
      </c>
      <c r="I7" s="241">
        <f t="shared" si="0"/>
        <v>18650</v>
      </c>
      <c r="J7" s="242">
        <f t="shared" si="1"/>
        <v>0</v>
      </c>
      <c r="K7" s="241">
        <f t="shared" si="2"/>
        <v>18650</v>
      </c>
      <c r="L7" s="242">
        <f t="shared" si="3"/>
        <v>0</v>
      </c>
      <c r="M7" s="240">
        <v>28718.2168206026</v>
      </c>
      <c r="N7" s="241">
        <f t="shared" si="4"/>
        <v>14825</v>
      </c>
      <c r="O7" s="243">
        <f t="shared" si="5"/>
        <v>1.9371478462463811</v>
      </c>
      <c r="P7" s="244">
        <f t="shared" si="46"/>
        <v>33475.000000000007</v>
      </c>
      <c r="Q7" s="243">
        <f t="shared" si="47"/>
        <v>0.85790042779992814</v>
      </c>
      <c r="R7" s="263">
        <v>1950</v>
      </c>
      <c r="S7" s="257">
        <f>F7*8.31%</f>
        <v>20775</v>
      </c>
      <c r="T7" s="258">
        <f t="shared" si="7"/>
        <v>9.3862815884476536E-2</v>
      </c>
      <c r="U7" s="259">
        <f t="shared" si="8"/>
        <v>54225</v>
      </c>
      <c r="V7" s="258">
        <f t="shared" si="9"/>
        <v>0.56557338534997881</v>
      </c>
      <c r="W7" s="264"/>
      <c r="X7" s="257">
        <f t="shared" si="10"/>
        <v>18225</v>
      </c>
      <c r="Y7" s="258">
        <f t="shared" si="11"/>
        <v>0</v>
      </c>
      <c r="Z7" s="259">
        <f t="shared" si="12"/>
        <v>72450</v>
      </c>
      <c r="AA7" s="258">
        <f t="shared" si="13"/>
        <v>0.42330181947001516</v>
      </c>
      <c r="AB7" s="264"/>
      <c r="AC7" s="257">
        <f t="shared" si="14"/>
        <v>27549.999999999996</v>
      </c>
      <c r="AD7" s="258">
        <f t="shared" si="15"/>
        <v>0</v>
      </c>
      <c r="AE7" s="272">
        <f t="shared" si="16"/>
        <v>100000</v>
      </c>
      <c r="AF7" s="258">
        <f t="shared" si="17"/>
        <v>0.30668216820602601</v>
      </c>
      <c r="AG7" s="264"/>
      <c r="AH7" s="270">
        <f t="shared" si="18"/>
        <v>30074.999999999996</v>
      </c>
      <c r="AI7" s="258">
        <f t="shared" si="19"/>
        <v>0</v>
      </c>
      <c r="AJ7" s="270">
        <f t="shared" si="20"/>
        <v>130075</v>
      </c>
      <c r="AK7" s="258">
        <f t="shared" si="21"/>
        <v>0.23577333707939727</v>
      </c>
      <c r="AL7" s="264"/>
      <c r="AM7" s="270">
        <f t="shared" si="22"/>
        <v>8475</v>
      </c>
      <c r="AN7" s="258">
        <f t="shared" si="23"/>
        <v>0</v>
      </c>
      <c r="AO7" s="270">
        <f t="shared" si="24"/>
        <v>138550</v>
      </c>
      <c r="AP7" s="258">
        <f t="shared" si="25"/>
        <v>0.22135125817829376</v>
      </c>
      <c r="AQ7" s="264"/>
      <c r="AR7" s="270">
        <f t="shared" si="26"/>
        <v>24575</v>
      </c>
      <c r="AS7" s="258">
        <f t="shared" si="27"/>
        <v>0</v>
      </c>
      <c r="AT7" s="270">
        <f t="shared" si="28"/>
        <v>163125</v>
      </c>
      <c r="AU7" s="258">
        <f t="shared" si="29"/>
        <v>0.18800439430254468</v>
      </c>
      <c r="AV7" s="264"/>
      <c r="AW7" s="270">
        <f t="shared" si="30"/>
        <v>27125</v>
      </c>
      <c r="AX7" s="258">
        <f t="shared" si="31"/>
        <v>0</v>
      </c>
      <c r="AY7" s="270">
        <f t="shared" si="32"/>
        <v>190249.99999999997</v>
      </c>
      <c r="AZ7" s="258">
        <f t="shared" si="33"/>
        <v>0.16119956278897557</v>
      </c>
      <c r="BA7" s="264"/>
      <c r="BB7" s="270">
        <f t="shared" si="34"/>
        <v>15250</v>
      </c>
      <c r="BC7" s="258">
        <f t="shared" si="35"/>
        <v>0</v>
      </c>
      <c r="BD7" s="270">
        <f t="shared" si="36"/>
        <v>205500.00000000003</v>
      </c>
      <c r="BE7" s="258">
        <f t="shared" si="37"/>
        <v>0.1492370648204506</v>
      </c>
      <c r="BF7" s="264"/>
      <c r="BG7" s="270">
        <f t="shared" si="38"/>
        <v>16100</v>
      </c>
      <c r="BH7" s="258">
        <f t="shared" si="39"/>
        <v>0</v>
      </c>
      <c r="BI7" s="270">
        <f t="shared" si="40"/>
        <v>221600</v>
      </c>
      <c r="BJ7" s="258">
        <f t="shared" si="41"/>
        <v>0.13839448023737635</v>
      </c>
      <c r="BK7" s="264"/>
      <c r="BL7" s="270">
        <f t="shared" si="42"/>
        <v>28399.999999999996</v>
      </c>
      <c r="BM7" s="258">
        <f t="shared" si="43"/>
        <v>0</v>
      </c>
      <c r="BN7" s="271">
        <f t="shared" si="44"/>
        <v>250000</v>
      </c>
      <c r="BO7" s="262">
        <f t="shared" si="45"/>
        <v>0.12267286728241041</v>
      </c>
    </row>
    <row r="8" spans="1:67">
      <c r="F8" s="178">
        <f>SUM(F4:F7)</f>
        <v>1250000</v>
      </c>
    </row>
    <row r="11" spans="1:67" ht="21.75" thickBot="1">
      <c r="D11" s="188"/>
    </row>
    <row r="12" spans="1:67" ht="15.75" thickBot="1">
      <c r="A12" s="7"/>
      <c r="B12" s="12" t="s">
        <v>28</v>
      </c>
      <c r="C12" s="13" t="s">
        <v>29</v>
      </c>
      <c r="D12" s="12" t="s">
        <v>30</v>
      </c>
      <c r="E12" s="13" t="s">
        <v>31</v>
      </c>
      <c r="F12" s="181" t="s">
        <v>32</v>
      </c>
      <c r="G12" s="180" t="s">
        <v>127</v>
      </c>
    </row>
    <row r="13" spans="1:67">
      <c r="A13" s="8" t="s">
        <v>16</v>
      </c>
      <c r="B13" s="84">
        <v>0</v>
      </c>
      <c r="C13" s="85">
        <v>0</v>
      </c>
      <c r="D13" s="10">
        <v>0</v>
      </c>
      <c r="E13" s="11">
        <v>0</v>
      </c>
      <c r="F13" s="144">
        <v>70000</v>
      </c>
      <c r="G13" s="143" t="str">
        <f>IF(D13=0,"",D13-F13)</f>
        <v/>
      </c>
      <c r="H13" s="186"/>
    </row>
    <row r="14" spans="1:67">
      <c r="A14" s="8" t="s">
        <v>17</v>
      </c>
      <c r="B14" s="84">
        <v>0</v>
      </c>
      <c r="C14" s="85">
        <v>0</v>
      </c>
      <c r="D14" s="167">
        <v>0</v>
      </c>
      <c r="E14" s="11">
        <v>0</v>
      </c>
      <c r="F14" s="171">
        <v>80000</v>
      </c>
      <c r="G14" s="15" t="str">
        <f t="shared" ref="G14:G25" si="48">IF(D14=0,"",D14-F14)</f>
        <v/>
      </c>
      <c r="H14" s="186"/>
    </row>
    <row r="15" spans="1:67">
      <c r="A15" s="8" t="s">
        <v>18</v>
      </c>
      <c r="B15" s="84">
        <v>0</v>
      </c>
      <c r="C15" s="85">
        <v>0</v>
      </c>
      <c r="D15" s="167">
        <v>0</v>
      </c>
      <c r="E15" s="11">
        <v>0</v>
      </c>
      <c r="F15" s="171">
        <v>150000</v>
      </c>
      <c r="G15" s="15" t="str">
        <f t="shared" si="48"/>
        <v/>
      </c>
      <c r="H15" s="186"/>
    </row>
    <row r="16" spans="1:67">
      <c r="A16" s="8" t="s">
        <v>19</v>
      </c>
      <c r="B16" s="84">
        <v>0</v>
      </c>
      <c r="C16" s="85">
        <v>0</v>
      </c>
      <c r="D16" s="167">
        <v>0</v>
      </c>
      <c r="E16" s="11">
        <v>0</v>
      </c>
      <c r="F16" s="171">
        <v>160000</v>
      </c>
      <c r="G16" s="15" t="str">
        <f t="shared" si="48"/>
        <v/>
      </c>
      <c r="H16" s="186"/>
    </row>
    <row r="17" spans="1:11">
      <c r="A17" s="8" t="s">
        <v>20</v>
      </c>
      <c r="B17" s="87">
        <v>0</v>
      </c>
      <c r="C17" s="85">
        <v>0</v>
      </c>
      <c r="D17" s="167">
        <v>0</v>
      </c>
      <c r="E17" s="11">
        <v>0</v>
      </c>
      <c r="F17" s="171">
        <v>120000</v>
      </c>
      <c r="G17" s="15" t="str">
        <f t="shared" si="48"/>
        <v/>
      </c>
      <c r="H17" s="186"/>
    </row>
    <row r="18" spans="1:11">
      <c r="A18" s="8" t="s">
        <v>21</v>
      </c>
      <c r="B18" s="84">
        <v>0</v>
      </c>
      <c r="C18" s="85">
        <v>0</v>
      </c>
      <c r="D18" s="167">
        <v>0</v>
      </c>
      <c r="E18" s="11">
        <v>0</v>
      </c>
      <c r="F18" s="171">
        <v>100000</v>
      </c>
      <c r="G18" s="15" t="str">
        <f t="shared" si="48"/>
        <v/>
      </c>
      <c r="H18" s="186"/>
    </row>
    <row r="19" spans="1:11">
      <c r="A19" s="8" t="s">
        <v>22</v>
      </c>
      <c r="B19" s="84">
        <v>0</v>
      </c>
      <c r="C19" s="86">
        <v>0</v>
      </c>
      <c r="D19" s="167">
        <v>0</v>
      </c>
      <c r="E19" s="11">
        <v>0</v>
      </c>
      <c r="F19" s="171">
        <v>70000</v>
      </c>
      <c r="G19" s="15" t="str">
        <f t="shared" si="48"/>
        <v/>
      </c>
      <c r="H19" s="186"/>
    </row>
    <row r="20" spans="1:11">
      <c r="A20" s="8" t="s">
        <v>23</v>
      </c>
      <c r="B20" s="84">
        <v>101905</v>
      </c>
      <c r="C20" s="86">
        <v>9</v>
      </c>
      <c r="D20" s="167">
        <v>0</v>
      </c>
      <c r="E20" s="11">
        <v>0</v>
      </c>
      <c r="F20" s="171">
        <v>120000</v>
      </c>
      <c r="G20" s="15" t="str">
        <f t="shared" si="48"/>
        <v/>
      </c>
      <c r="H20" s="186"/>
    </row>
    <row r="21" spans="1:11">
      <c r="A21" s="8" t="s">
        <v>24</v>
      </c>
      <c r="B21" s="84">
        <v>134000</v>
      </c>
      <c r="C21" s="86">
        <v>9</v>
      </c>
      <c r="D21" s="167">
        <v>0</v>
      </c>
      <c r="E21" s="11">
        <v>0</v>
      </c>
      <c r="F21" s="171">
        <v>160000</v>
      </c>
      <c r="G21" s="15" t="str">
        <f t="shared" si="48"/>
        <v/>
      </c>
      <c r="H21" s="186"/>
    </row>
    <row r="22" spans="1:11">
      <c r="A22" s="8" t="s">
        <v>25</v>
      </c>
      <c r="B22" s="84">
        <v>49880</v>
      </c>
      <c r="C22" s="86">
        <v>4</v>
      </c>
      <c r="D22" s="167">
        <v>0</v>
      </c>
      <c r="E22" s="11">
        <v>0</v>
      </c>
      <c r="F22" s="171">
        <v>60000</v>
      </c>
      <c r="G22" s="15" t="str">
        <f t="shared" si="48"/>
        <v/>
      </c>
      <c r="H22" s="186"/>
    </row>
    <row r="23" spans="1:11">
      <c r="A23" s="8" t="s">
        <v>26</v>
      </c>
      <c r="B23" s="84">
        <v>63791</v>
      </c>
      <c r="C23" s="85">
        <v>4</v>
      </c>
      <c r="D23" s="167">
        <v>0</v>
      </c>
      <c r="E23" s="11">
        <v>0</v>
      </c>
      <c r="F23" s="171">
        <v>75000</v>
      </c>
      <c r="G23" s="15" t="str">
        <f t="shared" si="48"/>
        <v/>
      </c>
      <c r="H23" s="186"/>
    </row>
    <row r="24" spans="1:11" ht="15.75" thickBot="1">
      <c r="A24" s="8" t="s">
        <v>27</v>
      </c>
      <c r="B24" s="88">
        <v>70534</v>
      </c>
      <c r="C24" s="86">
        <v>7</v>
      </c>
      <c r="D24" s="4"/>
      <c r="E24" s="11">
        <v>0</v>
      </c>
      <c r="F24" s="172">
        <v>85000</v>
      </c>
      <c r="G24" s="16" t="str">
        <f t="shared" si="48"/>
        <v/>
      </c>
      <c r="H24" s="186"/>
      <c r="K24" s="1"/>
    </row>
    <row r="25" spans="1:11" ht="15.75" thickBot="1">
      <c r="A25" s="9"/>
      <c r="B25" s="24">
        <f>SUM(B13:B24)</f>
        <v>420110</v>
      </c>
      <c r="C25" s="25">
        <f>SUM(C13:C24)</f>
        <v>33</v>
      </c>
      <c r="D25" s="141">
        <f>SUM(D13:D24)</f>
        <v>0</v>
      </c>
      <c r="E25" s="23">
        <f>SUM(E13:E24)</f>
        <v>0</v>
      </c>
      <c r="F25" s="174">
        <f>SUM(F13:F24)</f>
        <v>1250000</v>
      </c>
      <c r="G25" s="182" t="str">
        <f t="shared" si="48"/>
        <v/>
      </c>
    </row>
    <row r="26" spans="1:11" ht="15.75" thickBot="1"/>
    <row r="27" spans="1:11" ht="45.75" thickBot="1">
      <c r="E27" s="147" t="s">
        <v>134</v>
      </c>
      <c r="F27" s="142">
        <f>D25/F25</f>
        <v>0</v>
      </c>
    </row>
  </sheetData>
  <mergeCells count="1">
    <mergeCell ref="A3:C3"/>
  </mergeCells>
  <pageMargins left="0.7" right="0.7" top="0.75" bottom="0.75" header="0.3" footer="0.3"/>
  <pageSetup paperSize="9"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N32"/>
  <sheetViews>
    <sheetView topLeftCell="A7" workbookViewId="0">
      <selection activeCell="E15" sqref="E15:E26"/>
    </sheetView>
  </sheetViews>
  <sheetFormatPr defaultRowHeight="15" outlineLevelCol="1"/>
  <cols>
    <col min="1" max="1" width="10.5703125" style="98" customWidth="1"/>
    <col min="2" max="2" width="14.28515625" style="98" bestFit="1" customWidth="1"/>
    <col min="3" max="3" width="11.140625" style="98" customWidth="1"/>
    <col min="4" max="4" width="13.28515625" style="98" customWidth="1"/>
    <col min="5" max="5" width="14.28515625" style="98" customWidth="1"/>
    <col min="6" max="6" width="18" style="98" customWidth="1"/>
    <col min="7" max="7" width="19.85546875" style="98" customWidth="1"/>
    <col min="8" max="8" width="14.42578125" bestFit="1" customWidth="1"/>
    <col min="9" max="9" width="12.5703125" bestFit="1" customWidth="1" outlineLevel="1"/>
    <col min="10" max="12" width="9.140625" outlineLevel="1"/>
    <col min="14" max="14" width="9.140625" outlineLevel="1"/>
    <col min="15" max="15" width="11.5703125" customWidth="1" outlineLevel="1"/>
    <col min="16" max="17" width="9.140625" outlineLevel="1"/>
    <col min="19" max="19" width="9.140625" outlineLevel="1"/>
    <col min="20" max="20" width="11" customWidth="1" outlineLevel="1"/>
    <col min="21" max="21" width="10" customWidth="1" outlineLevel="1"/>
    <col min="22" max="22" width="9.140625" style="98" outlineLevel="1"/>
    <col min="23" max="23" width="9.140625" style="98"/>
    <col min="24" max="27" width="9.140625" style="98" outlineLevel="1"/>
    <col min="28" max="28" width="9.140625" style="98"/>
    <col min="29" max="32" width="9.140625" style="98" outlineLevel="1"/>
    <col min="33" max="33" width="9.140625" style="98"/>
    <col min="34" max="37" width="9.140625" style="98" outlineLevel="1"/>
    <col min="38" max="38" width="9.140625" style="98"/>
    <col min="39" max="42" width="9.140625" style="98" outlineLevel="1"/>
    <col min="43" max="43" width="9.140625" style="98"/>
    <col min="44" max="47" width="9.140625" style="98" outlineLevel="1"/>
    <col min="48" max="48" width="9.140625" style="98"/>
    <col min="49" max="52" width="9.140625" style="98" outlineLevel="1"/>
    <col min="53" max="53" width="9.140625" style="98"/>
    <col min="54" max="57" width="9.140625" style="98" outlineLevel="1"/>
    <col min="58" max="63" width="9.140625" style="98"/>
    <col min="64" max="67" width="9.140625" style="98" outlineLevel="1"/>
    <col min="68" max="16384" width="9.140625" style="98"/>
  </cols>
  <sheetData>
    <row r="1" spans="1:170" s="191" customFormat="1" ht="21">
      <c r="A1" s="146" t="s">
        <v>132</v>
      </c>
    </row>
    <row r="3" spans="1:170" s="191" customFormat="1" ht="25.5">
      <c r="A3" s="334" t="s">
        <v>0</v>
      </c>
      <c r="B3" s="335"/>
      <c r="C3" s="336"/>
      <c r="D3" s="192" t="s">
        <v>1</v>
      </c>
      <c r="E3" s="193" t="s">
        <v>2</v>
      </c>
      <c r="F3" s="194" t="s">
        <v>119</v>
      </c>
      <c r="G3" s="195" t="s">
        <v>120</v>
      </c>
      <c r="H3" s="292" t="s">
        <v>16</v>
      </c>
      <c r="I3" s="253" t="s">
        <v>172</v>
      </c>
      <c r="J3" s="253" t="s">
        <v>173</v>
      </c>
      <c r="K3" s="253" t="s">
        <v>150</v>
      </c>
      <c r="L3" s="253" t="s">
        <v>151</v>
      </c>
      <c r="M3" s="293" t="s">
        <v>17</v>
      </c>
      <c r="N3" s="253" t="s">
        <v>148</v>
      </c>
      <c r="O3" s="253" t="s">
        <v>149</v>
      </c>
      <c r="P3" s="253" t="s">
        <v>150</v>
      </c>
      <c r="Q3" s="253" t="s">
        <v>151</v>
      </c>
      <c r="R3" s="291" t="s">
        <v>18</v>
      </c>
      <c r="S3" s="253" t="s">
        <v>152</v>
      </c>
      <c r="T3" s="253" t="s">
        <v>153</v>
      </c>
      <c r="U3" s="253" t="s">
        <v>150</v>
      </c>
      <c r="V3" s="253" t="s">
        <v>151</v>
      </c>
      <c r="W3" s="291" t="s">
        <v>19</v>
      </c>
      <c r="X3" s="253" t="s">
        <v>154</v>
      </c>
      <c r="Y3" s="253" t="s">
        <v>155</v>
      </c>
      <c r="Z3" s="253" t="s">
        <v>150</v>
      </c>
      <c r="AA3" s="253" t="s">
        <v>151</v>
      </c>
      <c r="AB3" s="291" t="s">
        <v>20</v>
      </c>
      <c r="AC3" s="253" t="s">
        <v>156</v>
      </c>
      <c r="AD3" s="253" t="s">
        <v>157</v>
      </c>
      <c r="AE3" s="253" t="s">
        <v>150</v>
      </c>
      <c r="AF3" s="253" t="s">
        <v>151</v>
      </c>
      <c r="AG3" s="291" t="s">
        <v>21</v>
      </c>
      <c r="AH3" s="253" t="s">
        <v>158</v>
      </c>
      <c r="AI3" s="253" t="s">
        <v>159</v>
      </c>
      <c r="AJ3" s="253" t="s">
        <v>150</v>
      </c>
      <c r="AK3" s="253" t="s">
        <v>151</v>
      </c>
      <c r="AL3" s="291" t="s">
        <v>22</v>
      </c>
      <c r="AM3" s="253" t="s">
        <v>160</v>
      </c>
      <c r="AN3" s="253" t="s">
        <v>161</v>
      </c>
      <c r="AO3" s="253" t="s">
        <v>150</v>
      </c>
      <c r="AP3" s="253" t="s">
        <v>151</v>
      </c>
      <c r="AQ3" s="291" t="s">
        <v>23</v>
      </c>
      <c r="AR3" s="253" t="s">
        <v>162</v>
      </c>
      <c r="AS3" s="253" t="s">
        <v>163</v>
      </c>
      <c r="AT3" s="253" t="s">
        <v>150</v>
      </c>
      <c r="AU3" s="253" t="s">
        <v>151</v>
      </c>
      <c r="AV3" s="291" t="s">
        <v>24</v>
      </c>
      <c r="AW3" s="253" t="s">
        <v>164</v>
      </c>
      <c r="AX3" s="253" t="s">
        <v>165</v>
      </c>
      <c r="AY3" s="253" t="s">
        <v>150</v>
      </c>
      <c r="AZ3" s="253" t="s">
        <v>151</v>
      </c>
      <c r="BA3" s="291" t="s">
        <v>25</v>
      </c>
      <c r="BB3" s="253" t="s">
        <v>166</v>
      </c>
      <c r="BC3" s="253" t="s">
        <v>167</v>
      </c>
      <c r="BD3" s="253" t="s">
        <v>150</v>
      </c>
      <c r="BE3" s="253" t="s">
        <v>151</v>
      </c>
      <c r="BF3" s="291" t="s">
        <v>26</v>
      </c>
      <c r="BG3" s="253" t="s">
        <v>168</v>
      </c>
      <c r="BH3" s="253" t="s">
        <v>169</v>
      </c>
      <c r="BI3" s="253" t="s">
        <v>150</v>
      </c>
      <c r="BJ3" s="253" t="s">
        <v>151</v>
      </c>
      <c r="BK3" s="291" t="s">
        <v>27</v>
      </c>
      <c r="BL3" s="253" t="s">
        <v>170</v>
      </c>
      <c r="BM3" s="253" t="s">
        <v>171</v>
      </c>
      <c r="BN3" s="253" t="s">
        <v>150</v>
      </c>
      <c r="BO3" s="253" t="s">
        <v>151</v>
      </c>
    </row>
    <row r="4" spans="1:170">
      <c r="A4" s="108" t="s">
        <v>99</v>
      </c>
      <c r="B4" s="110" t="s">
        <v>100</v>
      </c>
      <c r="C4" s="110" t="s">
        <v>101</v>
      </c>
      <c r="D4" s="109">
        <v>499443.22</v>
      </c>
      <c r="E4" s="137">
        <v>500000</v>
      </c>
      <c r="F4" s="111">
        <v>650000</v>
      </c>
      <c r="G4" s="112">
        <v>700000</v>
      </c>
      <c r="H4" s="285"/>
      <c r="I4" s="277">
        <f>E4*7.46%</f>
        <v>37300</v>
      </c>
      <c r="J4" s="242">
        <f>G4/I4</f>
        <v>18.766756032171582</v>
      </c>
      <c r="K4" s="277">
        <f>E4*7.46%</f>
        <v>37300</v>
      </c>
      <c r="L4" s="242">
        <f>G4/K4</f>
        <v>18.766756032171582</v>
      </c>
      <c r="M4" s="278">
        <v>90685.244555172496</v>
      </c>
      <c r="N4" s="277">
        <f>E4*5.93%</f>
        <v>29650</v>
      </c>
      <c r="O4" s="243">
        <f>M4/N4</f>
        <v>3.0585242683026137</v>
      </c>
      <c r="P4" s="244">
        <f>E4*13.39%</f>
        <v>66950.000000000015</v>
      </c>
      <c r="Q4" s="243">
        <f>SUM(G4,M4)/P4</f>
        <v>11.810085803662021</v>
      </c>
      <c r="R4" s="256">
        <v>42539</v>
      </c>
      <c r="S4" s="270">
        <f>E4*8.31%</f>
        <v>41550</v>
      </c>
      <c r="T4" s="258">
        <f>R4/S4</f>
        <v>1.0238026474127557</v>
      </c>
      <c r="U4" s="272">
        <f>E4*21.69%</f>
        <v>108450</v>
      </c>
      <c r="V4" s="258">
        <f>SUM(G4,M4,R4)/U4</f>
        <v>7.6830266902275008</v>
      </c>
      <c r="W4" s="260"/>
      <c r="X4" s="270">
        <f>E4*7.29%</f>
        <v>36450</v>
      </c>
      <c r="Y4" s="258">
        <f>W4/X4</f>
        <v>0</v>
      </c>
      <c r="Z4" s="272">
        <f>E4*28.98%</f>
        <v>144900</v>
      </c>
      <c r="AA4" s="258">
        <f>SUM(G4,M4,R4,W4)/Z4</f>
        <v>5.750339852002571</v>
      </c>
      <c r="AB4" s="260"/>
      <c r="AC4" s="270">
        <f>E4*11.02%</f>
        <v>55099.999999999993</v>
      </c>
      <c r="AD4" s="258">
        <f>AB4/AC4</f>
        <v>0</v>
      </c>
      <c r="AE4" s="272">
        <f>E4*40%</f>
        <v>200000</v>
      </c>
      <c r="AF4" s="258">
        <f>SUM(G4,M4,R4,W4,AB4)/AE4</f>
        <v>4.1661212227758622</v>
      </c>
      <c r="AG4" s="260"/>
      <c r="AH4" s="270">
        <f>E4*12.03%</f>
        <v>60149.999999999993</v>
      </c>
      <c r="AI4" s="258">
        <f>AG4/AH4</f>
        <v>0</v>
      </c>
      <c r="AJ4" s="270">
        <f>E4*52.03%</f>
        <v>260150</v>
      </c>
      <c r="AK4" s="258">
        <f>SUM(G4,M4,R4,W4,AB4,AG4)/AJ4</f>
        <v>3.2028608285803286</v>
      </c>
      <c r="AL4" s="260"/>
      <c r="AM4" s="270">
        <f>E4*3.39%</f>
        <v>16950</v>
      </c>
      <c r="AN4" s="258">
        <f>AL4/AM4</f>
        <v>0</v>
      </c>
      <c r="AO4" s="270">
        <f>E4*55.42%</f>
        <v>277100</v>
      </c>
      <c r="AP4" s="258">
        <f>SUM(G4,M4,R4,W4,AB4,AG4,AL4)/AO4</f>
        <v>3.0069442243059274</v>
      </c>
      <c r="AQ4" s="260"/>
      <c r="AR4" s="270">
        <f>E4*9.83%</f>
        <v>49150</v>
      </c>
      <c r="AS4" s="258">
        <f>AQ4/AR4</f>
        <v>0</v>
      </c>
      <c r="AT4" s="270">
        <f>E4*65.25%</f>
        <v>326250</v>
      </c>
      <c r="AU4" s="258">
        <f>SUM(G4,M4,R4,W4,AB4,AG4,AL4,AQ4)/AT4</f>
        <v>2.5539440446135555</v>
      </c>
      <c r="AV4" s="260"/>
      <c r="AW4" s="270">
        <f>E4*10.85%</f>
        <v>54250</v>
      </c>
      <c r="AX4" s="258">
        <f>AV4/AW4</f>
        <v>0</v>
      </c>
      <c r="AY4" s="270">
        <f>E4*76.1%</f>
        <v>380499.99999999994</v>
      </c>
      <c r="AZ4" s="258">
        <f>SUM(G4,M4,R4,W4,AB4,AG4,AL4,AQ4,AV4)/AY4</f>
        <v>2.1898140461371161</v>
      </c>
      <c r="BA4" s="260"/>
      <c r="BB4" s="270">
        <f>E4*6.1%</f>
        <v>30500</v>
      </c>
      <c r="BC4" s="258">
        <f>BA4/BB4</f>
        <v>0</v>
      </c>
      <c r="BD4" s="270">
        <f>E4*82.2%</f>
        <v>411000.00000000006</v>
      </c>
      <c r="BE4" s="258">
        <f>SUM(G4,M4,R4,W4,AB4,AG4,AL4,AQ4,AV4,BA4)/BD4</f>
        <v>2.0273095974578403</v>
      </c>
      <c r="BF4" s="260"/>
      <c r="BG4" s="270">
        <f>E4*6.44%</f>
        <v>32200</v>
      </c>
      <c r="BH4" s="258">
        <f>BF4/BG4</f>
        <v>0</v>
      </c>
      <c r="BI4" s="270">
        <f>E4*88.64%</f>
        <v>443200</v>
      </c>
      <c r="BJ4" s="258">
        <f>SUM(G4,M4,R4,W4,AB4,AG4,AL4,AQ4,AV4,BA4,BF4)/BI4</f>
        <v>1.880018602335678</v>
      </c>
      <c r="BK4" s="260"/>
      <c r="BL4" s="270">
        <f>E4*11.36%</f>
        <v>56799.999999999993</v>
      </c>
      <c r="BM4" s="258">
        <f>BK4/BL4</f>
        <v>0</v>
      </c>
      <c r="BN4" s="271">
        <f>E4*100%</f>
        <v>500000</v>
      </c>
      <c r="BO4" s="262">
        <f>SUM(G4,M4,R4,W4,AB4,AG4,AL4,AQ4,AV4,BA4,BF4,BK4)/BN4</f>
        <v>1.666448489110345</v>
      </c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</row>
    <row r="5" spans="1:170">
      <c r="A5" s="113" t="s">
        <v>102</v>
      </c>
      <c r="B5" s="115" t="s">
        <v>103</v>
      </c>
      <c r="C5" s="115" t="s">
        <v>104</v>
      </c>
      <c r="D5" s="114">
        <v>733620.39</v>
      </c>
      <c r="E5" s="137">
        <v>500000</v>
      </c>
      <c r="F5" s="116">
        <v>850000</v>
      </c>
      <c r="G5" s="117">
        <v>1010000</v>
      </c>
      <c r="H5" s="285"/>
      <c r="I5" s="277">
        <f t="shared" ref="I5:I8" si="0">E5*7.46%</f>
        <v>37300</v>
      </c>
      <c r="J5" s="242">
        <f t="shared" ref="J5:J11" si="1">G5/I5</f>
        <v>27.077747989276141</v>
      </c>
      <c r="K5" s="277">
        <f t="shared" ref="K5:K11" si="2">E5*7.46%</f>
        <v>37300</v>
      </c>
      <c r="L5" s="242">
        <f t="shared" ref="L5:L8" si="3">G5/K5</f>
        <v>27.077747989276141</v>
      </c>
      <c r="M5" s="279">
        <v>58526.815000000002</v>
      </c>
      <c r="N5" s="277">
        <f t="shared" ref="N5:N8" si="4">E5*5.93%</f>
        <v>29650</v>
      </c>
      <c r="O5" s="243">
        <f t="shared" ref="O5:O11" si="5">M5/N5</f>
        <v>1.9739229342327151</v>
      </c>
      <c r="P5" s="244">
        <f>E5*13.39%</f>
        <v>66950.000000000015</v>
      </c>
      <c r="Q5" s="243">
        <f>SUM(G5,M5)/P5</f>
        <v>15.96007191934279</v>
      </c>
      <c r="R5" s="263">
        <v>61699</v>
      </c>
      <c r="S5" s="270">
        <f t="shared" ref="S5:S8" si="6">E5*8.31%</f>
        <v>41550</v>
      </c>
      <c r="T5" s="258">
        <f t="shared" ref="T5:T11" si="7">R5/S5</f>
        <v>1.4849338146811071</v>
      </c>
      <c r="U5" s="272">
        <f t="shared" ref="U5:U8" si="8">E5*21.69%</f>
        <v>108450</v>
      </c>
      <c r="V5" s="258">
        <f t="shared" ref="V5:V8" si="9">SUM(G5,M5,R5)/U5</f>
        <v>10.421630382664821</v>
      </c>
      <c r="W5" s="264"/>
      <c r="X5" s="270">
        <f t="shared" ref="X5:X8" si="10">E5*7.29%</f>
        <v>36450</v>
      </c>
      <c r="Y5" s="258">
        <f t="shared" ref="Y5:Y11" si="11">W5/X5</f>
        <v>0</v>
      </c>
      <c r="Z5" s="272">
        <f t="shared" ref="Z5:Z8" si="12">E5*28.98%</f>
        <v>144900</v>
      </c>
      <c r="AA5" s="258">
        <f t="shared" ref="AA5:AA8" si="13">SUM(G5,M5,R5,W5)/Z5</f>
        <v>7.8000401311249137</v>
      </c>
      <c r="AB5" s="264"/>
      <c r="AC5" s="270">
        <f t="shared" ref="AC5:AC8" si="14">E5*11.02%</f>
        <v>55099.999999999993</v>
      </c>
      <c r="AD5" s="258">
        <f t="shared" ref="AD5:AD11" si="15">AB5/AC5</f>
        <v>0</v>
      </c>
      <c r="AE5" s="272">
        <f t="shared" ref="AE5:AE8" si="16">E5*40%</f>
        <v>200000</v>
      </c>
      <c r="AF5" s="258">
        <f t="shared" ref="AF5:AF8" si="17">SUM(G5,M5,R5,W5,AB5)/AE5</f>
        <v>5.6511290750000001</v>
      </c>
      <c r="AG5" s="264"/>
      <c r="AH5" s="270">
        <f t="shared" ref="AH5:AH8" si="18">E5*12.03%</f>
        <v>60149.999999999993</v>
      </c>
      <c r="AI5" s="258">
        <f t="shared" ref="AI5:AI11" si="19">AG5/AH5</f>
        <v>0</v>
      </c>
      <c r="AJ5" s="270">
        <f t="shared" ref="AJ5:AJ8" si="20">E5*52.03%</f>
        <v>260150</v>
      </c>
      <c r="AK5" s="258">
        <f t="shared" ref="AK5:AK8" si="21">SUM(G5,M5,R5,W5,AB5,AG5)/AJ5</f>
        <v>4.3445159138958287</v>
      </c>
      <c r="AL5" s="264"/>
      <c r="AM5" s="270">
        <f t="shared" ref="AM5:AM8" si="22">E5*3.39%</f>
        <v>16950</v>
      </c>
      <c r="AN5" s="258">
        <f t="shared" ref="AN5:AN11" si="23">AL5/AM5</f>
        <v>0</v>
      </c>
      <c r="AO5" s="270">
        <f t="shared" ref="AO5:AO8" si="24">E5*55.42%</f>
        <v>277100</v>
      </c>
      <c r="AP5" s="258">
        <f t="shared" ref="AP5:AP8" si="25">SUM(G5,M5,R5,W5,AB5,AG5,AL5)/AO5</f>
        <v>4.0787651208949836</v>
      </c>
      <c r="AQ5" s="264"/>
      <c r="AR5" s="270">
        <f t="shared" ref="AR5:AR8" si="26">E5*9.83%</f>
        <v>49150</v>
      </c>
      <c r="AS5" s="258">
        <f t="shared" ref="AS5:AS11" si="27">AQ5/AR5</f>
        <v>0</v>
      </c>
      <c r="AT5" s="270">
        <f t="shared" ref="AT5:AT8" si="28">E5*65.25%</f>
        <v>326250</v>
      </c>
      <c r="AU5" s="258">
        <f t="shared" ref="AU5:AU8" si="29">SUM(G5,M5,R5,W5,AB5,AG5,AL5,AQ5)/AT5</f>
        <v>3.4642936858237547</v>
      </c>
      <c r="AV5" s="264"/>
      <c r="AW5" s="270">
        <f t="shared" ref="AW5:AW8" si="30">E5*10.85%</f>
        <v>54250</v>
      </c>
      <c r="AX5" s="258">
        <f t="shared" ref="AX5:AX11" si="31">AV5/AW5</f>
        <v>0</v>
      </c>
      <c r="AY5" s="270">
        <f t="shared" ref="AY5:AY8" si="32">E5*76.1%</f>
        <v>380499.99999999994</v>
      </c>
      <c r="AZ5" s="258">
        <f t="shared" ref="AZ5:AZ8" si="33">SUM(G5,M5,R5,W5,AB5,AG5,AL5,AQ5,AV5)/AY5</f>
        <v>2.9703700788436271</v>
      </c>
      <c r="BA5" s="264"/>
      <c r="BB5" s="270">
        <f t="shared" ref="BB5:BB8" si="34">E5*6.1%</f>
        <v>30500</v>
      </c>
      <c r="BC5" s="258">
        <f t="shared" ref="BC5:BC11" si="35">BA5/BB5</f>
        <v>0</v>
      </c>
      <c r="BD5" s="270">
        <f t="shared" ref="BD5:BD8" si="36">E5*82.2%</f>
        <v>411000.00000000006</v>
      </c>
      <c r="BE5" s="258">
        <f t="shared" ref="BE5:BE8" si="37">SUM(G5,M5,R5,W5,AB5,AG5,AL5,AQ5,AV5,BA5)/BD5</f>
        <v>2.7499411557177611</v>
      </c>
      <c r="BF5" s="264"/>
      <c r="BG5" s="270">
        <f t="shared" ref="BG5:BG8" si="38">E5*6.44%</f>
        <v>32200</v>
      </c>
      <c r="BH5" s="258">
        <f t="shared" ref="BH5:BH11" si="39">BF5/BG5</f>
        <v>0</v>
      </c>
      <c r="BI5" s="270">
        <f t="shared" ref="BI5:BI8" si="40">E5*88.64%</f>
        <v>443200</v>
      </c>
      <c r="BJ5" s="258">
        <f t="shared" ref="BJ5:BJ8" si="41">SUM(G5,M5,R5,W5,AB5,AG5,AL5,AQ5,AV5,BA5,BF5)/BI5</f>
        <v>2.5501484995487362</v>
      </c>
      <c r="BK5" s="264"/>
      <c r="BL5" s="270">
        <f t="shared" ref="BL5:BL8" si="42">E5*11.36%</f>
        <v>56799.999999999993</v>
      </c>
      <c r="BM5" s="258">
        <f t="shared" ref="BM5:BM11" si="43">BK5/BL5</f>
        <v>0</v>
      </c>
      <c r="BN5" s="271">
        <f t="shared" ref="BN5:BN8" si="44">E5*100%</f>
        <v>500000</v>
      </c>
      <c r="BO5" s="262">
        <f t="shared" ref="BO5:BO8" si="45">SUM(G5,M5,R5,W5,AB5,AG5,AL5,AQ5,AV5,BA5,BF5,BK5)/BN5</f>
        <v>2.2604516299999999</v>
      </c>
    </row>
    <row r="6" spans="1:170">
      <c r="A6" s="119" t="s">
        <v>105</v>
      </c>
      <c r="B6" s="121" t="s">
        <v>106</v>
      </c>
      <c r="C6" s="121" t="s">
        <v>107</v>
      </c>
      <c r="D6" s="120">
        <v>216066.72</v>
      </c>
      <c r="E6" s="137">
        <v>300000</v>
      </c>
      <c r="F6" s="122">
        <v>300000</v>
      </c>
      <c r="G6" s="123">
        <v>400000</v>
      </c>
      <c r="H6" s="285"/>
      <c r="I6" s="277">
        <f t="shared" si="0"/>
        <v>22380</v>
      </c>
      <c r="J6" s="242">
        <f t="shared" si="1"/>
        <v>17.873100983020553</v>
      </c>
      <c r="K6" s="277">
        <f t="shared" si="2"/>
        <v>22380</v>
      </c>
      <c r="L6" s="242">
        <f t="shared" si="3"/>
        <v>17.873100983020553</v>
      </c>
      <c r="M6" s="279">
        <v>4625.0006000000003</v>
      </c>
      <c r="N6" s="277">
        <f t="shared" si="4"/>
        <v>17790</v>
      </c>
      <c r="O6" s="243">
        <f t="shared" si="5"/>
        <v>0.25997754918493537</v>
      </c>
      <c r="P6" s="244">
        <f t="shared" ref="P6:P8" si="46">E6*13.39%</f>
        <v>40170.000000000007</v>
      </c>
      <c r="Q6" s="243">
        <f t="shared" ref="Q6:Q8" si="47">SUM(G6,M6)/P6</f>
        <v>10.072815548917101</v>
      </c>
      <c r="R6" s="263">
        <v>47679</v>
      </c>
      <c r="S6" s="270">
        <f t="shared" si="6"/>
        <v>24930.000000000004</v>
      </c>
      <c r="T6" s="258">
        <f t="shared" si="7"/>
        <v>1.91251504211793</v>
      </c>
      <c r="U6" s="272">
        <f t="shared" si="8"/>
        <v>65070</v>
      </c>
      <c r="V6" s="258">
        <f t="shared" si="9"/>
        <v>6.9510373536191796</v>
      </c>
      <c r="W6" s="264"/>
      <c r="X6" s="270">
        <f t="shared" si="10"/>
        <v>21870.000000000004</v>
      </c>
      <c r="Y6" s="258">
        <f t="shared" si="11"/>
        <v>0</v>
      </c>
      <c r="Z6" s="272">
        <f t="shared" si="12"/>
        <v>86940</v>
      </c>
      <c r="AA6" s="258">
        <f t="shared" si="13"/>
        <v>5.2024844789510007</v>
      </c>
      <c r="AB6" s="264"/>
      <c r="AC6" s="270">
        <f t="shared" si="14"/>
        <v>33060</v>
      </c>
      <c r="AD6" s="258">
        <f t="shared" si="15"/>
        <v>0</v>
      </c>
      <c r="AE6" s="272">
        <f t="shared" si="16"/>
        <v>120000</v>
      </c>
      <c r="AF6" s="258">
        <f t="shared" si="17"/>
        <v>3.7692000050000001</v>
      </c>
      <c r="AG6" s="264"/>
      <c r="AH6" s="270">
        <f t="shared" si="18"/>
        <v>36090</v>
      </c>
      <c r="AI6" s="258">
        <f t="shared" si="19"/>
        <v>0</v>
      </c>
      <c r="AJ6" s="270">
        <f t="shared" si="20"/>
        <v>156090</v>
      </c>
      <c r="AK6" s="258">
        <f t="shared" si="21"/>
        <v>2.8977128618104939</v>
      </c>
      <c r="AL6" s="264"/>
      <c r="AM6" s="270">
        <f t="shared" si="22"/>
        <v>10170</v>
      </c>
      <c r="AN6" s="258">
        <f t="shared" si="23"/>
        <v>0</v>
      </c>
      <c r="AO6" s="270">
        <f t="shared" si="24"/>
        <v>166260</v>
      </c>
      <c r="AP6" s="258">
        <f t="shared" si="25"/>
        <v>2.7204619307109348</v>
      </c>
      <c r="AQ6" s="264"/>
      <c r="AR6" s="270">
        <f t="shared" si="26"/>
        <v>29490</v>
      </c>
      <c r="AS6" s="258">
        <f t="shared" si="27"/>
        <v>0</v>
      </c>
      <c r="AT6" s="270">
        <f t="shared" si="28"/>
        <v>195750</v>
      </c>
      <c r="AU6" s="258">
        <f t="shared" si="29"/>
        <v>2.3106206927203066</v>
      </c>
      <c r="AV6" s="264"/>
      <c r="AW6" s="270">
        <f t="shared" si="30"/>
        <v>32550</v>
      </c>
      <c r="AX6" s="258">
        <f t="shared" si="31"/>
        <v>0</v>
      </c>
      <c r="AY6" s="270">
        <f t="shared" si="32"/>
        <v>228299.99999999997</v>
      </c>
      <c r="AZ6" s="258">
        <f t="shared" si="33"/>
        <v>1.9811826570302238</v>
      </c>
      <c r="BA6" s="264"/>
      <c r="BB6" s="270">
        <f t="shared" si="34"/>
        <v>18300</v>
      </c>
      <c r="BC6" s="258">
        <f t="shared" si="35"/>
        <v>0</v>
      </c>
      <c r="BD6" s="270">
        <f t="shared" si="36"/>
        <v>246600.00000000003</v>
      </c>
      <c r="BE6" s="258">
        <f t="shared" si="37"/>
        <v>1.8341605863746957</v>
      </c>
      <c r="BF6" s="264"/>
      <c r="BG6" s="270">
        <f t="shared" si="38"/>
        <v>19320</v>
      </c>
      <c r="BH6" s="258">
        <f t="shared" si="39"/>
        <v>0</v>
      </c>
      <c r="BI6" s="270">
        <f t="shared" si="40"/>
        <v>265920</v>
      </c>
      <c r="BJ6" s="258">
        <f t="shared" si="41"/>
        <v>1.70090252933213</v>
      </c>
      <c r="BK6" s="264"/>
      <c r="BL6" s="270">
        <f t="shared" si="42"/>
        <v>34080</v>
      </c>
      <c r="BM6" s="258">
        <f t="shared" si="43"/>
        <v>0</v>
      </c>
      <c r="BN6" s="271">
        <f t="shared" si="44"/>
        <v>300000</v>
      </c>
      <c r="BO6" s="262">
        <f t="shared" si="45"/>
        <v>1.5076800020000001</v>
      </c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  <c r="EL6" s="118"/>
      <c r="EM6" s="118"/>
      <c r="EN6" s="118"/>
      <c r="EO6" s="118"/>
      <c r="EP6" s="118"/>
      <c r="EQ6" s="118"/>
      <c r="ER6" s="118"/>
      <c r="ES6" s="118"/>
      <c r="ET6" s="118"/>
      <c r="EU6" s="118"/>
      <c r="EV6" s="118"/>
      <c r="EW6" s="118"/>
      <c r="EX6" s="118"/>
      <c r="EY6" s="118"/>
      <c r="EZ6" s="118"/>
      <c r="FA6" s="118"/>
      <c r="FB6" s="118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</row>
    <row r="7" spans="1:170">
      <c r="A7" s="125" t="s">
        <v>108</v>
      </c>
      <c r="B7" s="127" t="s">
        <v>109</v>
      </c>
      <c r="C7" s="127" t="s">
        <v>110</v>
      </c>
      <c r="D7" s="126">
        <v>226319.73</v>
      </c>
      <c r="E7" s="137">
        <v>300000</v>
      </c>
      <c r="F7" s="128">
        <v>350000</v>
      </c>
      <c r="G7" s="129">
        <v>400000</v>
      </c>
      <c r="H7" s="285"/>
      <c r="I7" s="277">
        <f t="shared" si="0"/>
        <v>22380</v>
      </c>
      <c r="J7" s="242">
        <f t="shared" si="1"/>
        <v>17.873100983020553</v>
      </c>
      <c r="K7" s="277">
        <f t="shared" si="2"/>
        <v>22380</v>
      </c>
      <c r="L7" s="242">
        <f t="shared" si="3"/>
        <v>17.873100983020553</v>
      </c>
      <c r="M7" s="279">
        <v>28718.2168206026</v>
      </c>
      <c r="N7" s="277">
        <f t="shared" si="4"/>
        <v>17790</v>
      </c>
      <c r="O7" s="243">
        <f t="shared" si="5"/>
        <v>1.6142898718719842</v>
      </c>
      <c r="P7" s="244">
        <f t="shared" si="46"/>
        <v>40170.000000000007</v>
      </c>
      <c r="Q7" s="243">
        <f t="shared" si="47"/>
        <v>10.672596883759088</v>
      </c>
      <c r="R7" s="263">
        <v>1950</v>
      </c>
      <c r="S7" s="270">
        <f>E7*8.31%</f>
        <v>24930.000000000004</v>
      </c>
      <c r="T7" s="258">
        <f t="shared" si="7"/>
        <v>7.8219013237063761E-2</v>
      </c>
      <c r="U7" s="272">
        <f t="shared" si="8"/>
        <v>65070</v>
      </c>
      <c r="V7" s="258">
        <f t="shared" si="9"/>
        <v>6.6185372186968277</v>
      </c>
      <c r="W7" s="264"/>
      <c r="X7" s="270">
        <f t="shared" si="10"/>
        <v>21870.000000000004</v>
      </c>
      <c r="Y7" s="258">
        <f t="shared" si="11"/>
        <v>0</v>
      </c>
      <c r="Z7" s="272">
        <f t="shared" si="12"/>
        <v>86940</v>
      </c>
      <c r="AA7" s="258">
        <f t="shared" si="13"/>
        <v>4.9536256823165701</v>
      </c>
      <c r="AB7" s="264"/>
      <c r="AC7" s="270">
        <f t="shared" si="14"/>
        <v>33060</v>
      </c>
      <c r="AD7" s="258">
        <f t="shared" si="15"/>
        <v>0</v>
      </c>
      <c r="AE7" s="272">
        <f t="shared" si="16"/>
        <v>120000</v>
      </c>
      <c r="AF7" s="258">
        <f t="shared" si="17"/>
        <v>3.5889018068383551</v>
      </c>
      <c r="AG7" s="264"/>
      <c r="AH7" s="270">
        <f t="shared" si="18"/>
        <v>36090</v>
      </c>
      <c r="AI7" s="258">
        <f t="shared" si="19"/>
        <v>0</v>
      </c>
      <c r="AJ7" s="270">
        <f t="shared" si="20"/>
        <v>156090</v>
      </c>
      <c r="AK7" s="258">
        <f t="shared" si="21"/>
        <v>2.7591019080056545</v>
      </c>
      <c r="AL7" s="264"/>
      <c r="AM7" s="270">
        <f t="shared" si="22"/>
        <v>10170</v>
      </c>
      <c r="AN7" s="258">
        <f t="shared" si="23"/>
        <v>0</v>
      </c>
      <c r="AO7" s="270">
        <f t="shared" si="24"/>
        <v>166260</v>
      </c>
      <c r="AP7" s="258">
        <f t="shared" si="25"/>
        <v>2.5903297054048031</v>
      </c>
      <c r="AQ7" s="264"/>
      <c r="AR7" s="270">
        <f t="shared" si="26"/>
        <v>29490</v>
      </c>
      <c r="AS7" s="258">
        <f t="shared" si="27"/>
        <v>0</v>
      </c>
      <c r="AT7" s="270">
        <f t="shared" si="28"/>
        <v>195750</v>
      </c>
      <c r="AU7" s="258">
        <f t="shared" si="29"/>
        <v>2.2000930616633592</v>
      </c>
      <c r="AV7" s="264"/>
      <c r="AW7" s="270">
        <f t="shared" si="30"/>
        <v>32550</v>
      </c>
      <c r="AX7" s="258">
        <f t="shared" si="31"/>
        <v>0</v>
      </c>
      <c r="AY7" s="270">
        <f t="shared" si="32"/>
        <v>228299.99999999997</v>
      </c>
      <c r="AZ7" s="258">
        <f t="shared" si="33"/>
        <v>1.8864135646982156</v>
      </c>
      <c r="BA7" s="264"/>
      <c r="BB7" s="270">
        <f t="shared" si="34"/>
        <v>18300</v>
      </c>
      <c r="BC7" s="258">
        <f t="shared" si="35"/>
        <v>0</v>
      </c>
      <c r="BD7" s="270">
        <f t="shared" si="36"/>
        <v>246600.00000000003</v>
      </c>
      <c r="BE7" s="258">
        <f t="shared" si="37"/>
        <v>1.7464242369043088</v>
      </c>
      <c r="BF7" s="264"/>
      <c r="BG7" s="270">
        <f t="shared" si="38"/>
        <v>19320</v>
      </c>
      <c r="BH7" s="258">
        <f t="shared" si="39"/>
        <v>0</v>
      </c>
      <c r="BI7" s="270">
        <f t="shared" si="40"/>
        <v>265920</v>
      </c>
      <c r="BJ7" s="258">
        <f t="shared" si="41"/>
        <v>1.6195405265516043</v>
      </c>
      <c r="BK7" s="264"/>
      <c r="BL7" s="270">
        <f t="shared" si="42"/>
        <v>34080</v>
      </c>
      <c r="BM7" s="258">
        <f t="shared" si="43"/>
        <v>0</v>
      </c>
      <c r="BN7" s="271">
        <f t="shared" si="44"/>
        <v>300000</v>
      </c>
      <c r="BO7" s="262">
        <f t="shared" si="45"/>
        <v>1.435560722735342</v>
      </c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4"/>
      <c r="EI7" s="124"/>
      <c r="EJ7" s="124"/>
      <c r="EK7" s="124"/>
      <c r="EL7" s="124"/>
      <c r="EM7" s="124"/>
      <c r="EN7" s="124"/>
      <c r="EO7" s="124"/>
      <c r="EP7" s="124"/>
      <c r="EQ7" s="124"/>
      <c r="ER7" s="124"/>
      <c r="ES7" s="124"/>
      <c r="ET7" s="124"/>
      <c r="EU7" s="124"/>
      <c r="EV7" s="124"/>
      <c r="EW7" s="124"/>
      <c r="EX7" s="124"/>
      <c r="EY7" s="124"/>
      <c r="EZ7" s="124"/>
      <c r="FA7" s="124"/>
      <c r="FB7" s="124"/>
      <c r="FC7" s="124"/>
      <c r="FD7" s="124"/>
      <c r="FE7" s="124"/>
      <c r="FF7" s="124"/>
      <c r="FG7" s="124"/>
      <c r="FH7" s="124"/>
      <c r="FI7" s="124"/>
      <c r="FJ7" s="124"/>
      <c r="FK7" s="124"/>
      <c r="FL7" s="124"/>
      <c r="FM7" s="124"/>
      <c r="FN7" s="124"/>
    </row>
    <row r="8" spans="1:170" ht="16.5" customHeight="1">
      <c r="A8" s="125" t="s">
        <v>111</v>
      </c>
      <c r="B8" s="127" t="s">
        <v>41</v>
      </c>
      <c r="C8" s="127" t="s">
        <v>112</v>
      </c>
      <c r="D8" s="126">
        <v>483625.45</v>
      </c>
      <c r="E8" s="137">
        <v>400000</v>
      </c>
      <c r="F8" s="128">
        <v>600000</v>
      </c>
      <c r="G8" s="129">
        <v>650000</v>
      </c>
      <c r="H8" s="285"/>
      <c r="I8" s="277">
        <f t="shared" si="0"/>
        <v>29840</v>
      </c>
      <c r="J8" s="242">
        <f t="shared" si="1"/>
        <v>21.782841823056302</v>
      </c>
      <c r="K8" s="277">
        <f t="shared" si="2"/>
        <v>29840</v>
      </c>
      <c r="L8" s="242">
        <f t="shared" si="3"/>
        <v>21.782841823056302</v>
      </c>
      <c r="M8" s="280">
        <v>0</v>
      </c>
      <c r="N8" s="277">
        <f t="shared" si="4"/>
        <v>23720</v>
      </c>
      <c r="O8" s="243">
        <f t="shared" si="5"/>
        <v>0</v>
      </c>
      <c r="P8" s="244">
        <f t="shared" si="46"/>
        <v>53560.000000000007</v>
      </c>
      <c r="Q8" s="243">
        <f t="shared" si="47"/>
        <v>12.135922330097086</v>
      </c>
      <c r="R8" s="263">
        <v>29795</v>
      </c>
      <c r="S8" s="270">
        <f t="shared" si="6"/>
        <v>33240</v>
      </c>
      <c r="T8" s="258">
        <f t="shared" si="7"/>
        <v>0.8963598074608905</v>
      </c>
      <c r="U8" s="272">
        <f t="shared" si="8"/>
        <v>86760</v>
      </c>
      <c r="V8" s="258">
        <f t="shared" si="9"/>
        <v>7.8353503918856617</v>
      </c>
      <c r="W8" s="264"/>
      <c r="X8" s="270">
        <f t="shared" si="10"/>
        <v>29160.000000000004</v>
      </c>
      <c r="Y8" s="258">
        <f t="shared" si="11"/>
        <v>0</v>
      </c>
      <c r="Z8" s="272">
        <f t="shared" si="12"/>
        <v>115920</v>
      </c>
      <c r="AA8" s="258">
        <f t="shared" si="13"/>
        <v>5.8643461007591444</v>
      </c>
      <c r="AB8" s="264"/>
      <c r="AC8" s="270">
        <f t="shared" si="14"/>
        <v>44080</v>
      </c>
      <c r="AD8" s="258">
        <f t="shared" si="15"/>
        <v>0</v>
      </c>
      <c r="AE8" s="272">
        <f t="shared" si="16"/>
        <v>160000</v>
      </c>
      <c r="AF8" s="258">
        <f t="shared" si="17"/>
        <v>4.2487187500000001</v>
      </c>
      <c r="AG8" s="264"/>
      <c r="AH8" s="270">
        <f t="shared" si="18"/>
        <v>48119.999999999993</v>
      </c>
      <c r="AI8" s="258">
        <f t="shared" si="19"/>
        <v>0</v>
      </c>
      <c r="AJ8" s="270">
        <f t="shared" si="20"/>
        <v>208120</v>
      </c>
      <c r="AK8" s="258">
        <f t="shared" si="21"/>
        <v>3.2663607534114933</v>
      </c>
      <c r="AL8" s="264"/>
      <c r="AM8" s="270">
        <f t="shared" si="22"/>
        <v>13560</v>
      </c>
      <c r="AN8" s="258">
        <f t="shared" si="23"/>
        <v>0</v>
      </c>
      <c r="AO8" s="270">
        <f t="shared" si="24"/>
        <v>221680</v>
      </c>
      <c r="AP8" s="258">
        <f t="shared" si="25"/>
        <v>3.0665599061710576</v>
      </c>
      <c r="AQ8" s="264"/>
      <c r="AR8" s="270">
        <f t="shared" si="26"/>
        <v>39320</v>
      </c>
      <c r="AS8" s="258">
        <f t="shared" si="27"/>
        <v>0</v>
      </c>
      <c r="AT8" s="270">
        <f t="shared" si="28"/>
        <v>261000</v>
      </c>
      <c r="AU8" s="258">
        <f t="shared" si="29"/>
        <v>2.6045785440613027</v>
      </c>
      <c r="AV8" s="264"/>
      <c r="AW8" s="270">
        <f t="shared" si="30"/>
        <v>43400</v>
      </c>
      <c r="AX8" s="258">
        <f t="shared" si="31"/>
        <v>0</v>
      </c>
      <c r="AY8" s="270">
        <f t="shared" si="32"/>
        <v>304399.99999999994</v>
      </c>
      <c r="AZ8" s="258">
        <f t="shared" si="33"/>
        <v>2.2332293035479638</v>
      </c>
      <c r="BA8" s="264"/>
      <c r="BB8" s="270">
        <f t="shared" si="34"/>
        <v>24400</v>
      </c>
      <c r="BC8" s="258">
        <f t="shared" si="35"/>
        <v>0</v>
      </c>
      <c r="BD8" s="270">
        <f t="shared" si="36"/>
        <v>328800</v>
      </c>
      <c r="BE8" s="258">
        <f t="shared" si="37"/>
        <v>2.0675030413625306</v>
      </c>
      <c r="BF8" s="264"/>
      <c r="BG8" s="270">
        <f t="shared" si="38"/>
        <v>25760</v>
      </c>
      <c r="BH8" s="258">
        <f t="shared" si="39"/>
        <v>0</v>
      </c>
      <c r="BI8" s="270">
        <f t="shared" si="40"/>
        <v>354560</v>
      </c>
      <c r="BJ8" s="258">
        <f t="shared" si="41"/>
        <v>1.9172918546931408</v>
      </c>
      <c r="BK8" s="264"/>
      <c r="BL8" s="270">
        <f t="shared" si="42"/>
        <v>45440</v>
      </c>
      <c r="BM8" s="258">
        <f t="shared" si="43"/>
        <v>0</v>
      </c>
      <c r="BN8" s="271">
        <f t="shared" si="44"/>
        <v>400000</v>
      </c>
      <c r="BO8" s="262">
        <f t="shared" si="45"/>
        <v>1.6994875</v>
      </c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  <c r="DD8" s="124"/>
      <c r="DE8" s="124"/>
      <c r="DF8" s="124"/>
      <c r="DG8" s="124"/>
      <c r="DH8" s="124"/>
      <c r="DI8" s="124"/>
      <c r="DJ8" s="124"/>
      <c r="DK8" s="124"/>
      <c r="DL8" s="124"/>
      <c r="DM8" s="124"/>
      <c r="DN8" s="124"/>
      <c r="DO8" s="124"/>
      <c r="DP8" s="124"/>
      <c r="DQ8" s="124"/>
      <c r="DR8" s="124"/>
      <c r="DS8" s="124"/>
      <c r="DT8" s="124"/>
      <c r="DU8" s="124"/>
      <c r="DV8" s="124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</row>
    <row r="9" spans="1:170" s="28" customFormat="1">
      <c r="A9" s="131" t="s">
        <v>113</v>
      </c>
      <c r="B9" s="133" t="s">
        <v>114</v>
      </c>
      <c r="C9" s="133" t="s">
        <v>115</v>
      </c>
      <c r="D9" s="132">
        <v>33480.080000000002</v>
      </c>
      <c r="E9" s="137">
        <v>0</v>
      </c>
      <c r="F9" s="134">
        <v>250000</v>
      </c>
      <c r="G9" s="135">
        <v>250000</v>
      </c>
      <c r="H9" s="286"/>
      <c r="I9" s="282">
        <v>26309.940717769601</v>
      </c>
      <c r="J9" s="242">
        <f t="shared" si="1"/>
        <v>9.5021118702540921</v>
      </c>
      <c r="K9" s="277">
        <f t="shared" si="2"/>
        <v>0</v>
      </c>
      <c r="L9" s="242" t="e">
        <f>G9/K9</f>
        <v>#DIV/0!</v>
      </c>
      <c r="M9" s="280">
        <v>1</v>
      </c>
      <c r="N9" s="277">
        <f>E9*5.93%</f>
        <v>0</v>
      </c>
      <c r="O9" s="243" t="e">
        <f t="shared" si="5"/>
        <v>#DIV/0!</v>
      </c>
      <c r="P9" s="244">
        <f>E9*13.39%</f>
        <v>0</v>
      </c>
      <c r="Q9" s="243" t="e">
        <f>SUM(G9,M9)/P9</f>
        <v>#DIV/0!</v>
      </c>
      <c r="R9" s="263">
        <v>29796</v>
      </c>
      <c r="S9" s="270">
        <f>E9*8.31%</f>
        <v>0</v>
      </c>
      <c r="T9" s="258" t="e">
        <f t="shared" si="7"/>
        <v>#DIV/0!</v>
      </c>
      <c r="U9" s="272">
        <f>E9*21.69%</f>
        <v>0</v>
      </c>
      <c r="V9" s="258" t="e">
        <f>SUM(G9,M9,R9)/U9</f>
        <v>#DIV/0!</v>
      </c>
      <c r="W9" s="264"/>
      <c r="X9" s="270">
        <f>E9*7.29%</f>
        <v>0</v>
      </c>
      <c r="Y9" s="258" t="e">
        <f t="shared" si="11"/>
        <v>#DIV/0!</v>
      </c>
      <c r="Z9" s="272">
        <f>E9*28.98%</f>
        <v>0</v>
      </c>
      <c r="AA9" s="258" t="e">
        <f>SUM(G9,M9,R9,W9)/Z9</f>
        <v>#DIV/0!</v>
      </c>
      <c r="AB9" s="264"/>
      <c r="AC9" s="270">
        <f>E9*11.02%</f>
        <v>0</v>
      </c>
      <c r="AD9" s="258" t="e">
        <f t="shared" si="15"/>
        <v>#DIV/0!</v>
      </c>
      <c r="AE9" s="272">
        <f>E9*40%</f>
        <v>0</v>
      </c>
      <c r="AF9" s="258" t="e">
        <f>SUM(G9,M9,R9,W9,AB9)/AE9</f>
        <v>#DIV/0!</v>
      </c>
      <c r="AG9" s="264"/>
      <c r="AH9" s="270">
        <f>E9*12.03%</f>
        <v>0</v>
      </c>
      <c r="AI9" s="258" t="e">
        <f t="shared" si="19"/>
        <v>#DIV/0!</v>
      </c>
      <c r="AJ9" s="270">
        <f>E9*52.03%</f>
        <v>0</v>
      </c>
      <c r="AK9" s="258" t="e">
        <f>SUM(G9,M9,R9,W9,AB9,AG9)/AJ9</f>
        <v>#DIV/0!</v>
      </c>
      <c r="AL9" s="264"/>
      <c r="AM9" s="270">
        <f>E9*3.39%</f>
        <v>0</v>
      </c>
      <c r="AN9" s="258" t="e">
        <f t="shared" si="23"/>
        <v>#DIV/0!</v>
      </c>
      <c r="AO9" s="270">
        <f>E9*55.42%</f>
        <v>0</v>
      </c>
      <c r="AP9" s="258" t="e">
        <f>SUM(G9,M9,R9,W9,AB9,AG9,AL9)/AO9</f>
        <v>#DIV/0!</v>
      </c>
      <c r="AQ9" s="264"/>
      <c r="AR9" s="270">
        <f>E9*9.83%</f>
        <v>0</v>
      </c>
      <c r="AS9" s="258" t="e">
        <f t="shared" si="27"/>
        <v>#DIV/0!</v>
      </c>
      <c r="AT9" s="270">
        <f>E9*65.25%</f>
        <v>0</v>
      </c>
      <c r="AU9" s="258" t="e">
        <f>SUM(G9,M9,R9,W9,AB9,AG9,AL9,AQ9)/AT9</f>
        <v>#DIV/0!</v>
      </c>
      <c r="AV9" s="264"/>
      <c r="AW9" s="270">
        <f>E9*10.85%</f>
        <v>0</v>
      </c>
      <c r="AX9" s="258" t="e">
        <f t="shared" si="31"/>
        <v>#DIV/0!</v>
      </c>
      <c r="AY9" s="270">
        <f>E9*76.1%</f>
        <v>0</v>
      </c>
      <c r="AZ9" s="258" t="e">
        <f>SUM(G9,M9,R9,W9,AB9,AG9,AL9,AQ9,AV9)/AY9</f>
        <v>#DIV/0!</v>
      </c>
      <c r="BA9" s="264"/>
      <c r="BB9" s="270">
        <f>E9*6.1%</f>
        <v>0</v>
      </c>
      <c r="BC9" s="258" t="e">
        <f t="shared" si="35"/>
        <v>#DIV/0!</v>
      </c>
      <c r="BD9" s="270">
        <f>E9*82.2%</f>
        <v>0</v>
      </c>
      <c r="BE9" s="258" t="e">
        <f>SUM(G9,M9,R9,W9,AB9,AG9,AL9,AQ9,AV9,BA9)/BD9</f>
        <v>#DIV/0!</v>
      </c>
      <c r="BF9" s="264"/>
      <c r="BG9" s="270">
        <f>E9*6.44%</f>
        <v>0</v>
      </c>
      <c r="BH9" s="258" t="e">
        <f t="shared" si="39"/>
        <v>#DIV/0!</v>
      </c>
      <c r="BI9" s="270">
        <f>E9*88.64%</f>
        <v>0</v>
      </c>
      <c r="BJ9" s="258" t="e">
        <f>SUM(G9,M9,R9,W9,AB9,AG9,AL9,AQ9,AV9,BA9,BF9)/BI9</f>
        <v>#DIV/0!</v>
      </c>
      <c r="BK9" s="264"/>
      <c r="BL9" s="270">
        <f>E9*11.36%</f>
        <v>0</v>
      </c>
      <c r="BM9" s="258" t="e">
        <f t="shared" si="43"/>
        <v>#DIV/0!</v>
      </c>
      <c r="BN9" s="271">
        <f>E9*100%</f>
        <v>0</v>
      </c>
      <c r="BO9" s="262" t="e">
        <f>SUM(G9,M9,R9,W9,AB9,AG9,AL9,AQ9,AV9,BA9,BF9,BK9)/BN9</f>
        <v>#DIV/0!</v>
      </c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  <c r="ES9" s="130"/>
      <c r="ET9" s="130"/>
      <c r="EU9" s="130"/>
      <c r="EV9" s="130"/>
      <c r="EW9" s="130"/>
      <c r="EX9" s="130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</row>
    <row r="10" spans="1:170">
      <c r="A10" s="60" t="s">
        <v>116</v>
      </c>
      <c r="B10" s="61" t="s">
        <v>117</v>
      </c>
      <c r="C10" s="61" t="s">
        <v>101</v>
      </c>
      <c r="D10" s="62">
        <v>87620.5</v>
      </c>
      <c r="E10" s="64">
        <v>200000</v>
      </c>
      <c r="F10" s="201">
        <v>250000</v>
      </c>
      <c r="G10" s="202">
        <v>250000</v>
      </c>
      <c r="H10" s="285"/>
      <c r="I10" s="283">
        <v>9074.5499999999993</v>
      </c>
      <c r="J10" s="242">
        <f t="shared" si="1"/>
        <v>27.549575461042149</v>
      </c>
      <c r="K10" s="277">
        <f t="shared" si="2"/>
        <v>14920</v>
      </c>
      <c r="L10" s="242">
        <f>G10/K10</f>
        <v>16.756032171581769</v>
      </c>
      <c r="M10" s="280">
        <v>2</v>
      </c>
      <c r="N10" s="277">
        <f>E10*5.93%</f>
        <v>11860</v>
      </c>
      <c r="O10" s="243">
        <f t="shared" si="5"/>
        <v>1.6863406408094435E-4</v>
      </c>
      <c r="P10" s="244">
        <f>E10*13.39%</f>
        <v>26780.000000000004</v>
      </c>
      <c r="Q10" s="243">
        <f>SUM(G10,M10)/P10</f>
        <v>9.3353995519044055</v>
      </c>
      <c r="R10" s="263">
        <v>29797</v>
      </c>
      <c r="S10" s="270">
        <f>E10*8.31%</f>
        <v>16620</v>
      </c>
      <c r="T10" s="258">
        <f t="shared" si="7"/>
        <v>1.7928399518652227</v>
      </c>
      <c r="U10" s="272">
        <f>E10*21.69%</f>
        <v>43380</v>
      </c>
      <c r="V10" s="258">
        <f>SUM(G10,M10,R10)/U10</f>
        <v>6.4499538958045184</v>
      </c>
      <c r="W10" s="264"/>
      <c r="X10" s="270">
        <f>E10*7.29%</f>
        <v>14580.000000000002</v>
      </c>
      <c r="Y10" s="258">
        <f t="shared" si="11"/>
        <v>0</v>
      </c>
      <c r="Z10" s="272">
        <f>E10*28.98%</f>
        <v>57960</v>
      </c>
      <c r="AA10" s="258">
        <f>SUM(G10,M10,R10,W10)/Z10</f>
        <v>4.827449965493444</v>
      </c>
      <c r="AB10" s="264"/>
      <c r="AC10" s="270">
        <f>E10*11.02%</f>
        <v>22040</v>
      </c>
      <c r="AD10" s="258">
        <f t="shared" si="15"/>
        <v>0</v>
      </c>
      <c r="AE10" s="272">
        <f>E10*40%</f>
        <v>80000</v>
      </c>
      <c r="AF10" s="258">
        <f>SUM(G10,M10,R10,W10,AB10)/AE10</f>
        <v>3.4974875000000001</v>
      </c>
      <c r="AG10" s="264"/>
      <c r="AH10" s="270">
        <f>E10*12.03%</f>
        <v>24059.999999999996</v>
      </c>
      <c r="AI10" s="258">
        <f t="shared" si="19"/>
        <v>0</v>
      </c>
      <c r="AJ10" s="270">
        <f>E10*52.03%</f>
        <v>104060</v>
      </c>
      <c r="AK10" s="258">
        <f>SUM(G10,M10,R10,W10,AB10,AG10)/AJ10</f>
        <v>2.6888237555256582</v>
      </c>
      <c r="AL10" s="264"/>
      <c r="AM10" s="270">
        <f>E10*3.39%</f>
        <v>6780</v>
      </c>
      <c r="AN10" s="258">
        <f t="shared" si="23"/>
        <v>0</v>
      </c>
      <c r="AO10" s="270">
        <f>E10*55.42%</f>
        <v>110840</v>
      </c>
      <c r="AP10" s="258">
        <f>SUM(G10,M10,R10,W10,AB10,AG10,AL10)/AO10</f>
        <v>2.524350415012631</v>
      </c>
      <c r="AQ10" s="264"/>
      <c r="AR10" s="270">
        <f>E10*9.83%</f>
        <v>19660</v>
      </c>
      <c r="AS10" s="258">
        <f t="shared" si="27"/>
        <v>0</v>
      </c>
      <c r="AT10" s="270">
        <f>E10*65.25%</f>
        <v>130500</v>
      </c>
      <c r="AU10" s="258">
        <f>SUM(G10,M10,R10,W10,AB10,AG10,AL10,AQ10)/AT10</f>
        <v>2.1440536398467431</v>
      </c>
      <c r="AV10" s="264"/>
      <c r="AW10" s="270">
        <f>E10*10.85%</f>
        <v>21700</v>
      </c>
      <c r="AX10" s="258">
        <f t="shared" si="31"/>
        <v>0</v>
      </c>
      <c r="AY10" s="270">
        <f>E10*76.1%</f>
        <v>152199.99999999997</v>
      </c>
      <c r="AZ10" s="258">
        <f>SUM(G10,M10,R10,W10,AB10,AG10,AL10,AQ10,AV10)/AY10</f>
        <v>1.8383639947437587</v>
      </c>
      <c r="BA10" s="264"/>
      <c r="BB10" s="270">
        <f>E10*6.1%</f>
        <v>12200</v>
      </c>
      <c r="BC10" s="258">
        <f t="shared" si="35"/>
        <v>0</v>
      </c>
      <c r="BD10" s="270">
        <f>E10*82.2%</f>
        <v>164400</v>
      </c>
      <c r="BE10" s="258">
        <f>SUM(G10,M10,R10,W10,AB10,AG10,AL10,AQ10,AV10,BA10)/BD10</f>
        <v>1.7019403892944038</v>
      </c>
      <c r="BF10" s="264"/>
      <c r="BG10" s="270">
        <f>E10*6.44%</f>
        <v>12880</v>
      </c>
      <c r="BH10" s="258">
        <f t="shared" si="39"/>
        <v>0</v>
      </c>
      <c r="BI10" s="270">
        <f>E10*88.64%</f>
        <v>177280</v>
      </c>
      <c r="BJ10" s="258">
        <f>SUM(G10,M10,R10,W10,AB10,AG10,AL10,AQ10,AV10,BA10,BF10)/BI10</f>
        <v>1.5782885830324909</v>
      </c>
      <c r="BK10" s="264"/>
      <c r="BL10" s="270">
        <f>E10*11.36%</f>
        <v>22720</v>
      </c>
      <c r="BM10" s="258">
        <f t="shared" si="43"/>
        <v>0</v>
      </c>
      <c r="BN10" s="271">
        <f>E10*100%</f>
        <v>200000</v>
      </c>
      <c r="BO10" s="262">
        <f>SUM(G10,M10,R10,W10,AB10,AG10,AL10,AQ10,AV10,BA10,BF10,BK10)/BN10</f>
        <v>1.398995</v>
      </c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</row>
    <row r="11" spans="1:170" s="191" customFormat="1">
      <c r="A11" s="81" t="s">
        <v>135</v>
      </c>
      <c r="B11" s="81" t="s">
        <v>136</v>
      </c>
      <c r="C11" s="81" t="s">
        <v>137</v>
      </c>
      <c r="D11" s="204" t="s">
        <v>15</v>
      </c>
      <c r="E11" s="187" t="s">
        <v>15</v>
      </c>
      <c r="F11" s="205" t="s">
        <v>138</v>
      </c>
      <c r="G11" s="206" t="s">
        <v>138</v>
      </c>
      <c r="H11" s="287"/>
      <c r="I11" s="284">
        <v>0</v>
      </c>
      <c r="J11" s="242" t="e">
        <f t="shared" si="1"/>
        <v>#VALUE!</v>
      </c>
      <c r="K11" s="241" t="e">
        <f t="shared" si="2"/>
        <v>#VALUE!</v>
      </c>
      <c r="L11" s="242" t="e">
        <f>G11/K11</f>
        <v>#VALUE!</v>
      </c>
      <c r="M11" s="266">
        <v>3</v>
      </c>
      <c r="N11" s="241" t="e">
        <f>E11*5.93%</f>
        <v>#VALUE!</v>
      </c>
      <c r="O11" s="243" t="e">
        <f t="shared" si="5"/>
        <v>#VALUE!</v>
      </c>
      <c r="P11" s="244" t="e">
        <f>E11*13.39%</f>
        <v>#VALUE!</v>
      </c>
      <c r="Q11" s="243" t="e">
        <f>SUM(G11,M11)/P11</f>
        <v>#VALUE!</v>
      </c>
      <c r="R11" s="263">
        <v>29798</v>
      </c>
      <c r="S11" s="270" t="e">
        <f>E11*8.31%</f>
        <v>#VALUE!</v>
      </c>
      <c r="T11" s="258" t="e">
        <f t="shared" si="7"/>
        <v>#VALUE!</v>
      </c>
      <c r="U11" s="272" t="e">
        <f>E11*21.69%</f>
        <v>#VALUE!</v>
      </c>
      <c r="V11" s="258" t="e">
        <f>SUM(G11,M11,R11)/U11</f>
        <v>#VALUE!</v>
      </c>
      <c r="W11" s="264"/>
      <c r="X11" s="270" t="e">
        <f>E11*7.29%</f>
        <v>#VALUE!</v>
      </c>
      <c r="Y11" s="258" t="e">
        <f t="shared" si="11"/>
        <v>#VALUE!</v>
      </c>
      <c r="Z11" s="272" t="e">
        <f>E11*28.98%</f>
        <v>#VALUE!</v>
      </c>
      <c r="AA11" s="258" t="e">
        <f>SUM(G11,M11,R11,W11)/Z11</f>
        <v>#VALUE!</v>
      </c>
      <c r="AB11" s="264"/>
      <c r="AC11" s="270" t="e">
        <f>E11*11.02%</f>
        <v>#VALUE!</v>
      </c>
      <c r="AD11" s="258" t="e">
        <f t="shared" si="15"/>
        <v>#VALUE!</v>
      </c>
      <c r="AE11" s="272" t="e">
        <f>E11*40%</f>
        <v>#VALUE!</v>
      </c>
      <c r="AF11" s="258" t="e">
        <f>SUM(G11,M11,R11,W11,AB11)/AE11</f>
        <v>#VALUE!</v>
      </c>
      <c r="AG11" s="264"/>
      <c r="AH11" s="270" t="e">
        <f>E11*12.03%</f>
        <v>#VALUE!</v>
      </c>
      <c r="AI11" s="258" t="e">
        <f t="shared" si="19"/>
        <v>#VALUE!</v>
      </c>
      <c r="AJ11" s="270" t="e">
        <f>E11*52.03%</f>
        <v>#VALUE!</v>
      </c>
      <c r="AK11" s="258" t="e">
        <f>SUM(G11,M11,R11,W11,AB11,AG11)/AJ11</f>
        <v>#VALUE!</v>
      </c>
      <c r="AL11" s="264"/>
      <c r="AM11" s="270" t="e">
        <f>E11*3.39%</f>
        <v>#VALUE!</v>
      </c>
      <c r="AN11" s="258" t="e">
        <f t="shared" si="23"/>
        <v>#VALUE!</v>
      </c>
      <c r="AO11" s="270" t="e">
        <f>E11*55.42%</f>
        <v>#VALUE!</v>
      </c>
      <c r="AP11" s="258" t="e">
        <f>SUM(G11,M11,R11,W11,AB11,AG11,AL11)/AO11</f>
        <v>#VALUE!</v>
      </c>
      <c r="AQ11" s="264"/>
      <c r="AR11" s="270" t="e">
        <f>E11*9.83%</f>
        <v>#VALUE!</v>
      </c>
      <c r="AS11" s="258" t="e">
        <f t="shared" si="27"/>
        <v>#VALUE!</v>
      </c>
      <c r="AT11" s="270" t="e">
        <f>E11*65.25%</f>
        <v>#VALUE!</v>
      </c>
      <c r="AU11" s="258" t="e">
        <f>SUM(G11,M11,R11,W11,AB11,AG11,AL11,AQ11)/AT11</f>
        <v>#VALUE!</v>
      </c>
      <c r="AV11" s="264"/>
      <c r="AW11" s="270" t="e">
        <f>E11*10.85%</f>
        <v>#VALUE!</v>
      </c>
      <c r="AX11" s="258" t="e">
        <f t="shared" si="31"/>
        <v>#VALUE!</v>
      </c>
      <c r="AY11" s="270" t="e">
        <f>E11*76.1%</f>
        <v>#VALUE!</v>
      </c>
      <c r="AZ11" s="258" t="e">
        <f>SUM(G11,M11,R11,W11,AB11,AG11,AL11,AQ11,AV11)/AY11</f>
        <v>#VALUE!</v>
      </c>
      <c r="BA11" s="264"/>
      <c r="BB11" s="270" t="e">
        <f>E11*6.1%</f>
        <v>#VALUE!</v>
      </c>
      <c r="BC11" s="258" t="e">
        <f t="shared" si="35"/>
        <v>#VALUE!</v>
      </c>
      <c r="BD11" s="270" t="e">
        <f>E11*82.2%</f>
        <v>#VALUE!</v>
      </c>
      <c r="BE11" s="258" t="e">
        <f>SUM(G11,M11,R11,W11,AB11,AG11,AL11,AQ11,AV11,BA11)/BD11</f>
        <v>#VALUE!</v>
      </c>
      <c r="BF11" s="264"/>
      <c r="BG11" s="270" t="e">
        <f>E11*6.44%</f>
        <v>#VALUE!</v>
      </c>
      <c r="BH11" s="258" t="e">
        <f t="shared" si="39"/>
        <v>#VALUE!</v>
      </c>
      <c r="BI11" s="270" t="e">
        <f>E11*88.64%</f>
        <v>#VALUE!</v>
      </c>
      <c r="BJ11" s="258" t="e">
        <f>SUM(G11,M11,R11,W11,AB11,AG11,AL11,AQ11,AV11,BA11,BF11)/BI11</f>
        <v>#VALUE!</v>
      </c>
      <c r="BK11" s="264"/>
      <c r="BL11" s="270" t="e">
        <f>E11*11.36%</f>
        <v>#VALUE!</v>
      </c>
      <c r="BM11" s="258" t="e">
        <f t="shared" si="43"/>
        <v>#VALUE!</v>
      </c>
      <c r="BN11" s="271" t="e">
        <f>E11*100%</f>
        <v>#VALUE!</v>
      </c>
      <c r="BO11" s="262" t="e">
        <f>SUM(G11,M11,R11,W11,AB11,AG11,AL11,AQ11,AV11,BA11,BF11,BK11)/BN11</f>
        <v>#VALUE!</v>
      </c>
    </row>
    <row r="12" spans="1:170" s="136" customFormat="1">
      <c r="A12" s="27"/>
      <c r="B12" s="27"/>
      <c r="C12" s="27"/>
      <c r="D12" s="2"/>
      <c r="E12" s="26"/>
      <c r="F12" s="203">
        <f>SUM(F4:F10)</f>
        <v>3250000</v>
      </c>
      <c r="G12"/>
      <c r="H12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9"/>
    </row>
    <row r="13" spans="1:170" ht="15.75" thickBot="1">
      <c r="I13" s="1"/>
      <c r="L13" s="290"/>
    </row>
    <row r="14" spans="1:170" ht="15.75" thickBot="1">
      <c r="A14" s="7"/>
      <c r="B14" s="12" t="s">
        <v>28</v>
      </c>
      <c r="C14" s="13" t="s">
        <v>29</v>
      </c>
      <c r="D14" s="12" t="s">
        <v>30</v>
      </c>
      <c r="E14" s="13" t="s">
        <v>31</v>
      </c>
      <c r="F14" s="181" t="s">
        <v>32</v>
      </c>
      <c r="G14" s="180" t="s">
        <v>127</v>
      </c>
    </row>
    <row r="15" spans="1:170">
      <c r="A15" s="8" t="s">
        <v>16</v>
      </c>
      <c r="B15" s="105">
        <v>86931</v>
      </c>
      <c r="C15" s="106">
        <v>7</v>
      </c>
      <c r="D15" s="10">
        <v>0</v>
      </c>
      <c r="E15" s="11">
        <v>0</v>
      </c>
      <c r="F15" s="144">
        <v>125000</v>
      </c>
      <c r="G15" s="143" t="str">
        <f>IF(D15=0,"",D15-F15)</f>
        <v/>
      </c>
    </row>
    <row r="16" spans="1:170">
      <c r="A16" s="8" t="s">
        <v>17</v>
      </c>
      <c r="B16" s="105">
        <v>130762</v>
      </c>
      <c r="C16" s="106">
        <v>11</v>
      </c>
      <c r="D16" s="167">
        <v>0</v>
      </c>
      <c r="E16" s="11">
        <v>0</v>
      </c>
      <c r="F16" s="171">
        <v>185000</v>
      </c>
      <c r="G16" s="15" t="str">
        <f t="shared" ref="G16:G27" si="48">IF(D16=0,"",D16-F16)</f>
        <v/>
      </c>
    </row>
    <row r="17" spans="1:11">
      <c r="A17" s="8" t="s">
        <v>18</v>
      </c>
      <c r="B17" s="105">
        <v>298766</v>
      </c>
      <c r="C17" s="106">
        <v>23</v>
      </c>
      <c r="D17" s="167">
        <v>0</v>
      </c>
      <c r="E17" s="11">
        <v>0</v>
      </c>
      <c r="F17" s="171">
        <v>425000</v>
      </c>
      <c r="G17" s="15" t="str">
        <f t="shared" si="48"/>
        <v/>
      </c>
    </row>
    <row r="18" spans="1:11">
      <c r="A18" s="8" t="s">
        <v>19</v>
      </c>
      <c r="B18" s="105">
        <v>255624</v>
      </c>
      <c r="C18" s="103">
        <v>21</v>
      </c>
      <c r="D18" s="167">
        <v>0</v>
      </c>
      <c r="E18" s="11">
        <v>0</v>
      </c>
      <c r="F18" s="171">
        <v>365000</v>
      </c>
      <c r="G18" s="15" t="str">
        <f t="shared" si="48"/>
        <v/>
      </c>
    </row>
    <row r="19" spans="1:11">
      <c r="A19" s="8" t="s">
        <v>20</v>
      </c>
      <c r="B19" s="102">
        <v>165626</v>
      </c>
      <c r="C19" s="103">
        <v>13</v>
      </c>
      <c r="D19" s="167">
        <v>0</v>
      </c>
      <c r="E19" s="11">
        <v>0</v>
      </c>
      <c r="F19" s="171">
        <v>235000</v>
      </c>
      <c r="G19" s="15" t="str">
        <f t="shared" si="48"/>
        <v/>
      </c>
    </row>
    <row r="20" spans="1:11">
      <c r="A20" s="8" t="s">
        <v>21</v>
      </c>
      <c r="B20" s="105">
        <v>291779</v>
      </c>
      <c r="C20" s="103">
        <v>24</v>
      </c>
      <c r="D20" s="167">
        <v>0</v>
      </c>
      <c r="E20" s="11">
        <v>0</v>
      </c>
      <c r="F20" s="171">
        <v>415000</v>
      </c>
      <c r="G20" s="15" t="str">
        <f t="shared" si="48"/>
        <v/>
      </c>
    </row>
    <row r="21" spans="1:11">
      <c r="A21" s="8" t="s">
        <v>22</v>
      </c>
      <c r="B21" s="105">
        <v>23395</v>
      </c>
      <c r="C21" s="104">
        <v>1</v>
      </c>
      <c r="D21" s="167">
        <v>0</v>
      </c>
      <c r="E21" s="11">
        <v>0</v>
      </c>
      <c r="F21" s="171">
        <v>40000</v>
      </c>
      <c r="G21" s="15" t="str">
        <f t="shared" si="48"/>
        <v/>
      </c>
    </row>
    <row r="22" spans="1:11">
      <c r="A22" s="8" t="s">
        <v>23</v>
      </c>
      <c r="B22" s="105">
        <v>74064</v>
      </c>
      <c r="C22" s="104">
        <v>6</v>
      </c>
      <c r="D22" s="167">
        <v>0</v>
      </c>
      <c r="E22" s="11">
        <v>0</v>
      </c>
      <c r="F22" s="171">
        <v>105000</v>
      </c>
      <c r="G22" s="15" t="str">
        <f t="shared" si="48"/>
        <v/>
      </c>
      <c r="I22" s="1"/>
    </row>
    <row r="23" spans="1:11">
      <c r="A23" s="8" t="s">
        <v>24</v>
      </c>
      <c r="B23" s="105">
        <v>316858</v>
      </c>
      <c r="C23" s="104">
        <v>23</v>
      </c>
      <c r="D23" s="167">
        <v>0</v>
      </c>
      <c r="E23" s="11">
        <v>0</v>
      </c>
      <c r="F23" s="171">
        <v>450000</v>
      </c>
      <c r="G23" s="15" t="str">
        <f t="shared" si="48"/>
        <v/>
      </c>
    </row>
    <row r="24" spans="1:11">
      <c r="A24" s="8" t="s">
        <v>25</v>
      </c>
      <c r="B24" s="105">
        <v>230652</v>
      </c>
      <c r="C24" s="104">
        <v>15</v>
      </c>
      <c r="D24" s="167">
        <v>0</v>
      </c>
      <c r="E24" s="11">
        <v>0</v>
      </c>
      <c r="F24" s="171">
        <v>330000</v>
      </c>
      <c r="G24" s="15" t="str">
        <f t="shared" si="48"/>
        <v/>
      </c>
    </row>
    <row r="25" spans="1:11">
      <c r="A25" s="8" t="s">
        <v>26</v>
      </c>
      <c r="B25" s="105">
        <v>207229</v>
      </c>
      <c r="C25" s="103">
        <v>16</v>
      </c>
      <c r="D25" s="167">
        <v>0</v>
      </c>
      <c r="E25" s="11">
        <v>0</v>
      </c>
      <c r="F25" s="171">
        <v>295000</v>
      </c>
      <c r="G25" s="15" t="str">
        <f t="shared" si="48"/>
        <v/>
      </c>
    </row>
    <row r="26" spans="1:11" ht="15.75" thickBot="1">
      <c r="A26" s="8" t="s">
        <v>27</v>
      </c>
      <c r="B26" s="198">
        <v>197810</v>
      </c>
      <c r="C26" s="199">
        <v>15</v>
      </c>
      <c r="D26" s="167">
        <v>0</v>
      </c>
      <c r="E26" s="11">
        <v>0</v>
      </c>
      <c r="F26" s="172">
        <v>280000</v>
      </c>
      <c r="G26" s="16" t="str">
        <f t="shared" si="48"/>
        <v/>
      </c>
    </row>
    <row r="27" spans="1:11" ht="15.75" thickBot="1">
      <c r="A27" s="9"/>
      <c r="B27" s="174">
        <f>SUM(B15:B26)</f>
        <v>2279496</v>
      </c>
      <c r="C27" s="175">
        <f>SUM(C15:C26)</f>
        <v>175</v>
      </c>
      <c r="D27" s="140">
        <f>SUM(D15:D26)</f>
        <v>0</v>
      </c>
      <c r="E27" s="25">
        <f>SUM(E15:E26)</f>
        <v>0</v>
      </c>
      <c r="F27" s="174">
        <f>SUM(F15:F26)</f>
        <v>3250000</v>
      </c>
      <c r="G27" s="197" t="str">
        <f t="shared" si="48"/>
        <v/>
      </c>
    </row>
    <row r="28" spans="1:11" ht="15.75" thickBot="1"/>
    <row r="29" spans="1:11" ht="45.75" thickBot="1">
      <c r="E29" s="147" t="s">
        <v>134</v>
      </c>
      <c r="F29" s="142">
        <f>D27/F27</f>
        <v>0</v>
      </c>
      <c r="K29" s="191" t="s">
        <v>133</v>
      </c>
    </row>
    <row r="32" spans="1:11">
      <c r="G32" s="191"/>
    </row>
  </sheetData>
  <mergeCells count="1">
    <mergeCell ref="A3:C3"/>
  </mergeCell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F&amp;P</vt:lpstr>
      <vt:lpstr>Balwyn Nth</vt:lpstr>
      <vt:lpstr>Canterbury</vt:lpstr>
      <vt:lpstr>Hawthorn </vt:lpstr>
      <vt:lpstr>Manningham</vt:lpstr>
      <vt:lpstr>Maroondah</vt:lpstr>
      <vt:lpstr>Whitehorse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Tracey.Vongsanga</dc:creator>
  <cp:lastModifiedBy>gord</cp:lastModifiedBy>
  <cp:lastPrinted>2014-09-10T01:09:49Z</cp:lastPrinted>
  <dcterms:created xsi:type="dcterms:W3CDTF">2014-09-09T01:23:44Z</dcterms:created>
  <dcterms:modified xsi:type="dcterms:W3CDTF">2014-11-14T05:05:12Z</dcterms:modified>
</cp:coreProperties>
</file>