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comments/comment3.xml" ContentType="application/vnd.openxmlformats-officedocument.spreadsheetml.comments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comments/comment4.xml" ContentType="application/vnd.openxmlformats-officedocument.spreadsheetml.comments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918" firstSheet="0" activeTab="1" autoFilterDateGrouping="1"/>
  </bookViews>
  <sheets>
    <sheet name="版本说明" sheetId="1" state="visible" r:id="rId1"/>
    <sheet name="1-建设需求标准字段" sheetId="2" state="visible" r:id="rId2"/>
    <sheet name="2-建设规模换算" sheetId="3" state="visible" r:id="rId3"/>
    <sheet name="3-投资简表" sheetId="4" state="visible" r:id="rId4"/>
    <sheet name="4-组网模型" sheetId="5" state="visible" r:id="rId5"/>
    <sheet name="5-机柜装架" sheetId="6" state="visible" r:id="rId6"/>
    <sheet name="服务器模型-勿动" sheetId="7" state="visible" r:id="rId7"/>
    <sheet name="网络设备模型-勿动" sheetId="8" state="visible" r:id="rId8"/>
    <sheet name="机柜装架规则-勿动" sheetId="9" state="visible" r:id="rId9"/>
    <sheet name="价格计算" sheetId="10" state="visible" r:id="rId10"/>
    <sheet name="Sheet1" sheetId="11" state="visible" r:id="rId11"/>
    <sheet name="WpsReserved_CellImgList" sheetId="12" state="veryHidden" r:id="rId12"/>
  </sheets>
  <definedNames>
    <definedName name="本期对象存储规模">#REF!</definedName>
    <definedName name="对象存储规模">#REF!</definedName>
    <definedName name="设备第2年保修费率">#REF!</definedName>
    <definedName name="通用业务或共享资源POD流量带宽">#REF!</definedName>
    <definedName name="_xlnm._FilterDatabase" localSheetId="0" hidden="1">'版本说明'!$B$1:$B$10</definedName>
    <definedName name="_xlnm._FilterDatabase" localSheetId="1" hidden="1">'1-建设需求标准字段'!$B$1:$E$29</definedName>
    <definedName name="_xlnm._FilterDatabase" localSheetId="2" hidden="1">'2-建设规模换算'!$B$2:$J$31</definedName>
    <definedName name="_xlnm._FilterDatabase" localSheetId="3" hidden="1">'3-投资简表'!$B$2:$L$11</definedName>
    <definedName name="_xlnm._FilterDatabase" localSheetId="4" hidden="1">'4-组网模型'!$A$2:$AU$39</definedName>
    <definedName name="_xlnm._FilterDatabase" localSheetId="5" hidden="1">'5-机柜装架'!$B$2:$I$22</definedName>
    <definedName name="_xlnm._FilterDatabase" localSheetId="6" hidden="1">'服务器模型-勿动'!$A$1:$I$7</definedName>
    <definedName name="_xlnm._FilterDatabase" localSheetId="7" hidden="1">'网络设备模型-勿动'!$A$1:$G$17</definedName>
    <definedName name="_xlnm._FilterDatabase" localSheetId="8" hidden="1">'机柜装架规则-勿动'!$C$1:$D$4</definedName>
    <definedName name="_xlnm._FilterDatabase" localSheetId="9" hidden="1">'价格计算'!$B$2:$X$188</definedName>
    <definedName name="_xlnm._FilterDatabase" localSheetId="10" hidden="1">'Sheet1'!$B$1:$L$25</definedName>
  </definedNames>
  <calcPr calcId="191029" fullCalcOnLoad="1"/>
</workbook>
</file>

<file path=xl/styles.xml><?xml version="1.0" encoding="utf-8"?>
<styleSheet xmlns="http://schemas.openxmlformats.org/spreadsheetml/2006/main">
  <numFmts count="17">
    <numFmt numFmtId="164" formatCode="\(0\)"/>
    <numFmt numFmtId="165" formatCode="0.00_ "/>
    <numFmt numFmtId="166" formatCode="#,##0.00_ ;[Red]\-#,##0.00\ "/>
    <numFmt numFmtId="167" formatCode="#,##0_ ;[Red]\-#,##0\ "/>
    <numFmt numFmtId="168" formatCode="0_ "/>
    <numFmt numFmtId="169" formatCode="#,##0.00&quot;W&quot;"/>
    <numFmt numFmtId="170" formatCode="#,##0.00_ "/>
    <numFmt numFmtId="171" formatCode="General&quot;台&quot;"/>
    <numFmt numFmtId="172" formatCode="General&quot;个&quot;"/>
    <numFmt numFmtId="173" formatCode="&quot;×&quot;General&quot;台&quot;"/>
    <numFmt numFmtId="174" formatCode="General&quot;块&quot;"/>
    <numFmt numFmtId="175" formatCode="#,##0_ "/>
    <numFmt numFmtId="176" formatCode="&quot;集群业务带宽&quot;General&quot;Gbps&quot;"/>
    <numFmt numFmtId="177" formatCode="General&quot;机架&quot;"/>
    <numFmt numFmtId="178" formatCode="General&quot;×100Gbps&quot;"/>
    <numFmt numFmtId="179" formatCode="[$$-409]#,##0.000_);[Red]\([$$-409]#,##0.000\)"/>
    <numFmt numFmtId="180" formatCode="[$-409]d\-mmm\-yy;@"/>
  </numFmts>
  <fonts count="67">
    <font>
      <name val="宋体"/>
      <charset val="134"/>
      <color theme="1"/>
      <sz val="11"/>
      <scheme val="minor"/>
    </font>
    <font>
      <name val="微软雅黑"/>
      <charset val="134"/>
      <family val="2"/>
      <b val="1"/>
      <color rgb="FFFFFFFF"/>
      <sz val="10"/>
    </font>
    <font>
      <name val="微软雅黑"/>
      <charset val="134"/>
      <family val="2"/>
      <color rgb="FF000000"/>
      <sz val="10"/>
    </font>
    <font>
      <name val="微软雅黑"/>
      <charset val="134"/>
      <family val="2"/>
      <color rgb="FFC00000"/>
      <sz val="10"/>
    </font>
    <font>
      <name val="微软雅黑"/>
      <charset val="134"/>
      <family val="2"/>
      <color theme="1"/>
      <sz val="11"/>
    </font>
    <font>
      <name val="宋体"/>
      <charset val="134"/>
      <family val="3"/>
      <b val="1"/>
      <sz val="10"/>
    </font>
    <font>
      <name val="宋体"/>
      <charset val="134"/>
      <family val="3"/>
      <sz val="10"/>
    </font>
    <font>
      <name val="宋体"/>
      <charset val="134"/>
      <family val="3"/>
      <b val="1"/>
      <color rgb="FFFF0000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宋体"/>
      <charset val="134"/>
      <family val="3"/>
      <sz val="10"/>
    </font>
    <font>
      <name val="宋体"/>
      <charset val="134"/>
      <family val="3"/>
      <b val="1"/>
      <color rgb="FFFF0000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color theme="1"/>
      <sz val="10"/>
    </font>
    <font>
      <name val="微软雅黑"/>
      <charset val="134"/>
      <family val="2"/>
      <b val="1"/>
      <sz val="10"/>
    </font>
    <font>
      <name val="宋体"/>
      <charset val="134"/>
      <family val="3"/>
      <b val="1"/>
      <color theme="1"/>
      <sz val="10"/>
    </font>
    <font>
      <name val="微软雅黑"/>
      <charset val="134"/>
      <family val="2"/>
      <color theme="1"/>
      <sz val="10"/>
    </font>
    <font>
      <name val="宋体"/>
      <charset val="134"/>
      <family val="3"/>
      <sz val="10"/>
      <scheme val="minor"/>
    </font>
    <font>
      <name val="微软雅黑"/>
      <charset val="134"/>
      <family val="2"/>
      <sz val="10"/>
    </font>
    <font>
      <name val="微软雅黑"/>
      <charset val="134"/>
      <family val="2"/>
      <b val="1"/>
      <color theme="0"/>
      <sz val="12"/>
    </font>
    <font>
      <name val="微软雅黑"/>
      <charset val="134"/>
      <family val="2"/>
      <b val="1"/>
      <color theme="0"/>
      <sz val="11"/>
    </font>
    <font>
      <name val="微软雅黑"/>
      <charset val="134"/>
      <family val="2"/>
      <b val="1"/>
      <color theme="0"/>
      <sz val="11"/>
    </font>
    <font>
      <name val="微软雅黑"/>
      <charset val="134"/>
      <family val="2"/>
      <color theme="1"/>
      <sz val="12"/>
    </font>
    <font>
      <name val="微软雅黑"/>
      <charset val="134"/>
      <family val="2"/>
      <color theme="1"/>
      <sz val="12"/>
    </font>
    <font>
      <name val="微软雅黑"/>
      <charset val="134"/>
      <family val="2"/>
      <b val="1"/>
      <color theme="0"/>
      <sz val="10"/>
    </font>
    <font>
      <name val="微软雅黑"/>
      <charset val="134"/>
      <family val="2"/>
      <b val="1"/>
      <color theme="0"/>
      <sz val="14"/>
    </font>
    <font>
      <name val="微软雅黑"/>
      <charset val="134"/>
      <family val="2"/>
      <b val="1"/>
      <color theme="1"/>
      <sz val="11"/>
    </font>
    <font>
      <name val="微软雅黑"/>
      <charset val="134"/>
      <family val="2"/>
      <b val="1"/>
      <color theme="1"/>
      <sz val="16"/>
    </font>
    <font>
      <name val="微软雅黑"/>
      <charset val="134"/>
      <family val="2"/>
      <color theme="1"/>
      <sz val="16"/>
    </font>
    <font>
      <name val="微软雅黑"/>
      <charset val="134"/>
      <family val="2"/>
      <color theme="0" tint="-0.499984740745262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b val="1"/>
      <color theme="1"/>
      <sz val="9"/>
    </font>
    <font>
      <name val="微软雅黑"/>
      <charset val="134"/>
      <family val="2"/>
      <b val="1"/>
      <color theme="1"/>
      <sz val="10"/>
    </font>
    <font>
      <name val="微软雅黑"/>
      <charset val="134"/>
      <family val="2"/>
      <b val="1"/>
      <color theme="0"/>
      <sz val="10.5"/>
    </font>
    <font>
      <name val="微软雅黑"/>
      <charset val="134"/>
      <family val="2"/>
      <color theme="1"/>
      <sz val="10.5"/>
    </font>
    <font>
      <name val="微软雅黑"/>
      <charset val="134"/>
      <family val="2"/>
      <b val="1"/>
      <color theme="1"/>
      <sz val="10.5"/>
    </font>
    <font>
      <name val="微软雅黑"/>
      <charset val="134"/>
      <family val="2"/>
      <b val="1"/>
      <color theme="1"/>
      <sz val="12"/>
    </font>
    <font>
      <name val="宋体"/>
      <charset val="134"/>
      <family val="3"/>
      <sz val="11"/>
    </font>
    <font>
      <name val="微软雅黑"/>
      <charset val="134"/>
      <family val="2"/>
      <color rgb="FF7030A0"/>
      <sz val="10"/>
    </font>
    <font>
      <name val="微软雅黑"/>
      <charset val="134"/>
      <family val="2"/>
      <color theme="1"/>
      <sz val="10"/>
    </font>
    <font>
      <name val="微软雅黑"/>
      <charset val="134"/>
      <family val="2"/>
      <b val="1"/>
      <color rgb="FFFF0000"/>
      <sz val="11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  <font>
      <name val="Helv"/>
      <family val="2"/>
      <sz val="10"/>
    </font>
    <font>
      <name val="宋体"/>
      <charset val="134"/>
      <family val="3"/>
      <color theme="1"/>
      <sz val="12"/>
      <scheme val="minor"/>
    </font>
    <font>
      <name val="Times New Roman"/>
      <family val="1"/>
      <sz val="12"/>
    </font>
    <font>
      <name val="微软雅黑"/>
      <charset val="134"/>
      <family val="2"/>
      <b val="1"/>
      <color rgb="FFFF0000"/>
      <sz val="10"/>
    </font>
    <font>
      <name val="宋体"/>
      <charset val="134"/>
      <family val="3"/>
      <b val="1"/>
      <color rgb="FFFF0000"/>
      <sz val="11"/>
      <scheme val="minor"/>
    </font>
    <font>
      <name val="宋体"/>
      <charset val="134"/>
      <family val="3"/>
      <color indexed="8"/>
      <sz val="12"/>
    </font>
    <font>
      <name val="Times New Roman"/>
      <family val="1"/>
      <color indexed="8"/>
      <sz val="12"/>
    </font>
    <font>
      <name val="宋体"/>
      <charset val="134"/>
      <family val="3"/>
      <b val="1"/>
      <sz val="9"/>
    </font>
    <font>
      <name val="宋体"/>
      <charset val="134"/>
      <family val="3"/>
      <sz val="9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微软雅黑"/>
      <charset val="134"/>
      <family val="2"/>
      <color rgb="FF7030A0"/>
      <sz val="10"/>
    </font>
    <font>
      <name val="微软雅黑"/>
      <charset val="134"/>
      <family val="2"/>
      <b val="1"/>
      <color theme="1"/>
      <sz val="10"/>
    </font>
    <font>
      <name val="微软雅黑"/>
      <charset val="134"/>
      <family val="2"/>
      <color theme="1"/>
      <sz val="10"/>
    </font>
    <font>
      <name val="微软雅黑"/>
      <charset val="134"/>
      <family val="2"/>
      <color theme="1"/>
      <sz val="11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2"/>
      <b val="1"/>
      <color theme="0"/>
      <sz val="10.5"/>
    </font>
    <font>
      <name val="微软雅黑"/>
      <charset val="134"/>
      <family val="2"/>
      <color theme="1"/>
      <sz val="10.5"/>
    </font>
    <font>
      <name val="微软雅黑"/>
      <charset val="134"/>
      <family val="2"/>
      <b val="1"/>
      <color theme="0"/>
      <sz val="14"/>
    </font>
    <font>
      <name val="宋体"/>
      <charset val="134"/>
      <family val="3"/>
      <b val="1"/>
      <color theme="1"/>
      <sz val="10"/>
      <scheme val="minor"/>
    </font>
    <font>
      <name val="微软雅黑"/>
      <charset val="134"/>
      <family val="2"/>
      <color theme="1"/>
      <sz val="12"/>
    </font>
    <font>
      <name val="宋体"/>
      <charset val="134"/>
      <family val="3"/>
      <b val="1"/>
      <sz val="10"/>
    </font>
    <font>
      <b val="1"/>
    </font>
  </fonts>
  <fills count="25">
    <fill>
      <patternFill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2F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7998901333658864"/>
        <bgColor indexed="64"/>
      </patternFill>
    </fill>
    <fill>
      <patternFill patternType="solid">
        <fgColor theme="6" tint="0.7999206518753624"/>
        <bgColor indexed="64"/>
      </patternFill>
    </fill>
    <fill>
      <patternFill patternType="solid">
        <fgColor theme="4" tint="0.799920651875362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3" tint="0.7999206518753624"/>
        <bgColor indexed="64"/>
      </patternFill>
    </fill>
    <fill>
      <patternFill patternType="solid">
        <fgColor theme="5" tint="0.799951170384838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511703848384"/>
        <bgColor indexed="64"/>
      </patternFill>
    </fill>
    <fill>
      <patternFill patternType="solid">
        <fgColor theme="5" tint="0.7999206518753624"/>
        <bgColor indexed="64"/>
      </patternFill>
    </fill>
    <fill>
      <patternFill patternType="solid">
        <fgColor rgb="FFFF6743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00D3D3D3"/>
        <bgColor rgb="00D3D3D3"/>
      </patternFill>
    </fill>
  </fills>
  <borders count="6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0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0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0"/>
      </right>
      <top style="thin">
        <color auto="1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indexed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00808080"/>
      </left>
      <right style="thin">
        <color rgb="00808080"/>
      </right>
      <top style="thin">
        <color rgb="00808080"/>
      </top>
      <bottom style="thin">
        <color rgb="00808080"/>
      </bottom>
    </border>
  </borders>
  <cellStyleXfs count="18">
    <xf numFmtId="0" fontId="0" fillId="0" borderId="0" applyAlignment="1">
      <alignment vertical="center"/>
    </xf>
    <xf numFmtId="43" fontId="59" fillId="0" borderId="0" applyAlignment="1">
      <alignment vertical="center"/>
    </xf>
    <xf numFmtId="0" fontId="43" fillId="0" borderId="0"/>
    <xf numFmtId="0" fontId="43" fillId="0" borderId="0"/>
    <xf numFmtId="179" fontId="44" fillId="0" borderId="0"/>
    <xf numFmtId="9" fontId="59" fillId="0" borderId="0" applyAlignment="1">
      <alignment vertical="center"/>
    </xf>
    <xf numFmtId="180" fontId="59" fillId="0" borderId="0"/>
    <xf numFmtId="180" fontId="59" fillId="0" borderId="0"/>
    <xf numFmtId="0" fontId="43" fillId="0" borderId="0"/>
    <xf numFmtId="0" fontId="59" fillId="0" borderId="0"/>
    <xf numFmtId="0" fontId="59" fillId="0" borderId="0" applyAlignment="1">
      <alignment vertical="center"/>
    </xf>
    <xf numFmtId="0" fontId="45" fillId="0" borderId="0" applyAlignment="1">
      <alignment vertical="center"/>
    </xf>
    <xf numFmtId="0" fontId="43" fillId="0" borderId="0" applyAlignment="1">
      <alignment vertical="center"/>
    </xf>
    <xf numFmtId="0" fontId="59" fillId="0" borderId="0"/>
    <xf numFmtId="0" fontId="59" fillId="0" borderId="0" applyAlignment="1">
      <alignment vertical="center"/>
    </xf>
    <xf numFmtId="0" fontId="59" fillId="0" borderId="0" applyAlignment="1">
      <alignment vertical="center"/>
    </xf>
    <xf numFmtId="0" fontId="59" fillId="0" borderId="0" applyAlignment="1">
      <alignment vertical="center"/>
    </xf>
    <xf numFmtId="0" fontId="46" fillId="0" borderId="0"/>
  </cellStyleXfs>
  <cellXfs count="508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9" fontId="2" fillId="4" borderId="1" applyAlignment="1" pivotButton="0" quotePrefix="0" xfId="0">
      <alignment horizontal="center" vertical="center" wrapText="1"/>
    </xf>
    <xf numFmtId="10" fontId="2" fillId="3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vertical="center"/>
    </xf>
    <xf numFmtId="0" fontId="3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8" fillId="0" borderId="5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/>
    </xf>
    <xf numFmtId="0" fontId="9" fillId="0" borderId="6" applyAlignment="1" pivotButton="0" quotePrefix="0" xfId="0">
      <alignment vertical="center" wrapText="1"/>
    </xf>
    <xf numFmtId="0" fontId="6" fillId="8" borderId="6" applyAlignment="1" pivotButton="0" quotePrefix="0" xfId="3">
      <alignment horizontal="left" vertical="center" wrapText="1"/>
    </xf>
    <xf numFmtId="0" fontId="9" fillId="0" borderId="6" applyAlignment="1" pivotButton="0" quotePrefix="0" xfId="0">
      <alignment horizontal="center" vertical="center"/>
    </xf>
    <xf numFmtId="164" fontId="6" fillId="7" borderId="7" applyAlignment="1" pivotButton="0" quotePrefix="0" xfId="2">
      <alignment vertical="center" wrapText="1"/>
    </xf>
    <xf numFmtId="164" fontId="6" fillId="7" borderId="7" applyAlignment="1" pivotButton="0" quotePrefix="0" xfId="2">
      <alignment horizontal="center" vertical="center" wrapText="1"/>
    </xf>
    <xf numFmtId="0" fontId="6" fillId="8" borderId="6" applyAlignment="1" pivotButton="0" quotePrefix="0" xfId="2">
      <alignment horizontal="left" vertical="center" wrapText="1"/>
    </xf>
    <xf numFmtId="0" fontId="6" fillId="8" borderId="9" applyAlignment="1" pivotButton="0" quotePrefix="0" xfId="2">
      <alignment horizontal="left" vertical="center" wrapText="1"/>
    </xf>
    <xf numFmtId="0" fontId="9" fillId="0" borderId="9" applyAlignment="1" pivotButton="0" quotePrefix="0" xfId="0">
      <alignment horizontal="center" vertical="center"/>
    </xf>
    <xf numFmtId="165" fontId="5" fillId="9" borderId="12" applyAlignment="1" pivotButton="0" quotePrefix="0" xfId="0">
      <alignment horizontal="center" vertical="center"/>
    </xf>
    <xf numFmtId="165" fontId="5" fillId="9" borderId="12" applyAlignment="1" pivotButton="0" quotePrefix="0" xfId="0">
      <alignment horizontal="center" vertical="center" wrapText="1"/>
    </xf>
    <xf numFmtId="164" fontId="6" fillId="9" borderId="11" applyAlignment="1" pivotButton="0" quotePrefix="0" xfId="2">
      <alignment horizontal="center" vertical="center" wrapText="1"/>
    </xf>
    <xf numFmtId="0" fontId="9" fillId="9" borderId="13" applyAlignment="1" pivotButton="0" quotePrefix="0" xfId="0">
      <alignment vertical="center" wrapText="1"/>
    </xf>
    <xf numFmtId="0" fontId="6" fillId="9" borderId="9" applyAlignment="1" pivotButton="0" quotePrefix="0" xfId="2">
      <alignment horizontal="left" vertical="center" wrapText="1"/>
    </xf>
    <xf numFmtId="165" fontId="5" fillId="9" borderId="6" applyAlignment="1" pivotButton="0" quotePrefix="0" xfId="0">
      <alignment horizontal="left" vertical="center" wrapText="1"/>
    </xf>
    <xf numFmtId="165" fontId="5" fillId="6" borderId="6" applyAlignment="1" pivotButton="0" quotePrefix="0" xfId="0">
      <alignment horizontal="center" vertical="center"/>
    </xf>
    <xf numFmtId="165" fontId="5" fillId="6" borderId="6" applyAlignment="1" pivotButton="0" quotePrefix="0" xfId="0">
      <alignment horizontal="left" vertical="center" wrapText="1"/>
    </xf>
    <xf numFmtId="0" fontId="9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vertical="center"/>
    </xf>
    <xf numFmtId="0" fontId="9" fillId="0" borderId="16" applyAlignment="1" pivotButton="0" quotePrefix="0" xfId="0">
      <alignment horizontal="center" vertical="center"/>
    </xf>
    <xf numFmtId="0" fontId="7" fillId="0" borderId="0" applyAlignment="1" pivotButton="0" quotePrefix="0" xfId="2">
      <alignment vertical="center"/>
    </xf>
    <xf numFmtId="0" fontId="9" fillId="0" borderId="6" applyAlignment="1" pivotButton="0" quotePrefix="0" xfId="0">
      <alignment vertical="center"/>
    </xf>
    <xf numFmtId="164" fontId="6" fillId="7" borderId="9" applyAlignment="1" pivotButton="0" quotePrefix="0" xfId="2">
      <alignment horizontal="center" vertical="center" wrapText="1"/>
    </xf>
    <xf numFmtId="0" fontId="9" fillId="0" borderId="7" applyAlignment="1" pivotButton="0" quotePrefix="0" xfId="0">
      <alignment horizontal="left" vertical="center" wrapText="1"/>
    </xf>
    <xf numFmtId="164" fontId="6" fillId="0" borderId="10" applyAlignment="1" pivotButton="0" quotePrefix="0" xfId="2">
      <alignment horizontal="center" vertical="center" wrapText="1"/>
    </xf>
    <xf numFmtId="164" fontId="6" fillId="0" borderId="6" applyAlignment="1" pivotButton="0" quotePrefix="0" xfId="2">
      <alignment horizontal="center" vertical="center" wrapText="1"/>
    </xf>
    <xf numFmtId="0" fontId="9" fillId="0" borderId="4" applyAlignment="1" pivotButton="0" quotePrefix="0" xfId="0">
      <alignment horizontal="left" vertical="center" wrapText="1"/>
    </xf>
    <xf numFmtId="164" fontId="6" fillId="9" borderId="9" applyAlignment="1" pivotButton="0" quotePrefix="0" xfId="2">
      <alignment horizontal="center" vertical="center" wrapText="1"/>
    </xf>
    <xf numFmtId="0" fontId="9" fillId="9" borderId="4" applyAlignment="1" pivotButton="0" quotePrefix="0" xfId="0">
      <alignment horizontal="left" vertical="center" wrapText="1"/>
    </xf>
    <xf numFmtId="165" fontId="5" fillId="5" borderId="16" applyAlignment="1" pivotButton="0" quotePrefix="0" xfId="0">
      <alignment horizontal="center" vertical="center"/>
    </xf>
    <xf numFmtId="165" fontId="5" fillId="5" borderId="6" applyAlignment="1" pivotButton="0" quotePrefix="0" xfId="0">
      <alignment horizontal="left" vertical="center" wrapText="1"/>
    </xf>
    <xf numFmtId="0" fontId="6" fillId="0" borderId="16" applyAlignment="1" pivotButton="0" quotePrefix="0" xfId="0">
      <alignment vertical="center"/>
    </xf>
    <xf numFmtId="0" fontId="9" fillId="0" borderId="2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 wrapText="1"/>
    </xf>
    <xf numFmtId="0" fontId="6" fillId="10" borderId="6" applyAlignment="1" pivotButton="0" quotePrefix="0" xfId="2">
      <alignment horizontal="justify" vertical="center" wrapText="1"/>
    </xf>
    <xf numFmtId="165" fontId="6" fillId="10" borderId="6" applyAlignment="1" pivotButton="0" quotePrefix="0" xfId="2">
      <alignment horizontal="center" vertical="center" wrapText="1"/>
    </xf>
    <xf numFmtId="0" fontId="6" fillId="0" borderId="6" applyAlignment="1" pivotButton="0" quotePrefix="0" xfId="2">
      <alignment horizontal="center" vertical="center" wrapText="1"/>
    </xf>
    <xf numFmtId="0" fontId="10" fillId="7" borderId="6" applyAlignment="1" pivotButton="0" quotePrefix="0" xfId="0">
      <alignment horizontal="left" vertical="center" wrapText="1"/>
    </xf>
    <xf numFmtId="0" fontId="10" fillId="0" borderId="6" applyAlignment="1" pivotButton="0" quotePrefix="0" xfId="0">
      <alignment horizontal="left" vertical="center" wrapText="1"/>
    </xf>
    <xf numFmtId="0" fontId="8" fillId="0" borderId="7" applyAlignment="1" pivotButton="0" quotePrefix="0" xfId="0">
      <alignment vertical="center"/>
    </xf>
    <xf numFmtId="0" fontId="8" fillId="0" borderId="6" applyAlignment="1" pivotButton="0" quotePrefix="0" xfId="0">
      <alignment vertical="center"/>
    </xf>
    <xf numFmtId="166" fontId="6" fillId="7" borderId="6" applyAlignment="1" applyProtection="1" pivotButton="0" quotePrefix="0" xfId="1">
      <alignment horizontal="right" vertical="center" wrapText="1"/>
      <protection locked="0" hidden="0"/>
    </xf>
    <xf numFmtId="0" fontId="9" fillId="9" borderId="6" applyAlignment="1" pivotButton="0" quotePrefix="0" xfId="0">
      <alignment horizontal="center" vertical="center"/>
    </xf>
    <xf numFmtId="166" fontId="6" fillId="7" borderId="6" applyAlignment="1" applyProtection="1" pivotButton="0" quotePrefix="0" xfId="1">
      <alignment horizontal="center" vertical="center" wrapText="1"/>
      <protection locked="0" hidden="0"/>
    </xf>
    <xf numFmtId="166" fontId="6" fillId="7" borderId="9" applyAlignment="1" applyProtection="1" pivotButton="0" quotePrefix="0" xfId="1">
      <alignment horizontal="center" vertical="center" wrapText="1"/>
      <protection locked="0" hidden="0"/>
    </xf>
    <xf numFmtId="166" fontId="6" fillId="7" borderId="9" applyAlignment="1" applyProtection="1" pivotButton="0" quotePrefix="0" xfId="1">
      <alignment horizontal="right" vertical="center" wrapText="1"/>
      <protection locked="0" hidden="0"/>
    </xf>
    <xf numFmtId="0" fontId="9" fillId="0" borderId="23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8" fillId="0" borderId="16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/>
    </xf>
    <xf numFmtId="0" fontId="9" fillId="0" borderId="24" applyAlignment="1" pivotButton="0" quotePrefix="0" xfId="0">
      <alignment horizontal="center" vertical="center"/>
    </xf>
    <xf numFmtId="0" fontId="9" fillId="0" borderId="25" applyAlignment="1" pivotButton="0" quotePrefix="0" xfId="0">
      <alignment horizontal="center" vertical="center"/>
    </xf>
    <xf numFmtId="0" fontId="9" fillId="0" borderId="26" applyAlignment="1" pivotButton="0" quotePrefix="0" xfId="0">
      <alignment horizontal="center" vertical="center"/>
    </xf>
    <xf numFmtId="0" fontId="8" fillId="0" borderId="25" applyAlignment="1" pivotButton="0" quotePrefix="0" xfId="0">
      <alignment horizontal="center" vertical="center"/>
    </xf>
    <xf numFmtId="0" fontId="8" fillId="9" borderId="9" applyAlignment="1" pivotButton="0" quotePrefix="0" xfId="0">
      <alignment horizontal="center" vertical="center"/>
    </xf>
    <xf numFmtId="165" fontId="5" fillId="6" borderId="16" applyAlignment="1" pivotButton="0" quotePrefix="0" xfId="0">
      <alignment horizontal="center" vertical="center" wrapText="1"/>
    </xf>
    <xf numFmtId="0" fontId="13" fillId="6" borderId="9" applyAlignment="1" pivotButton="0" quotePrefix="0" xfId="17">
      <alignment horizontal="center" vertical="center" wrapText="1"/>
    </xf>
    <xf numFmtId="0" fontId="13" fillId="6" borderId="6" applyAlignment="1" pivotButton="0" quotePrefix="0" xfId="17">
      <alignment horizontal="center" vertical="center" wrapText="1"/>
    </xf>
    <xf numFmtId="0" fontId="5" fillId="6" borderId="27" applyAlignment="1" pivotButton="0" quotePrefix="0" xfId="0">
      <alignment vertical="center"/>
    </xf>
    <xf numFmtId="167" fontId="12" fillId="6" borderId="6" applyAlignment="1" pivotButton="0" quotePrefix="0" xfId="17">
      <alignment horizontal="center" vertical="center" wrapText="1"/>
    </xf>
    <xf numFmtId="167" fontId="13" fillId="0" borderId="6" applyAlignment="1" pivotButton="0" quotePrefix="0" xfId="17">
      <alignment horizontal="center" vertical="center" wrapText="1"/>
    </xf>
    <xf numFmtId="167" fontId="13" fillId="0" borderId="2" applyAlignment="1" pivotButton="0" quotePrefix="0" xfId="17">
      <alignment vertical="center" wrapText="1"/>
    </xf>
    <xf numFmtId="0" fontId="14" fillId="0" borderId="6" applyAlignment="1" pivotButton="0" quotePrefix="0" xfId="13">
      <alignment horizontal="left" vertical="center" wrapText="1"/>
    </xf>
    <xf numFmtId="165" fontId="6" fillId="0" borderId="6" applyAlignment="1" pivotButton="0" quotePrefix="0" xfId="2">
      <alignment horizontal="center" vertical="center" wrapText="1"/>
    </xf>
    <xf numFmtId="0" fontId="5" fillId="6" borderId="28" applyAlignment="1" pivotButton="0" quotePrefix="0" xfId="0">
      <alignment vertical="center"/>
    </xf>
    <xf numFmtId="167" fontId="12" fillId="6" borderId="9" applyAlignment="1" pivotButton="0" quotePrefix="0" xfId="17">
      <alignment horizontal="center" vertical="center" wrapText="1"/>
    </xf>
    <xf numFmtId="167" fontId="13" fillId="0" borderId="9" applyAlignment="1" pivotButton="0" quotePrefix="0" xfId="17">
      <alignment horizontal="center" vertical="center" wrapText="1"/>
    </xf>
    <xf numFmtId="167" fontId="13" fillId="0" borderId="29" applyAlignment="1" pivotButton="0" quotePrefix="0" xfId="17">
      <alignment vertical="center" wrapText="1"/>
    </xf>
    <xf numFmtId="0" fontId="14" fillId="0" borderId="6" applyAlignment="1" pivotButton="0" quotePrefix="0" xfId="13">
      <alignment vertical="center" wrapText="1"/>
    </xf>
    <xf numFmtId="165" fontId="5" fillId="9" borderId="6" applyAlignment="1" pivotButton="0" quotePrefix="0" xfId="0">
      <alignment horizontal="center" vertical="center"/>
    </xf>
    <xf numFmtId="0" fontId="8" fillId="9" borderId="6" applyAlignment="1" pivotButton="0" quotePrefix="0" xfId="0">
      <alignment horizontal="center" vertical="center"/>
    </xf>
    <xf numFmtId="165" fontId="5" fillId="6" borderId="6" applyAlignment="1" pivotButton="0" quotePrefix="0" xfId="0">
      <alignment horizontal="center" vertical="center" wrapText="1"/>
    </xf>
    <xf numFmtId="0" fontId="13" fillId="6" borderId="10" applyAlignment="1" pivotButton="0" quotePrefix="0" xfId="17">
      <alignment horizontal="center" vertical="center" wrapText="1"/>
    </xf>
    <xf numFmtId="0" fontId="13" fillId="6" borderId="12" applyAlignment="1" pivotButton="0" quotePrefix="0" xfId="17">
      <alignment horizontal="center" vertical="center" wrapText="1"/>
    </xf>
    <xf numFmtId="0" fontId="5" fillId="6" borderId="12" applyAlignment="1" pivotButton="0" quotePrefix="0" xfId="0">
      <alignment vertical="center"/>
    </xf>
    <xf numFmtId="167" fontId="12" fillId="6" borderId="12" applyAlignment="1" pivotButton="0" quotePrefix="0" xfId="17">
      <alignment horizontal="center" vertical="center" wrapText="1"/>
    </xf>
    <xf numFmtId="167" fontId="13" fillId="0" borderId="12" applyAlignment="1" pivotButton="0" quotePrefix="0" xfId="17">
      <alignment horizontal="center" vertical="center" wrapText="1"/>
    </xf>
    <xf numFmtId="167" fontId="13" fillId="0" borderId="12" applyAlignment="1" pivotButton="0" quotePrefix="0" xfId="17">
      <alignment vertical="center" wrapText="1"/>
    </xf>
    <xf numFmtId="0" fontId="15" fillId="0" borderId="16" applyAlignment="1" pivotButton="0" quotePrefix="0" xfId="0">
      <alignment horizontal="center" vertical="center" wrapText="1"/>
    </xf>
    <xf numFmtId="0" fontId="13" fillId="0" borderId="16" applyAlignment="1" pivotButton="0" quotePrefix="0" xfId="0">
      <alignment horizontal="center" vertical="center"/>
    </xf>
    <xf numFmtId="0" fontId="6" fillId="0" borderId="6" applyAlignment="1" pivotButton="0" quotePrefix="0" xfId="0">
      <alignment vertical="center"/>
    </xf>
    <xf numFmtId="0" fontId="12" fillId="0" borderId="6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/>
    </xf>
    <xf numFmtId="0" fontId="5" fillId="6" borderId="6" applyAlignment="1" pivotButton="0" quotePrefix="0" xfId="6">
      <alignment horizontal="center" vertical="center" wrapText="1"/>
    </xf>
    <xf numFmtId="0" fontId="5" fillId="6" borderId="6" applyAlignment="1" pivotButton="0" quotePrefix="0" xfId="0">
      <alignment vertical="center" wrapText="1"/>
    </xf>
    <xf numFmtId="49" fontId="5" fillId="6" borderId="6" applyAlignment="1" pivotButton="0" quotePrefix="0" xfId="6">
      <alignment horizontal="center" vertical="center" wrapText="1"/>
    </xf>
    <xf numFmtId="165" fontId="7" fillId="6" borderId="6" applyAlignment="1" pivotButton="0" quotePrefix="0" xfId="6">
      <alignment horizontal="center" vertical="center" wrapText="1"/>
    </xf>
    <xf numFmtId="168" fontId="16" fillId="10" borderId="6" applyAlignment="1" pivotButton="0" quotePrefix="0" xfId="6">
      <alignment horizontal="center" vertical="center" wrapText="1"/>
    </xf>
    <xf numFmtId="0" fontId="7" fillId="6" borderId="6" applyAlignment="1" pivotButton="0" quotePrefix="0" xfId="6">
      <alignment horizontal="center" vertical="center" wrapText="1"/>
    </xf>
    <xf numFmtId="0" fontId="12" fillId="0" borderId="6" applyAlignment="1" pivotButton="0" quotePrefix="0" xfId="0">
      <alignment horizontal="center" vertical="center" wrapText="1"/>
    </xf>
    <xf numFmtId="0" fontId="12" fillId="6" borderId="6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 wrapText="1"/>
    </xf>
    <xf numFmtId="0" fontId="12" fillId="6" borderId="9" applyAlignment="1" pivotButton="0" quotePrefix="0" xfId="0">
      <alignment horizontal="center" vertical="center"/>
    </xf>
    <xf numFmtId="0" fontId="17" fillId="7" borderId="6" applyAlignment="1" pivotButton="0" quotePrefix="0" xfId="8">
      <alignment horizontal="center" vertical="center" wrapText="1"/>
    </xf>
    <xf numFmtId="0" fontId="17" fillId="12" borderId="6" applyAlignment="1" pivotButton="0" quotePrefix="0" xfId="0">
      <alignment horizontal="center" vertical="center"/>
    </xf>
    <xf numFmtId="49" fontId="18" fillId="10" borderId="6" applyAlignment="1" pivotButton="0" quotePrefix="0" xfId="12">
      <alignment horizontal="center" vertical="center" wrapText="1"/>
    </xf>
    <xf numFmtId="0" fontId="19" fillId="7" borderId="6" applyAlignment="1" pivotButton="0" quotePrefix="0" xfId="8">
      <alignment horizontal="center" vertical="center" wrapText="1"/>
    </xf>
    <xf numFmtId="0" fontId="19" fillId="12" borderId="6" applyAlignment="1" pivotButton="0" quotePrefix="0" xfId="8">
      <alignment horizontal="center" vertical="center" wrapText="1"/>
    </xf>
    <xf numFmtId="169" fontId="18" fillId="10" borderId="6" applyAlignment="1" pivotButton="0" quotePrefix="0" xfId="12">
      <alignment horizontal="center" vertical="center" wrapText="1"/>
    </xf>
    <xf numFmtId="0" fontId="6" fillId="10" borderId="6" applyAlignment="1" applyProtection="1" pivotButton="0" quotePrefix="0" xfId="3">
      <alignment horizontal="center" vertical="center" wrapText="1"/>
      <protection locked="0" hidden="0"/>
    </xf>
    <xf numFmtId="0" fontId="5" fillId="7" borderId="16" applyAlignment="1" applyProtection="1" pivotButton="0" quotePrefix="0" xfId="3">
      <alignment horizontal="center" vertical="center" wrapText="1"/>
      <protection locked="0" hidden="0"/>
    </xf>
    <xf numFmtId="165" fontId="16" fillId="9" borderId="9" applyAlignment="1" pivotButton="0" quotePrefix="0" xfId="6">
      <alignment horizontal="center" vertical="center" wrapText="1"/>
    </xf>
    <xf numFmtId="0" fontId="6" fillId="9" borderId="0" applyAlignment="1" pivotButton="0" quotePrefix="0" xfId="0">
      <alignment vertical="center"/>
    </xf>
    <xf numFmtId="0" fontId="17" fillId="9" borderId="6" applyAlignment="1" pivotButton="0" quotePrefix="0" xfId="0">
      <alignment horizontal="center" vertical="center"/>
    </xf>
    <xf numFmtId="167" fontId="5" fillId="7" borderId="9" applyAlignment="1" applyProtection="1" pivotButton="0" quotePrefix="0" xfId="3">
      <alignment horizontal="center" vertical="center" wrapText="1"/>
      <protection locked="0" hidden="0"/>
    </xf>
    <xf numFmtId="0" fontId="18" fillId="13" borderId="19" applyAlignment="1" pivotButton="0" quotePrefix="0" xfId="0">
      <alignment horizontal="center" vertical="center" wrapText="1"/>
    </xf>
    <xf numFmtId="170" fontId="18" fillId="0" borderId="6" applyAlignment="1" pivotButton="0" quotePrefix="0" xfId="12">
      <alignment horizontal="center" vertical="center" wrapText="1"/>
    </xf>
    <xf numFmtId="0" fontId="6" fillId="9" borderId="6" applyAlignment="1" pivotButton="0" quotePrefix="0" xfId="0">
      <alignment vertical="center"/>
    </xf>
    <xf numFmtId="170" fontId="18" fillId="0" borderId="30" applyAlignment="1" pivotButton="0" quotePrefix="0" xfId="12">
      <alignment horizontal="center" vertical="center" wrapText="1"/>
    </xf>
    <xf numFmtId="0" fontId="17" fillId="7" borderId="6" applyAlignment="1" pivotButton="0" quotePrefix="0" xfId="6">
      <alignment horizontal="center" vertical="center" wrapText="1"/>
    </xf>
    <xf numFmtId="0" fontId="19" fillId="7" borderId="6" applyAlignment="1" pivotButton="0" quotePrefix="0" xfId="6">
      <alignment horizontal="center" vertical="center" wrapText="1"/>
    </xf>
    <xf numFmtId="0" fontId="19" fillId="12" borderId="6" applyAlignment="1" pivotButton="0" quotePrefix="0" xfId="6">
      <alignment horizontal="center" vertical="center"/>
    </xf>
    <xf numFmtId="0" fontId="6" fillId="0" borderId="25" applyAlignment="1" pivotButton="0" quotePrefix="0" xfId="0">
      <alignment vertical="center"/>
    </xf>
    <xf numFmtId="0" fontId="6" fillId="0" borderId="31" applyAlignment="1" pivotButton="0" quotePrefix="0" xfId="0">
      <alignment vertical="center"/>
    </xf>
    <xf numFmtId="3" fontId="17" fillId="7" borderId="6" applyAlignment="1" pivotButton="0" quotePrefix="0" xfId="8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0" fillId="14" borderId="32" applyAlignment="1" pivotButton="0" quotePrefix="0" xfId="0">
      <alignment vertical="center"/>
    </xf>
    <xf numFmtId="0" fontId="20" fillId="14" borderId="33" applyAlignment="1" pivotButton="0" quotePrefix="0" xfId="0">
      <alignment horizontal="center" vertical="center"/>
    </xf>
    <xf numFmtId="0" fontId="20" fillId="14" borderId="34" applyAlignment="1" pivotButton="0" quotePrefix="0" xfId="0">
      <alignment horizontal="center" vertical="center"/>
    </xf>
    <xf numFmtId="0" fontId="21" fillId="14" borderId="35" applyAlignment="1" pivotButton="0" quotePrefix="0" xfId="0">
      <alignment horizontal="center" vertical="center"/>
    </xf>
    <xf numFmtId="0" fontId="22" fillId="14" borderId="35" applyAlignment="1" pivotButton="0" quotePrefix="0" xfId="0">
      <alignment horizontal="center" vertical="center"/>
    </xf>
    <xf numFmtId="0" fontId="23" fillId="0" borderId="6" applyAlignment="1" pivotButton="0" quotePrefix="0" xfId="0">
      <alignment vertical="center"/>
    </xf>
    <xf numFmtId="0" fontId="23" fillId="0" borderId="6" applyAlignment="1" pivotButton="0" quotePrefix="0" xfId="0">
      <alignment vertical="center" wrapText="1"/>
    </xf>
    <xf numFmtId="0" fontId="4" fillId="0" borderId="6" applyAlignment="1" pivotButton="0" quotePrefix="0" xfId="0">
      <alignment vertical="center" wrapText="1"/>
    </xf>
    <xf numFmtId="0" fontId="4" fillId="0" borderId="6" applyAlignment="1" pivotButton="0" quotePrefix="0" xfId="0">
      <alignment horizontal="left" vertical="center" wrapText="1"/>
    </xf>
    <xf numFmtId="0" fontId="24" fillId="0" borderId="6" applyAlignment="1" pivotButton="0" quotePrefix="0" xfId="0">
      <alignment vertical="center"/>
    </xf>
    <xf numFmtId="0" fontId="23" fillId="0" borderId="6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25" fillId="14" borderId="6" applyAlignment="1" pivotButton="0" quotePrefix="0" xfId="0">
      <alignment horizontal="center" vertical="center"/>
    </xf>
    <xf numFmtId="0" fontId="25" fillId="14" borderId="6" applyAlignment="1" pivotButton="0" quotePrefix="0" xfId="0">
      <alignment horizontal="center" vertical="center" wrapText="1"/>
    </xf>
    <xf numFmtId="0" fontId="17" fillId="0" borderId="6" applyAlignment="1" pivotButton="0" quotePrefix="0" xfId="0">
      <alignment horizontal="center" vertical="center"/>
    </xf>
    <xf numFmtId="0" fontId="17" fillId="0" borderId="6" applyAlignment="1" pivotButton="0" quotePrefix="0" xfId="0">
      <alignment horizontal="left" vertical="center" wrapText="1"/>
    </xf>
    <xf numFmtId="0" fontId="17" fillId="0" borderId="6" applyAlignment="1" pivotButton="0" quotePrefix="0" xfId="0">
      <alignment horizontal="center" vertical="center" wrapText="1"/>
    </xf>
    <xf numFmtId="0" fontId="17" fillId="0" borderId="6" applyAlignment="1" pivotButton="0" quotePrefix="0" xfId="0">
      <alignment horizontal="center" vertical="center"/>
    </xf>
    <xf numFmtId="0" fontId="17" fillId="0" borderId="6" applyAlignment="1" pivotButton="0" quotePrefix="0" xfId="0">
      <alignment horizontal="left" vertical="center"/>
    </xf>
    <xf numFmtId="165" fontId="26" fillId="14" borderId="32" applyAlignment="1" pivotButton="0" quotePrefix="0" xfId="0">
      <alignment horizontal="center" vertical="center"/>
    </xf>
    <xf numFmtId="165" fontId="15" fillId="0" borderId="36" applyAlignment="1" pivotButton="0" quotePrefix="0" xfId="0">
      <alignment horizontal="center" vertical="center" wrapText="1"/>
    </xf>
    <xf numFmtId="165" fontId="15" fillId="0" borderId="6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right" vertical="center"/>
    </xf>
    <xf numFmtId="0" fontId="28" fillId="0" borderId="0" applyAlignment="1" pivotButton="0" quotePrefix="0" xfId="0">
      <alignment horizontal="center" vertical="center" textRotation="90"/>
    </xf>
    <xf numFmtId="0" fontId="29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right" vertical="center" textRotation="90"/>
    </xf>
    <xf numFmtId="0" fontId="4" fillId="0" borderId="0" applyAlignment="1" pivotButton="0" quotePrefix="0" xfId="0">
      <alignment horizontal="left" vertical="center"/>
    </xf>
    <xf numFmtId="0" fontId="30" fillId="0" borderId="0" applyAlignment="1" pivotButton="0" quotePrefix="0" xfId="0">
      <alignment horizontal="center" vertical="center"/>
    </xf>
    <xf numFmtId="171" fontId="27" fillId="15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right" vertical="center"/>
    </xf>
    <xf numFmtId="172" fontId="27" fillId="15" borderId="0" applyAlignment="1" pivotButton="0" quotePrefix="0" xfId="0">
      <alignment horizontal="center" vertical="center"/>
    </xf>
    <xf numFmtId="173" fontId="4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center" vertical="center"/>
    </xf>
    <xf numFmtId="0" fontId="4" fillId="0" borderId="0" applyAlignment="1" applyProtection="1" pivotButton="0" quotePrefix="0" xfId="0">
      <alignment vertical="center"/>
      <protection locked="0" hidden="0"/>
    </xf>
    <xf numFmtId="174" fontId="33" fillId="0" borderId="0" applyAlignment="1" pivotButton="0" quotePrefix="0" xfId="0">
      <alignment horizontal="right" vertical="center"/>
    </xf>
    <xf numFmtId="172" fontId="33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171" fontId="4" fillId="0" borderId="0" applyAlignment="1" pivotButton="0" quotePrefix="0" xfId="0">
      <alignment horizontal="center" vertical="center"/>
    </xf>
    <xf numFmtId="172" fontId="27" fillId="0" borderId="0" applyAlignment="1" pivotButton="0" quotePrefix="0" xfId="0">
      <alignment horizontal="center" vertical="center"/>
    </xf>
    <xf numFmtId="173" fontId="4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34" fillId="14" borderId="32" applyAlignment="1" pivotButton="0" quotePrefix="0" xfId="0">
      <alignment horizontal="center" vertical="center" wrapText="1"/>
    </xf>
    <xf numFmtId="0" fontId="34" fillId="14" borderId="34" applyAlignment="1" pivotButton="0" quotePrefix="0" xfId="0">
      <alignment horizontal="center" vertical="center" wrapText="1"/>
    </xf>
    <xf numFmtId="0" fontId="34" fillId="14" borderId="35" applyAlignment="1" pivotButton="0" quotePrefix="0" xfId="0">
      <alignment horizontal="center" vertical="center" wrapText="1"/>
    </xf>
    <xf numFmtId="0" fontId="35" fillId="0" borderId="6" applyAlignment="1" pivotButton="0" quotePrefix="0" xfId="0">
      <alignment horizontal="center" vertical="center" wrapText="1"/>
    </xf>
    <xf numFmtId="9" fontId="35" fillId="0" borderId="6" applyAlignment="1" pivotButton="0" quotePrefix="0" xfId="0">
      <alignment horizontal="center" vertical="center" wrapText="1"/>
    </xf>
    <xf numFmtId="170" fontId="35" fillId="0" borderId="6" applyAlignment="1" pivotButton="0" quotePrefix="0" xfId="0">
      <alignment horizontal="center" vertical="center" wrapText="1"/>
    </xf>
    <xf numFmtId="0" fontId="35" fillId="0" borderId="5" applyAlignment="1" pivotButton="0" quotePrefix="0" xfId="0">
      <alignment horizontal="center" vertical="center" wrapText="1"/>
    </xf>
    <xf numFmtId="175" fontId="35" fillId="0" borderId="6" applyAlignment="1" pivotButton="0" quotePrefix="0" xfId="0">
      <alignment horizontal="center" vertical="center" wrapText="1"/>
    </xf>
    <xf numFmtId="0" fontId="36" fillId="0" borderId="38" applyAlignment="1" pivotButton="0" quotePrefix="0" xfId="0">
      <alignment horizontal="center" vertical="center" wrapText="1"/>
    </xf>
    <xf numFmtId="0" fontId="36" fillId="0" borderId="39" applyAlignment="1" pivotButton="0" quotePrefix="0" xfId="0">
      <alignment horizontal="center" vertical="center" wrapText="1"/>
    </xf>
    <xf numFmtId="0" fontId="35" fillId="0" borderId="39" applyAlignment="1" pivotButton="0" quotePrefix="0" xfId="0">
      <alignment horizontal="center" vertical="center" wrapText="1"/>
    </xf>
    <xf numFmtId="170" fontId="36" fillId="0" borderId="39" applyAlignment="1" pivotButton="0" quotePrefix="0" xfId="0">
      <alignment horizontal="center" vertical="center" wrapText="1"/>
    </xf>
    <xf numFmtId="170" fontId="36" fillId="0" borderId="41" applyAlignment="1" pivotButton="0" quotePrefix="0" xfId="0">
      <alignment horizontal="center" vertical="center" wrapText="1"/>
    </xf>
    <xf numFmtId="170" fontId="0" fillId="0" borderId="0" pivotButton="0" quotePrefix="0" xfId="0"/>
    <xf numFmtId="9" fontId="0" fillId="0" borderId="0" pivotButton="0" quotePrefix="0" xfId="0"/>
    <xf numFmtId="175" fontId="0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0" applyAlignment="1" pivotButton="0" quotePrefix="0" xfId="0">
      <alignment horizontal="left" wrapText="1"/>
    </xf>
    <xf numFmtId="0" fontId="6" fillId="0" borderId="0" applyAlignment="1" pivotButton="0" quotePrefix="0" xfId="0">
      <alignment horizontal="center" vertical="center"/>
    </xf>
    <xf numFmtId="0" fontId="21" fillId="14" borderId="32" applyAlignment="1" pivotButton="0" quotePrefix="0" xfId="0">
      <alignment horizontal="center" vertical="center"/>
    </xf>
    <xf numFmtId="0" fontId="22" fillId="14" borderId="32" applyAlignment="1" pivotButton="0" quotePrefix="0" xfId="0">
      <alignment horizontal="center" vertical="center"/>
    </xf>
    <xf numFmtId="0" fontId="23" fillId="0" borderId="36" applyAlignment="1" pivotButton="0" quotePrefix="0" xfId="0">
      <alignment horizontal="center" vertical="center"/>
    </xf>
    <xf numFmtId="0" fontId="37" fillId="16" borderId="38" applyAlignment="1" pivotButton="0" quotePrefix="0" xfId="0">
      <alignment horizontal="center" vertical="center"/>
    </xf>
    <xf numFmtId="0" fontId="23" fillId="0" borderId="37" applyAlignment="1" pivotButton="0" quotePrefix="0" xfId="0">
      <alignment horizontal="center" vertical="center"/>
    </xf>
    <xf numFmtId="0" fontId="24" fillId="0" borderId="36" applyAlignment="1" pivotButton="0" quotePrefix="0" xfId="0">
      <alignment horizontal="center" vertical="center"/>
    </xf>
    <xf numFmtId="0" fontId="37" fillId="16" borderId="4" applyAlignment="1" pivotButton="0" quotePrefix="0" xfId="0">
      <alignment horizontal="center" vertical="center"/>
    </xf>
    <xf numFmtId="0" fontId="23" fillId="0" borderId="36" applyAlignment="1" pivotButton="0" quotePrefix="0" xfId="0">
      <alignment horizontal="center" vertical="center" wrapText="1"/>
    </xf>
    <xf numFmtId="2" fontId="23" fillId="0" borderId="36" applyAlignment="1" pivotButton="0" quotePrefix="0" xfId="0">
      <alignment horizontal="center" vertical="center" wrapText="1"/>
    </xf>
    <xf numFmtId="2" fontId="37" fillId="16" borderId="38" applyAlignment="1" pivotButton="0" quotePrefix="0" xfId="0">
      <alignment horizontal="center" vertical="center"/>
    </xf>
    <xf numFmtId="0" fontId="37" fillId="16" borderId="37" applyAlignment="1" pivotButton="0" quotePrefix="0" xfId="0">
      <alignment horizontal="center" vertical="center"/>
    </xf>
    <xf numFmtId="0" fontId="23" fillId="0" borderId="36" applyAlignment="1" pivotButton="0" quotePrefix="0" xfId="0">
      <alignment horizontal="left" vertical="center"/>
    </xf>
    <xf numFmtId="0" fontId="37" fillId="0" borderId="38" applyAlignment="1" pivotButton="0" quotePrefix="0" xfId="0">
      <alignment horizontal="center" vertical="center"/>
    </xf>
    <xf numFmtId="0" fontId="23" fillId="0" borderId="36" applyAlignment="1" pivotButton="0" quotePrefix="0" xfId="0">
      <alignment vertical="center"/>
    </xf>
    <xf numFmtId="0" fontId="23" fillId="0" borderId="36" applyAlignment="1" pivotButton="0" quotePrefix="0" xfId="0">
      <alignment vertical="center" wrapText="1"/>
    </xf>
    <xf numFmtId="0" fontId="38" fillId="0" borderId="6" applyAlignment="1" pivotButton="0" quotePrefix="0" xfId="0">
      <alignment horizontal="center" vertical="center"/>
    </xf>
    <xf numFmtId="0" fontId="23" fillId="0" borderId="36" applyAlignment="1" pivotButton="0" quotePrefix="0" xfId="0">
      <alignment horizontal="left" vertical="center" wrapText="1"/>
    </xf>
    <xf numFmtId="0" fontId="24" fillId="0" borderId="36" applyAlignment="1" pivotButton="0" quotePrefix="0" xfId="0">
      <alignment horizontal="left" vertical="center" wrapText="1"/>
    </xf>
    <xf numFmtId="2" fontId="37" fillId="16" borderId="37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33" fillId="0" borderId="6" applyAlignment="1" pivotButton="0" quotePrefix="0" xfId="0">
      <alignment vertical="center" wrapText="1"/>
    </xf>
    <xf numFmtId="0" fontId="17" fillId="17" borderId="6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pivotButton="0" quotePrefix="0" xfId="0">
      <alignment horizontal="left" vertical="center" wrapText="1"/>
    </xf>
    <xf numFmtId="0" fontId="4" fillId="6" borderId="6" applyAlignment="1" pivotButton="0" quotePrefix="0" xfId="0">
      <alignment vertical="center" wrapText="1"/>
    </xf>
    <xf numFmtId="176" fontId="39" fillId="18" borderId="6" applyAlignment="1" applyProtection="1" pivotButton="0" quotePrefix="0" xfId="0">
      <alignment horizontal="left" vertical="center" wrapText="1"/>
      <protection locked="1" hidden="1"/>
    </xf>
    <xf numFmtId="0" fontId="17" fillId="17" borderId="6" applyAlignment="1" applyProtection="1" pivotButton="0" quotePrefix="0" xfId="0">
      <alignment horizontal="center" vertical="center"/>
      <protection locked="0" hidden="0"/>
    </xf>
    <xf numFmtId="177" fontId="17" fillId="17" borderId="6" applyAlignment="1" applyProtection="1" pivotButton="0" quotePrefix="0" xfId="0">
      <alignment horizontal="left" vertical="center"/>
      <protection locked="1" hidden="1"/>
    </xf>
    <xf numFmtId="0" fontId="17" fillId="0" borderId="6" applyAlignment="1" pivotButton="0" quotePrefix="0" xfId="0">
      <alignment vertical="center"/>
    </xf>
    <xf numFmtId="0" fontId="17" fillId="0" borderId="9" applyAlignment="1" pivotButton="0" quotePrefix="0" xfId="0">
      <alignment vertical="center"/>
    </xf>
    <xf numFmtId="0" fontId="40" fillId="0" borderId="6" applyAlignment="1" pivotButton="0" quotePrefix="0" xfId="0">
      <alignment vertical="center"/>
    </xf>
    <xf numFmtId="0" fontId="17" fillId="19" borderId="6" applyAlignment="1" applyProtection="1" pivotButton="0" quotePrefix="0" xfId="0">
      <alignment horizontal="left" vertical="center"/>
      <protection locked="1" hidden="1"/>
    </xf>
    <xf numFmtId="0" fontId="41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6" borderId="0" applyAlignment="1" pivotButton="0" quotePrefix="0" xfId="0">
      <alignment vertical="center"/>
    </xf>
    <xf numFmtId="0" fontId="4" fillId="20" borderId="0" applyAlignment="1" applyProtection="1" pivotButton="0" quotePrefix="0" xfId="0">
      <alignment horizontal="left" vertical="center"/>
      <protection locked="0" hidden="0"/>
    </xf>
    <xf numFmtId="0" fontId="4" fillId="0" borderId="0" applyAlignment="1" pivotButton="0" quotePrefix="0" xfId="0">
      <alignment vertical="center" wrapText="1"/>
    </xf>
    <xf numFmtId="0" fontId="0" fillId="21" borderId="0" pivotButton="0" quotePrefix="0" xfId="0"/>
    <xf numFmtId="0" fontId="4" fillId="0" borderId="0" applyAlignment="1" pivotButton="0" quotePrefix="0" xfId="0">
      <alignment vertical="center"/>
    </xf>
    <xf numFmtId="176" fontId="55" fillId="18" borderId="6" applyAlignment="1" applyProtection="1" pivotButton="0" quotePrefix="0" xfId="0">
      <alignment horizontal="left" vertical="center" wrapText="1"/>
      <protection locked="1" hidden="1"/>
    </xf>
    <xf numFmtId="0" fontId="56" fillId="0" borderId="6" applyAlignment="1" pivotButton="0" quotePrefix="0" xfId="0">
      <alignment vertical="center" wrapText="1"/>
    </xf>
    <xf numFmtId="0" fontId="57" fillId="17" borderId="6" applyAlignment="1" applyProtection="1" pivotButton="0" quotePrefix="0" xfId="0">
      <alignment horizontal="center" vertical="center"/>
      <protection locked="0" hidden="0"/>
    </xf>
    <xf numFmtId="0" fontId="58" fillId="22" borderId="0" applyAlignment="1" applyProtection="1" pivotButton="0" quotePrefix="0" xfId="0">
      <alignment horizontal="left" vertical="center"/>
      <protection locked="1" hidden="1"/>
    </xf>
    <xf numFmtId="0" fontId="40" fillId="22" borderId="6" applyAlignment="1" applyProtection="1" pivotButton="0" quotePrefix="0" xfId="0">
      <alignment horizontal="center" vertical="center"/>
      <protection locked="0" hidden="0"/>
    </xf>
    <xf numFmtId="0" fontId="17" fillId="22" borderId="6" applyAlignment="1" applyProtection="1" pivotButton="0" quotePrefix="0" xfId="0">
      <alignment horizontal="center" vertical="center"/>
      <protection locked="0" hidden="0"/>
    </xf>
    <xf numFmtId="0" fontId="58" fillId="0" borderId="0" applyAlignment="1" pivotButton="0" quotePrefix="0" xfId="0">
      <alignment vertical="center" wrapText="1"/>
    </xf>
    <xf numFmtId="0" fontId="58" fillId="6" borderId="6" applyAlignment="1" pivotButton="0" quotePrefix="0" xfId="0">
      <alignment vertical="center" wrapText="1"/>
    </xf>
    <xf numFmtId="177" fontId="57" fillId="17" borderId="6" applyAlignment="1" applyProtection="1" pivotButton="0" quotePrefix="0" xfId="0">
      <alignment horizontal="left" vertical="center"/>
      <protection locked="1" hidden="1"/>
    </xf>
    <xf numFmtId="0" fontId="17" fillId="22" borderId="6" applyAlignment="1" applyProtection="1" pivotButton="0" quotePrefix="0" xfId="0">
      <alignment horizontal="left" vertical="center"/>
      <protection locked="1" hidden="1"/>
    </xf>
    <xf numFmtId="0" fontId="17" fillId="22" borderId="6" applyAlignment="1" applyProtection="1" pivotButton="0" quotePrefix="0" xfId="0">
      <alignment horizontal="center" vertical="center"/>
      <protection locked="1" hidden="1"/>
    </xf>
    <xf numFmtId="0" fontId="17" fillId="22" borderId="0" applyAlignment="1" applyProtection="1" pivotButton="0" quotePrefix="0" xfId="0">
      <alignment horizontal="center" vertical="center"/>
      <protection locked="1" hidden="1"/>
    </xf>
    <xf numFmtId="0" fontId="58" fillId="0" borderId="0" applyAlignment="1" pivotButton="0" quotePrefix="0" xfId="0">
      <alignment horizontal="left" vertical="center" wrapText="1"/>
    </xf>
    <xf numFmtId="0" fontId="17" fillId="23" borderId="6" applyAlignment="1" applyProtection="1" pivotButton="0" quotePrefix="0" xfId="0">
      <alignment horizontal="center" vertical="center" wrapText="1"/>
      <protection locked="0" hidden="0"/>
    </xf>
    <xf numFmtId="0" fontId="17" fillId="23" borderId="6" applyAlignment="1" applyProtection="1" pivotButton="0" quotePrefix="0" xfId="0">
      <alignment horizontal="left" vertical="center" wrapText="1"/>
      <protection locked="1" hidden="1"/>
    </xf>
    <xf numFmtId="0" fontId="58" fillId="0" borderId="0" applyAlignment="1" pivotButton="0" quotePrefix="0" xfId="0">
      <alignment vertical="center"/>
    </xf>
    <xf numFmtId="0" fontId="59" fillId="0" borderId="0" applyAlignment="1" pivotButton="0" quotePrefix="0" xfId="0">
      <alignment vertical="center" wrapText="1"/>
    </xf>
    <xf numFmtId="0" fontId="5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/>
    </xf>
    <xf numFmtId="0" fontId="57" fillId="0" borderId="6" applyAlignment="1" pivotButton="0" quotePrefix="0" xfId="0">
      <alignment horizontal="left" vertical="center" wrapText="1"/>
    </xf>
    <xf numFmtId="0" fontId="33" fillId="0" borderId="9" applyAlignment="1" pivotButton="0" quotePrefix="0" xfId="0">
      <alignment horizontal="left" vertical="center" wrapText="1"/>
    </xf>
    <xf numFmtId="0" fontId="60" fillId="14" borderId="32" applyAlignment="1" pivotButton="0" quotePrefix="0" xfId="0">
      <alignment horizontal="center" vertical="center" wrapText="1"/>
    </xf>
    <xf numFmtId="0" fontId="60" fillId="14" borderId="33" applyAlignment="1" pivotButton="0" quotePrefix="0" xfId="0">
      <alignment horizontal="center" vertical="center" wrapText="1"/>
    </xf>
    <xf numFmtId="0" fontId="60" fillId="14" borderId="34" applyAlignment="1" pivotButton="0" quotePrefix="0" xfId="0">
      <alignment horizontal="center" vertical="center" wrapText="1"/>
    </xf>
    <xf numFmtId="0" fontId="61" fillId="0" borderId="6" applyAlignment="1" pivotButton="0" quotePrefix="0" xfId="0">
      <alignment horizontal="center" vertical="center" wrapText="1"/>
    </xf>
    <xf numFmtId="165" fontId="62" fillId="14" borderId="32" applyAlignment="1" pivotButton="0" quotePrefix="0" xfId="0">
      <alignment horizontal="center" vertical="center"/>
    </xf>
    <xf numFmtId="0" fontId="64" fillId="0" borderId="6" applyAlignment="1" pivotButton="0" quotePrefix="0" xfId="0">
      <alignment vertical="center"/>
    </xf>
    <xf numFmtId="0" fontId="65" fillId="6" borderId="6" applyAlignment="1" pivotButton="0" quotePrefix="0" xfId="6">
      <alignment horizontal="center" vertical="center" wrapText="1"/>
    </xf>
    <xf numFmtId="0" fontId="57" fillId="0" borderId="6" applyAlignment="1" pivotButton="0" quotePrefix="0" xfId="0">
      <alignment vertical="center"/>
    </xf>
    <xf numFmtId="0" fontId="57" fillId="0" borderId="9" applyAlignment="1" pivotButton="0" quotePrefix="0" xfId="0">
      <alignment vertical="center"/>
    </xf>
    <xf numFmtId="0" fontId="61" fillId="0" borderId="0" applyAlignment="1" pivotButton="0" quotePrefix="0" xfId="0">
      <alignment horizontal="center" vertical="center" wrapText="1"/>
    </xf>
    <xf numFmtId="0" fontId="27" fillId="0" borderId="47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center" vertical="center" wrapText="1"/>
    </xf>
    <xf numFmtId="0" fontId="58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/>
    </xf>
    <xf numFmtId="0" fontId="23" fillId="0" borderId="46" applyAlignment="1" pivotButton="0" quotePrefix="0" xfId="0">
      <alignment horizontal="center" vertical="center"/>
    </xf>
    <xf numFmtId="0" fontId="23" fillId="0" borderId="43" applyAlignment="1" pivotButton="0" quotePrefix="0" xfId="0">
      <alignment horizontal="center" vertical="center"/>
    </xf>
    <xf numFmtId="0" fontId="23" fillId="0" borderId="42" applyAlignment="1" pivotButton="0" quotePrefix="0" xfId="0">
      <alignment horizontal="center" vertical="center"/>
    </xf>
    <xf numFmtId="0" fontId="23" fillId="0" borderId="44" applyAlignment="1" pivotButton="0" quotePrefix="0" xfId="0">
      <alignment horizontal="center" vertical="center"/>
    </xf>
    <xf numFmtId="0" fontId="23" fillId="0" borderId="37" applyAlignment="1" pivotButton="0" quotePrefix="0" xfId="0">
      <alignment horizontal="center" vertical="center"/>
    </xf>
    <xf numFmtId="0" fontId="23" fillId="0" borderId="45" applyAlignment="1" pivotButton="0" quotePrefix="0" xfId="0">
      <alignment horizontal="center" vertical="center"/>
    </xf>
    <xf numFmtId="0" fontId="35" fillId="0" borderId="40" applyAlignment="1" pivotButton="0" quotePrefix="0" xfId="0">
      <alignment horizontal="center" vertical="center" wrapText="1"/>
    </xf>
    <xf numFmtId="0" fontId="35" fillId="0" borderId="7" applyAlignment="1" pivotButton="0" quotePrefix="0" xfId="0">
      <alignment horizontal="center" vertical="center" wrapText="1"/>
    </xf>
    <xf numFmtId="0" fontId="35" fillId="0" borderId="36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right" vertical="center"/>
    </xf>
    <xf numFmtId="173" fontId="4" fillId="0" borderId="0" applyAlignment="1" pivotButton="0" quotePrefix="0" xfId="0">
      <alignment horizontal="right" vertical="center"/>
    </xf>
    <xf numFmtId="178" fontId="2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0" fillId="14" borderId="49" applyAlignment="1" pivotButton="0" quotePrefix="0" xfId="0">
      <alignment horizontal="center" vertical="center" wrapText="1"/>
    </xf>
    <xf numFmtId="0" fontId="60" fillId="14" borderId="50" applyAlignment="1" pivotButton="0" quotePrefix="0" xfId="0">
      <alignment horizontal="center" vertical="center" wrapText="1"/>
    </xf>
    <xf numFmtId="0" fontId="60" fillId="14" borderId="51" applyAlignment="1" pivotButton="0" quotePrefix="0" xfId="0">
      <alignment horizontal="center" vertical="center" wrapText="1"/>
    </xf>
    <xf numFmtId="0" fontId="60" fillId="14" borderId="52" applyAlignment="1" pivotButton="0" quotePrefix="0" xfId="0">
      <alignment horizontal="center" vertical="center" wrapText="1"/>
    </xf>
    <xf numFmtId="0" fontId="60" fillId="14" borderId="48" applyAlignment="1" pivotButton="0" quotePrefix="0" xfId="0">
      <alignment horizontal="center" vertical="center" wrapText="1"/>
    </xf>
    <xf numFmtId="0" fontId="8" fillId="11" borderId="6" applyAlignment="1" pivotButton="0" quotePrefix="0" xfId="0">
      <alignment horizontal="center" vertical="center"/>
    </xf>
    <xf numFmtId="0" fontId="9" fillId="11" borderId="6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/>
    </xf>
    <xf numFmtId="0" fontId="9" fillId="0" borderId="18" applyAlignment="1" pivotButton="0" quotePrefix="0" xfId="0">
      <alignment horizontal="center" vertical="center"/>
    </xf>
    <xf numFmtId="0" fontId="9" fillId="0" borderId="4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9" fillId="0" borderId="8" applyAlignment="1" pivotButton="0" quotePrefix="0" xfId="0">
      <alignment horizontal="center" vertical="center"/>
    </xf>
    <xf numFmtId="0" fontId="6" fillId="0" borderId="2" applyAlignment="1" pivotButton="0" quotePrefix="0" xfId="3">
      <alignment horizontal="center" vertical="center" wrapText="1"/>
    </xf>
    <xf numFmtId="0" fontId="6" fillId="0" borderId="6" applyAlignment="1" pivotButton="0" quotePrefix="0" xfId="3">
      <alignment horizontal="center" vertical="center" wrapText="1"/>
    </xf>
    <xf numFmtId="164" fontId="6" fillId="0" borderId="9" applyAlignment="1" pivotButton="0" quotePrefix="0" xfId="2">
      <alignment horizontal="center" vertical="center" wrapText="1"/>
    </xf>
    <xf numFmtId="164" fontId="6" fillId="0" borderId="10" applyAlignment="1" pivotButton="0" quotePrefix="0" xfId="2">
      <alignment horizontal="center" vertical="center" wrapText="1"/>
    </xf>
    <xf numFmtId="164" fontId="6" fillId="0" borderId="12" applyAlignment="1" pivotButton="0" quotePrefix="0" xfId="2">
      <alignment horizontal="center" vertical="center" wrapText="1"/>
    </xf>
    <xf numFmtId="0" fontId="8" fillId="0" borderId="4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5" fillId="6" borderId="2" applyAlignment="1" pivotButton="0" quotePrefix="0" xfId="0">
      <alignment horizontal="center" vertical="center" wrapText="1"/>
    </xf>
    <xf numFmtId="0" fontId="5" fillId="6" borderId="6" applyAlignment="1" pivotButton="0" quotePrefix="0" xfId="0">
      <alignment horizontal="center" vertical="center" wrapText="1"/>
    </xf>
    <xf numFmtId="165" fontId="5" fillId="6" borderId="10" applyAlignment="1" pivotButton="0" quotePrefix="0" xfId="0">
      <alignment horizontal="center" vertical="center"/>
    </xf>
    <xf numFmtId="165" fontId="5" fillId="6" borderId="15" applyAlignment="1" pivotButton="0" quotePrefix="0" xfId="0">
      <alignment horizontal="center" vertical="center"/>
    </xf>
    <xf numFmtId="164" fontId="6" fillId="7" borderId="4" applyAlignment="1" pivotButton="0" quotePrefix="0" xfId="2">
      <alignment horizontal="center" vertical="center" wrapText="1"/>
    </xf>
    <xf numFmtId="164" fontId="6" fillId="7" borderId="8" applyAlignment="1" pivotButton="0" quotePrefix="0" xfId="2">
      <alignment horizontal="center" vertical="center" wrapText="1"/>
    </xf>
    <xf numFmtId="164" fontId="6" fillId="7" borderId="11" applyAlignment="1" pivotButton="0" quotePrefix="0" xfId="2">
      <alignment horizontal="center" vertical="center" wrapText="1"/>
    </xf>
    <xf numFmtId="164" fontId="6" fillId="7" borderId="7" applyAlignment="1" pivotButton="0" quotePrefix="0" xfId="2">
      <alignment horizontal="center" vertical="center" wrapText="1"/>
    </xf>
    <xf numFmtId="164" fontId="6" fillId="0" borderId="7" applyAlignment="1" pivotButton="0" quotePrefix="0" xfId="2">
      <alignment horizontal="center" vertical="center" wrapText="1"/>
    </xf>
    <xf numFmtId="164" fontId="6" fillId="7" borderId="9" applyAlignment="1" pivotButton="0" quotePrefix="0" xfId="2">
      <alignment horizontal="center" vertical="center" wrapText="1"/>
    </xf>
    <xf numFmtId="164" fontId="6" fillId="7" borderId="10" applyAlignment="1" pivotButton="0" quotePrefix="0" xfId="2">
      <alignment horizontal="center" vertical="center" wrapText="1"/>
    </xf>
    <xf numFmtId="164" fontId="6" fillId="0" borderId="6" applyAlignment="1" pivotButton="0" quotePrefix="0" xfId="2">
      <alignment horizontal="center" vertical="center" wrapText="1"/>
    </xf>
    <xf numFmtId="165" fontId="5" fillId="6" borderId="6" applyAlignment="1" pivotButton="0" quotePrefix="0" xfId="0">
      <alignment horizontal="center" vertical="center"/>
    </xf>
    <xf numFmtId="0" fontId="5" fillId="6" borderId="19" applyAlignment="1" pivotButton="0" quotePrefix="0" xfId="17">
      <alignment horizontal="center" vertical="center" wrapText="1"/>
    </xf>
    <xf numFmtId="0" fontId="5" fillId="6" borderId="21" applyAlignment="1" pivotButton="0" quotePrefix="0" xfId="17">
      <alignment horizontal="center" vertical="center" wrapText="1"/>
    </xf>
    <xf numFmtId="165" fontId="5" fillId="6" borderId="9" applyAlignment="1" pivotButton="0" quotePrefix="0" xfId="0">
      <alignment horizontal="center" vertical="center"/>
    </xf>
    <xf numFmtId="165" fontId="5" fillId="6" borderId="12" applyAlignment="1" pivotButton="0" quotePrefix="0" xfId="0">
      <alignment horizontal="center" vertical="center"/>
    </xf>
    <xf numFmtId="0" fontId="5" fillId="5" borderId="2" applyAlignment="1" pivotButton="0" quotePrefix="0" xfId="0">
      <alignment horizontal="center" vertical="center" wrapText="1"/>
    </xf>
    <xf numFmtId="0" fontId="5" fillId="5" borderId="6" applyAlignment="1" pivotButton="0" quotePrefix="0" xfId="0">
      <alignment horizontal="center" vertical="center" wrapText="1"/>
    </xf>
    <xf numFmtId="165" fontId="5" fillId="5" borderId="6" applyAlignment="1" pivotButton="0" quotePrefix="0" xfId="0">
      <alignment horizontal="center" vertical="center"/>
    </xf>
    <xf numFmtId="0" fontId="8" fillId="6" borderId="17" applyAlignment="1" pivotButton="0" quotePrefix="0" xfId="0">
      <alignment horizontal="center" vertical="center" wrapText="1"/>
    </xf>
    <xf numFmtId="0" fontId="8" fillId="6" borderId="19" applyAlignment="1" pivotButton="0" quotePrefix="0" xfId="0">
      <alignment horizontal="center" vertical="center" wrapText="1"/>
    </xf>
    <xf numFmtId="0" fontId="8" fillId="6" borderId="20" applyAlignment="1" pivotButton="0" quotePrefix="0" xfId="0">
      <alignment horizontal="center" vertical="center" wrapText="1"/>
    </xf>
    <xf numFmtId="0" fontId="8" fillId="6" borderId="6" applyAlignment="1" pivotButton="0" quotePrefix="0" xfId="0">
      <alignment horizontal="center" vertical="center" wrapText="1"/>
    </xf>
    <xf numFmtId="0" fontId="63" fillId="6" borderId="17" applyAlignment="1" pivotButton="0" quotePrefix="0" xfId="0">
      <alignment horizontal="center" vertical="center" wrapText="1"/>
    </xf>
    <xf numFmtId="0" fontId="5" fillId="6" borderId="9" applyAlignment="1" pivotButton="0" quotePrefix="0" xfId="17">
      <alignment horizontal="center" vertical="center" wrapText="1"/>
    </xf>
    <xf numFmtId="0" fontId="5" fillId="6" borderId="10" applyAlignment="1" pivotButton="0" quotePrefix="0" xfId="17">
      <alignment horizontal="center" vertical="center" wrapText="1"/>
    </xf>
    <xf numFmtId="0" fontId="5" fillId="6" borderId="12" applyAlignment="1" pivotButton="0" quotePrefix="0" xfId="17">
      <alignment horizontal="center" vertical="center" wrapText="1"/>
    </xf>
    <xf numFmtId="0" fontId="7" fillId="5" borderId="0" applyAlignment="1" pivotButton="0" quotePrefix="0" xfId="0">
      <alignment horizontal="left" vertical="center"/>
    </xf>
    <xf numFmtId="0" fontId="8" fillId="0" borderId="5" applyAlignment="1" pivotButton="0" quotePrefix="0" xfId="0">
      <alignment horizontal="center" vertical="center"/>
    </xf>
    <xf numFmtId="0" fontId="8" fillId="0" borderId="22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2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5" fillId="5" borderId="0" applyAlignment="1" pivotButton="0" quotePrefix="0" xfId="0">
      <alignment horizontal="left" vertical="center"/>
    </xf>
    <xf numFmtId="0" fontId="5" fillId="6" borderId="0" applyAlignment="1" pivotButton="0" quotePrefix="0" xfId="0">
      <alignment horizontal="center" vertical="center" wrapText="1"/>
    </xf>
    <xf numFmtId="0" fontId="5" fillId="5" borderId="17" applyAlignment="1" pivotButton="0" quotePrefix="0" xfId="0">
      <alignment horizontal="center" vertical="center" wrapText="1"/>
    </xf>
    <xf numFmtId="0" fontId="5" fillId="5" borderId="19" applyAlignment="1" pivotButton="0" quotePrefix="0" xfId="0">
      <alignment horizontal="center" vertical="center" wrapText="1"/>
    </xf>
    <xf numFmtId="0" fontId="5" fillId="5" borderId="20" applyAlignment="1" pivotButton="0" quotePrefix="0" xfId="0">
      <alignment horizontal="center" vertical="center" wrapText="1"/>
    </xf>
    <xf numFmtId="0" fontId="5" fillId="5" borderId="21" applyAlignment="1" pivotButton="0" quotePrefix="0" xfId="0">
      <alignment horizontal="center" vertical="center" wrapText="1"/>
    </xf>
    <xf numFmtId="165" fontId="5" fillId="6" borderId="9" applyAlignment="1" pivotButton="0" quotePrefix="0" xfId="0">
      <alignment horizontal="center" vertical="center" wrapText="1"/>
    </xf>
    <xf numFmtId="165" fontId="5" fillId="6" borderId="10" applyAlignment="1" pivotButton="0" quotePrefix="0" xfId="0">
      <alignment horizontal="center" vertical="center" wrapText="1"/>
    </xf>
    <xf numFmtId="165" fontId="5" fillId="6" borderId="12" applyAlignment="1" pivotButton="0" quotePrefix="0" xfId="0">
      <alignment horizontal="center" vertical="center" wrapText="1"/>
    </xf>
    <xf numFmtId="165" fontId="5" fillId="5" borderId="9" applyAlignment="1" pivotButton="0" quotePrefix="0" xfId="0">
      <alignment horizontal="center" vertical="center"/>
    </xf>
    <xf numFmtId="165" fontId="5" fillId="5" borderId="10" applyAlignment="1" pivotButton="0" quotePrefix="0" xfId="0">
      <alignment horizontal="center" vertical="center"/>
    </xf>
    <xf numFmtId="165" fontId="5" fillId="5" borderId="12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0" fontId="66" fillId="24" borderId="66" applyAlignment="1" pivotButton="0" quotePrefix="0" xfId="0">
      <alignment horizontal="center" vertical="center" wrapText="1"/>
    </xf>
    <xf numFmtId="0" fontId="4" fillId="0" borderId="66" applyAlignment="1" pivotButton="0" quotePrefix="0" xfId="0">
      <alignment horizontal="left" vertical="center"/>
    </xf>
    <xf numFmtId="0" fontId="58" fillId="0" borderId="66" applyAlignment="1" pivotButton="0" quotePrefix="0" xfId="0">
      <alignment horizontal="left" vertical="center"/>
    </xf>
    <xf numFmtId="0" fontId="59" fillId="0" borderId="66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25" fillId="14" borderId="66" applyAlignment="1" pivotButton="0" quotePrefix="0" xfId="0">
      <alignment horizontal="left" vertical="center"/>
    </xf>
    <xf numFmtId="0" fontId="33" fillId="0" borderId="66" applyAlignment="1" pivotButton="0" quotePrefix="0" xfId="0">
      <alignment horizontal="left" vertical="center"/>
    </xf>
    <xf numFmtId="0" fontId="17" fillId="17" borderId="66" applyAlignment="1" applyProtection="1" pivotButton="0" quotePrefix="0" xfId="0">
      <alignment horizontal="left" vertical="center"/>
      <protection locked="0" hidden="0"/>
    </xf>
    <xf numFmtId="0" fontId="4" fillId="6" borderId="66" applyAlignment="1" pivotButton="0" quotePrefix="0" xfId="0">
      <alignment horizontal="left" vertical="center"/>
    </xf>
    <xf numFmtId="0" fontId="39" fillId="18" borderId="66" applyAlignment="1" applyProtection="1" pivotButton="0" quotePrefix="0" xfId="0">
      <alignment horizontal="left" vertical="center"/>
      <protection locked="1" hidden="1"/>
    </xf>
    <xf numFmtId="0" fontId="55" fillId="18" borderId="66" applyAlignment="1" applyProtection="1" pivotButton="0" quotePrefix="0" xfId="0">
      <alignment horizontal="left" vertical="center"/>
      <protection locked="1" hidden="1"/>
    </xf>
    <xf numFmtId="0" fontId="56" fillId="0" borderId="66" applyAlignment="1" pivotButton="0" quotePrefix="0" xfId="0">
      <alignment horizontal="left" vertical="center"/>
    </xf>
    <xf numFmtId="0" fontId="17" fillId="23" borderId="66" applyAlignment="1" applyProtection="1" pivotButton="0" quotePrefix="0" xfId="0">
      <alignment horizontal="left" vertical="center"/>
      <protection locked="0" hidden="0"/>
    </xf>
    <xf numFmtId="0" fontId="17" fillId="23" borderId="66" applyAlignment="1" applyProtection="1" pivotButton="0" quotePrefix="0" xfId="0">
      <alignment horizontal="left" vertical="center"/>
      <protection locked="1" hidden="1"/>
    </xf>
    <xf numFmtId="0" fontId="58" fillId="6" borderId="66" applyAlignment="1" pivotButton="0" quotePrefix="0" xfId="0">
      <alignment horizontal="left" vertical="center"/>
    </xf>
    <xf numFmtId="0" fontId="57" fillId="17" borderId="66" applyAlignment="1" applyProtection="1" pivotButton="0" quotePrefix="0" xfId="0">
      <alignment horizontal="left" vertical="center"/>
      <protection locked="0" hidden="0"/>
    </xf>
    <xf numFmtId="0" fontId="17" fillId="17" borderId="66" applyAlignment="1" applyProtection="1" pivotButton="0" quotePrefix="0" xfId="0">
      <alignment horizontal="left" vertical="center"/>
      <protection locked="1" hidden="1"/>
    </xf>
    <xf numFmtId="0" fontId="17" fillId="0" borderId="66" applyAlignment="1" pivotButton="0" quotePrefix="0" xfId="0">
      <alignment horizontal="left" vertical="center"/>
    </xf>
    <xf numFmtId="0" fontId="57" fillId="17" borderId="66" applyAlignment="1" applyProtection="1" pivotButton="0" quotePrefix="0" xfId="0">
      <alignment horizontal="left" vertical="center"/>
      <protection locked="1" hidden="1"/>
    </xf>
    <xf numFmtId="0" fontId="57" fillId="0" borderId="66" applyAlignment="1" pivotButton="0" quotePrefix="0" xfId="0">
      <alignment horizontal="left" vertical="center"/>
    </xf>
    <xf numFmtId="0" fontId="17" fillId="22" borderId="66" applyAlignment="1" applyProtection="1" pivotButton="0" quotePrefix="0" xfId="0">
      <alignment horizontal="left" vertical="center"/>
      <protection locked="0" hidden="0"/>
    </xf>
    <xf numFmtId="0" fontId="17" fillId="22" borderId="66" applyAlignment="1" applyProtection="1" pivotButton="0" quotePrefix="0" xfId="0">
      <alignment horizontal="left" vertical="center"/>
      <protection locked="1" hidden="1"/>
    </xf>
    <xf numFmtId="0" fontId="40" fillId="0" borderId="66" applyAlignment="1" pivotButton="0" quotePrefix="0" xfId="0">
      <alignment horizontal="left" vertical="center"/>
    </xf>
    <xf numFmtId="0" fontId="40" fillId="22" borderId="66" applyAlignment="1" applyProtection="1" pivotButton="0" quotePrefix="0" xfId="0">
      <alignment horizontal="left" vertical="center"/>
      <protection locked="0" hidden="0"/>
    </xf>
    <xf numFmtId="0" fontId="17" fillId="19" borderId="66" applyAlignment="1" applyProtection="1" pivotButton="0" quotePrefix="0" xfId="0">
      <alignment horizontal="left" vertical="center"/>
      <protection locked="1" hidden="1"/>
    </xf>
    <xf numFmtId="0" fontId="0" fillId="0" borderId="66" applyAlignment="1" pivotButton="0" quotePrefix="0" xfId="0">
      <alignment horizontal="left" vertical="center"/>
    </xf>
    <xf numFmtId="0" fontId="41" fillId="0" borderId="66" applyAlignment="1" pivotButton="0" quotePrefix="0" xfId="0">
      <alignment horizontal="left" vertical="center"/>
    </xf>
    <xf numFmtId="0" fontId="4" fillId="20" borderId="66" applyAlignment="1" applyProtection="1" pivotButton="0" quotePrefix="0" xfId="0">
      <alignment horizontal="left" vertical="center"/>
      <protection locked="0" hidden="0"/>
    </xf>
    <xf numFmtId="0" fontId="58" fillId="22" borderId="66" applyAlignment="1" applyProtection="1" pivotButton="0" quotePrefix="0" xfId="0">
      <alignment horizontal="left" vertical="center"/>
      <protection locked="1" hidden="1"/>
    </xf>
    <xf numFmtId="0" fontId="0" fillId="21" borderId="66" applyAlignment="1" pivotButton="0" quotePrefix="0" xfId="0">
      <alignment horizontal="left" vertical="center"/>
    </xf>
    <xf numFmtId="0" fontId="66" fillId="24" borderId="66" applyAlignment="1" pivotButton="0" quotePrefix="0" xfId="0">
      <alignment horizontal="left" vertical="center"/>
    </xf>
    <xf numFmtId="0" fontId="66" fillId="24" borderId="66" applyAlignment="1" pivotButton="0" quotePrefix="0" xfId="0">
      <alignment horizontal="right" vertical="center"/>
    </xf>
    <xf numFmtId="0" fontId="23" fillId="0" borderId="66" applyAlignment="1" pivotButton="0" quotePrefix="0" xfId="0">
      <alignment horizontal="left" vertical="center"/>
    </xf>
    <xf numFmtId="3" fontId="23" fillId="0" borderId="66" applyAlignment="1" pivotButton="0" quotePrefix="0" xfId="0">
      <alignment horizontal="right" vertical="center"/>
    </xf>
    <xf numFmtId="4" fontId="23" fillId="0" borderId="66" applyAlignment="1" pivotButton="0" quotePrefix="0" xfId="0">
      <alignment horizontal="right" vertical="center"/>
    </xf>
    <xf numFmtId="0" fontId="37" fillId="16" borderId="66" applyAlignment="1" pivotButton="0" quotePrefix="0" xfId="0">
      <alignment horizontal="left" vertical="center"/>
    </xf>
    <xf numFmtId="3" fontId="37" fillId="16" borderId="66" applyAlignment="1" pivotButton="0" quotePrefix="0" xfId="0">
      <alignment horizontal="right" vertical="center"/>
    </xf>
    <xf numFmtId="4" fontId="37" fillId="16" borderId="66" applyAlignment="1" pivotButton="0" quotePrefix="0" xfId="0">
      <alignment horizontal="right" vertical="center"/>
    </xf>
    <xf numFmtId="0" fontId="37" fillId="0" borderId="66" applyAlignment="1" pivotButton="0" quotePrefix="0" xfId="0">
      <alignment horizontal="left" vertical="center"/>
    </xf>
    <xf numFmtId="0" fontId="24" fillId="0" borderId="66" applyAlignment="1" pivotButton="0" quotePrefix="0" xfId="0">
      <alignment horizontal="left" vertical="center"/>
    </xf>
    <xf numFmtId="0" fontId="38" fillId="0" borderId="66" applyAlignment="1" pivotButton="0" quotePrefix="0" xfId="0">
      <alignment horizontal="left" vertical="center"/>
    </xf>
    <xf numFmtId="0" fontId="35" fillId="0" borderId="66" applyAlignment="1" pivotButton="0" quotePrefix="0" xfId="0">
      <alignment horizontal="left" vertical="center"/>
    </xf>
    <xf numFmtId="3" fontId="35" fillId="0" borderId="66" applyAlignment="1" pivotButton="0" quotePrefix="0" xfId="0">
      <alignment horizontal="right" vertical="center"/>
    </xf>
    <xf numFmtId="10" fontId="35" fillId="0" borderId="66" applyAlignment="1" pivotButton="0" quotePrefix="0" xfId="0">
      <alignment horizontal="right" vertical="center"/>
    </xf>
    <xf numFmtId="0" fontId="36" fillId="0" borderId="66" applyAlignment="1" pivotButton="0" quotePrefix="0" xfId="0">
      <alignment horizontal="left" vertical="center"/>
    </xf>
    <xf numFmtId="10" fontId="36" fillId="0" borderId="66" applyAlignment="1" pivotButton="0" quotePrefix="0" xfId="0">
      <alignment horizontal="right" vertical="center"/>
    </xf>
    <xf numFmtId="171" fontId="66" fillId="24" borderId="66" applyAlignment="1" pivotButton="0" quotePrefix="0" xfId="0">
      <alignment horizontal="left" vertical="center"/>
    </xf>
    <xf numFmtId="0" fontId="27" fillId="0" borderId="66" applyAlignment="1" pivotButton="0" quotePrefix="0" xfId="0">
      <alignment horizontal="left" vertical="center"/>
    </xf>
    <xf numFmtId="0" fontId="28" fillId="0" borderId="66" applyAlignment="1" pivotButton="0" quotePrefix="0" xfId="0">
      <alignment horizontal="left" vertical="center"/>
    </xf>
    <xf numFmtId="0" fontId="29" fillId="0" borderId="66" applyAlignment="1" pivotButton="0" quotePrefix="0" xfId="0">
      <alignment horizontal="left" vertical="center"/>
    </xf>
    <xf numFmtId="0" fontId="27" fillId="15" borderId="66" applyAlignment="1" pivotButton="0" quotePrefix="0" xfId="0">
      <alignment horizontal="left" vertical="center"/>
    </xf>
    <xf numFmtId="0" fontId="30" fillId="0" borderId="66" applyAlignment="1" pivotButton="0" quotePrefix="0" xfId="0">
      <alignment horizontal="left" vertical="center"/>
    </xf>
    <xf numFmtId="0" fontId="31" fillId="0" borderId="66" applyAlignment="1" pivotButton="0" quotePrefix="0" xfId="0">
      <alignment horizontal="left" vertical="center"/>
    </xf>
    <xf numFmtId="0" fontId="32" fillId="0" borderId="66" applyAlignment="1" pivotButton="0" quotePrefix="0" xfId="0">
      <alignment horizontal="left" vertical="center"/>
    </xf>
    <xf numFmtId="0" fontId="4" fillId="0" borderId="66" applyAlignment="1" applyProtection="1" pivotButton="0" quotePrefix="0" xfId="0">
      <alignment horizontal="left" vertical="center"/>
      <protection locked="0" hidden="0"/>
    </xf>
    <xf numFmtId="0" fontId="27" fillId="0" borderId="0" applyAlignment="1" pivotButton="0" quotePrefix="0" xfId="0">
      <alignment horizontal="left" vertical="center"/>
    </xf>
    <xf numFmtId="0" fontId="60" fillId="14" borderId="66" applyAlignment="1" pivotButton="0" quotePrefix="0" xfId="0">
      <alignment horizontal="left" vertical="center"/>
    </xf>
    <xf numFmtId="0" fontId="60" fillId="14" borderId="66" applyAlignment="1" pivotButton="0" quotePrefix="0" xfId="0">
      <alignment horizontal="right" vertical="center"/>
    </xf>
    <xf numFmtId="0" fontId="61" fillId="0" borderId="66" applyAlignment="1" pivotButton="0" quotePrefix="0" xfId="0">
      <alignment horizontal="left" vertical="center"/>
    </xf>
    <xf numFmtId="0" fontId="61" fillId="0" borderId="66" applyAlignment="1" pivotButton="0" quotePrefix="0" xfId="0">
      <alignment horizontal="right" vertical="center"/>
    </xf>
    <xf numFmtId="0" fontId="0" fillId="0" borderId="66" applyAlignment="1" pivotButton="0" quotePrefix="0" xfId="0">
      <alignment horizontal="right" vertical="center"/>
    </xf>
    <xf numFmtId="0" fontId="17" fillId="0" borderId="66" applyAlignment="1" pivotButton="0" quotePrefix="0" xfId="0">
      <alignment horizontal="right" vertical="center"/>
    </xf>
    <xf numFmtId="4" fontId="17" fillId="0" borderId="66" applyAlignment="1" pivotButton="0" quotePrefix="0" xfId="0">
      <alignment horizontal="right" vertical="center"/>
    </xf>
    <xf numFmtId="0" fontId="17" fillId="0" borderId="6" applyAlignment="1" pivotButton="0" quotePrefix="0" xfId="0">
      <alignment horizontal="right" vertical="center"/>
    </xf>
    <xf numFmtId="4" fontId="17" fillId="0" borderId="6" applyAlignment="1" pivotButton="0" quotePrefix="0" xfId="0">
      <alignment horizontal="right" vertical="center"/>
    </xf>
    <xf numFmtId="0" fontId="4" fillId="0" borderId="66" applyAlignment="1" pivotButton="0" quotePrefix="0" xfId="0">
      <alignment horizontal="right" vertical="center"/>
    </xf>
    <xf numFmtId="4" fontId="4" fillId="0" borderId="66" applyAlignment="1" pivotButton="0" quotePrefix="0" xfId="0">
      <alignment horizontal="right" vertical="center"/>
    </xf>
    <xf numFmtId="0" fontId="23" fillId="0" borderId="66" applyAlignment="1" pivotButton="0" quotePrefix="0" xfId="0">
      <alignment horizontal="right" vertical="center"/>
    </xf>
    <xf numFmtId="0" fontId="64" fillId="0" borderId="66" applyAlignment="1" pivotButton="0" quotePrefix="0" xfId="0">
      <alignment horizontal="left" vertical="center"/>
    </xf>
    <xf numFmtId="165" fontId="66" fillId="24" borderId="66" applyAlignment="1" pivotButton="0" quotePrefix="0" xfId="0">
      <alignment horizontal="center" vertical="center" wrapText="1"/>
    </xf>
    <xf numFmtId="3" fontId="15" fillId="0" borderId="66" applyAlignment="1" pivotButton="0" quotePrefix="0" xfId="0">
      <alignment horizontal="right" vertical="center"/>
    </xf>
    <xf numFmtId="0" fontId="15" fillId="0" borderId="66" applyAlignment="1" pivotButton="0" quotePrefix="0" xfId="0">
      <alignment horizontal="left" vertical="center"/>
    </xf>
    <xf numFmtId="3" fontId="5" fillId="6" borderId="66" applyAlignment="1" pivotButton="0" quotePrefix="0" xfId="0">
      <alignment horizontal="right" vertical="center"/>
    </xf>
    <xf numFmtId="0" fontId="5" fillId="6" borderId="66" applyAlignment="1" pivotButton="0" quotePrefix="0" xfId="0">
      <alignment horizontal="left" vertical="center"/>
    </xf>
    <xf numFmtId="0" fontId="8" fillId="0" borderId="66" applyAlignment="1" pivotButton="0" quotePrefix="0" xfId="0">
      <alignment horizontal="left" vertical="center"/>
    </xf>
    <xf numFmtId="0" fontId="8" fillId="0" borderId="66" applyAlignment="1" pivotButton="0" quotePrefix="0" xfId="0">
      <alignment horizontal="right" vertical="center"/>
    </xf>
    <xf numFmtId="0" fontId="8" fillId="11" borderId="66" applyAlignment="1" pivotButton="0" quotePrefix="0" xfId="0">
      <alignment horizontal="left" vertical="center"/>
    </xf>
    <xf numFmtId="3" fontId="0" fillId="0" borderId="66" applyAlignment="1" pivotButton="0" quotePrefix="0" xfId="0">
      <alignment horizontal="right" vertical="center"/>
    </xf>
    <xf numFmtId="0" fontId="6" fillId="7" borderId="66" applyAlignment="1" pivotButton="0" quotePrefix="0" xfId="2">
      <alignment horizontal="left" vertical="center"/>
    </xf>
    <xf numFmtId="0" fontId="9" fillId="0" borderId="66" applyAlignment="1" pivotButton="0" quotePrefix="0" xfId="0">
      <alignment horizontal="left" vertical="center"/>
    </xf>
    <xf numFmtId="0" fontId="6" fillId="8" borderId="66" applyAlignment="1" pivotButton="0" quotePrefix="0" xfId="3">
      <alignment horizontal="left" vertical="center"/>
    </xf>
    <xf numFmtId="0" fontId="9" fillId="0" borderId="66" applyAlignment="1" pivotButton="0" quotePrefix="0" xfId="0">
      <alignment horizontal="right" vertical="center"/>
    </xf>
    <xf numFmtId="0" fontId="6" fillId="7" borderId="66" applyAlignment="1" applyProtection="1" pivotButton="0" quotePrefix="0" xfId="1">
      <alignment horizontal="right" vertical="center"/>
      <protection locked="0" hidden="0"/>
    </xf>
    <xf numFmtId="0" fontId="9" fillId="9" borderId="66" applyAlignment="1" pivotButton="0" quotePrefix="0" xfId="0">
      <alignment horizontal="left" vertical="center"/>
    </xf>
    <xf numFmtId="0" fontId="6" fillId="0" borderId="66" applyAlignment="1" pivotButton="0" quotePrefix="0" xfId="2">
      <alignment horizontal="left" vertical="center"/>
    </xf>
    <xf numFmtId="0" fontId="6" fillId="8" borderId="66" applyAlignment="1" pivotButton="0" quotePrefix="0" xfId="2">
      <alignment horizontal="left" vertical="center"/>
    </xf>
    <xf numFmtId="0" fontId="11" fillId="0" borderId="66" applyAlignment="1" pivotButton="0" quotePrefix="0" xfId="0">
      <alignment horizontal="left" vertical="center"/>
    </xf>
    <xf numFmtId="0" fontId="5" fillId="9" borderId="66" applyAlignment="1" pivotButton="0" quotePrefix="0" xfId="0">
      <alignment horizontal="left" vertical="center"/>
    </xf>
    <xf numFmtId="0" fontId="6" fillId="9" borderId="66" applyAlignment="1" pivotButton="0" quotePrefix="0" xfId="2">
      <alignment horizontal="left" vertical="center"/>
    </xf>
    <xf numFmtId="0" fontId="5" fillId="9" borderId="66" applyAlignment="1" pivotButton="0" quotePrefix="0" xfId="0">
      <alignment horizontal="right" vertical="center"/>
    </xf>
    <xf numFmtId="0" fontId="6" fillId="0" borderId="66" applyAlignment="1" pivotButton="0" quotePrefix="0" xfId="0">
      <alignment horizontal="left" vertical="center"/>
    </xf>
    <xf numFmtId="0" fontId="6" fillId="0" borderId="66" applyAlignment="1" pivotButton="0" quotePrefix="0" xfId="0">
      <alignment horizontal="right" vertical="center"/>
    </xf>
    <xf numFmtId="3" fontId="7" fillId="0" borderId="66" applyAlignment="1" pivotButton="0" quotePrefix="0" xfId="2">
      <alignment horizontal="right" vertical="center"/>
    </xf>
    <xf numFmtId="3" fontId="5" fillId="5" borderId="66" applyAlignment="1" pivotButton="0" quotePrefix="0" xfId="0">
      <alignment horizontal="right" vertical="center"/>
    </xf>
    <xf numFmtId="0" fontId="5" fillId="5" borderId="66" applyAlignment="1" pivotButton="0" quotePrefix="0" xfId="0">
      <alignment horizontal="left" vertical="center"/>
    </xf>
    <xf numFmtId="0" fontId="9" fillId="11" borderId="66" applyAlignment="1" pivotButton="0" quotePrefix="0" xfId="0">
      <alignment horizontal="left" vertical="center"/>
    </xf>
    <xf numFmtId="3" fontId="7" fillId="5" borderId="66" applyAlignment="1" pivotButton="0" quotePrefix="0" xfId="0">
      <alignment horizontal="right" vertical="center"/>
    </xf>
    <xf numFmtId="3" fontId="8" fillId="6" borderId="66" applyAlignment="1" pivotButton="0" quotePrefix="0" xfId="0">
      <alignment horizontal="right" vertical="center"/>
    </xf>
    <xf numFmtId="0" fontId="6" fillId="0" borderId="66" applyAlignment="1" pivotButton="0" quotePrefix="0" xfId="3">
      <alignment horizontal="left" vertical="center"/>
    </xf>
    <xf numFmtId="0" fontId="6" fillId="10" borderId="66" applyAlignment="1" pivotButton="0" quotePrefix="0" xfId="2">
      <alignment horizontal="left" vertical="center"/>
    </xf>
    <xf numFmtId="0" fontId="6" fillId="10" borderId="66" applyAlignment="1" pivotButton="0" quotePrefix="0" xfId="2">
      <alignment horizontal="right" vertical="center"/>
    </xf>
    <xf numFmtId="0" fontId="10" fillId="7" borderId="66" applyAlignment="1" pivotButton="0" quotePrefix="0" xfId="0">
      <alignment horizontal="left" vertical="center"/>
    </xf>
    <xf numFmtId="0" fontId="10" fillId="0" borderId="66" applyAlignment="1" pivotButton="0" quotePrefix="0" xfId="0">
      <alignment horizontal="left" vertical="center"/>
    </xf>
    <xf numFmtId="0" fontId="12" fillId="0" borderId="66" applyAlignment="1" pivotButton="0" quotePrefix="0" xfId="0">
      <alignment horizontal="right" vertical="center"/>
    </xf>
    <xf numFmtId="0" fontId="8" fillId="9" borderId="66" applyAlignment="1" pivotButton="0" quotePrefix="0" xfId="0">
      <alignment horizontal="left" vertical="center"/>
    </xf>
    <xf numFmtId="0" fontId="8" fillId="9" borderId="66" applyAlignment="1" pivotButton="0" quotePrefix="0" xfId="0">
      <alignment horizontal="right" vertical="center"/>
    </xf>
    <xf numFmtId="0" fontId="15" fillId="0" borderId="66" applyAlignment="1" pivotButton="0" quotePrefix="0" xfId="0">
      <alignment horizontal="right" vertical="center"/>
    </xf>
    <xf numFmtId="0" fontId="13" fillId="0" borderId="66" applyAlignment="1" pivotButton="0" quotePrefix="0" xfId="0">
      <alignment horizontal="right" vertical="center"/>
    </xf>
    <xf numFmtId="3" fontId="13" fillId="6" borderId="66" applyAlignment="1" pivotButton="0" quotePrefix="0" xfId="17">
      <alignment horizontal="right" vertical="center"/>
    </xf>
    <xf numFmtId="0" fontId="13" fillId="6" borderId="66" applyAlignment="1" pivotButton="0" quotePrefix="0" xfId="17">
      <alignment horizontal="left" vertical="center"/>
    </xf>
    <xf numFmtId="0" fontId="12" fillId="6" borderId="66" applyAlignment="1" pivotButton="0" quotePrefix="0" xfId="17">
      <alignment horizontal="left" vertical="center"/>
    </xf>
    <xf numFmtId="0" fontId="13" fillId="0" borderId="66" applyAlignment="1" pivotButton="0" quotePrefix="0" xfId="17">
      <alignment horizontal="left" vertical="center"/>
    </xf>
    <xf numFmtId="0" fontId="13" fillId="0" borderId="66" applyAlignment="1" pivotButton="0" quotePrefix="0" xfId="17">
      <alignment horizontal="right" vertical="center"/>
    </xf>
    <xf numFmtId="0" fontId="14" fillId="0" borderId="66" applyAlignment="1" pivotButton="0" quotePrefix="0" xfId="13">
      <alignment horizontal="left" vertical="center"/>
    </xf>
    <xf numFmtId="0" fontId="6" fillId="0" borderId="66" applyAlignment="1" pivotButton="0" quotePrefix="0" xfId="2">
      <alignment horizontal="right" vertical="center"/>
    </xf>
    <xf numFmtId="3" fontId="63" fillId="6" borderId="66" applyAlignment="1" pivotButton="0" quotePrefix="0" xfId="0">
      <alignment horizontal="right" vertical="center"/>
    </xf>
    <xf numFmtId="3" fontId="5" fillId="6" borderId="66" applyAlignment="1" pivotButton="0" quotePrefix="0" xfId="17">
      <alignment horizontal="right" vertical="center"/>
    </xf>
    <xf numFmtId="0" fontId="5" fillId="6" borderId="66" applyAlignment="1" pivotButton="0" quotePrefix="0" xfId="6">
      <alignment horizontal="left" vertical="center"/>
    </xf>
    <xf numFmtId="0" fontId="7" fillId="6" borderId="66" applyAlignment="1" pivotButton="0" quotePrefix="0" xfId="6">
      <alignment horizontal="left" vertical="center"/>
    </xf>
    <xf numFmtId="0" fontId="16" fillId="10" borderId="66" applyAlignment="1" pivotButton="0" quotePrefix="0" xfId="6">
      <alignment horizontal="left" vertical="center"/>
    </xf>
    <xf numFmtId="0" fontId="17" fillId="7" borderId="66" applyAlignment="1" pivotButton="0" quotePrefix="0" xfId="8">
      <alignment horizontal="right" vertical="center"/>
    </xf>
    <xf numFmtId="0" fontId="17" fillId="12" borderId="66" applyAlignment="1" pivotButton="0" quotePrefix="0" xfId="0">
      <alignment horizontal="right" vertical="center"/>
    </xf>
    <xf numFmtId="0" fontId="18" fillId="10" borderId="66" applyAlignment="1" pivotButton="0" quotePrefix="0" xfId="12">
      <alignment horizontal="left" vertical="center"/>
    </xf>
    <xf numFmtId="0" fontId="19" fillId="7" borderId="66" applyAlignment="1" pivotButton="0" quotePrefix="0" xfId="8">
      <alignment horizontal="right" vertical="center"/>
    </xf>
    <xf numFmtId="0" fontId="19" fillId="12" borderId="66" applyAlignment="1" pivotButton="0" quotePrefix="0" xfId="8">
      <alignment horizontal="right" vertical="center"/>
    </xf>
    <xf numFmtId="0" fontId="6" fillId="10" borderId="66" applyAlignment="1" applyProtection="1" pivotButton="0" quotePrefix="0" xfId="3">
      <alignment horizontal="left" vertical="center"/>
      <protection locked="0" hidden="0"/>
    </xf>
    <xf numFmtId="0" fontId="5" fillId="7" borderId="66" applyAlignment="1" applyProtection="1" pivotButton="0" quotePrefix="0" xfId="3">
      <alignment horizontal="left" vertical="center"/>
      <protection locked="0" hidden="0"/>
    </xf>
    <xf numFmtId="0" fontId="16" fillId="9" borderId="66" applyAlignment="1" pivotButton="0" quotePrefix="0" xfId="6">
      <alignment horizontal="right" vertical="center"/>
    </xf>
    <xf numFmtId="0" fontId="6" fillId="9" borderId="66" applyAlignment="1" pivotButton="0" quotePrefix="0" xfId="0">
      <alignment horizontal="right" vertical="center"/>
    </xf>
    <xf numFmtId="0" fontId="17" fillId="9" borderId="66" applyAlignment="1" pivotButton="0" quotePrefix="0" xfId="0">
      <alignment horizontal="right" vertical="center"/>
    </xf>
    <xf numFmtId="0" fontId="12" fillId="0" borderId="66" applyAlignment="1" pivotButton="0" quotePrefix="0" xfId="0">
      <alignment horizontal="left" vertical="center"/>
    </xf>
    <xf numFmtId="0" fontId="12" fillId="6" borderId="66" applyAlignment="1" pivotButton="0" quotePrefix="0" xfId="0">
      <alignment horizontal="left" vertical="center"/>
    </xf>
    <xf numFmtId="0" fontId="18" fillId="13" borderId="66" applyAlignment="1" pivotButton="0" quotePrefix="0" xfId="0">
      <alignment horizontal="right" vertical="center"/>
    </xf>
    <xf numFmtId="0" fontId="18" fillId="0" borderId="66" applyAlignment="1" pivotButton="0" quotePrefix="0" xfId="12">
      <alignment horizontal="left" vertical="center"/>
    </xf>
    <xf numFmtId="0" fontId="65" fillId="6" borderId="66" applyAlignment="1" pivotButton="0" quotePrefix="0" xfId="6">
      <alignment horizontal="left" vertical="center"/>
    </xf>
    <xf numFmtId="0" fontId="17" fillId="7" borderId="66" applyAlignment="1" pivotButton="0" quotePrefix="0" xfId="6">
      <alignment horizontal="right" vertical="center"/>
    </xf>
    <xf numFmtId="0" fontId="19" fillId="7" borderId="66" applyAlignment="1" pivotButton="0" quotePrefix="0" xfId="6">
      <alignment horizontal="right" vertical="center"/>
    </xf>
    <xf numFmtId="0" fontId="19" fillId="12" borderId="66" applyAlignment="1" pivotButton="0" quotePrefix="0" xfId="6">
      <alignment horizontal="right" vertical="center"/>
    </xf>
    <xf numFmtId="3" fontId="1" fillId="2" borderId="66" applyAlignment="1" pivotButton="0" quotePrefix="0" xfId="0">
      <alignment horizontal="right" vertical="center"/>
    </xf>
    <xf numFmtId="0" fontId="1" fillId="2" borderId="66" applyAlignment="1" pivotButton="0" quotePrefix="0" xfId="0">
      <alignment horizontal="left" vertical="center"/>
    </xf>
    <xf numFmtId="0" fontId="1" fillId="2" borderId="66" applyAlignment="1" pivotButton="0" quotePrefix="0" xfId="0">
      <alignment horizontal="right" vertical="center"/>
    </xf>
    <xf numFmtId="3" fontId="2" fillId="3" borderId="66" applyAlignment="1" pivotButton="0" quotePrefix="0" xfId="0">
      <alignment horizontal="right" vertical="center"/>
    </xf>
    <xf numFmtId="0" fontId="2" fillId="3" borderId="66" applyAlignment="1" pivotButton="0" quotePrefix="0" xfId="0">
      <alignment horizontal="left" vertical="center"/>
    </xf>
    <xf numFmtId="0" fontId="2" fillId="3" borderId="66" applyAlignment="1" pivotButton="0" quotePrefix="0" xfId="0">
      <alignment horizontal="right" vertical="center"/>
    </xf>
    <xf numFmtId="3" fontId="2" fillId="4" borderId="66" applyAlignment="1" pivotButton="0" quotePrefix="0" xfId="0">
      <alignment horizontal="right" vertical="center"/>
    </xf>
    <xf numFmtId="0" fontId="2" fillId="4" borderId="66" applyAlignment="1" pivotButton="0" quotePrefix="0" xfId="0">
      <alignment horizontal="left" vertical="center"/>
    </xf>
    <xf numFmtId="0" fontId="2" fillId="4" borderId="66" applyAlignment="1" pivotButton="0" quotePrefix="0" xfId="0">
      <alignment horizontal="right" vertical="center"/>
    </xf>
    <xf numFmtId="3" fontId="3" fillId="3" borderId="66" applyAlignment="1" pivotButton="0" quotePrefix="0" xfId="0">
      <alignment horizontal="right" vertical="center"/>
    </xf>
    <xf numFmtId="0" fontId="0" fillId="3" borderId="66" applyAlignment="1" pivotButton="0" quotePrefix="0" xfId="0">
      <alignment horizontal="left" vertical="center"/>
    </xf>
    <xf numFmtId="0" fontId="3" fillId="3" borderId="66" applyAlignment="1" pivotButton="0" quotePrefix="0" xfId="0">
      <alignment horizontal="right" vertical="center"/>
    </xf>
    <xf numFmtId="3" fontId="3" fillId="4" borderId="66" applyAlignment="1" pivotButton="0" quotePrefix="0" xfId="0">
      <alignment horizontal="right" vertical="center"/>
    </xf>
    <xf numFmtId="0" fontId="0" fillId="4" borderId="66" applyAlignment="1" pivotButton="0" quotePrefix="0" xfId="0">
      <alignment horizontal="left" vertical="center"/>
    </xf>
    <xf numFmtId="0" fontId="3" fillId="4" borderId="66" applyAlignment="1" pivotButton="0" quotePrefix="0" xfId="0">
      <alignment horizontal="right" vertical="center"/>
    </xf>
    <xf numFmtId="3" fontId="4" fillId="0" borderId="66" applyAlignment="1" pivotButton="0" quotePrefix="0" xfId="0">
      <alignment horizontal="right" vertical="center"/>
    </xf>
  </cellXfs>
  <cellStyles count="18">
    <cellStyle name="常规" xfId="0" builtinId="0"/>
    <cellStyle name="千位分隔" xfId="1" builtinId="3"/>
    <cellStyle name="0,0_x000d__x000a_NA_x000d__x000a_" xfId="2"/>
    <cellStyle name="0,0_x000d__x000a_NA_x000d__x000a_ 2" xfId="3"/>
    <cellStyle name="Normal_表4甲" xfId="4"/>
    <cellStyle name="百分比 2" xfId="5"/>
    <cellStyle name="常规 2" xfId="6"/>
    <cellStyle name="常规 2 2" xfId="7"/>
    <cellStyle name="常规 2 2 2" xfId="8"/>
    <cellStyle name="常规 2 2 2 2" xfId="9"/>
    <cellStyle name="常规 2 3 2" xfId="10"/>
    <cellStyle name="常规 3" xfId="11"/>
    <cellStyle name="常规 4" xfId="12"/>
    <cellStyle name="常规 4 2" xfId="13"/>
    <cellStyle name="常规 5" xfId="14"/>
    <cellStyle name="常规 9 2" xfId="15"/>
    <cellStyle name="常规 9 2 2" xfId="16"/>
    <cellStyle name="常规_附件一  合同设备及价格清单" xfId="17"/>
  </cellStyles>
  <dxfs count="1">
    <dxf>
      <font>
        <color theme="0" tint="-0.249946592608417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bestFit"/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'3-投资简表'!$J$3:$J$6</f>
              <strCache>
                <ptCount val="4"/>
                <pt idx="0">
                  <v>智算服务器</v>
                </pt>
                <pt idx="1">
                  <v>通算服务器</v>
                </pt>
                <pt idx="2">
                  <v>网络及安全设备</v>
                </pt>
                <pt idx="3">
                  <v>其他费用</v>
                </pt>
              </strCache>
            </strRef>
          </cat>
          <val>
            <numRef>
              <f>'3-投资简表'!$L$3:$L$6</f>
              <numCache>
                <formatCode>0%</formatCode>
                <ptCount val="4"/>
                <pt idx="0">
                  <v>0.7914276194294271</v>
                </pt>
                <pt idx="1">
                  <v>0.005292221163357871</v>
                </pt>
                <pt idx="2">
                  <v>0.1195084514266004</v>
                </pt>
                <pt idx="3">
                  <v>0.08377170798061449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zh-CN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salli</author>
  </authors>
  <commentList>
    <comment ref="B5" authorId="0" shapeId="0">
      <text>
        <t>salli:
可以啥？没写完
已修改</t>
      </text>
    </comment>
  </commentList>
</comments>
</file>

<file path=xl/comments/comment2.xml><?xml version="1.0" encoding="utf-8"?>
<comments xmlns="http://schemas.openxmlformats.org/spreadsheetml/2006/main">
  <authors>
    <author>salli</author>
  </authors>
  <commentList>
    <comment ref="B25" authorId="0" shapeId="0">
      <text>
        <t>salli:
这些颜色好像和上面不一样，调整一下吧
已修改</t>
      </text>
    </comment>
  </commentList>
</comments>
</file>

<file path=xl/comments/comment3.xml><?xml version="1.0" encoding="utf-8"?>
<comments xmlns="http://schemas.openxmlformats.org/spreadsheetml/2006/main">
  <authors>
    <author>salli</author>
  </authors>
  <commentList>
    <comment ref="B2" authorId="0" shapeId="0">
      <text>
        <t>salli:
这里加了显存大小</t>
      </text>
    </comment>
  </commentList>
</comments>
</file>

<file path=xl/comments/comment4.xml><?xml version="1.0" encoding="utf-8"?>
<comments xmlns="http://schemas.openxmlformats.org/spreadsheetml/2006/main">
  <authors>
    <author>liuxue (F)</author>
  </authors>
  <commentList>
    <comment ref="I179" authorId="0" shapeId="0">
      <text>
        <t>liuxue (F):
1677数据来源：
(100%负载，32 * 400GE LC 2KM 光模块，室温30摄氏度)</t>
      </text>
    </comment>
    <comment ref="J179" authorId="0" shapeId="0">
      <text>
        <t>liuxue (F):
953：
(50%负载，16 * 400GE MPO 光模块，室温27摄氏度)</t>
      </text>
    </comment>
    <comment ref="I181" authorId="0" shapeId="0">
      <text>
        <t>liuxue (F):
1677数据来源：
(100%负载，32 * 400GE LC 2KM 光模块，室温30摄氏度)</t>
      </text>
    </comment>
    <comment ref="J181" authorId="0" shapeId="0">
      <text>
        <t>liuxue (F):
953：
(50%负载，16 * 400GE MPO 光模块，室温27摄氏度)</t>
      </text>
    </comment>
    <comment ref="I186" authorId="0" shapeId="0">
      <text>
        <t xml:space="preserve">liuxue (F):
2253：
(100%负载，128* 100GE LC 2KM光模块，室温30摄氏度)
</t>
      </text>
    </comment>
    <comment ref="J186" authorId="0" shapeId="0">
      <text>
        <t>liuxue (F):
1291：
(50%负载，64 * 100GE MPO 100m光模块，室温27摄氏度)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26505</colOff>
      <row>7</row>
      <rowOff>205410</rowOff>
    </from>
    <to>
      <col>14</col>
      <colOff>377688</colOff>
      <row>16</row>
      <rowOff>152401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id="1" name="Table_版本说明" displayName="Table_版本说明" ref="B1:B10" headerRowCount="1">
  <autoFilter ref="B1:B10"/>
  <tableColumns count="1">
    <tableColumn id="2" name="说明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Table_价格计算" displayName="Table_价格计算" ref="B2:X188" headerRowCount="1">
  <autoFilter ref="B2:X188"/>
  <tableColumns count="23">
    <tableColumn id="2" name="中国移动2023年至2024年数据中心交换机集中采购（新建部分）"/>
    <tableColumn id="3" name="None"/>
    <tableColumn id="4" name="None"/>
    <tableColumn id="5" name="None"/>
    <tableColumn id="6" name="None"/>
    <tableColumn id="7" name="None"/>
    <tableColumn id="8" name="None"/>
    <tableColumn id="9" name="None"/>
    <tableColumn id="10" name="None"/>
    <tableColumn id="11" name="None"/>
    <tableColumn id="12" name="None"/>
    <tableColumn id="13" name="None"/>
    <tableColumn id="14" name="None"/>
    <tableColumn id="15" name="None"/>
    <tableColumn id="16" name="None"/>
    <tableColumn id="17" name="None"/>
    <tableColumn id="18" name="None"/>
    <tableColumn id="19" name="None"/>
    <tableColumn id="20" name="None"/>
    <tableColumn id="21" name="None"/>
    <tableColumn id="22" name="None"/>
    <tableColumn id="23" name="None"/>
    <tableColumn id="24" name="None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Table_Sheet1" displayName="Table_Sheet1" ref="B1:L25" headerRowCount="1">
  <autoFilter ref="B1:L25"/>
  <tableColumns count="11">
    <tableColumn id="2" name="模型基础参数 → KV Cache 每秒数据量（O） → HBM 容纳 KV Cache 时长（P） → 存存比（外置存储容量 / 总 HBM 容量） → 外置存储容量"/>
    <tableColumn id="3" name="None"/>
    <tableColumn id="4" name="None"/>
    <tableColumn id="5" name="None"/>
    <tableColumn id="6" name="None"/>
    <tableColumn id="7" name="None"/>
    <tableColumn id="8" name="None"/>
    <tableColumn id="9" name="None"/>
    <tableColumn id="10" name="None"/>
    <tableColumn id="11" name="None"/>
    <tableColumn id="12" name="Non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_1_建设需求标准字段" displayName="Table_1_建设需求标准字段" ref="B1:E29" headerRowCount="1">
  <autoFilter ref="B1:E29"/>
  <tableColumns count="4">
    <tableColumn id="2" name="智算中心推理集群资源构建自动化工具"/>
    <tableColumn id="3" name="None"/>
    <tableColumn id="4" name="None"/>
    <tableColumn id="5" name="Non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_2_建设规模换算" displayName="Table_2_建设规模换算" ref="B2:J31" headerRowCount="1">
  <autoFilter ref="B2:J31"/>
  <tableColumns count="9">
    <tableColumn id="2" name="类别  "/>
    <tableColumn id="3" name="名称"/>
    <tableColumn id="4" name="设备配置"/>
    <tableColumn id="5" name="设备数量"/>
    <tableColumn id="6" name="单价"/>
    <tableColumn id="7" name="总价"/>
    <tableColumn id="8" name="功耗"/>
    <tableColumn id="9" name="总功耗"/>
    <tableColumn id="10" name="备注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_3_投资简表" displayName="Table_3_投资简表" ref="B2:L11" headerRowCount="1">
  <autoFilter ref="B2:L11"/>
  <tableColumns count="11">
    <tableColumn id="2" name="智算中心"/>
    <tableColumn id="3" name="类别"/>
    <tableColumn id="4" name="单位  "/>
    <tableColumn id="5" name="数量  "/>
    <tableColumn id="6" name="不含税投资估算(万元)   "/>
    <tableColumn id="7" name="增值税率"/>
    <tableColumn id="8" name="含税投资估算(万元)   "/>
    <tableColumn id="9" name="None"/>
    <tableColumn id="10" name="None"/>
    <tableColumn id="11" name="None"/>
    <tableColumn id="12" name="N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_4_组网模型" displayName="Table_4_组网模型" ref="A2:AU39" headerRowCount="1">
  <autoFilter ref="A2:AU39"/>
  <tableColumns count="47">
    <tableColumn id="1" name="None"/>
    <tableColumn id="2" name="None"/>
    <tableColumn id="3" name="None"/>
    <tableColumn id="4" name="None"/>
    <tableColumn id="5" name="None"/>
    <tableColumn id="6" name="None"/>
    <tableColumn id="7" name="None"/>
    <tableColumn id="8" name="None"/>
    <tableColumn id="9" name="None"/>
    <tableColumn id="10" name="None"/>
    <tableColumn id="11" name="None"/>
    <tableColumn id="12" name="None"/>
    <tableColumn id="13" name="None"/>
    <tableColumn id="14" name="None"/>
    <tableColumn id="15" name="None"/>
    <tableColumn id="16" name="None"/>
    <tableColumn id="17" name="None"/>
    <tableColumn id="18" name="='2-建设规模换算'!C15"/>
    <tableColumn id="19" name="='2-建设规模换算'!E15"/>
    <tableColumn id="20" name="None"/>
    <tableColumn id="21" name="None"/>
    <tableColumn id="22" name="None"/>
    <tableColumn id="23" name="='2-建设规模换算'!C22"/>
    <tableColumn id="24" name="='2-建设规模换算'!E22"/>
    <tableColumn id="25" name="None"/>
    <tableColumn id="26" name="None"/>
    <tableColumn id="27" name="None"/>
    <tableColumn id="28" name="None"/>
    <tableColumn id="29" name="None"/>
    <tableColumn id="30" name="None"/>
    <tableColumn id="31" name="None"/>
    <tableColumn id="32" name="None"/>
    <tableColumn id="33" name="None"/>
    <tableColumn id="34" name="None"/>
    <tableColumn id="35" name="None"/>
    <tableColumn id="36" name="None"/>
    <tableColumn id="37" name="None"/>
    <tableColumn id="38" name="None"/>
    <tableColumn id="39" name="None"/>
    <tableColumn id="40" name="None"/>
    <tableColumn id="41" name="None"/>
    <tableColumn id="42" name="None"/>
    <tableColumn id="43" name="None"/>
    <tableColumn id="44" name="None"/>
    <tableColumn id="45" name="None"/>
    <tableColumn id="46" name="None"/>
    <tableColumn id="47" name="N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e_5_机柜装架" displayName="Table_5_机柜装架" ref="B2:I22" headerRowCount="1">
  <autoFilter ref="B2:I22"/>
  <tableColumns count="8">
    <tableColumn id="2" name="非弹性装架"/>
    <tableColumn id="3" name="None"/>
    <tableColumn id="4" name="None"/>
    <tableColumn id="5" name="None"/>
    <tableColumn id="6" name="None"/>
    <tableColumn id="7" name="None"/>
    <tableColumn id="8" name="None"/>
    <tableColumn id="9" name="Non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Table_服务器模型_勿动" displayName="Table_服务器模型_勿动" ref="A1:I7" headerRowCount="1">
  <autoFilter ref="A1:I7"/>
  <tableColumns count="9">
    <tableColumn id="1" name="序号"/>
    <tableColumn id="2" name="产品名称"/>
    <tableColumn id="3" name="服务器典配模型"/>
    <tableColumn id="4" name="配置"/>
    <tableColumn id="5" name="单位"/>
    <tableColumn id="6" name="功耗_x000a_（kw）"/>
    <tableColumn id="7" name="价格_x000a_（万元）"/>
    <tableColumn id="8" name="单卡算力_x000a_（FP16）"/>
    <tableColumn id="9" name="备注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_网络设备模型_勿动" displayName="Table_网络设备模型_勿动" ref="A1:G17" headerRowCount="1">
  <autoFilter ref="A1:G17"/>
  <tableColumns count="7">
    <tableColumn id="1" name="交换机"/>
    <tableColumn id="2" name="典配"/>
    <tableColumn id="3" name="网络设备配置"/>
    <tableColumn id="4" name="功耗（kw）"/>
    <tableColumn id="5" name="价格（万元）"/>
    <tableColumn id="6" name="满配价格"/>
    <tableColumn id="7" name="备注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Table_机柜装架规则_勿动" displayName="Table_机柜装架规则_勿动" ref="C1:D4" headerRowCount="1">
  <autoFilter ref="C1:D4"/>
  <tableColumns count="2">
    <tableColumn id="3" name="对象存储集群组件"/>
    <tableColumn id="4" name="设计原则及装架要求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4.xml" Id="rId2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C11"/>
  <sheetViews>
    <sheetView workbookViewId="0">
      <pane ySplit="1" topLeftCell="A2" activePane="bottomLeft" state="frozen"/>
      <selection pane="bottomLeft" activeCell="B8" sqref="B8"/>
    </sheetView>
  </sheetViews>
  <sheetFormatPr baseColWidth="8" defaultColWidth="8.77734375" defaultRowHeight="14.4"/>
  <cols>
    <col width="60" customWidth="1" style="192" min="2" max="2"/>
  </cols>
  <sheetData>
    <row r="1" ht="18" customHeight="1" s="192">
      <c r="B1" s="354" t="inlineStr">
        <is>
          <t>说明</t>
        </is>
      </c>
      <c r="C1" s="235" t="n"/>
    </row>
    <row r="2" ht="18" customHeight="1" s="192">
      <c r="B2" s="355" t="inlineStr">
        <is>
          <t>1、在"需求标准字段"sheet填写建设需求；</t>
        </is>
      </c>
      <c r="C2" s="235" t="n"/>
    </row>
    <row r="3" ht="18" customHeight="1" s="192">
      <c r="B3" s="355" t="inlineStr">
        <is>
          <t>2、"服务器模型"、"网络设备模型"为固化sheet，无需修改；</t>
        </is>
      </c>
      <c r="C3" s="235" t="n"/>
    </row>
    <row r="4" ht="18" customHeight="1" s="192">
      <c r="B4" s="355" t="inlineStr">
        <is>
          <t>3、"组网模型"sheet 可以根据产品组网模型，并结合填写的建设需求，自动输出POD内网络设备的建设规模；</t>
        </is>
      </c>
      <c r="C4" s="235" t="n"/>
    </row>
    <row r="5" ht="18" customHeight="1" s="192">
      <c r="B5" s="356" t="inlineStr">
        <is>
          <t>4、"需求和建设规模换算"sheet 可相互关联</t>
        </is>
      </c>
      <c r="C5" s="235" t="n"/>
    </row>
    <row r="6" ht="18" customHeight="1" s="192">
      <c r="B6" s="355" t="inlineStr">
        <is>
          <t>5、"装架原则"sheet为对象存储的装架原则，供设计参考</t>
        </is>
      </c>
      <c r="C6" s="235" t="n"/>
    </row>
    <row r="7" ht="18" customHeight="1" s="192">
      <c r="B7" s="355" t="inlineStr">
        <is>
          <t>7、其他部分自动输出。</t>
        </is>
      </c>
      <c r="C7" s="235" t="n"/>
    </row>
    <row r="8" ht="18" customHeight="1" s="192">
      <c r="B8" s="356" t="inlineStr">
        <is>
          <t>8、若单台服务器满足DS满血版高参数量应用场景，则不需要参数面
若单台服务器不满足DS满血版高参数量应用场景，则需要新建参数面实现跨机互通
推理场景下，考虑长记忆KVcache的情况需要数据面和高性能文件存储。</t>
        </is>
      </c>
      <c r="C8" s="235" t="n"/>
    </row>
    <row r="9" ht="18" customHeight="1" s="192">
      <c r="B9" s="357" t="inlineStr">
        <is>
          <t>9、天池sdn除了裸金属的接入交换机和管理域的接入交换机（包括业务域服务器的管理接入交换机和ipmi），都要求做arp双发，设备间无互连线</t>
        </is>
      </c>
    </row>
    <row r="10" ht="18" customHeight="1" s="192">
      <c r="B10" s="357" t="inlineStr">
        <is>
          <t>10、裸金属网关2.0结构
1)一对VTEP交换机下接入40台裸金属;一对BMGW接入交换机，综合考虑上下行带宽，建议接入4台BMGW，可提供600G总带宽；
2)BMGW双活成对部署，一对约提供300G总带宽，若单台裸金属平均流量为5G，一对BMGW最多可纳管60台裸金属，一组裸金属网关集群最大可纳管120台BM;若单台裸金属平均流量为10G，一对BMGW最多可纳管30台裸金属，一组裸金属网关集群最大可纳管60台裸金属； 
3)建议在裸金属网关单集群的带宽容量规划中预留冗余空间，如当单集群实时带宽使用率超过总带宽的60%时，系统应自动触发流量调度机制将业务负载迁移至其他可用集群，或启动裸金属网关集群的横向扩容，以保障服务性能及资源弹性。</t>
        </is>
      </c>
    </row>
    <row r="11">
      <c r="B11" s="358" t="n"/>
    </row>
  </sheetData>
  <autoFilter ref="B1:B10"/>
  <pageMargins left="0.75" right="0.75" top="1" bottom="1" header="0.5" footer="0.5"/>
  <pageSetup orientation="portrait" paperSize="9"/>
  <legacyDrawing xmlns:r="http://schemas.openxmlformats.org/officeDocument/2006/relationships" r:id="anysvml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 codeName="Sheet12">
    <tabColor rgb="FFFF0000"/>
    <outlinePr summaryBelow="1" summaryRight="1"/>
    <pageSetUpPr/>
  </sheetPr>
  <dimension ref="A1:X188"/>
  <sheetViews>
    <sheetView topLeftCell="E148" workbookViewId="0">
      <pane ySplit="2" topLeftCell="A3" activePane="bottomLeft" state="frozen"/>
      <selection pane="bottomLeft" activeCell="M161" sqref="M161"/>
    </sheetView>
  </sheetViews>
  <sheetFormatPr baseColWidth="8" defaultColWidth="9.77734375" defaultRowHeight="12"/>
  <cols>
    <col width="9.77734375" customWidth="1" style="12" min="1" max="1"/>
    <col width="60" customWidth="1" style="12" min="2" max="2"/>
    <col width="25.3" customWidth="1" style="12" min="3" max="3"/>
    <col width="41.8" customWidth="1" style="12" min="4" max="4"/>
    <col width="37.40000000000001" customWidth="1" style="12" min="5" max="5"/>
    <col width="36.3" customWidth="1" style="12" min="6" max="6"/>
    <col width="60" customWidth="1" style="12" min="7" max="7"/>
    <col hidden="1" width="60" customWidth="1" style="12" min="8" max="8"/>
    <col width="57.2" customWidth="1" style="12" min="9" max="9"/>
    <col hidden="1" width="60" customWidth="1" style="12" min="10" max="10"/>
    <col hidden="1" width="60" customWidth="1" style="12" min="11" max="12"/>
    <col width="18.7" customWidth="1" style="192" min="12" max="12"/>
    <col width="60" customWidth="1" style="12" min="13" max="13"/>
    <col hidden="1" width="14.3" customWidth="1" style="12" min="14" max="14"/>
    <col width="60" customWidth="1" style="12" min="15" max="15"/>
    <col hidden="1" width="14.3" customWidth="1" style="12" min="16" max="18"/>
    <col width="14.3" customWidth="1" style="192" min="17" max="17"/>
    <col width="14.3" customWidth="1" style="192" min="18" max="18"/>
    <col width="10" customWidth="1" style="12" min="19" max="19"/>
    <col width="10" customWidth="1" style="12" min="20" max="20"/>
    <col width="60" customWidth="1" style="12" min="21" max="21"/>
    <col width="30.8" customWidth="1" style="12" min="22" max="23"/>
    <col width="59.40000000000001" customWidth="1" style="192" min="23" max="23"/>
    <col width="50.6" customWidth="1" style="12" min="24" max="24"/>
    <col width="34.109375" customWidth="1" style="12" min="25" max="30"/>
    <col width="9.77734375" customWidth="1" style="12" min="31" max="16384"/>
  </cols>
  <sheetData>
    <row r="1"/>
    <row r="2" ht="18" customHeight="1" s="192">
      <c r="B2" s="385" t="inlineStr">
        <is>
          <t>中国移动2023年至2024年数据中心交换机集中采购（新建部分）</t>
        </is>
      </c>
      <c r="C2" s="384" t="n"/>
      <c r="D2" s="384" t="n"/>
      <c r="E2" s="384" t="n"/>
      <c r="F2" s="384" t="n"/>
      <c r="G2" s="384" t="n"/>
      <c r="H2" s="385" t="n"/>
      <c r="I2" s="385" t="n"/>
      <c r="J2" s="385" t="n"/>
      <c r="K2" s="385" t="n"/>
      <c r="L2" s="385" t="n"/>
      <c r="M2" s="384" t="n"/>
      <c r="N2" s="384" t="n"/>
      <c r="O2" s="384" t="n"/>
      <c r="P2" s="384" t="n"/>
      <c r="Q2" s="384" t="n"/>
      <c r="R2" s="384" t="n"/>
      <c r="S2" s="384" t="n"/>
      <c r="T2" s="384" t="n"/>
      <c r="U2" s="384" t="n"/>
      <c r="V2" s="384" t="n"/>
      <c r="W2" s="384" t="n"/>
      <c r="X2" s="384" t="n"/>
    </row>
    <row r="3" ht="18" customFormat="1" customHeight="1" s="11">
      <c r="B3" s="426" t="inlineStr">
        <is>
          <t>数据中心交换机
典配1 3.6T核心交换机（8槽&amp;16槽）</t>
        </is>
      </c>
      <c r="C3" s="427" t="inlineStr">
        <is>
          <t>单台均值
（万元）</t>
        </is>
      </c>
      <c r="D3" s="427" t="inlineStr">
        <is>
          <t>单台峰值
（万元）</t>
        </is>
      </c>
      <c r="E3" s="428" t="inlineStr">
        <is>
          <t>部件分类</t>
        </is>
      </c>
      <c r="F3" s="379" t="n"/>
      <c r="G3" s="428" t="inlineStr">
        <is>
          <t>配置详细描述及配置原则</t>
        </is>
      </c>
      <c r="H3" s="429" t="inlineStr">
        <is>
          <t>单价（元）</t>
        </is>
      </c>
      <c r="I3" s="414" t="n"/>
      <c r="J3" s="414" t="n"/>
      <c r="K3" s="414" t="n"/>
      <c r="L3" s="414" t="n"/>
      <c r="M3" s="428" t="inlineStr">
        <is>
          <t>数量（台）</t>
        </is>
      </c>
      <c r="N3" s="428" t="inlineStr">
        <is>
          <t>总价（元）</t>
        </is>
      </c>
      <c r="O3" s="379" t="n"/>
      <c r="P3" s="379" t="n"/>
      <c r="Q3" s="379" t="n"/>
      <c r="R3" s="379" t="n"/>
      <c r="S3" s="430" t="inlineStr">
        <is>
          <t>备注</t>
        </is>
      </c>
      <c r="T3" s="379" t="n"/>
      <c r="U3" s="379" t="n"/>
      <c r="V3" s="379" t="n"/>
      <c r="W3" s="379" t="n"/>
      <c r="X3" s="379" t="n"/>
    </row>
    <row r="4" ht="18" customFormat="1" customHeight="1" s="11">
      <c r="B4" s="431" t="n"/>
      <c r="C4" s="379" t="n"/>
      <c r="D4" s="379" t="n"/>
      <c r="E4" s="379" t="n"/>
      <c r="F4" s="379" t="n"/>
      <c r="G4" s="379" t="n"/>
      <c r="H4" s="429" t="inlineStr">
        <is>
          <t>烽火</t>
        </is>
      </c>
      <c r="I4" s="429" t="inlineStr">
        <is>
          <t>华为</t>
        </is>
      </c>
      <c r="J4" s="429" t="inlineStr">
        <is>
          <t>中兴</t>
        </is>
      </c>
      <c r="K4" s="429" t="inlineStr">
        <is>
          <t>新华三</t>
        </is>
      </c>
      <c r="L4" s="429" t="inlineStr">
        <is>
          <t>锐捷</t>
        </is>
      </c>
      <c r="M4" s="379" t="n"/>
      <c r="N4" s="428" t="inlineStr">
        <is>
          <t>烽火</t>
        </is>
      </c>
      <c r="O4" s="428" t="inlineStr">
        <is>
          <t>华为</t>
        </is>
      </c>
      <c r="P4" s="428" t="inlineStr">
        <is>
          <t>中兴</t>
        </is>
      </c>
      <c r="Q4" s="428" t="inlineStr">
        <is>
          <t>新华三</t>
        </is>
      </c>
      <c r="R4" s="428" t="inlineStr">
        <is>
          <t>锐捷</t>
        </is>
      </c>
      <c r="S4" s="379" t="n"/>
      <c r="T4" s="379" t="n"/>
      <c r="U4" s="379" t="n"/>
      <c r="V4" s="379" t="n"/>
      <c r="W4" s="379" t="n"/>
      <c r="X4" s="379" t="n"/>
    </row>
    <row r="5" ht="18" customHeight="1" s="192">
      <c r="B5" s="431" t="n"/>
      <c r="C5" s="427">
        <f>AVERAGE(N26:R26)/10000</f>
        <v/>
      </c>
      <c r="D5" s="427">
        <f>MAX(N26:R26)/10000</f>
        <v/>
      </c>
      <c r="E5" s="432" t="inlineStr">
        <is>
          <t>基本配置单元</t>
        </is>
      </c>
      <c r="F5" s="433" t="inlineStr">
        <is>
          <t>典配1、2-核心16槽位机框套件：交直流主机框</t>
        </is>
      </c>
      <c r="G5" s="434" t="inlineStr">
        <is>
          <t>配置1套S16800-16机箱，含总装机箱（含电源线、接地保护线、安装上架套件等辅材）,冗余并满配主控处理单元MPU30A*2,满配风扇(FMU30A*8,FMU30B*5),S16800系列交换机产品文档、全功能软件包等，不限许可数量</t>
        </is>
      </c>
      <c r="H5" s="435" t="n">
        <v>13563.88</v>
      </c>
      <c r="I5" s="435" t="n">
        <v>14727.7</v>
      </c>
      <c r="J5" s="435" t="n">
        <v>15087.52</v>
      </c>
      <c r="K5" s="436" t="n">
        <v>15566.45</v>
      </c>
      <c r="L5" s="436" t="n">
        <v>14680.55</v>
      </c>
      <c r="M5" s="437">
        <f>IF(U25+W25&gt;8,1,0)</f>
        <v/>
      </c>
      <c r="N5" s="433">
        <f>H5*$M$5</f>
        <v/>
      </c>
      <c r="O5" s="433">
        <f>I5*$M$5</f>
        <v/>
      </c>
      <c r="P5" s="433">
        <f>J5*$M$5</f>
        <v/>
      </c>
      <c r="Q5" s="433">
        <f>K5*$M$5</f>
        <v/>
      </c>
      <c r="R5" s="433">
        <f>L5*$M$5</f>
        <v/>
      </c>
      <c r="S5" s="437" t="inlineStr">
        <is>
          <t>必选</t>
        </is>
      </c>
      <c r="T5" s="379" t="n"/>
      <c r="U5" s="379" t="n"/>
      <c r="V5" s="379" t="n"/>
      <c r="W5" s="379" t="n"/>
      <c r="X5" s="379" t="n"/>
    </row>
    <row r="6" ht="18" customHeight="1" s="192">
      <c r="B6" s="431" t="n"/>
      <c r="C6" s="379" t="n"/>
      <c r="D6" s="379" t="n"/>
      <c r="E6" s="379" t="n"/>
      <c r="F6" s="433" t="inlineStr">
        <is>
          <t>典配1、2-核心16槽位机框交直流电源模块满配</t>
        </is>
      </c>
      <c r="G6" s="434" t="inlineStr">
        <is>
          <t>3000W交流/高压直流电源模块组合配置(PM-S16AC3000*10)/2200W双输入直流电源模块组合配置(PM-S16DC2200*10)</t>
        </is>
      </c>
      <c r="H6" s="435" t="n">
        <v>5643.65</v>
      </c>
      <c r="I6" s="435" t="n">
        <v>6127.89</v>
      </c>
      <c r="J6" s="435" t="n">
        <v>6277.6</v>
      </c>
      <c r="K6" s="436" t="n">
        <v>6476.87</v>
      </c>
      <c r="L6" s="436" t="n">
        <v>6108.27</v>
      </c>
      <c r="M6" s="437">
        <f>IF(U25+W25&gt;8,1,0)</f>
        <v/>
      </c>
      <c r="N6" s="433">
        <f>H6*$M$6</f>
        <v/>
      </c>
      <c r="O6" s="433">
        <f>I6*$M$6</f>
        <v/>
      </c>
      <c r="P6" s="433">
        <f>J6*$M$6</f>
        <v/>
      </c>
      <c r="Q6" s="433">
        <f>K6*$M$6</f>
        <v/>
      </c>
      <c r="R6" s="433">
        <f>L6*$M$6</f>
        <v/>
      </c>
      <c r="S6" s="437" t="inlineStr">
        <is>
          <t>必选</t>
        </is>
      </c>
      <c r="T6" s="379" t="n"/>
      <c r="U6" s="379" t="n"/>
      <c r="V6" s="379" t="n"/>
      <c r="W6" s="379" t="n"/>
      <c r="X6" s="379" t="n"/>
    </row>
    <row r="7" ht="18" customHeight="1" s="192">
      <c r="B7" s="431" t="n"/>
      <c r="C7" s="379" t="n"/>
      <c r="D7" s="379" t="n"/>
      <c r="E7" s="379" t="n"/>
      <c r="F7" s="433" t="inlineStr">
        <is>
          <t>典配1、2-核心16槽位机框交直流电源模块半配</t>
        </is>
      </c>
      <c r="G7" s="434" t="inlineStr">
        <is>
          <t>3000W交流/高压直流电源模块组合配置(PM-S16AC3000*6)/  2200W双输入直流电源模块组合配置(PM-S16DC2200*8)</t>
        </is>
      </c>
      <c r="H7" s="435" t="n">
        <v>4280.97</v>
      </c>
      <c r="I7" s="435" t="n">
        <v>4648.29</v>
      </c>
      <c r="J7" s="435" t="n">
        <v>4761.86</v>
      </c>
      <c r="K7" s="436" t="n">
        <v>4913.01</v>
      </c>
      <c r="L7" s="436" t="n">
        <v>4633.41</v>
      </c>
      <c r="M7" s="433" t="n"/>
      <c r="N7" s="433">
        <f>H7*$M$7</f>
        <v/>
      </c>
      <c r="O7" s="433">
        <f>I7*$M$7</f>
        <v/>
      </c>
      <c r="P7" s="433">
        <f>J7*$M$7</f>
        <v/>
      </c>
      <c r="Q7" s="433">
        <f>K7*$M$7</f>
        <v/>
      </c>
      <c r="R7" s="433">
        <f>L7*$M$7</f>
        <v/>
      </c>
      <c r="S7" s="433" t="n"/>
      <c r="T7" s="379" t="n"/>
      <c r="U7" s="379" t="n"/>
      <c r="V7" s="379" t="n"/>
      <c r="W7" s="379" t="n"/>
      <c r="X7" s="379" t="n"/>
    </row>
    <row r="8" ht="18" customHeight="1" s="192">
      <c r="B8" s="431" t="n"/>
      <c r="C8" s="379" t="n"/>
      <c r="D8" s="379" t="n"/>
      <c r="E8" s="432" t="inlineStr">
        <is>
          <t>基本配置单元-交换网板</t>
        </is>
      </c>
      <c r="F8" s="433" t="inlineStr">
        <is>
          <t>16槽位单块独立交换网单元（3.6T）平均每100G能力</t>
        </is>
      </c>
      <c r="G8" s="434" t="inlineStr">
        <is>
          <t>S16800-16 A型3.6T平台交换网板</t>
        </is>
      </c>
      <c r="H8" s="435" t="n">
        <v>16745.64</v>
      </c>
      <c r="I8" s="435" t="n">
        <v>18182.47</v>
      </c>
      <c r="J8" s="435" t="n">
        <v>18626.69</v>
      </c>
      <c r="K8" s="436" t="n">
        <v>19217.96</v>
      </c>
      <c r="L8" s="436" t="n">
        <v>18124.26</v>
      </c>
      <c r="M8" s="437">
        <f>IF(U25+W25&gt;8,6,0)</f>
        <v/>
      </c>
      <c r="N8" s="433">
        <f>H8*$M$8</f>
        <v/>
      </c>
      <c r="O8" s="433">
        <f>I8*$M$8</f>
        <v/>
      </c>
      <c r="P8" s="433">
        <f>J8*$M$8</f>
        <v/>
      </c>
      <c r="Q8" s="433">
        <f>K8*$M$8</f>
        <v/>
      </c>
      <c r="R8" s="433">
        <f>L8*$M$8</f>
        <v/>
      </c>
      <c r="S8" s="437" t="inlineStr">
        <is>
          <t>必选</t>
        </is>
      </c>
      <c r="T8" s="379" t="n"/>
      <c r="U8" s="379" t="n"/>
      <c r="V8" s="379" t="n"/>
      <c r="W8" s="379" t="n"/>
      <c r="X8" s="379" t="n"/>
    </row>
    <row r="9" ht="18" customHeight="1" s="192">
      <c r="B9" s="431" t="n"/>
      <c r="C9" s="379" t="n"/>
      <c r="D9" s="379" t="n"/>
      <c r="E9" s="432" t="inlineStr">
        <is>
          <t>基本配置单元</t>
        </is>
      </c>
      <c r="F9" s="433" t="inlineStr">
        <is>
          <t>典配1、2-核心8槽位机框套件：交直流主机框</t>
        </is>
      </c>
      <c r="G9" s="434" t="inlineStr">
        <is>
          <t>配置1套S16800-08机箱，含总装机箱（含电源线、接地保护线、安装上架套件等辅材）,冗余并满配主控处理单元MPU30A*2,满配风扇(FMU30A*4,FMU30B*5),S16800系列交换机产品文档、全功能软件包等，不限许可数量</t>
        </is>
      </c>
      <c r="H9" s="435" t="n">
        <v>9941.01</v>
      </c>
      <c r="I9" s="435" t="n">
        <v>10793.98</v>
      </c>
      <c r="J9" s="435" t="n">
        <v>11057.7</v>
      </c>
      <c r="K9" s="436" t="n">
        <v>11408.71</v>
      </c>
      <c r="L9" s="436" t="n">
        <v>10759.43</v>
      </c>
      <c r="M9" s="433">
        <f>IF(U25+W25&gt;0,IF(U25+W25&lt;=8,1,0),0)</f>
        <v/>
      </c>
      <c r="N9" s="433">
        <f>H9*$M$9</f>
        <v/>
      </c>
      <c r="O9" s="433">
        <f>I9*$M$9</f>
        <v/>
      </c>
      <c r="P9" s="433">
        <f>J9*$M$9</f>
        <v/>
      </c>
      <c r="Q9" s="433">
        <f>K9*$M$9</f>
        <v/>
      </c>
      <c r="R9" s="433">
        <f>L9*$M$9</f>
        <v/>
      </c>
      <c r="S9" s="437" t="inlineStr">
        <is>
          <t>必选</t>
        </is>
      </c>
      <c r="T9" s="379" t="n"/>
      <c r="U9" s="379" t="n"/>
      <c r="V9" s="379" t="n"/>
      <c r="W9" s="379" t="n"/>
      <c r="X9" s="379" t="n"/>
    </row>
    <row r="10" ht="18" customHeight="1" s="192">
      <c r="B10" s="431" t="n"/>
      <c r="C10" s="379" t="n"/>
      <c r="D10" s="379" t="n"/>
      <c r="E10" s="379" t="n"/>
      <c r="F10" s="433" t="inlineStr">
        <is>
          <t>典配1、2-核心8槽位机框交直流电源模块满配</t>
        </is>
      </c>
      <c r="G10" s="434" t="inlineStr">
        <is>
          <t>3000W交流/高压直流电源模块组合配置(PM-S16AC3000*8)/2200W直流电源模块组合配置(PM-S16DC2200*8)</t>
        </is>
      </c>
      <c r="H10" s="435" t="n">
        <v>3434.29</v>
      </c>
      <c r="I10" s="435" t="n">
        <v>3728.96</v>
      </c>
      <c r="J10" s="435" t="n">
        <v>3820.06</v>
      </c>
      <c r="K10" s="436" t="n">
        <v>3941.33</v>
      </c>
      <c r="L10" s="436" t="n">
        <v>3717.02</v>
      </c>
      <c r="M10" s="433">
        <f>IF(U25+W25&gt;0,IF(U25+W25&lt;=8,1,0),0)</f>
        <v/>
      </c>
      <c r="N10" s="433">
        <f>H10*$M$10</f>
        <v/>
      </c>
      <c r="O10" s="433">
        <f>I10*$M$10</f>
        <v/>
      </c>
      <c r="P10" s="433">
        <f>J10*$M$10</f>
        <v/>
      </c>
      <c r="Q10" s="433">
        <f>K10*$M$10</f>
        <v/>
      </c>
      <c r="R10" s="433">
        <f>L10*$M$10</f>
        <v/>
      </c>
      <c r="S10" s="437" t="inlineStr">
        <is>
          <t>必选</t>
        </is>
      </c>
      <c r="T10" s="379" t="n"/>
      <c r="U10" s="379" t="n"/>
      <c r="V10" s="379" t="n"/>
      <c r="W10" s="379" t="n"/>
      <c r="X10" s="379" t="n"/>
    </row>
    <row r="11" ht="18" customHeight="1" s="192">
      <c r="B11" s="431" t="n"/>
      <c r="C11" s="379" t="n"/>
      <c r="D11" s="379" t="n"/>
      <c r="E11" s="379" t="n"/>
      <c r="F11" s="433" t="inlineStr">
        <is>
          <t>典配1、2-核心8槽位机框交直流电源模块半配</t>
        </is>
      </c>
      <c r="G11" s="434" t="inlineStr">
        <is>
          <t>3000W交流/高压直流电源模块组合配置(PM-S16AC3000*4)/2200W直流电源模块组合配置(PM-S16DC2200*4)</t>
        </is>
      </c>
      <c r="H11" s="435" t="n">
        <v>2637.35</v>
      </c>
      <c r="I11" s="435" t="n">
        <v>2863.64</v>
      </c>
      <c r="J11" s="435" t="n">
        <v>2933.6</v>
      </c>
      <c r="K11" s="436" t="n">
        <v>3026.72</v>
      </c>
      <c r="L11" s="436" t="n">
        <v>2854.47</v>
      </c>
      <c r="M11" s="433" t="n"/>
      <c r="N11" s="433">
        <f>H11*$M$11</f>
        <v/>
      </c>
      <c r="O11" s="433">
        <f>I11*$M$11</f>
        <v/>
      </c>
      <c r="P11" s="433">
        <f>J11*$M$11</f>
        <v/>
      </c>
      <c r="Q11" s="433">
        <f>K11*$M$11</f>
        <v/>
      </c>
      <c r="R11" s="433">
        <f>L11*$M$11</f>
        <v/>
      </c>
      <c r="S11" s="433" t="n"/>
      <c r="T11" s="379" t="n"/>
      <c r="U11" s="379" t="n"/>
      <c r="V11" s="379" t="n"/>
      <c r="W11" s="379" t="n"/>
      <c r="X11" s="379" t="n"/>
    </row>
    <row r="12" ht="18" customHeight="1" s="192">
      <c r="B12" s="431" t="n"/>
      <c r="C12" s="379" t="n"/>
      <c r="D12" s="379" t="n"/>
      <c r="E12" s="432" t="inlineStr">
        <is>
          <t>基本配置单元-交换网板</t>
        </is>
      </c>
      <c r="F12" s="433" t="inlineStr">
        <is>
          <t>8槽位单块独立交换网单元（3.6T）平均每100G能力</t>
        </is>
      </c>
      <c r="G12" s="434" t="inlineStr">
        <is>
          <t>S16800-08 A型3.6T平台交换网板</t>
        </is>
      </c>
      <c r="H12" s="435" t="n">
        <v>7634.91</v>
      </c>
      <c r="I12" s="435" t="n">
        <v>8290.01</v>
      </c>
      <c r="J12" s="435" t="n">
        <v>8492.540000000001</v>
      </c>
      <c r="K12" s="436" t="n">
        <v>8762.129999999999</v>
      </c>
      <c r="L12" s="436" t="n">
        <v>8263.469999999999</v>
      </c>
      <c r="M12" s="433">
        <f>IF(U25+W25&gt;0,IF(U25+W25&lt;=8,6,0),0)</f>
        <v/>
      </c>
      <c r="N12" s="433">
        <f>H12*$M$12</f>
        <v/>
      </c>
      <c r="O12" s="433">
        <f>I12*$M$12</f>
        <v/>
      </c>
      <c r="P12" s="433">
        <f>J12*$M$12</f>
        <v/>
      </c>
      <c r="Q12" s="433">
        <f>K12*$M$12</f>
        <v/>
      </c>
      <c r="R12" s="433">
        <f>L12*$M$12</f>
        <v/>
      </c>
      <c r="S12" s="437" t="inlineStr">
        <is>
          <t>必选</t>
        </is>
      </c>
      <c r="T12" s="379" t="n"/>
      <c r="U12" s="379" t="n"/>
      <c r="V12" s="379" t="n"/>
      <c r="W12" s="379" t="n"/>
      <c r="X12" s="379" t="n"/>
    </row>
    <row r="13" ht="18" customHeight="1" s="192">
      <c r="B13" s="431" t="n"/>
      <c r="C13" s="379" t="n"/>
      <c r="D13" s="379" t="n"/>
      <c r="E13" s="438" t="inlineStr">
        <is>
          <t>接口板单元</t>
        </is>
      </c>
      <c r="F13" s="433" t="inlineStr">
        <is>
          <t>3.6T平台100GE板卡平均单100GE端口（典配1）</t>
        </is>
      </c>
      <c r="G13" s="439" t="inlineStr">
        <is>
          <t>36端口100GE以太网光接口板(QSFP28)</t>
        </is>
      </c>
      <c r="H13" s="435" t="n">
        <v>41185.22</v>
      </c>
      <c r="I13" s="435" t="n">
        <v>44719.04</v>
      </c>
      <c r="J13" s="435" t="n">
        <v>45811.58</v>
      </c>
      <c r="K13" s="436" t="n">
        <v>47265.8</v>
      </c>
      <c r="L13" s="436" t="n">
        <v>44575.88</v>
      </c>
      <c r="M13" s="433">
        <f>U25</f>
        <v/>
      </c>
      <c r="N13" s="433">
        <f>H13*$M$13</f>
        <v/>
      </c>
      <c r="O13" s="433">
        <f>I13*$M$13</f>
        <v/>
      </c>
      <c r="P13" s="433">
        <f>J13*$M$13</f>
        <v/>
      </c>
      <c r="Q13" s="433">
        <f>K13*$M$13</f>
        <v/>
      </c>
      <c r="R13" s="433">
        <f>L13*$M$13</f>
        <v/>
      </c>
      <c r="S13" s="433" t="inlineStr">
        <is>
          <t>可选</t>
        </is>
      </c>
      <c r="T13" s="379" t="n"/>
      <c r="U13" s="379" t="n"/>
      <c r="V13" s="379" t="n"/>
      <c r="W13" s="379" t="n"/>
      <c r="X13" s="379" t="n"/>
    </row>
    <row r="14" ht="18" customHeight="1" s="192">
      <c r="B14" s="431" t="n"/>
      <c r="C14" s="379" t="n"/>
      <c r="D14" s="379" t="n"/>
      <c r="E14" s="379" t="n"/>
      <c r="F14" s="433" t="inlineStr">
        <is>
          <t>1.8T平台40GE板卡平均单40GE端口（典配1、2）</t>
        </is>
      </c>
      <c r="G14" s="439" t="inlineStr">
        <is>
          <t>36端口40GE以太网光接口板(QSFP+)</t>
        </is>
      </c>
      <c r="H14" s="435" t="n">
        <v>25049.58</v>
      </c>
      <c r="I14" s="435" t="n">
        <v>27198.92</v>
      </c>
      <c r="J14" s="435" t="n">
        <v>27863.42</v>
      </c>
      <c r="K14" s="436" t="n">
        <v>33539.22</v>
      </c>
      <c r="L14" s="436" t="n">
        <v>27111.84</v>
      </c>
      <c r="M14" s="433">
        <f>W25</f>
        <v/>
      </c>
      <c r="N14" s="433">
        <f>H14*$M$14</f>
        <v/>
      </c>
      <c r="O14" s="433">
        <f>I14*$M$14</f>
        <v/>
      </c>
      <c r="P14" s="433">
        <f>J14*$M$14</f>
        <v/>
      </c>
      <c r="Q14" s="433">
        <f>K14*$M$14</f>
        <v/>
      </c>
      <c r="R14" s="433">
        <f>L14*$M$14</f>
        <v/>
      </c>
      <c r="S14" s="433" t="inlineStr">
        <is>
          <t>可选</t>
        </is>
      </c>
      <c r="T14" s="379" t="n"/>
      <c r="U14" s="379" t="n"/>
      <c r="V14" s="379" t="n"/>
      <c r="W14" s="379" t="n"/>
      <c r="X14" s="379" t="n"/>
    </row>
    <row r="15" ht="18" customHeight="1" s="192">
      <c r="B15" s="431" t="n"/>
      <c r="C15" s="379" t="n"/>
      <c r="D15" s="379" t="n"/>
      <c r="E15" s="379" t="n"/>
      <c r="F15" s="433" t="inlineStr">
        <is>
          <t>1.8T平台10GE板卡平均单10GE端口（典配1、2）</t>
        </is>
      </c>
      <c r="G15" s="439" t="inlineStr">
        <is>
          <t>48端口10GE以太网光接口板(SFP+)</t>
        </is>
      </c>
      <c r="H15" s="435" t="n">
        <v>13695.61</v>
      </c>
      <c r="I15" s="435" t="n">
        <v>14870.74</v>
      </c>
      <c r="J15" s="435" t="n">
        <v>22851.07</v>
      </c>
      <c r="K15" s="436" t="n">
        <v>15717.63</v>
      </c>
      <c r="L15" s="436" t="n">
        <v>14823.13</v>
      </c>
      <c r="M15" s="433" t="n">
        <v>0</v>
      </c>
      <c r="N15" s="433">
        <f>H15*$M$15</f>
        <v/>
      </c>
      <c r="O15" s="433">
        <f>I15*$M$15</f>
        <v/>
      </c>
      <c r="P15" s="433">
        <f>J15*$M$15</f>
        <v/>
      </c>
      <c r="Q15" s="433">
        <f>K15*$M$15</f>
        <v/>
      </c>
      <c r="R15" s="433">
        <f>L15*$M$15</f>
        <v/>
      </c>
      <c r="S15" s="433" t="inlineStr">
        <is>
          <t>可选</t>
        </is>
      </c>
      <c r="T15" s="379" t="n"/>
      <c r="U15" s="379" t="n"/>
      <c r="V15" s="379" t="n"/>
      <c r="W15" s="379" t="n"/>
      <c r="X15" s="379" t="n"/>
    </row>
    <row r="16" ht="18" customHeight="1" s="192">
      <c r="B16" s="431" t="n"/>
      <c r="C16" s="379" t="n"/>
      <c r="D16" s="379" t="n"/>
      <c r="E16" s="438" t="inlineStr">
        <is>
          <t>接口模块单元</t>
        </is>
      </c>
      <c r="F16" s="433" t="inlineStr">
        <is>
          <t>光模块，100GE，MPO多模，100m</t>
        </is>
      </c>
      <c r="G16" s="439" t="inlineStr">
        <is>
          <t>100GE多模光模块(850nm,0.1km,MPO)</t>
        </is>
      </c>
      <c r="H16" s="435" t="n">
        <v>1230.94</v>
      </c>
      <c r="I16" s="436" t="n">
        <v>1336.56</v>
      </c>
      <c r="J16" s="436" t="n">
        <v>1369.22</v>
      </c>
      <c r="K16" s="436" t="n">
        <v>1412.68</v>
      </c>
      <c r="L16" s="436" t="n">
        <v>1332.28</v>
      </c>
      <c r="M16" s="433" t="n"/>
      <c r="N16" s="433">
        <f>H16*$M$16</f>
        <v/>
      </c>
      <c r="O16" s="433">
        <f>I16*$M$16</f>
        <v/>
      </c>
      <c r="P16" s="433">
        <f>J16*$M$16</f>
        <v/>
      </c>
      <c r="Q16" s="433">
        <f>K16*$M$16</f>
        <v/>
      </c>
      <c r="R16" s="433">
        <f>L16*$M$16</f>
        <v/>
      </c>
      <c r="S16" s="433" t="inlineStr">
        <is>
          <t>可选</t>
        </is>
      </c>
      <c r="T16" s="379" t="n"/>
      <c r="U16" s="379" t="n"/>
      <c r="V16" s="379" t="n"/>
      <c r="W16" s="379" t="n"/>
      <c r="X16" s="379" t="n"/>
    </row>
    <row r="17" ht="18" customHeight="1" s="192">
      <c r="B17" s="431" t="n"/>
      <c r="C17" s="379" t="n"/>
      <c r="D17" s="379" t="n"/>
      <c r="E17" s="379" t="n"/>
      <c r="F17" s="433" t="inlineStr">
        <is>
          <t>光模块，100GE，（LC多模，100m/LC单模，2km）</t>
        </is>
      </c>
      <c r="G17" s="439" t="inlineStr">
        <is>
          <t>100GE多模光模块(850nm,0.1km,LC)/100GE单模光模块(1310nm,2km,LC)</t>
        </is>
      </c>
      <c r="H17" s="435" t="n">
        <v>1684.07</v>
      </c>
      <c r="I17" s="436" t="n">
        <v>1828.57</v>
      </c>
      <c r="J17" s="436" t="n">
        <v>1873.25</v>
      </c>
      <c r="K17" s="436" t="n">
        <v>1932.71</v>
      </c>
      <c r="L17" s="436" t="n">
        <v>1822.72</v>
      </c>
      <c r="M17" s="433">
        <f>36*U25</f>
        <v/>
      </c>
      <c r="N17" s="433">
        <f>H17*$M$17</f>
        <v/>
      </c>
      <c r="O17" s="433">
        <f>I17*$M$17</f>
        <v/>
      </c>
      <c r="P17" s="433">
        <f>J17*$M$17</f>
        <v/>
      </c>
      <c r="Q17" s="433">
        <f>K17*$M$17</f>
        <v/>
      </c>
      <c r="R17" s="433">
        <f>L17*$M$17</f>
        <v/>
      </c>
      <c r="S17" s="433" t="inlineStr">
        <is>
          <t>可选</t>
        </is>
      </c>
      <c r="T17" s="379" t="n"/>
      <c r="U17" s="379" t="n"/>
      <c r="V17" s="379" t="n"/>
      <c r="W17" s="379" t="n"/>
      <c r="X17" s="379" t="n"/>
    </row>
    <row r="18" ht="18" customHeight="1" s="192">
      <c r="B18" s="431" t="n"/>
      <c r="C18" s="379" t="n"/>
      <c r="D18" s="379" t="n"/>
      <c r="E18" s="379" t="n"/>
      <c r="F18" s="433" t="inlineStr">
        <is>
          <t>光模块，100GE，LC单模，10km</t>
        </is>
      </c>
      <c r="G18" s="439" t="inlineStr">
        <is>
          <t>100GE单模光模块(1310nm,10km,LC)</t>
        </is>
      </c>
      <c r="H18" s="435" t="n">
        <v>3486.21</v>
      </c>
      <c r="I18" s="436" t="n">
        <v>3785.34</v>
      </c>
      <c r="J18" s="436" t="n">
        <v>3877.82</v>
      </c>
      <c r="K18" s="436" t="n">
        <v>4000.92</v>
      </c>
      <c r="L18" s="436" t="n">
        <v>3773.22</v>
      </c>
      <c r="M18" s="433" t="n"/>
      <c r="N18" s="433">
        <f>H18*$M$18</f>
        <v/>
      </c>
      <c r="O18" s="433">
        <f>I18*$M$18</f>
        <v/>
      </c>
      <c r="P18" s="433">
        <f>J18*$M$18</f>
        <v/>
      </c>
      <c r="Q18" s="433">
        <f>K18*$M$18</f>
        <v/>
      </c>
      <c r="R18" s="433">
        <f>L18*$M$18</f>
        <v/>
      </c>
      <c r="S18" s="433" t="inlineStr">
        <is>
          <t>可选</t>
        </is>
      </c>
      <c r="T18" s="379" t="n"/>
      <c r="U18" s="379" t="n"/>
      <c r="V18" s="379" t="n"/>
      <c r="W18" s="379" t="n"/>
      <c r="X18" s="379" t="n"/>
    </row>
    <row r="19" ht="18" customHeight="1" s="192">
      <c r="B19" s="431" t="n"/>
      <c r="C19" s="379" t="n"/>
      <c r="D19" s="379" t="n"/>
      <c r="E19" s="379" t="n"/>
      <c r="F19" s="433" t="inlineStr">
        <is>
          <t>光模块，40GE，LC多模，100m</t>
        </is>
      </c>
      <c r="G19" s="439" t="inlineStr">
        <is>
          <t>40GE多模光模块(850nm,0.1km,LC)</t>
        </is>
      </c>
      <c r="H19" s="435" t="n">
        <v>509.43</v>
      </c>
      <c r="I19" s="436" t="n">
        <v>553.14</v>
      </c>
      <c r="J19" s="436" t="n">
        <v>566.66</v>
      </c>
      <c r="K19" s="436" t="n">
        <v>584.64</v>
      </c>
      <c r="L19" s="436" t="n">
        <v>551.37</v>
      </c>
      <c r="M19" s="433" t="n"/>
      <c r="N19" s="433">
        <f>H19*$M$19</f>
        <v/>
      </c>
      <c r="O19" s="433">
        <f>I19*$M$19</f>
        <v/>
      </c>
      <c r="P19" s="433">
        <f>J19*$M$19</f>
        <v/>
      </c>
      <c r="Q19" s="433">
        <f>K19*$M$19</f>
        <v/>
      </c>
      <c r="R19" s="433">
        <f>L19*$M$19</f>
        <v/>
      </c>
      <c r="S19" s="433" t="inlineStr">
        <is>
          <t>可选</t>
        </is>
      </c>
      <c r="T19" s="379" t="n"/>
      <c r="U19" s="379" t="n"/>
      <c r="V19" s="379" t="n"/>
      <c r="W19" s="379" t="n"/>
      <c r="X19" s="379" t="n"/>
    </row>
    <row r="20" ht="18" customHeight="1" s="192">
      <c r="B20" s="431" t="n"/>
      <c r="C20" s="379" t="n"/>
      <c r="D20" s="379" t="n"/>
      <c r="E20" s="379" t="n"/>
      <c r="F20" s="433" t="inlineStr">
        <is>
          <t>光模块，40GE，MPO多模，300m</t>
        </is>
      </c>
      <c r="G20" s="439" t="inlineStr">
        <is>
          <t>40GE多模光模块(850nm,0.3km,MPO)</t>
        </is>
      </c>
      <c r="H20" s="435" t="n">
        <v>323.59</v>
      </c>
      <c r="I20" s="436" t="n">
        <v>351.35</v>
      </c>
      <c r="J20" s="436" t="n">
        <v>359.94</v>
      </c>
      <c r="K20" s="436" t="n">
        <v>371.36</v>
      </c>
      <c r="L20" s="436" t="n">
        <v>350.23</v>
      </c>
      <c r="M20" s="433" t="n"/>
      <c r="N20" s="433">
        <f>H20*$M$20</f>
        <v/>
      </c>
      <c r="O20" s="433">
        <f>I20*$M$20</f>
        <v/>
      </c>
      <c r="P20" s="433">
        <f>J20*$M$20</f>
        <v/>
      </c>
      <c r="Q20" s="433">
        <f>K20*$M$20</f>
        <v/>
      </c>
      <c r="R20" s="433">
        <f>L20*$M$20</f>
        <v/>
      </c>
      <c r="S20" s="433" t="inlineStr">
        <is>
          <t>可选</t>
        </is>
      </c>
      <c r="T20" s="379" t="n"/>
      <c r="U20" s="379" t="n"/>
      <c r="V20" s="379" t="n"/>
      <c r="W20" s="379" t="n"/>
      <c r="X20" s="379" t="n"/>
    </row>
    <row r="21" ht="18" customHeight="1" s="192">
      <c r="B21" s="431" t="n"/>
      <c r="C21" s="379" t="n"/>
      <c r="D21" s="379" t="n"/>
      <c r="E21" s="379" t="n"/>
      <c r="F21" s="433" t="inlineStr">
        <is>
          <t>光模块，40GE，LC单模，2km</t>
        </is>
      </c>
      <c r="G21" s="439" t="inlineStr">
        <is>
          <t>40GE单模光模块(1310nm,2km,LC)</t>
        </is>
      </c>
      <c r="H21" s="435" t="n">
        <v>1029.25</v>
      </c>
      <c r="I21" s="436" t="n">
        <v>1117.56</v>
      </c>
      <c r="J21" s="436" t="n">
        <v>1144.86</v>
      </c>
      <c r="K21" s="436" t="n">
        <v>1181.21</v>
      </c>
      <c r="L21" s="436" t="n">
        <v>1113.98</v>
      </c>
      <c r="M21" s="433">
        <f>36*M14</f>
        <v/>
      </c>
      <c r="N21" s="433">
        <f>H21*$M$21</f>
        <v/>
      </c>
      <c r="O21" s="433">
        <f>I21*$M$21</f>
        <v/>
      </c>
      <c r="P21" s="433">
        <f>J21*$M$21</f>
        <v/>
      </c>
      <c r="Q21" s="433">
        <f>K21*$M$21</f>
        <v/>
      </c>
      <c r="R21" s="433">
        <f>L21*$M$21</f>
        <v/>
      </c>
      <c r="S21" s="433" t="inlineStr">
        <is>
          <t>可选</t>
        </is>
      </c>
      <c r="T21" s="379" t="n"/>
      <c r="U21" s="379" t="n"/>
      <c r="V21" s="379" t="n"/>
      <c r="W21" s="379" t="n"/>
      <c r="X21" s="379" t="n"/>
    </row>
    <row r="22" ht="18" customHeight="1" s="192">
      <c r="B22" s="431" t="n"/>
      <c r="C22" s="379" t="n"/>
      <c r="D22" s="379" t="n"/>
      <c r="E22" s="379" t="n"/>
      <c r="F22" s="433" t="inlineStr">
        <is>
          <t>光模块，40GE，LC单模，10km</t>
        </is>
      </c>
      <c r="G22" s="439" t="inlineStr">
        <is>
          <t>40GE单模光模块(1310nm,10km,LC)</t>
        </is>
      </c>
      <c r="H22" s="435" t="n">
        <v>1160.98</v>
      </c>
      <c r="I22" s="436" t="n">
        <v>1260.59</v>
      </c>
      <c r="J22" s="436" t="n">
        <v>1291.39</v>
      </c>
      <c r="K22" s="436" t="n">
        <v>1332.39</v>
      </c>
      <c r="L22" s="436" t="n">
        <v>1256.56</v>
      </c>
      <c r="M22" s="433" t="n"/>
      <c r="N22" s="433">
        <f>H22*$M$22</f>
        <v/>
      </c>
      <c r="O22" s="433">
        <f>I22*$M$22</f>
        <v/>
      </c>
      <c r="P22" s="433">
        <f>J22*$M$22</f>
        <v/>
      </c>
      <c r="Q22" s="433">
        <f>K22*$M$22</f>
        <v/>
      </c>
      <c r="R22" s="433">
        <f>L22*$M$22</f>
        <v/>
      </c>
      <c r="S22" s="433" t="inlineStr">
        <is>
          <t>可选</t>
        </is>
      </c>
      <c r="T22" s="379" t="n"/>
      <c r="U22" s="379" t="n"/>
      <c r="V22" s="379" t="n"/>
      <c r="W22" s="379" t="n"/>
      <c r="X22" s="379" t="n"/>
    </row>
    <row r="23" ht="18" customHeight="1" s="192">
      <c r="B23" s="431" t="n"/>
      <c r="C23" s="379" t="n"/>
      <c r="D23" s="379" t="n"/>
      <c r="E23" s="379" t="n"/>
      <c r="F23" s="433" t="inlineStr">
        <is>
          <t>光模块，10GE，LC单模，10km</t>
        </is>
      </c>
      <c r="G23" s="439" t="inlineStr">
        <is>
          <t>10GE单模光模块(1310nm,10km,LC)</t>
        </is>
      </c>
      <c r="H23" s="435" t="n">
        <v>95.66</v>
      </c>
      <c r="I23" s="436" t="n">
        <v>59.35</v>
      </c>
      <c r="J23" s="436" t="n">
        <v>106.4</v>
      </c>
      <c r="K23" s="436" t="n">
        <v>109.78</v>
      </c>
      <c r="L23" s="436" t="n">
        <v>103.53</v>
      </c>
      <c r="M23" s="433" t="n"/>
      <c r="N23" s="433">
        <f>H23*$M$23</f>
        <v/>
      </c>
      <c r="O23" s="433">
        <f>I23*$M$23</f>
        <v/>
      </c>
      <c r="P23" s="433">
        <f>J23*$M$23</f>
        <v/>
      </c>
      <c r="Q23" s="433">
        <f>K23*$M$23</f>
        <v/>
      </c>
      <c r="R23" s="433">
        <f>L23*$M$23</f>
        <v/>
      </c>
      <c r="S23" s="433" t="inlineStr">
        <is>
          <t>可选</t>
        </is>
      </c>
      <c r="T23" s="379" t="n"/>
      <c r="U23" s="379" t="n"/>
      <c r="V23" s="379" t="n"/>
      <c r="W23" s="379" t="n"/>
      <c r="X23" s="379" t="n"/>
    </row>
    <row r="24" ht="18" customHeight="1" s="192">
      <c r="B24" s="431" t="n"/>
      <c r="C24" s="379" t="n"/>
      <c r="D24" s="379" t="n"/>
      <c r="E24" s="379" t="n"/>
      <c r="F24" s="433" t="inlineStr">
        <is>
          <t>光模块，10GE，LC多模，300m</t>
        </is>
      </c>
      <c r="G24" s="439" t="inlineStr">
        <is>
          <t>10GE多模光模块(850nm,0.3km,LC)</t>
        </is>
      </c>
      <c r="H24" s="435" t="n">
        <v>54.66</v>
      </c>
      <c r="I24" s="436" t="n">
        <v>103.86</v>
      </c>
      <c r="J24" s="436" t="n">
        <v>60.8</v>
      </c>
      <c r="K24" s="436" t="n">
        <v>62.73</v>
      </c>
      <c r="L24" s="436" t="n">
        <v>59.16</v>
      </c>
      <c r="M24" s="433" t="n"/>
      <c r="N24" s="433">
        <f>H24*$M$24</f>
        <v/>
      </c>
      <c r="O24" s="433">
        <f>I24*$M$24</f>
        <v/>
      </c>
      <c r="P24" s="433">
        <f>J24*$M$24</f>
        <v/>
      </c>
      <c r="Q24" s="433">
        <f>K24*$M$24</f>
        <v/>
      </c>
      <c r="R24" s="433">
        <f>L24*$M$24</f>
        <v/>
      </c>
      <c r="S24" s="433" t="inlineStr">
        <is>
          <t>可选</t>
        </is>
      </c>
      <c r="T24" s="379" t="n"/>
      <c r="U24" s="440" t="inlineStr">
        <is>
          <t>100板卡数量</t>
        </is>
      </c>
      <c r="V24" s="440" t="inlineStr">
        <is>
          <t>设备数量</t>
        </is>
      </c>
      <c r="W24" s="440" t="inlineStr">
        <is>
          <t>40板卡数量</t>
        </is>
      </c>
      <c r="X24" s="379" t="n"/>
    </row>
    <row r="25" ht="18" customHeight="1" s="192">
      <c r="B25" s="431" t="n"/>
      <c r="C25" s="441" t="inlineStr">
        <is>
          <t>高度</t>
        </is>
      </c>
      <c r="D25" s="441" t="inlineStr">
        <is>
          <t>16槽位：33U
8槽位 ：17U</t>
        </is>
      </c>
      <c r="E25" s="442" t="n"/>
      <c r="F25" s="437" t="n"/>
      <c r="G25" s="442" t="n"/>
      <c r="H25" s="443" t="inlineStr">
        <is>
          <t>16槽位：33U
8槽位 ：17U</t>
        </is>
      </c>
      <c r="I25" s="443" t="inlineStr">
        <is>
          <t>16槽位：33U
8槽位 ：17U</t>
        </is>
      </c>
      <c r="J25" s="443" t="inlineStr">
        <is>
          <t>16槽位：33U
8槽位 ：17U</t>
        </is>
      </c>
      <c r="K25" s="443" t="inlineStr">
        <is>
          <t>16槽位：33U
8槽位 ：17U</t>
        </is>
      </c>
      <c r="L25" s="443" t="inlineStr">
        <is>
          <t>16槽位：33U
8槽位 ：17U</t>
        </is>
      </c>
      <c r="M25" s="433" t="n"/>
      <c r="N25" s="433" t="n"/>
      <c r="O25" s="433" t="n"/>
      <c r="P25" s="433" t="n"/>
      <c r="Q25" s="433" t="n"/>
      <c r="R25" s="433" t="n"/>
      <c r="S25" s="433" t="n"/>
      <c r="T25" s="379" t="n"/>
      <c r="U25" s="444">
        <f>IF('2-建设规模换算'!E13&gt;128,CEILING(('2-建设规模换算'!E13)/36,1),0)</f>
        <v/>
      </c>
      <c r="V25" s="444">
        <f>IF(U25&gt;0,4,0)</f>
        <v/>
      </c>
      <c r="W25" s="444">
        <f>IF('2-建设规模换算'!E13&gt;128,CEILING('2-建设规模换算'!E14/36,1),0)</f>
        <v/>
      </c>
      <c r="X25" s="379" t="n"/>
    </row>
    <row r="26" ht="18" customHeight="1" s="192">
      <c r="B26" s="431" t="n"/>
      <c r="C26" s="427" t="inlineStr">
        <is>
          <t>单台功耗：</t>
        </is>
      </c>
      <c r="D26" s="427" t="inlineStr">
        <is>
          <t>16槽位：满配11K以上
8槽位 ：满配5KW以上</t>
        </is>
      </c>
      <c r="E26" s="433" t="inlineStr">
        <is>
          <t>合计</t>
        </is>
      </c>
      <c r="F26" s="444" t="n"/>
      <c r="G26" s="433" t="n"/>
      <c r="H26" s="435" t="n"/>
      <c r="I26" s="435" t="n"/>
      <c r="J26" s="435" t="n"/>
      <c r="K26" s="435" t="n"/>
      <c r="L26" s="445" t="n"/>
      <c r="M26" s="433">
        <f>SUM(M5:M23)</f>
        <v/>
      </c>
      <c r="N26" s="433">
        <f>SUM(N5:N24)</f>
        <v/>
      </c>
      <c r="O26" s="433">
        <f>SUM(O5:O24)/10000</f>
        <v/>
      </c>
      <c r="P26" s="433">
        <f>SUM(P5:P24)</f>
        <v/>
      </c>
      <c r="Q26" s="433">
        <f>SUM(Q5:Q24)</f>
        <v/>
      </c>
      <c r="R26" s="433">
        <f>SUM(R5:R24)</f>
        <v/>
      </c>
      <c r="S26" s="433" t="n"/>
      <c r="T26" s="379" t="n"/>
      <c r="U26" s="379" t="n"/>
      <c r="V26" s="379" t="n"/>
      <c r="W26" s="379" t="n"/>
      <c r="X26" s="379" t="n"/>
    </row>
    <row r="27" ht="18" customHeight="1" s="192">
      <c r="B27" s="446" t="inlineStr">
        <is>
          <t>注：设备机框/主机和电源模块须满足典配配置要求表中电源类型的相关要求，按照机房电源要求，由用户确定供货电源类型并适配。</t>
        </is>
      </c>
      <c r="C27" s="379" t="n"/>
      <c r="D27" s="379" t="n"/>
      <c r="E27" s="379" t="n"/>
      <c r="F27" s="379" t="n"/>
      <c r="G27" s="379" t="n"/>
      <c r="H27" s="414" t="n"/>
      <c r="I27" s="414" t="n"/>
      <c r="J27" s="414" t="n"/>
      <c r="K27" s="414" t="n"/>
      <c r="L27" s="414" t="n"/>
      <c r="M27" s="379" t="n"/>
      <c r="N27" s="379" t="n"/>
      <c r="O27" s="379" t="n"/>
      <c r="P27" s="379" t="n"/>
      <c r="Q27" s="379" t="n"/>
      <c r="R27" s="379" t="n"/>
      <c r="S27" s="379" t="n"/>
      <c r="T27" s="379" t="n"/>
      <c r="U27" s="379" t="n"/>
      <c r="V27" s="379" t="n"/>
      <c r="W27" s="379" t="n"/>
      <c r="X27" s="379" t="n"/>
    </row>
    <row r="28" ht="18" customHeight="1" s="192">
      <c r="B28" s="447" t="inlineStr">
        <is>
          <t>数据中心交换机
典配2 1.8T核心交换机（8槽&amp;16槽）</t>
        </is>
      </c>
      <c r="C28" s="448" t="inlineStr">
        <is>
          <t>单台均值
（万元）</t>
        </is>
      </c>
      <c r="D28" s="448" t="inlineStr">
        <is>
          <t>单台峰值
（万元）</t>
        </is>
      </c>
      <c r="E28" s="433" t="inlineStr">
        <is>
          <t>部件分类</t>
        </is>
      </c>
      <c r="F28" s="379" t="n"/>
      <c r="G28" s="433" t="inlineStr">
        <is>
          <t>配置详细描述及配置原则</t>
        </is>
      </c>
      <c r="H28" s="435" t="inlineStr">
        <is>
          <t>单价（元）</t>
        </is>
      </c>
      <c r="I28" s="414" t="n"/>
      <c r="J28" s="414" t="n"/>
      <c r="K28" s="414" t="n"/>
      <c r="L28" s="414" t="n"/>
      <c r="M28" s="433" t="inlineStr">
        <is>
          <t>数量（台）</t>
        </is>
      </c>
      <c r="N28" s="433" t="inlineStr">
        <is>
          <t>总价（元）</t>
        </is>
      </c>
      <c r="O28" s="379" t="n"/>
      <c r="P28" s="379" t="n"/>
      <c r="Q28" s="379" t="n"/>
      <c r="R28" s="379" t="n"/>
      <c r="S28" s="449" t="inlineStr">
        <is>
          <t>备注</t>
        </is>
      </c>
      <c r="T28" s="379" t="n"/>
      <c r="U28" s="379" t="n"/>
      <c r="V28" s="379" t="n"/>
      <c r="W28" s="379" t="n"/>
      <c r="X28" s="379" t="n"/>
    </row>
    <row r="29" ht="18" customHeight="1" s="192">
      <c r="B29" s="431" t="n"/>
      <c r="C29" s="379" t="n"/>
      <c r="D29" s="379" t="n"/>
      <c r="E29" s="379" t="n"/>
      <c r="F29" s="379" t="n"/>
      <c r="G29" s="379" t="n"/>
      <c r="H29" s="435" t="inlineStr">
        <is>
          <t>烽火</t>
        </is>
      </c>
      <c r="I29" s="435" t="inlineStr">
        <is>
          <t>华为</t>
        </is>
      </c>
      <c r="J29" s="435" t="inlineStr">
        <is>
          <t>中兴</t>
        </is>
      </c>
      <c r="K29" s="435" t="inlineStr">
        <is>
          <t>新华三</t>
        </is>
      </c>
      <c r="L29" s="435" t="inlineStr">
        <is>
          <t>锐捷</t>
        </is>
      </c>
      <c r="M29" s="379" t="n"/>
      <c r="N29" s="433" t="inlineStr">
        <is>
          <t>烽火</t>
        </is>
      </c>
      <c r="O29" s="433" t="inlineStr">
        <is>
          <t>华为</t>
        </is>
      </c>
      <c r="P29" s="433" t="inlineStr">
        <is>
          <t>中兴</t>
        </is>
      </c>
      <c r="Q29" s="433" t="inlineStr">
        <is>
          <t>新华三</t>
        </is>
      </c>
      <c r="R29" s="433" t="inlineStr">
        <is>
          <t>锐捷</t>
        </is>
      </c>
      <c r="S29" s="379" t="n"/>
      <c r="T29" s="379" t="n"/>
      <c r="U29" s="379" t="n"/>
      <c r="V29" s="379" t="n"/>
      <c r="W29" s="379" t="n"/>
      <c r="X29" s="379" t="n"/>
    </row>
    <row r="30" ht="18" customHeight="1" s="192">
      <c r="B30" s="431" t="n"/>
      <c r="C30" s="448">
        <f>AVERAGE(N51:R51)/10000</f>
        <v/>
      </c>
      <c r="D30" s="448">
        <f>MAX(N51:R51)/10000</f>
        <v/>
      </c>
      <c r="E30" s="432" t="inlineStr">
        <is>
          <t>基本配置单元</t>
        </is>
      </c>
      <c r="F30" s="433" t="inlineStr">
        <is>
          <t>典配1、2-核心16槽位机框套件：交直流主机框</t>
        </is>
      </c>
      <c r="G30" s="439" t="inlineStr">
        <is>
          <t>配置1套S16800-16机箱，含总装机箱（含电源线、接地保护线、安装上架套件等辅材）,冗余并满配主控处理单元MPU30A*2,满配风扇(FMU30A*8,FMU30B*5),S16800系列交换机产品文档、全功能软件包等，不限许可数量</t>
        </is>
      </c>
      <c r="H30" s="435" t="n">
        <v>13563.88</v>
      </c>
      <c r="I30" s="435" t="n">
        <v>14727.7</v>
      </c>
      <c r="J30" s="435" t="n">
        <v>14727.7</v>
      </c>
      <c r="K30" s="436" t="n">
        <v>15566.45</v>
      </c>
      <c r="L30" s="436" t="n">
        <v>14680.55</v>
      </c>
      <c r="M30" s="437">
        <f>IF(U50+W50+X50&gt;8,1,0)</f>
        <v/>
      </c>
      <c r="N30" s="433">
        <f>H30*$M$30</f>
        <v/>
      </c>
      <c r="O30" s="433">
        <f>I30*$M$30</f>
        <v/>
      </c>
      <c r="P30" s="433">
        <f>J30*$M$30</f>
        <v/>
      </c>
      <c r="Q30" s="433">
        <f>K30*$M$30</f>
        <v/>
      </c>
      <c r="R30" s="433">
        <f>L30*$M$30</f>
        <v/>
      </c>
      <c r="S30" s="437" t="inlineStr">
        <is>
          <t>必选</t>
        </is>
      </c>
      <c r="T30" s="379" t="n"/>
      <c r="U30" s="379" t="n"/>
      <c r="V30" s="379" t="n"/>
      <c r="W30" s="379" t="n"/>
      <c r="X30" s="379" t="n"/>
    </row>
    <row r="31" ht="18" customHeight="1" s="192">
      <c r="B31" s="431" t="n"/>
      <c r="C31" s="379" t="n"/>
      <c r="D31" s="379" t="n"/>
      <c r="E31" s="379" t="n"/>
      <c r="F31" s="433" t="inlineStr">
        <is>
          <t>典配1、2-核心16槽位机框交直流电源模块满配</t>
        </is>
      </c>
      <c r="G31" s="434" t="inlineStr">
        <is>
          <t>3000W交流/高压直流电源模块组合配置(PM-S16AC3000*10)/2200W双输入直流电源模块组合配置(PM-S16DC2200*10)</t>
        </is>
      </c>
      <c r="H31" s="435" t="n">
        <v>5643.65</v>
      </c>
      <c r="I31" s="435" t="n">
        <v>6127.89</v>
      </c>
      <c r="J31" s="435" t="n">
        <v>6127.89</v>
      </c>
      <c r="K31" s="436" t="n">
        <v>6476.87</v>
      </c>
      <c r="L31" s="436" t="n">
        <v>6108.27</v>
      </c>
      <c r="M31" s="437">
        <f>IF(U50+W50+X50&gt;8,1,0)</f>
        <v/>
      </c>
      <c r="N31" s="433">
        <f>H31*$M$31</f>
        <v/>
      </c>
      <c r="O31" s="433">
        <f>I31*$M$31</f>
        <v/>
      </c>
      <c r="P31" s="433">
        <f>J31*$M$31</f>
        <v/>
      </c>
      <c r="Q31" s="433">
        <f>K31*$M$31</f>
        <v/>
      </c>
      <c r="R31" s="433">
        <f>L31*$M$31</f>
        <v/>
      </c>
      <c r="S31" s="437" t="inlineStr">
        <is>
          <t>必选</t>
        </is>
      </c>
      <c r="T31" s="379" t="n"/>
      <c r="U31" s="379" t="n"/>
      <c r="V31" s="379" t="n"/>
      <c r="W31" s="379" t="n"/>
      <c r="X31" s="379" t="n"/>
    </row>
    <row r="32" ht="18" customHeight="1" s="192">
      <c r="B32" s="431" t="n"/>
      <c r="C32" s="379" t="n"/>
      <c r="D32" s="379" t="n"/>
      <c r="E32" s="379" t="n"/>
      <c r="F32" s="433" t="inlineStr">
        <is>
          <t>典配1、2-核心16槽位机框交直流电源模块半配</t>
        </is>
      </c>
      <c r="G32" s="434" t="inlineStr">
        <is>
          <t>3000W交流/高压直流电源模块组合配置(PM-S16AC3000*6)/  2200W双输入直流电源模块组合配置(PM-S16DC2200*8)</t>
        </is>
      </c>
      <c r="H32" s="435" t="n">
        <v>4280.97</v>
      </c>
      <c r="I32" s="435" t="n">
        <v>4648.29</v>
      </c>
      <c r="J32" s="435" t="n">
        <v>4648.29</v>
      </c>
      <c r="K32" s="436" t="n">
        <v>4913.01</v>
      </c>
      <c r="L32" s="436" t="n">
        <v>4633.41</v>
      </c>
      <c r="M32" s="433" t="n"/>
      <c r="N32" s="433">
        <f>H32*$M$32</f>
        <v/>
      </c>
      <c r="O32" s="433">
        <f>I32*$M$32</f>
        <v/>
      </c>
      <c r="P32" s="433">
        <f>J32*$M$32</f>
        <v/>
      </c>
      <c r="Q32" s="433">
        <f>K32*$M$32</f>
        <v/>
      </c>
      <c r="R32" s="433">
        <f>L32*$M$32</f>
        <v/>
      </c>
      <c r="S32" s="433" t="n"/>
      <c r="T32" s="379" t="n"/>
      <c r="U32" s="379" t="n"/>
      <c r="V32" s="379" t="n"/>
      <c r="W32" s="379" t="n"/>
      <c r="X32" s="379" t="n"/>
    </row>
    <row r="33" ht="18" customHeight="1" s="192">
      <c r="B33" s="431" t="n"/>
      <c r="C33" s="379" t="n"/>
      <c r="D33" s="379" t="n"/>
      <c r="E33" s="432" t="inlineStr">
        <is>
          <t>基本配置单元-交换网板</t>
        </is>
      </c>
      <c r="F33" s="433" t="inlineStr">
        <is>
          <t>16槽位单块独立交换网单元（1.8T）平均每100G能力</t>
        </is>
      </c>
      <c r="G33" s="439" t="inlineStr">
        <is>
          <t>S16800-16 B型1.8T平台交换网板</t>
        </is>
      </c>
      <c r="H33" s="435" t="n">
        <v>6828.13</v>
      </c>
      <c r="I33" s="435" t="n">
        <v>7414</v>
      </c>
      <c r="J33" s="435" t="n">
        <v>18626.69</v>
      </c>
      <c r="K33" s="436" t="n">
        <v>7836.23</v>
      </c>
      <c r="L33" s="436" t="n">
        <v>7390.27</v>
      </c>
      <c r="M33" s="437">
        <f>IF(U50+W50+X50&gt;8,6,0)</f>
        <v/>
      </c>
      <c r="N33" s="433">
        <f>H33*$M$33</f>
        <v/>
      </c>
      <c r="O33" s="433">
        <f>I33*$M$33</f>
        <v/>
      </c>
      <c r="P33" s="433">
        <f>J33*$M$33</f>
        <v/>
      </c>
      <c r="Q33" s="433">
        <f>K33*$M$33</f>
        <v/>
      </c>
      <c r="R33" s="433">
        <f>L33*$M$33</f>
        <v/>
      </c>
      <c r="S33" s="437" t="inlineStr">
        <is>
          <t>必选</t>
        </is>
      </c>
      <c r="T33" s="379" t="n"/>
      <c r="U33" s="379" t="n"/>
      <c r="V33" s="379" t="n"/>
      <c r="W33" s="379" t="n"/>
      <c r="X33" s="379" t="n"/>
    </row>
    <row r="34" ht="18" customHeight="1" s="192">
      <c r="B34" s="431" t="n"/>
      <c r="C34" s="379" t="n"/>
      <c r="D34" s="379" t="n"/>
      <c r="E34" s="432" t="inlineStr">
        <is>
          <t>基本配置单元</t>
        </is>
      </c>
      <c r="F34" s="433" t="inlineStr">
        <is>
          <t>典配1、2-核心8槽位机框套件：交直流主机框</t>
        </is>
      </c>
      <c r="G34" s="439" t="inlineStr">
        <is>
          <t>配置1套S16800-08机箱，含总装机箱（含电源线、接地保护线、安装上架套件等辅材）,冗余并满配主控处理单元MPU30A*2,满配风扇(FMU30A*4,FMU30B*5),S16800系列交换机产品文档、全功能软件包等，不限许可数量</t>
        </is>
      </c>
      <c r="H34" s="435" t="n">
        <v>9941.01</v>
      </c>
      <c r="I34" s="435" t="n">
        <v>10793.98</v>
      </c>
      <c r="J34" s="435" t="n">
        <v>11057.7</v>
      </c>
      <c r="K34" s="436" t="n">
        <v>11408.71</v>
      </c>
      <c r="L34" s="436" t="n">
        <v>10759.43</v>
      </c>
      <c r="M34" s="433">
        <f>IF(U50+W50+X50&lt;=8,IF(U50+W50+X50&gt;0,1,0),0)</f>
        <v/>
      </c>
      <c r="N34" s="433">
        <f>H34*$M$34</f>
        <v/>
      </c>
      <c r="O34" s="433">
        <f>I34*$M$34</f>
        <v/>
      </c>
      <c r="P34" s="433">
        <f>J34*$M$34</f>
        <v/>
      </c>
      <c r="Q34" s="433">
        <f>K34*$M$34</f>
        <v/>
      </c>
      <c r="R34" s="433">
        <f>L34*$M$34</f>
        <v/>
      </c>
      <c r="S34" s="437" t="inlineStr">
        <is>
          <t>必选</t>
        </is>
      </c>
      <c r="T34" s="379" t="n"/>
      <c r="U34" s="379" t="n"/>
      <c r="V34" s="379" t="n"/>
      <c r="W34" s="379" t="n"/>
      <c r="X34" s="379" t="n"/>
    </row>
    <row r="35" ht="18" customHeight="1" s="192">
      <c r="B35" s="431" t="n"/>
      <c r="C35" s="379" t="n"/>
      <c r="D35" s="379" t="n"/>
      <c r="E35" s="379" t="n"/>
      <c r="F35" s="433" t="inlineStr">
        <is>
          <t>典配1、2-核心8槽位机框交直流电源模块满配</t>
        </is>
      </c>
      <c r="G35" s="434" t="inlineStr">
        <is>
          <t>3000W交流/高压直流电源模块组合配置(PM-S16AC3000*8)/2200W直流电源模块组合配置(PM-S16DC2200*8)</t>
        </is>
      </c>
      <c r="H35" s="435" t="n">
        <v>3434.29</v>
      </c>
      <c r="I35" s="435" t="n">
        <v>3728.96</v>
      </c>
      <c r="J35" s="435" t="n">
        <v>3820.06</v>
      </c>
      <c r="K35" s="436" t="n">
        <v>3941.33</v>
      </c>
      <c r="L35" s="436" t="n">
        <v>3717.02</v>
      </c>
      <c r="M35" s="433">
        <f>IF(U50+W50+X50&lt;=8,IF(U50+W50+X50&gt;0,1,0),0)</f>
        <v/>
      </c>
      <c r="N35" s="433">
        <f>H35*$M$35</f>
        <v/>
      </c>
      <c r="O35" s="433">
        <f>I35*$M$35</f>
        <v/>
      </c>
      <c r="P35" s="433">
        <f>J35*$M$35</f>
        <v/>
      </c>
      <c r="Q35" s="433">
        <f>K35*$M$35</f>
        <v/>
      </c>
      <c r="R35" s="433">
        <f>L35*$M$35</f>
        <v/>
      </c>
      <c r="S35" s="437" t="inlineStr">
        <is>
          <t>必选</t>
        </is>
      </c>
      <c r="T35" s="379" t="n"/>
      <c r="U35" s="379" t="n"/>
      <c r="V35" s="379" t="n"/>
      <c r="W35" s="379" t="n"/>
      <c r="X35" s="379" t="n"/>
    </row>
    <row r="36" ht="18" customHeight="1" s="192">
      <c r="B36" s="431" t="n"/>
      <c r="C36" s="379" t="n"/>
      <c r="D36" s="379" t="n"/>
      <c r="E36" s="379" t="n"/>
      <c r="F36" s="433" t="inlineStr">
        <is>
          <t>典配1、2-核心8槽位机框交直流电源模块半配</t>
        </is>
      </c>
      <c r="G36" s="434" t="inlineStr">
        <is>
          <t>3000W交流/高压直流电源模块组合配置(PM-S16AC3000*4)/2200W直流电源模块组合配置(PM-S16DC2200*4)</t>
        </is>
      </c>
      <c r="H36" s="435" t="n">
        <v>2637.35</v>
      </c>
      <c r="I36" s="435" t="n">
        <v>2863.64</v>
      </c>
      <c r="J36" s="435" t="n">
        <v>2933.6</v>
      </c>
      <c r="K36" s="436" t="n">
        <v>3026.72</v>
      </c>
      <c r="L36" s="436" t="n">
        <v>2854.47</v>
      </c>
      <c r="M36" s="433" t="n"/>
      <c r="N36" s="433">
        <f>H36*$M$36</f>
        <v/>
      </c>
      <c r="O36" s="433">
        <f>I36*$M$36</f>
        <v/>
      </c>
      <c r="P36" s="433">
        <f>J36*$M$36</f>
        <v/>
      </c>
      <c r="Q36" s="433">
        <f>K36*$M$36</f>
        <v/>
      </c>
      <c r="R36" s="433">
        <f>L36*$M$36</f>
        <v/>
      </c>
      <c r="S36" s="433" t="n"/>
      <c r="T36" s="379" t="n"/>
      <c r="U36" s="379" t="n"/>
      <c r="V36" s="379" t="n"/>
      <c r="W36" s="379" t="n"/>
      <c r="X36" s="379" t="n"/>
    </row>
    <row r="37" ht="18" customHeight="1" s="192">
      <c r="B37" s="431" t="n"/>
      <c r="C37" s="379" t="n"/>
      <c r="D37" s="379" t="n"/>
      <c r="E37" s="432" t="inlineStr">
        <is>
          <t>基本配置单元-交换网板</t>
        </is>
      </c>
      <c r="F37" s="433" t="inlineStr">
        <is>
          <t>8槽位单块独立交换网单元（1.8T）平均每100G能力</t>
        </is>
      </c>
      <c r="G37" s="439" t="inlineStr">
        <is>
          <t>S16800-08 B型1.8T平台交换网板</t>
        </is>
      </c>
      <c r="H37" s="435" t="n">
        <v>3846.97</v>
      </c>
      <c r="I37" s="435" t="n">
        <v>4177.05</v>
      </c>
      <c r="J37" s="435" t="n">
        <v>8492.540000000001</v>
      </c>
      <c r="K37" s="436" t="n">
        <v>4414.94</v>
      </c>
      <c r="L37" s="436" t="n">
        <v>4163.68</v>
      </c>
      <c r="M37" s="433">
        <f>IF(U50+W50+X50&lt;=8,IF(U50+W50+X50&gt;0,6,0),0)</f>
        <v/>
      </c>
      <c r="N37" s="433">
        <f>H37*$M$37</f>
        <v/>
      </c>
      <c r="O37" s="433">
        <f>I37*$M$37</f>
        <v/>
      </c>
      <c r="P37" s="433">
        <f>J37*$M$37</f>
        <v/>
      </c>
      <c r="Q37" s="433">
        <f>K37*$M$37</f>
        <v/>
      </c>
      <c r="R37" s="433">
        <f>L37*$M$37</f>
        <v/>
      </c>
      <c r="S37" s="437" t="inlineStr">
        <is>
          <t>必选</t>
        </is>
      </c>
      <c r="T37" s="379" t="n"/>
      <c r="U37" s="379" t="n"/>
      <c r="V37" s="379" t="n"/>
      <c r="W37" s="379" t="n"/>
      <c r="X37" s="379" t="n"/>
    </row>
    <row r="38" ht="18" customHeight="1" s="192">
      <c r="B38" s="431" t="n"/>
      <c r="C38" s="379" t="n"/>
      <c r="D38" s="379" t="n"/>
      <c r="E38" s="438" t="inlineStr">
        <is>
          <t>接口板单元</t>
        </is>
      </c>
      <c r="F38" s="433" t="inlineStr">
        <is>
          <t>1.8T平台100GE板卡平均单100GE端口（典配2）</t>
        </is>
      </c>
      <c r="G38" s="439" t="inlineStr">
        <is>
          <t>18端口100GE以太网光接口板(QSFP28)</t>
        </is>
      </c>
      <c r="H38" s="435" t="n">
        <v>28670.26</v>
      </c>
      <c r="I38" s="435" t="n">
        <v>31130.26</v>
      </c>
      <c r="J38" s="435" t="n">
        <v>31890.82</v>
      </c>
      <c r="K38" s="436" t="n">
        <v>32903.14</v>
      </c>
      <c r="L38" s="436" t="n">
        <v>31030.6</v>
      </c>
      <c r="M38" s="433">
        <f>U50</f>
        <v/>
      </c>
      <c r="N38" s="433">
        <f>H38*$M$38</f>
        <v/>
      </c>
      <c r="O38" s="433">
        <f>I38*$M$38</f>
        <v/>
      </c>
      <c r="P38" s="433">
        <f>J38*$M$38</f>
        <v/>
      </c>
      <c r="Q38" s="433">
        <f>K38*$M$38</f>
        <v/>
      </c>
      <c r="R38" s="433">
        <f>L38*$M$38</f>
        <v/>
      </c>
      <c r="S38" s="433" t="inlineStr">
        <is>
          <t>可选</t>
        </is>
      </c>
      <c r="T38" s="379" t="n"/>
      <c r="U38" s="379" t="n"/>
      <c r="V38" s="379" t="n"/>
      <c r="W38" s="379" t="n"/>
      <c r="X38" s="379" t="n"/>
    </row>
    <row r="39" ht="18" customHeight="1" s="192">
      <c r="B39" s="431" t="n"/>
      <c r="C39" s="379" t="n"/>
      <c r="D39" s="379" t="n"/>
      <c r="E39" s="379" t="n"/>
      <c r="F39" s="433" t="inlineStr">
        <is>
          <t>1.8T平台40GE板卡平均单40GE端口（典配1、2）</t>
        </is>
      </c>
      <c r="G39" s="439" t="inlineStr">
        <is>
          <t>36端口40GE以太网光接口板(QSFP+)</t>
        </is>
      </c>
      <c r="H39" s="435" t="n">
        <v>25049.58</v>
      </c>
      <c r="I39" s="435" t="n">
        <v>27198.92</v>
      </c>
      <c r="J39" s="435" t="n">
        <v>27863.42</v>
      </c>
      <c r="K39" s="436" t="n">
        <v>33539.22</v>
      </c>
      <c r="L39" s="436" t="n">
        <v>27111.84</v>
      </c>
      <c r="M39" s="433">
        <f>W50</f>
        <v/>
      </c>
      <c r="N39" s="433">
        <f>H39*$M$39</f>
        <v/>
      </c>
      <c r="O39" s="433">
        <f>I39*$M$39</f>
        <v/>
      </c>
      <c r="P39" s="433">
        <f>J39*$M$39</f>
        <v/>
      </c>
      <c r="Q39" s="433">
        <f>K39*$M$39</f>
        <v/>
      </c>
      <c r="R39" s="433">
        <f>L39*$M$39</f>
        <v/>
      </c>
      <c r="S39" s="433" t="inlineStr">
        <is>
          <t>可选</t>
        </is>
      </c>
      <c r="T39" s="379" t="n"/>
      <c r="U39" s="379" t="n"/>
      <c r="V39" s="379" t="n"/>
      <c r="W39" s="379" t="n"/>
      <c r="X39" s="379" t="n"/>
    </row>
    <row r="40" ht="18" customHeight="1" s="192">
      <c r="B40" s="431" t="n"/>
      <c r="C40" s="379" t="n"/>
      <c r="D40" s="379" t="n"/>
      <c r="E40" s="379" t="n"/>
      <c r="F40" s="433" t="inlineStr">
        <is>
          <t>1.8T平台10GE板卡平均单10GE端口（典配1、2）</t>
        </is>
      </c>
      <c r="G40" s="439" t="inlineStr">
        <is>
          <t>48端口10GE以太网光接口板(SFP+)</t>
        </is>
      </c>
      <c r="H40" s="435" t="n">
        <v>13695.61</v>
      </c>
      <c r="I40" s="435" t="n">
        <v>14870.74</v>
      </c>
      <c r="J40" s="435" t="n">
        <v>22851.07</v>
      </c>
      <c r="K40" s="436" t="n">
        <v>15717.63</v>
      </c>
      <c r="L40" s="436" t="n">
        <v>14823.13</v>
      </c>
      <c r="M40" s="433">
        <f>X50</f>
        <v/>
      </c>
      <c r="N40" s="433">
        <f>H40*$M$40</f>
        <v/>
      </c>
      <c r="O40" s="433">
        <f>I40*$M$40</f>
        <v/>
      </c>
      <c r="P40" s="433">
        <f>J40*$M$40</f>
        <v/>
      </c>
      <c r="Q40" s="433">
        <f>K40*$M$40</f>
        <v/>
      </c>
      <c r="R40" s="433">
        <f>L40*$M$40</f>
        <v/>
      </c>
      <c r="S40" s="433" t="inlineStr">
        <is>
          <t>可选</t>
        </is>
      </c>
      <c r="T40" s="379" t="n"/>
      <c r="U40" s="379" t="n"/>
      <c r="V40" s="379" t="n"/>
      <c r="W40" s="379" t="n"/>
      <c r="X40" s="379" t="n"/>
    </row>
    <row r="41" ht="18" customHeight="1" s="192">
      <c r="B41" s="431" t="n"/>
      <c r="C41" s="379" t="n"/>
      <c r="D41" s="379" t="n"/>
      <c r="E41" s="438" t="inlineStr">
        <is>
          <t>接口模块单元</t>
        </is>
      </c>
      <c r="F41" s="433" t="inlineStr">
        <is>
          <t>光模块，100GE，MPO多模，100m</t>
        </is>
      </c>
      <c r="G41" s="439" t="inlineStr">
        <is>
          <t>100GE多模光模块(850nm,0.1km,MPO)</t>
        </is>
      </c>
      <c r="H41" s="435" t="n">
        <v>1230.94</v>
      </c>
      <c r="I41" s="435" t="n">
        <v>1336.56</v>
      </c>
      <c r="J41" s="436" t="n">
        <v>1369.22</v>
      </c>
      <c r="K41" s="436" t="n">
        <v>1412.68</v>
      </c>
      <c r="L41" s="436" t="n">
        <v>1332.28</v>
      </c>
      <c r="M41" s="433" t="n"/>
      <c r="N41" s="433">
        <f>H41*$M$41</f>
        <v/>
      </c>
      <c r="O41" s="433">
        <f>I41*$M$41</f>
        <v/>
      </c>
      <c r="P41" s="433">
        <f>J41*$M$41</f>
        <v/>
      </c>
      <c r="Q41" s="433">
        <f>K41*$M$41</f>
        <v/>
      </c>
      <c r="R41" s="433">
        <f>L41*$M$41</f>
        <v/>
      </c>
      <c r="S41" s="433" t="inlineStr">
        <is>
          <t>可选</t>
        </is>
      </c>
      <c r="T41" s="379" t="n"/>
      <c r="U41" s="379" t="n"/>
      <c r="V41" s="379" t="n"/>
      <c r="W41" s="379" t="n"/>
      <c r="X41" s="379" t="n"/>
    </row>
    <row r="42" ht="18" customHeight="1" s="192">
      <c r="B42" s="431" t="n"/>
      <c r="C42" s="379" t="n"/>
      <c r="D42" s="379" t="n"/>
      <c r="E42" s="379" t="n"/>
      <c r="F42" s="433" t="inlineStr">
        <is>
          <t>光模块，100GE，（LC多模，100m/LC单模，2km）</t>
        </is>
      </c>
      <c r="G42" s="439" t="inlineStr">
        <is>
          <t>100GE多模光模块(850nm,0.1km,LC)/100GE单模光模块(1310nm,2km,LC)</t>
        </is>
      </c>
      <c r="H42" s="435" t="n">
        <v>1684.07</v>
      </c>
      <c r="I42" s="435" t="n">
        <v>1828.57</v>
      </c>
      <c r="J42" s="436" t="n">
        <v>1873.25</v>
      </c>
      <c r="K42" s="436" t="n">
        <v>1932.71</v>
      </c>
      <c r="L42" s="436" t="n">
        <v>1822.72</v>
      </c>
      <c r="M42" s="433">
        <f>18*U50</f>
        <v/>
      </c>
      <c r="N42" s="433">
        <f>H42*$M$42</f>
        <v/>
      </c>
      <c r="O42" s="433">
        <f>I42*$M$42</f>
        <v/>
      </c>
      <c r="P42" s="433">
        <f>J42*$M$42</f>
        <v/>
      </c>
      <c r="Q42" s="433">
        <f>K42*$M$42</f>
        <v/>
      </c>
      <c r="R42" s="433">
        <f>L42*$M$42</f>
        <v/>
      </c>
      <c r="S42" s="433" t="inlineStr">
        <is>
          <t>可选</t>
        </is>
      </c>
      <c r="T42" s="379" t="n"/>
      <c r="U42" s="379" t="n"/>
      <c r="V42" s="379" t="n"/>
      <c r="W42" s="379" t="n"/>
      <c r="X42" s="379" t="n"/>
    </row>
    <row r="43" ht="18" customHeight="1" s="192">
      <c r="B43" s="431" t="n"/>
      <c r="C43" s="379" t="n"/>
      <c r="D43" s="379" t="n"/>
      <c r="E43" s="379" t="n"/>
      <c r="F43" s="433" t="inlineStr">
        <is>
          <t>光模块，100GE，LC单模，10km</t>
        </is>
      </c>
      <c r="G43" s="439" t="inlineStr">
        <is>
          <t>100GE单模光模块(1310nm,10km,LC)</t>
        </is>
      </c>
      <c r="H43" s="435" t="n">
        <v>3486.21</v>
      </c>
      <c r="I43" s="435" t="n">
        <v>3785.34</v>
      </c>
      <c r="J43" s="436" t="n">
        <v>3877.82</v>
      </c>
      <c r="K43" s="436" t="n">
        <v>4000.92</v>
      </c>
      <c r="L43" s="436" t="n">
        <v>3773.22</v>
      </c>
      <c r="M43" s="433" t="n"/>
      <c r="N43" s="433">
        <f>H43*$M$43</f>
        <v/>
      </c>
      <c r="O43" s="433">
        <f>I43*$M$43</f>
        <v/>
      </c>
      <c r="P43" s="433">
        <f>J43*$M$43</f>
        <v/>
      </c>
      <c r="Q43" s="433">
        <f>K43*$M$43</f>
        <v/>
      </c>
      <c r="R43" s="433">
        <f>L43*$M$43</f>
        <v/>
      </c>
      <c r="S43" s="433" t="inlineStr">
        <is>
          <t>可选</t>
        </is>
      </c>
      <c r="T43" s="379" t="n"/>
      <c r="U43" s="379" t="n"/>
      <c r="V43" s="379" t="n"/>
      <c r="W43" s="379" t="n"/>
      <c r="X43" s="379" t="n"/>
    </row>
    <row r="44" ht="18" customHeight="1" s="192">
      <c r="B44" s="431" t="n"/>
      <c r="C44" s="379" t="n"/>
      <c r="D44" s="379" t="n"/>
      <c r="E44" s="379" t="n"/>
      <c r="F44" s="433" t="inlineStr">
        <is>
          <t>光模块，40GE，LC多模，100m</t>
        </is>
      </c>
      <c r="G44" s="439" t="inlineStr">
        <is>
          <t>40GE多模光模块(850nm,0.1km,LC)</t>
        </is>
      </c>
      <c r="H44" s="435" t="n">
        <v>509.43</v>
      </c>
      <c r="I44" s="435" t="n">
        <v>553.14</v>
      </c>
      <c r="J44" s="436" t="n">
        <v>566.66</v>
      </c>
      <c r="K44" s="436" t="n">
        <v>584.64</v>
      </c>
      <c r="L44" s="436" t="n">
        <v>551.37</v>
      </c>
      <c r="M44" s="433" t="n"/>
      <c r="N44" s="433">
        <f>H44*$M$44</f>
        <v/>
      </c>
      <c r="O44" s="433">
        <f>I44*$M$44</f>
        <v/>
      </c>
      <c r="P44" s="433">
        <f>J44*$M$44</f>
        <v/>
      </c>
      <c r="Q44" s="433">
        <f>K44*$M$44</f>
        <v/>
      </c>
      <c r="R44" s="433">
        <f>L44*$M$44</f>
        <v/>
      </c>
      <c r="S44" s="433" t="inlineStr">
        <is>
          <t>可选</t>
        </is>
      </c>
      <c r="T44" s="379" t="n"/>
      <c r="U44" s="379" t="n"/>
      <c r="V44" s="379" t="n"/>
      <c r="W44" s="379" t="n"/>
      <c r="X44" s="379" t="n"/>
    </row>
    <row r="45" ht="18" customHeight="1" s="192">
      <c r="B45" s="431" t="n"/>
      <c r="C45" s="379" t="n"/>
      <c r="D45" s="379" t="n"/>
      <c r="E45" s="379" t="n"/>
      <c r="F45" s="433" t="inlineStr">
        <is>
          <t>光模块，40GE，MPO多模，300m</t>
        </is>
      </c>
      <c r="G45" s="439" t="inlineStr">
        <is>
          <t>40GE多模光模块(850nm,0.3km,MPO)</t>
        </is>
      </c>
      <c r="H45" s="435" t="n">
        <v>323.59</v>
      </c>
      <c r="I45" s="435" t="n">
        <v>351.35</v>
      </c>
      <c r="J45" s="436" t="n">
        <v>359.94</v>
      </c>
      <c r="K45" s="436" t="n">
        <v>371.36</v>
      </c>
      <c r="L45" s="436" t="n">
        <v>350.23</v>
      </c>
      <c r="M45" s="433" t="n"/>
      <c r="N45" s="433">
        <f>H45*$M$45</f>
        <v/>
      </c>
      <c r="O45" s="433">
        <f>I45*$M$45</f>
        <v/>
      </c>
      <c r="P45" s="433">
        <f>J45*$M$45</f>
        <v/>
      </c>
      <c r="Q45" s="433">
        <f>K45*$M$45</f>
        <v/>
      </c>
      <c r="R45" s="433">
        <f>L45*$M$45</f>
        <v/>
      </c>
      <c r="S45" s="433" t="inlineStr">
        <is>
          <t>可选</t>
        </is>
      </c>
      <c r="T45" s="379" t="n"/>
      <c r="U45" s="379" t="n"/>
      <c r="V45" s="379" t="n"/>
      <c r="W45" s="379" t="n"/>
      <c r="X45" s="379" t="n"/>
    </row>
    <row r="46" ht="18" customHeight="1" s="192">
      <c r="B46" s="431" t="n"/>
      <c r="C46" s="379" t="n"/>
      <c r="D46" s="379" t="n"/>
      <c r="E46" s="379" t="n"/>
      <c r="F46" s="433" t="inlineStr">
        <is>
          <t>光模块，40GE，LC单模，2km</t>
        </is>
      </c>
      <c r="G46" s="439" t="inlineStr">
        <is>
          <t>40GE单模光模块(1310nm,2km,LC)</t>
        </is>
      </c>
      <c r="H46" s="435" t="n">
        <v>1029.25</v>
      </c>
      <c r="I46" s="435" t="n">
        <v>1117.56</v>
      </c>
      <c r="J46" s="436" t="n">
        <v>1144.86</v>
      </c>
      <c r="K46" s="436" t="n">
        <v>1181.21</v>
      </c>
      <c r="L46" s="436" t="n">
        <v>1113.98</v>
      </c>
      <c r="M46" s="433">
        <f>M39*36</f>
        <v/>
      </c>
      <c r="N46" s="433">
        <f>H46*$M$46</f>
        <v/>
      </c>
      <c r="O46" s="433">
        <f>I46*$M$46</f>
        <v/>
      </c>
      <c r="P46" s="433">
        <f>J46*$M$46</f>
        <v/>
      </c>
      <c r="Q46" s="433">
        <f>K46*$M$46</f>
        <v/>
      </c>
      <c r="R46" s="433">
        <f>L46*$M$46</f>
        <v/>
      </c>
      <c r="S46" s="433" t="inlineStr">
        <is>
          <t>可选</t>
        </is>
      </c>
      <c r="T46" s="379" t="n"/>
      <c r="U46" s="379" t="n"/>
      <c r="V46" s="379" t="n"/>
      <c r="W46" s="379" t="n"/>
      <c r="X46" s="379" t="n"/>
    </row>
    <row r="47" ht="18" customHeight="1" s="192">
      <c r="B47" s="431" t="n"/>
      <c r="C47" s="379" t="n"/>
      <c r="D47" s="379" t="n"/>
      <c r="E47" s="379" t="n"/>
      <c r="F47" s="433" t="inlineStr">
        <is>
          <t>光模块，40GE，LC单模，10km</t>
        </is>
      </c>
      <c r="G47" s="439" t="inlineStr">
        <is>
          <t>40GE单模光模块(1310nm,10km,LC)</t>
        </is>
      </c>
      <c r="H47" s="435" t="n">
        <v>1160.98</v>
      </c>
      <c r="I47" s="435" t="n">
        <v>1260.59</v>
      </c>
      <c r="J47" s="436" t="n">
        <v>1291.39</v>
      </c>
      <c r="K47" s="436" t="n">
        <v>1332.39</v>
      </c>
      <c r="L47" s="436" t="n">
        <v>1256.56</v>
      </c>
      <c r="M47" s="433" t="n"/>
      <c r="N47" s="433">
        <f>H47*$M$47</f>
        <v/>
      </c>
      <c r="O47" s="433">
        <f>I47*$M$47</f>
        <v/>
      </c>
      <c r="P47" s="433">
        <f>J47*$M$47</f>
        <v/>
      </c>
      <c r="Q47" s="433">
        <f>K47*$M$47</f>
        <v/>
      </c>
      <c r="R47" s="433">
        <f>L47*$M$47</f>
        <v/>
      </c>
      <c r="S47" s="433" t="inlineStr">
        <is>
          <t>可选</t>
        </is>
      </c>
      <c r="T47" s="379" t="n"/>
      <c r="U47" s="379" t="n"/>
      <c r="V47" s="379" t="n"/>
      <c r="W47" s="379" t="n"/>
      <c r="X47" s="379" t="n"/>
    </row>
    <row r="48" ht="18" customHeight="1" s="192">
      <c r="B48" s="431" t="n"/>
      <c r="C48" s="379" t="n"/>
      <c r="D48" s="379" t="n"/>
      <c r="E48" s="379" t="n"/>
      <c r="F48" s="433" t="inlineStr">
        <is>
          <t>光模块，10GE，LC单模，10km</t>
        </is>
      </c>
      <c r="G48" s="439" t="inlineStr">
        <is>
          <t>10GE单模光模块(1310nm,10km,LC)</t>
        </is>
      </c>
      <c r="H48" s="435" t="n">
        <v>95.66</v>
      </c>
      <c r="I48" s="435" t="n">
        <v>59.35</v>
      </c>
      <c r="J48" s="436" t="n">
        <v>106.4</v>
      </c>
      <c r="K48" s="436" t="n">
        <v>109.78</v>
      </c>
      <c r="L48" s="436" t="n">
        <v>103.53</v>
      </c>
      <c r="M48" s="433">
        <f>X50*48</f>
        <v/>
      </c>
      <c r="N48" s="433">
        <f>H48*$M$48</f>
        <v/>
      </c>
      <c r="O48" s="433">
        <f>I48*$M$48</f>
        <v/>
      </c>
      <c r="P48" s="433">
        <f>J48*$M$48</f>
        <v/>
      </c>
      <c r="Q48" s="433">
        <f>K48*$M$48</f>
        <v/>
      </c>
      <c r="R48" s="433">
        <f>L48*$M$48</f>
        <v/>
      </c>
      <c r="S48" s="433" t="inlineStr">
        <is>
          <t>可选</t>
        </is>
      </c>
      <c r="T48" s="379" t="n"/>
      <c r="U48" s="379" t="n"/>
      <c r="V48" s="379" t="n"/>
      <c r="W48" s="379" t="n"/>
      <c r="X48" s="379" t="n"/>
    </row>
    <row r="49" ht="18" customHeight="1" s="192">
      <c r="B49" s="431" t="n"/>
      <c r="C49" s="379" t="n"/>
      <c r="D49" s="379" t="n"/>
      <c r="E49" s="379" t="n"/>
      <c r="F49" s="433" t="inlineStr">
        <is>
          <t>光模块，10GE，LC多模，300m</t>
        </is>
      </c>
      <c r="G49" s="439" t="inlineStr">
        <is>
          <t>10GE多模光模块(850nm,0.3km,LC)</t>
        </is>
      </c>
      <c r="H49" s="435" t="n">
        <v>54.66</v>
      </c>
      <c r="I49" s="435" t="n">
        <v>103.86</v>
      </c>
      <c r="J49" s="436" t="n">
        <v>60.8</v>
      </c>
      <c r="K49" s="436" t="n">
        <v>62.73</v>
      </c>
      <c r="L49" s="436" t="n">
        <v>59.16</v>
      </c>
      <c r="M49" s="433" t="n"/>
      <c r="N49" s="433">
        <f>H49*$M$49</f>
        <v/>
      </c>
      <c r="O49" s="433">
        <f>I49*$M$49</f>
        <v/>
      </c>
      <c r="P49" s="433">
        <f>J49*$M$49</f>
        <v/>
      </c>
      <c r="Q49" s="433">
        <f>K49*$M$49</f>
        <v/>
      </c>
      <c r="R49" s="433">
        <f>L49*$M$49</f>
        <v/>
      </c>
      <c r="S49" s="433" t="inlineStr">
        <is>
          <t>可选</t>
        </is>
      </c>
      <c r="T49" s="379" t="n"/>
      <c r="U49" s="440" t="inlineStr">
        <is>
          <t>100板卡数量</t>
        </is>
      </c>
      <c r="V49" s="440" t="inlineStr">
        <is>
          <t>设备数量</t>
        </is>
      </c>
      <c r="W49" s="440" t="inlineStr">
        <is>
          <t>40板卡数量</t>
        </is>
      </c>
      <c r="X49" s="440" t="inlineStr">
        <is>
          <t>10板卡数量</t>
        </is>
      </c>
    </row>
    <row r="50" ht="18" customHeight="1" s="192">
      <c r="B50" s="431" t="n"/>
      <c r="C50" s="441" t="inlineStr">
        <is>
          <t>高度</t>
        </is>
      </c>
      <c r="D50" s="441" t="inlineStr">
        <is>
          <t>16槽位：33U
8槽位 ：17U</t>
        </is>
      </c>
      <c r="E50" s="442" t="n"/>
      <c r="F50" s="437" t="n"/>
      <c r="G50" s="442" t="n"/>
      <c r="H50" s="443" t="inlineStr">
        <is>
          <t>16槽位：33U
8槽位 ：17U</t>
        </is>
      </c>
      <c r="I50" s="443" t="inlineStr">
        <is>
          <t>16槽位：33U
8槽位 ：17U</t>
        </is>
      </c>
      <c r="J50" s="443" t="inlineStr">
        <is>
          <t>16槽位：33U
8槽位 ：17U</t>
        </is>
      </c>
      <c r="K50" s="443" t="inlineStr">
        <is>
          <t>16槽位：33U
8槽位 ：17U</t>
        </is>
      </c>
      <c r="L50" s="443" t="inlineStr">
        <is>
          <t>16槽位：33U
8槽位 ：17U</t>
        </is>
      </c>
      <c r="M50" s="433" t="n"/>
      <c r="N50" s="433" t="n"/>
      <c r="O50" s="433" t="n"/>
      <c r="P50" s="433" t="n"/>
      <c r="Q50" s="433" t="n"/>
      <c r="R50" s="433" t="n"/>
      <c r="S50" s="433" t="n"/>
      <c r="T50" s="379" t="n"/>
      <c r="U50" s="444">
        <f>CEILING('2-建设规模换算'!E23/18,1)</f>
        <v/>
      </c>
      <c r="V50" s="444">
        <f>IF(U50&gt;0,IF(U50&lt;=16,2,0),0)</f>
        <v/>
      </c>
      <c r="W50" s="444">
        <f>CEILING('2-建设规模换算'!E24/36,1)</f>
        <v/>
      </c>
      <c r="X50" s="444">
        <f>CEILING(('2-建设规模换算'!E25+'2-建设规模换算'!E26)/48,1)</f>
        <v/>
      </c>
    </row>
    <row r="51" ht="18" customHeight="1" s="192">
      <c r="B51" s="431" t="n"/>
      <c r="C51" s="448" t="inlineStr">
        <is>
          <t>单台功耗：</t>
        </is>
      </c>
      <c r="D51" s="448" t="inlineStr">
        <is>
          <t>16槽位：满配10K以上
8槽位 ：满配5KW以上</t>
        </is>
      </c>
      <c r="E51" s="444" t="n"/>
      <c r="F51" s="444" t="n"/>
      <c r="G51" s="444" t="n"/>
      <c r="H51" s="445" t="n"/>
      <c r="I51" s="445" t="n"/>
      <c r="J51" s="445" t="n"/>
      <c r="K51" s="445" t="n"/>
      <c r="L51" s="429" t="inlineStr">
        <is>
          <t>合计</t>
        </is>
      </c>
      <c r="M51" s="428">
        <f>SUM(M30:M49)</f>
        <v/>
      </c>
      <c r="N51" s="428">
        <f>SUM(N30:N49)</f>
        <v/>
      </c>
      <c r="O51" s="428">
        <f>SUM(O30:O49)/10000</f>
        <v/>
      </c>
      <c r="P51" s="428">
        <f>SUM(P30:P49)</f>
        <v/>
      </c>
      <c r="Q51" s="428">
        <f>SUM(Q30:Q49)</f>
        <v/>
      </c>
      <c r="R51" s="428">
        <f>SUM(R30:R49)</f>
        <v/>
      </c>
      <c r="S51" s="428" t="n"/>
      <c r="T51" s="379" t="n"/>
      <c r="U51" s="379" t="n"/>
      <c r="V51" s="379" t="n"/>
      <c r="W51" s="379" t="n"/>
      <c r="X51" s="379" t="n"/>
    </row>
    <row r="52" ht="18" customHeight="1" s="192">
      <c r="B52" s="446" t="inlineStr">
        <is>
          <t>注：设备机框/主机和电源模块须满足典配配置要求表中电源类型的相关要求，按照机房电源要求，由用户确定供货电源类型并适配。</t>
        </is>
      </c>
      <c r="C52" s="379" t="n"/>
      <c r="D52" s="379" t="n"/>
      <c r="E52" s="379" t="n"/>
      <c r="F52" s="379" t="n"/>
      <c r="G52" s="379" t="n"/>
      <c r="H52" s="414" t="n"/>
      <c r="I52" s="414" t="n"/>
      <c r="J52" s="414" t="n"/>
      <c r="K52" s="414" t="n"/>
      <c r="L52" s="414" t="n"/>
      <c r="M52" s="379" t="n"/>
      <c r="N52" s="379" t="n"/>
      <c r="O52" s="379" t="n"/>
      <c r="P52" s="379" t="n"/>
      <c r="Q52" s="379" t="n"/>
      <c r="R52" s="379" t="n"/>
      <c r="S52" s="379" t="n"/>
      <c r="T52" s="379" t="n"/>
      <c r="U52" s="379" t="n"/>
      <c r="V52" s="379" t="n"/>
      <c r="W52" s="379" t="n"/>
      <c r="X52" s="379" t="n"/>
    </row>
    <row r="53" ht="18" customHeight="1" s="192">
      <c r="B53" s="450" t="inlineStr">
        <is>
          <t>中国移动2024年至2025年新型智算中心项目设备配置框架清单</t>
        </is>
      </c>
      <c r="C53" s="379" t="n"/>
      <c r="D53" s="379" t="n"/>
      <c r="E53" s="379" t="n"/>
      <c r="F53" s="379" t="n"/>
      <c r="G53" s="379" t="n"/>
      <c r="H53" s="414" t="n"/>
      <c r="I53" s="414" t="n"/>
      <c r="J53" s="414" t="n"/>
      <c r="K53" s="414" t="n"/>
      <c r="L53" s="414" t="n"/>
      <c r="M53" s="379" t="n"/>
      <c r="N53" s="379" t="n"/>
      <c r="O53" s="379" t="n"/>
      <c r="P53" s="379" t="n"/>
      <c r="Q53" s="379" t="n"/>
      <c r="R53" s="379" t="n"/>
      <c r="S53" s="379" t="n"/>
      <c r="T53" s="379" t="n"/>
      <c r="U53" s="379" t="n"/>
      <c r="V53" s="379" t="n"/>
      <c r="W53" s="379" t="n"/>
      <c r="X53" s="379" t="n"/>
    </row>
    <row r="54" ht="18" customHeight="1" s="192">
      <c r="B54" s="447" t="inlineStr">
        <is>
          <t>中国移动2024年至2025年新型智算中心项目设备配置框架清单</t>
        </is>
      </c>
      <c r="C54" s="379" t="n"/>
      <c r="D54" s="379" t="n"/>
      <c r="E54" s="379" t="n"/>
      <c r="F54" s="379" t="n"/>
      <c r="G54" s="379" t="n"/>
      <c r="H54" s="414" t="n"/>
      <c r="I54" s="414" t="n"/>
      <c r="J54" s="414" t="n"/>
      <c r="K54" s="414" t="n"/>
      <c r="L54" s="414" t="n"/>
      <c r="M54" s="379" t="n"/>
      <c r="N54" s="379" t="n"/>
      <c r="O54" s="379" t="n"/>
      <c r="P54" s="379" t="n"/>
      <c r="Q54" s="379" t="n"/>
      <c r="R54" s="379" t="n"/>
      <c r="S54" s="379" t="n"/>
      <c r="T54" s="379" t="n"/>
      <c r="U54" s="379" t="n"/>
      <c r="V54" s="379" t="n"/>
      <c r="W54" s="379" t="n"/>
      <c r="X54" s="379" t="n"/>
    </row>
    <row r="55" ht="18" customHeight="1" s="192">
      <c r="B55" s="451" t="inlineStr">
        <is>
          <t>参数面典配1 400G框式汇聚（8槽）</t>
        </is>
      </c>
      <c r="C55" s="427" t="inlineStr">
        <is>
          <t>单台均值
（万元）</t>
        </is>
      </c>
      <c r="D55" s="427" t="inlineStr">
        <is>
          <t>单台峰值
（万元）</t>
        </is>
      </c>
      <c r="E55" s="452" t="inlineStr">
        <is>
          <t>部件分类</t>
        </is>
      </c>
      <c r="F55" s="379" t="n"/>
      <c r="G55" s="452" t="inlineStr">
        <is>
          <t>配置详细描述及配置原则</t>
        </is>
      </c>
      <c r="H55" s="435" t="inlineStr">
        <is>
          <t>单价（元）</t>
        </is>
      </c>
      <c r="I55" s="435" t="inlineStr">
        <is>
          <t>每个典配实配数量</t>
        </is>
      </c>
      <c r="J55" s="435" t="inlineStr">
        <is>
          <t>总价（元）</t>
        </is>
      </c>
      <c r="K55" s="414" t="n"/>
      <c r="L55" s="414" t="n"/>
      <c r="M55" s="440" t="inlineStr">
        <is>
          <t>数量</t>
        </is>
      </c>
      <c r="N55" s="379" t="n"/>
      <c r="O55" s="440" t="inlineStr">
        <is>
          <t>价格</t>
        </is>
      </c>
      <c r="P55" s="379" t="n"/>
      <c r="Q55" s="379" t="n"/>
      <c r="R55" s="379" t="n"/>
      <c r="S55" s="379" t="n"/>
      <c r="T55" s="379" t="n"/>
      <c r="U55" s="379" t="n"/>
      <c r="V55" s="379" t="n"/>
      <c r="W55" s="379" t="n"/>
      <c r="X55" s="379" t="n"/>
    </row>
    <row r="56" ht="18" customHeight="1" s="192">
      <c r="B56" s="431" t="n"/>
      <c r="C56" s="379" t="n"/>
      <c r="D56" s="379" t="n"/>
      <c r="E56" s="379" t="n"/>
      <c r="F56" s="379" t="n"/>
      <c r="G56" s="379" t="n"/>
      <c r="H56" s="435" t="inlineStr">
        <is>
          <t>CE16880-X8</t>
        </is>
      </c>
      <c r="I56" s="435" t="n"/>
      <c r="J56" s="435" t="inlineStr">
        <is>
          <t>CE16880-X8</t>
        </is>
      </c>
      <c r="K56" s="414" t="n"/>
      <c r="L56" s="414" t="n"/>
      <c r="M56" s="379" t="n"/>
      <c r="N56" s="379" t="n"/>
      <c r="O56" s="379" t="n"/>
      <c r="P56" s="379" t="n"/>
      <c r="Q56" s="379" t="n"/>
      <c r="R56" s="379" t="n"/>
      <c r="S56" s="379" t="n"/>
      <c r="T56" s="379" t="n"/>
      <c r="U56" s="379" t="n"/>
      <c r="V56" s="379" t="n"/>
      <c r="W56" s="379" t="n"/>
      <c r="X56" s="379" t="n"/>
    </row>
    <row r="57" ht="18" customHeight="1" s="192">
      <c r="B57" s="431" t="n"/>
      <c r="C57" s="427">
        <f>AVERAGE(J67)/10000</f>
        <v/>
      </c>
      <c r="D57" s="427">
        <f>MAX(J67)/10000</f>
        <v/>
      </c>
      <c r="E57" s="438" t="inlineStr">
        <is>
          <t>基本配置单元</t>
        </is>
      </c>
      <c r="F57" s="433" t="inlineStr">
        <is>
          <t>8槽位框式设备（8*交换网板）</t>
        </is>
      </c>
      <c r="G57" s="453" t="inlineStr">
        <is>
          <t>8槽位交流、高压直流机框套件/
8槽位直流机框套件</t>
        </is>
      </c>
      <c r="H57" s="454" t="n">
        <v>336978.24</v>
      </c>
      <c r="I57" s="435" t="n">
        <v>1</v>
      </c>
      <c r="J57" s="435">
        <f>$H57*$I57</f>
        <v/>
      </c>
      <c r="K57" s="414" t="n"/>
      <c r="L57" s="414" t="n"/>
      <c r="M57" s="379" t="n"/>
      <c r="N57" s="379" t="n"/>
      <c r="O57" s="379" t="n"/>
      <c r="P57" s="379" t="n"/>
      <c r="Q57" s="379" t="n"/>
      <c r="R57" s="379" t="n"/>
      <c r="S57" s="379" t="n"/>
      <c r="T57" s="379" t="n"/>
      <c r="U57" s="379" t="n"/>
      <c r="V57" s="379" t="n"/>
      <c r="W57" s="379" t="n"/>
      <c r="X57" s="379" t="n"/>
    </row>
    <row r="58" ht="18" customHeight="1" s="192">
      <c r="B58" s="431" t="n"/>
      <c r="C58" s="379" t="n"/>
      <c r="D58" s="379" t="n"/>
      <c r="E58" s="379" t="n"/>
      <c r="F58" s="433" t="inlineStr">
        <is>
          <t>36*400GE 单板</t>
        </is>
      </c>
      <c r="G58" s="453" t="inlineStr">
        <is>
          <t>1*CEX8-L36DQ2CQJ2：36端口400GE，2端口100GE以太网光接口板(X8L-J2,QSFP-DD,QSFP28)(CM)
3*CE168-RTU-U6DQ：CloudEngine 16800 6*100G升级到6*400G容量升级RTU</t>
        </is>
      </c>
      <c r="H58" s="454" t="n">
        <v>200782.87</v>
      </c>
      <c r="I58" s="435" t="n">
        <v>8</v>
      </c>
      <c r="J58" s="435">
        <f>$H58*$I58</f>
        <v/>
      </c>
      <c r="K58" s="414" t="n"/>
      <c r="L58" s="414" t="n"/>
      <c r="M58" s="444">
        <f>IF(M84&gt;32,IF(M84&gt;288,0,CEILING(M84/36,1)),0)</f>
        <v/>
      </c>
      <c r="N58" s="379" t="n"/>
      <c r="O58" s="379" t="n"/>
      <c r="P58" s="379" t="n"/>
      <c r="Q58" s="379" t="n"/>
      <c r="R58" s="379" t="n"/>
      <c r="S58" s="379" t="n"/>
      <c r="T58" s="379" t="n"/>
      <c r="U58" s="379" t="n"/>
      <c r="V58" s="379" t="n"/>
      <c r="W58" s="379" t="n"/>
      <c r="X58" s="379" t="n"/>
    </row>
    <row r="59" ht="18" customHeight="1" s="192">
      <c r="B59" s="431" t="n"/>
      <c r="C59" s="379" t="n"/>
      <c r="D59" s="379" t="n"/>
      <c r="E59" s="438" t="inlineStr">
        <is>
          <t>接口模块单元</t>
        </is>
      </c>
      <c r="F59" s="455" t="inlineStr">
        <is>
          <t>光模块，400GE，单模QSFP-DD FR4（2km，LC）</t>
        </is>
      </c>
      <c r="G59" s="453" t="inlineStr">
        <is>
          <t>400GBase-FR4光模块-QSFP-DD-400G-单模模块(1310nm,2km,LC)</t>
        </is>
      </c>
      <c r="H59" s="454" t="n">
        <v>10544.62</v>
      </c>
      <c r="I59" s="435" t="n">
        <v>288</v>
      </c>
      <c r="J59" s="435">
        <f>$H59*$I59</f>
        <v/>
      </c>
      <c r="K59" s="414" t="n"/>
      <c r="L59" s="414" t="n"/>
      <c r="M59" s="444">
        <f>M58*36</f>
        <v/>
      </c>
      <c r="N59" s="379" t="n"/>
      <c r="O59" s="379" t="n"/>
      <c r="P59" s="379" t="n"/>
      <c r="Q59" s="379" t="n"/>
      <c r="R59" s="379" t="n"/>
      <c r="S59" s="379" t="n"/>
      <c r="T59" s="379" t="n"/>
      <c r="U59" s="379" t="n"/>
      <c r="V59" s="379" t="n"/>
      <c r="W59" s="379" t="n"/>
      <c r="X59" s="379" t="n"/>
    </row>
    <row r="60" ht="18" customHeight="1" s="192">
      <c r="B60" s="431" t="n"/>
      <c r="C60" s="379" t="n"/>
      <c r="D60" s="379" t="n"/>
      <c r="E60" s="438" t="inlineStr">
        <is>
          <t>接口模块单元-可选</t>
        </is>
      </c>
      <c r="F60" s="456" t="inlineStr">
        <is>
          <t>光模块，400GE，LC单模，10km</t>
        </is>
      </c>
      <c r="G60" s="453" t="inlineStr">
        <is>
          <t>400GBase-LR8光模块-QSFP-DD-400G-单模模块(1310nm,10km,LC)</t>
        </is>
      </c>
      <c r="H60" s="454" t="n">
        <v>21271.75</v>
      </c>
      <c r="I60" s="435" t="n"/>
      <c r="J60" s="435">
        <f>$H60*$I60</f>
        <v/>
      </c>
      <c r="K60" s="414" t="n"/>
      <c r="L60" s="414" t="n"/>
      <c r="M60" s="379" t="n"/>
      <c r="N60" s="379" t="n"/>
      <c r="O60" s="379" t="n"/>
      <c r="P60" s="379" t="n"/>
      <c r="Q60" s="379" t="n"/>
      <c r="R60" s="379" t="n"/>
      <c r="S60" s="379" t="n"/>
      <c r="T60" s="379" t="n"/>
      <c r="U60" s="379" t="n"/>
      <c r="V60" s="379" t="n"/>
      <c r="W60" s="379" t="n"/>
      <c r="X60" s="379" t="n"/>
    </row>
    <row r="61" ht="18" customHeight="1" s="192">
      <c r="B61" s="431" t="n"/>
      <c r="C61" s="379" t="n"/>
      <c r="D61" s="379" t="n"/>
      <c r="E61" s="379" t="n"/>
      <c r="F61" s="455" t="inlineStr">
        <is>
          <t>光模块，400GE，多模QSFP-DD SR8（100m，MPO）</t>
        </is>
      </c>
      <c r="G61" s="453" t="inlineStr">
        <is>
          <t>400GBase-SR8光模块-QSFP-DD-400G-多模模块(850nm,0.1km,MPO 1x16,APC)</t>
        </is>
      </c>
      <c r="H61" s="454" t="n">
        <v>4914.27</v>
      </c>
      <c r="I61" s="435" t="n"/>
      <c r="J61" s="435">
        <f>$H61*$I61</f>
        <v/>
      </c>
      <c r="K61" s="414" t="n"/>
      <c r="L61" s="414" t="n"/>
      <c r="M61" s="379" t="n"/>
      <c r="N61" s="379" t="n"/>
      <c r="O61" s="379" t="n"/>
      <c r="P61" s="379" t="n"/>
      <c r="Q61" s="379" t="n"/>
      <c r="R61" s="379" t="n"/>
      <c r="S61" s="379" t="n"/>
      <c r="T61" s="379" t="n"/>
      <c r="U61" s="379" t="n"/>
      <c r="V61" s="379" t="n"/>
      <c r="W61" s="379" t="n"/>
      <c r="X61" s="379" t="n"/>
    </row>
    <row r="62" ht="18" customHeight="1" s="192">
      <c r="B62" s="431" t="n"/>
      <c r="C62" s="379" t="n"/>
      <c r="D62" s="379" t="n"/>
      <c r="E62" s="379" t="n"/>
      <c r="F62" s="456" t="inlineStr">
        <is>
          <t>光模块，200GE，多模QSFP56 SR4（100m，MPO）</t>
        </is>
      </c>
      <c r="G62" s="453" t="inlineStr">
        <is>
          <t>200GBase-SR4光模块-QSFP56-200G-多模模块(850nm,0.1km,MPO)</t>
        </is>
      </c>
      <c r="H62" s="454" t="n">
        <v>2541.38</v>
      </c>
      <c r="I62" s="457" t="n"/>
      <c r="J62" s="435">
        <f>$H62*$I62</f>
        <v/>
      </c>
      <c r="K62" s="414" t="n"/>
      <c r="L62" s="414" t="n"/>
      <c r="M62" s="379" t="n"/>
      <c r="N62" s="379" t="n"/>
      <c r="O62" s="379" t="n"/>
      <c r="P62" s="379" t="n"/>
      <c r="Q62" s="379" t="n"/>
      <c r="R62" s="379" t="n"/>
      <c r="S62" s="379" t="n"/>
      <c r="T62" s="379" t="n"/>
      <c r="U62" s="379" t="n"/>
      <c r="V62" s="379" t="n"/>
      <c r="W62" s="379" t="n"/>
      <c r="X62" s="379" t="n"/>
    </row>
    <row r="63" ht="18" customHeight="1" s="192">
      <c r="B63" s="431" t="n"/>
      <c r="C63" s="379" t="n"/>
      <c r="D63" s="379" t="n"/>
      <c r="E63" s="379" t="n"/>
      <c r="F63" s="456" t="inlineStr">
        <is>
          <t>光模块，200GE，LC单模，2km</t>
        </is>
      </c>
      <c r="G63" s="453" t="inlineStr">
        <is>
          <t>不涉及</t>
        </is>
      </c>
      <c r="H63" s="454" t="n">
        <v>4043.74</v>
      </c>
      <c r="I63" s="435" t="n"/>
      <c r="J63" s="435">
        <f>$H63*$I63</f>
        <v/>
      </c>
      <c r="K63" s="414" t="n"/>
      <c r="L63" s="414" t="n"/>
      <c r="M63" s="379" t="n"/>
      <c r="N63" s="379" t="n"/>
      <c r="O63" s="379" t="n"/>
      <c r="P63" s="379" t="n"/>
      <c r="Q63" s="379" t="n"/>
      <c r="R63" s="379" t="n"/>
      <c r="S63" s="379" t="n"/>
      <c r="T63" s="379" t="n"/>
      <c r="U63" s="379" t="n"/>
      <c r="V63" s="379" t="n"/>
      <c r="W63" s="379" t="n"/>
      <c r="X63" s="379" t="n"/>
    </row>
    <row r="64" ht="18" customHeight="1" s="192">
      <c r="B64" s="431" t="n"/>
      <c r="C64" s="379" t="n"/>
      <c r="D64" s="379" t="n"/>
      <c r="E64" s="379" t="n"/>
      <c r="F64" s="456" t="inlineStr">
        <is>
          <t>光模块，100GE，LC单模，2km</t>
        </is>
      </c>
      <c r="G64" s="453" t="inlineStr">
        <is>
          <t>100GBase-CWDM4光模块-QSFP28-100G-单模模块(1310nm,2km,LC)</t>
        </is>
      </c>
      <c r="H64" s="454" t="n">
        <v>1923.58</v>
      </c>
      <c r="I64" s="435" t="n"/>
      <c r="J64" s="435">
        <f>$H64*$I64</f>
        <v/>
      </c>
      <c r="K64" s="414" t="n"/>
      <c r="L64" s="414" t="n"/>
      <c r="M64" s="379" t="n"/>
      <c r="N64" s="379" t="n"/>
      <c r="O64" s="379" t="n"/>
      <c r="P64" s="379" t="n"/>
      <c r="Q64" s="379" t="n"/>
      <c r="R64" s="379" t="n"/>
      <c r="S64" s="379" t="n"/>
      <c r="T64" s="379" t="n"/>
      <c r="U64" s="379" t="n"/>
      <c r="V64" s="379" t="n"/>
      <c r="W64" s="379" t="n"/>
      <c r="X64" s="379" t="n"/>
    </row>
    <row r="65" ht="18" customHeight="1" s="192">
      <c r="B65" s="431" t="n"/>
      <c r="C65" s="379" t="n"/>
      <c r="D65" s="379" t="n"/>
      <c r="E65" s="379" t="n"/>
      <c r="F65" s="456" t="inlineStr">
        <is>
          <t>光模块，100GE，MPO多模，100m</t>
        </is>
      </c>
      <c r="G65" s="453" t="inlineStr">
        <is>
          <t>100GBase-SR4光模块-QSFP28-100G-多模模块(850nm,0.1km,MPO)</t>
        </is>
      </c>
      <c r="H65" s="454" t="n">
        <v>1404.08</v>
      </c>
      <c r="I65" s="435" t="n"/>
      <c r="J65" s="435">
        <f>$H65*$I65</f>
        <v/>
      </c>
      <c r="K65" s="414" t="n"/>
      <c r="L65" s="414" t="n"/>
      <c r="M65" s="379" t="n"/>
      <c r="N65" s="379" t="n"/>
      <c r="O65" s="379" t="n"/>
      <c r="P65" s="379" t="n"/>
      <c r="Q65" s="379" t="n"/>
      <c r="R65" s="379" t="n"/>
      <c r="S65" s="379" t="n"/>
      <c r="T65" s="379" t="n"/>
      <c r="U65" s="379" t="n"/>
      <c r="V65" s="379" t="n"/>
      <c r="W65" s="379" t="n"/>
      <c r="X65" s="379" t="n"/>
    </row>
    <row r="66" ht="18" customHeight="1" s="192">
      <c r="B66" s="431" t="n"/>
      <c r="C66" s="379" t="n"/>
      <c r="D66" s="379" t="n"/>
      <c r="E66" s="379" t="n"/>
      <c r="F66" s="456" t="inlineStr">
        <is>
          <t>光模块，25GE，LC多模，100m</t>
        </is>
      </c>
      <c r="G66" s="453" t="inlineStr">
        <is>
          <t>25GBase-SR光模块-SFP28-25G多模模块(850nm,0.1km,LC)</t>
        </is>
      </c>
      <c r="H66" s="454" t="n">
        <v>280.82</v>
      </c>
      <c r="I66" s="435" t="n"/>
      <c r="J66" s="435">
        <f>$H66*$I66</f>
        <v/>
      </c>
      <c r="K66" s="414" t="n"/>
      <c r="L66" s="414" t="n"/>
      <c r="M66" s="379" t="n"/>
      <c r="N66" s="379" t="n"/>
      <c r="O66" s="379" t="n"/>
      <c r="P66" s="379" t="n"/>
      <c r="Q66" s="379" t="n"/>
      <c r="R66" s="379" t="n"/>
      <c r="S66" s="379" t="n"/>
      <c r="T66" s="379" t="n"/>
      <c r="U66" s="379" t="n"/>
      <c r="V66" s="379" t="n"/>
      <c r="W66" s="379" t="n"/>
      <c r="X66" s="379" t="n"/>
    </row>
    <row r="67" ht="18" customHeight="1" s="192">
      <c r="B67" s="431" t="n"/>
      <c r="C67" s="379" t="n"/>
      <c r="D67" s="379" t="n"/>
      <c r="E67" s="433" t="n"/>
      <c r="F67" s="433" t="n"/>
      <c r="G67" s="433" t="n"/>
      <c r="H67" s="435" t="inlineStr">
        <is>
          <t>合计</t>
        </is>
      </c>
      <c r="I67" s="435">
        <f>SUM(I57:I66)</f>
        <v/>
      </c>
      <c r="J67" s="435">
        <f>SUM(J57:J66)</f>
        <v/>
      </c>
      <c r="K67" s="414" t="n"/>
      <c r="L67" s="414" t="n"/>
      <c r="M67" s="379" t="n"/>
      <c r="N67" s="379" t="n"/>
      <c r="O67" s="379" t="n"/>
      <c r="P67" s="379" t="n"/>
      <c r="Q67" s="379" t="n"/>
      <c r="R67" s="379" t="n"/>
      <c r="S67" s="379" t="n"/>
      <c r="T67" s="379" t="n"/>
      <c r="U67" s="379" t="n"/>
      <c r="V67" s="379" t="n"/>
      <c r="W67" s="379" t="n"/>
      <c r="X67" s="379" t="n"/>
    </row>
    <row r="68" ht="18" customHeight="1" s="192">
      <c r="B68" s="431" t="n"/>
      <c r="C68" s="441" t="inlineStr">
        <is>
          <t>高度</t>
        </is>
      </c>
      <c r="D68" s="458" t="n">
        <v>15.8</v>
      </c>
      <c r="E68" s="458" t="n"/>
      <c r="F68" s="458" t="n"/>
      <c r="G68" s="458" t="n"/>
      <c r="H68" s="459" t="n"/>
      <c r="I68" s="459" t="n"/>
      <c r="J68" s="459" t="n"/>
      <c r="K68" s="414" t="n"/>
      <c r="L68" s="414" t="n"/>
      <c r="M68" s="379" t="n"/>
      <c r="N68" s="379" t="n"/>
      <c r="O68" s="379" t="n"/>
      <c r="P68" s="379" t="n"/>
      <c r="Q68" s="379" t="n"/>
      <c r="R68" s="379" t="n"/>
      <c r="S68" s="379" t="n"/>
      <c r="T68" s="379" t="n"/>
      <c r="U68" s="379" t="n"/>
      <c r="V68" s="379" t="n"/>
      <c r="W68" s="379" t="n"/>
      <c r="X68" s="379" t="n"/>
    </row>
    <row r="69" ht="18" customHeight="1" s="192">
      <c r="B69" s="431" t="n"/>
      <c r="C69" s="427" t="inlineStr">
        <is>
          <t>2024-2025框架单台功耗：</t>
        </is>
      </c>
      <c r="D69" s="427" t="inlineStr">
        <is>
          <t>40度满负载：23948w
27度满负载：17600w</t>
        </is>
      </c>
      <c r="E69" s="433" t="n"/>
      <c r="F69" s="433" t="n"/>
      <c r="G69" s="433" t="n"/>
      <c r="H69" s="435" t="n"/>
      <c r="I69" s="460" t="n"/>
      <c r="J69" s="461" t="n"/>
      <c r="K69" s="414" t="n"/>
      <c r="L69" s="414" t="n"/>
      <c r="M69" s="444">
        <f>IF(M84&gt;32,IF(M84&gt;288,0,16),0)</f>
        <v/>
      </c>
      <c r="N69" s="379" t="n"/>
      <c r="O69" s="379" t="n"/>
      <c r="P69" s="379" t="n"/>
      <c r="Q69" s="379" t="n"/>
      <c r="R69" s="379" t="n"/>
      <c r="S69" s="379" t="n"/>
      <c r="T69" s="379" t="n"/>
      <c r="U69" s="379" t="n"/>
      <c r="V69" s="379" t="n"/>
      <c r="W69" s="379" t="n"/>
      <c r="X69" s="379" t="n"/>
    </row>
    <row r="70" ht="18" customHeight="1" s="192">
      <c r="B70" s="462" t="n"/>
      <c r="C70" s="463" t="n"/>
      <c r="D70" s="427" t="n"/>
      <c r="E70" s="463" t="n"/>
      <c r="F70" s="464" t="n"/>
      <c r="G70" s="465" t="n"/>
      <c r="H70" s="466" t="n"/>
      <c r="I70" s="466" t="n"/>
      <c r="J70" s="466" t="n"/>
      <c r="K70" s="414" t="n"/>
      <c r="L70" s="414" t="n"/>
      <c r="M70" s="379" t="n"/>
      <c r="N70" s="379" t="n"/>
      <c r="O70" s="379" t="n"/>
      <c r="P70" s="379" t="n"/>
      <c r="Q70" s="379" t="n"/>
      <c r="R70" s="379" t="n"/>
      <c r="S70" s="379" t="n"/>
      <c r="T70" s="379" t="n"/>
      <c r="U70" s="379" t="n"/>
      <c r="V70" s="379" t="n"/>
      <c r="W70" s="379" t="n"/>
      <c r="X70" s="379" t="n"/>
    </row>
    <row r="71" ht="18" customHeight="1" s="192">
      <c r="B71" s="451" t="inlineStr">
        <is>
          <t>参数面典配2 200G盒式接入</t>
        </is>
      </c>
      <c r="C71" s="427" t="inlineStr">
        <is>
          <t>单台均值
（万元）</t>
        </is>
      </c>
      <c r="D71" s="427" t="inlineStr">
        <is>
          <t>单台峰值
（万元）</t>
        </is>
      </c>
      <c r="E71" s="452" t="inlineStr">
        <is>
          <t>部件分类</t>
        </is>
      </c>
      <c r="F71" s="379" t="n"/>
      <c r="G71" s="452" t="inlineStr">
        <is>
          <t>配置详细描述及配置原则</t>
        </is>
      </c>
      <c r="H71" s="435" t="inlineStr">
        <is>
          <t>单价（元）</t>
        </is>
      </c>
      <c r="I71" s="435" t="inlineStr">
        <is>
          <t>每个典配实配数量</t>
        </is>
      </c>
      <c r="J71" s="435" t="inlineStr">
        <is>
          <t>总价（元）</t>
        </is>
      </c>
      <c r="K71" s="414" t="n"/>
      <c r="L71" s="414" t="n"/>
      <c r="M71" s="379" t="n"/>
      <c r="N71" s="379" t="n"/>
      <c r="O71" s="379" t="n"/>
      <c r="P71" s="379" t="n"/>
      <c r="Q71" s="379" t="n"/>
      <c r="R71" s="379" t="n"/>
      <c r="S71" s="379" t="n"/>
      <c r="T71" s="379" t="n"/>
      <c r="U71" s="379" t="n"/>
      <c r="V71" s="379" t="n"/>
      <c r="W71" s="379" t="n"/>
      <c r="X71" s="379" t="n"/>
    </row>
    <row r="72" ht="18" customHeight="1" s="192">
      <c r="B72" s="431" t="n"/>
      <c r="C72" s="379" t="n"/>
      <c r="D72" s="379" t="n"/>
      <c r="E72" s="379" t="n"/>
      <c r="F72" s="379" t="n"/>
      <c r="G72" s="379" t="n"/>
      <c r="H72" s="435" t="inlineStr">
        <is>
          <t>CE16880-X8</t>
        </is>
      </c>
      <c r="I72" s="435" t="n"/>
      <c r="J72" s="435" t="inlineStr">
        <is>
          <t>CE16880-X8</t>
        </is>
      </c>
      <c r="K72" s="414" t="n"/>
      <c r="L72" s="414" t="n"/>
      <c r="M72" s="379" t="n"/>
      <c r="N72" s="379" t="n"/>
      <c r="O72" s="379" t="n"/>
      <c r="P72" s="379" t="n"/>
      <c r="Q72" s="379" t="n"/>
      <c r="R72" s="379" t="n"/>
      <c r="S72" s="379" t="n"/>
      <c r="T72" s="379" t="n"/>
      <c r="U72" s="379" t="n"/>
      <c r="V72" s="379" t="n"/>
      <c r="W72" s="379" t="n"/>
      <c r="X72" s="379" t="n"/>
    </row>
    <row r="73" ht="18" customHeight="1" s="192">
      <c r="B73" s="431" t="n"/>
      <c r="C73" s="427">
        <f>AVERAGE(J82)/10000</f>
        <v/>
      </c>
      <c r="D73" s="427">
        <f>MAX(J82)/10000</f>
        <v/>
      </c>
      <c r="E73" s="438" t="inlineStr">
        <is>
          <t>接口模块单元</t>
        </is>
      </c>
      <c r="F73" s="467" t="inlineStr">
        <is>
          <t>32*200G+16*400G 插卡盒式交换机</t>
        </is>
      </c>
      <c r="G73" s="453" t="inlineStr">
        <is>
          <t>CE9860-4C-EI-A交流/高压直流/直流主机</t>
        </is>
      </c>
      <c r="H73" s="468" t="n">
        <v>207887.5</v>
      </c>
      <c r="I73" s="435" t="n">
        <v>1</v>
      </c>
      <c r="J73" s="435">
        <f>$H73*$I73</f>
        <v/>
      </c>
      <c r="K73" s="414" t="n"/>
      <c r="L73" s="414" t="n"/>
      <c r="M73" s="379" t="n"/>
      <c r="N73" s="379" t="n"/>
      <c r="O73" s="379" t="n"/>
      <c r="P73" s="379" t="n"/>
      <c r="Q73" s="379" t="n"/>
      <c r="R73" s="379" t="n"/>
      <c r="S73" s="379" t="n"/>
      <c r="T73" s="379" t="n"/>
      <c r="U73" s="379" t="n"/>
      <c r="V73" s="379" t="n"/>
      <c r="W73" s="379" t="n"/>
      <c r="X73" s="379" t="n"/>
    </row>
    <row r="74" ht="18" customHeight="1" s="192">
      <c r="B74" s="431" t="n"/>
      <c r="C74" s="379" t="n"/>
      <c r="D74" s="379" t="n"/>
      <c r="E74" s="438" t="inlineStr">
        <is>
          <t>接口模块单元</t>
        </is>
      </c>
      <c r="F74" s="455" t="inlineStr">
        <is>
          <t>光模块，400GE，单模QSFP-DD FR4（2km，LC）</t>
        </is>
      </c>
      <c r="G74" s="453" t="inlineStr">
        <is>
          <t>400GBase-FR4光模块-QSFP-DD-400G-单模模块(1310nm,2km,LC)</t>
        </is>
      </c>
      <c r="H74" s="468" t="n">
        <v>10544.62</v>
      </c>
      <c r="I74" s="435" t="n"/>
      <c r="J74" s="435">
        <f>$H74*$I74</f>
        <v/>
      </c>
      <c r="K74" s="414" t="n"/>
      <c r="L74" s="414" t="n"/>
      <c r="M74" s="379" t="n"/>
      <c r="N74" s="379" t="n"/>
      <c r="O74" s="379" t="n"/>
      <c r="P74" s="379" t="n"/>
      <c r="Q74" s="379" t="n"/>
      <c r="R74" s="379" t="n"/>
      <c r="S74" s="379" t="n"/>
      <c r="T74" s="379" t="n"/>
      <c r="U74" s="379" t="n"/>
      <c r="V74" s="379" t="n"/>
      <c r="W74" s="379" t="n"/>
      <c r="X74" s="379" t="n"/>
    </row>
    <row r="75" ht="18" customHeight="1" s="192">
      <c r="B75" s="431" t="n"/>
      <c r="C75" s="379" t="n"/>
      <c r="D75" s="379" t="n"/>
      <c r="E75" s="379" t="n"/>
      <c r="F75" s="455" t="inlineStr">
        <is>
          <t>光模块，400GE，多模QSFP-DD SR8（100m，MPO）</t>
        </is>
      </c>
      <c r="G75" s="453" t="inlineStr">
        <is>
          <t>400GBase-SR8光模块-QSFP-DD-400G-多模模块(850nm,0.1km,MPO 1x16,APC)</t>
        </is>
      </c>
      <c r="H75" s="468" t="n">
        <v>4914.27</v>
      </c>
      <c r="I75" s="435" t="n">
        <v>20</v>
      </c>
      <c r="J75" s="435">
        <f>$H75*$I75</f>
        <v/>
      </c>
      <c r="K75" s="414" t="n"/>
      <c r="L75" s="414" t="n"/>
      <c r="M75" s="379" t="n"/>
      <c r="N75" s="379" t="n"/>
      <c r="O75" s="379" t="n"/>
      <c r="P75" s="379" t="n"/>
      <c r="Q75" s="379" t="n"/>
      <c r="R75" s="379" t="n"/>
      <c r="S75" s="379" t="n"/>
      <c r="T75" s="379" t="n"/>
      <c r="U75" s="379" t="n"/>
      <c r="V75" s="379" t="n"/>
      <c r="W75" s="379" t="n"/>
      <c r="X75" s="379" t="n"/>
    </row>
    <row r="76" ht="18" customHeight="1" s="192">
      <c r="B76" s="431" t="n"/>
      <c r="C76" s="379" t="n"/>
      <c r="D76" s="379" t="n"/>
      <c r="E76" s="438" t="inlineStr">
        <is>
          <t>接口模块单元-可选</t>
        </is>
      </c>
      <c r="F76" s="456" t="inlineStr">
        <is>
          <t>光模块，400GE，LC单模，10km</t>
        </is>
      </c>
      <c r="G76" s="453" t="inlineStr">
        <is>
          <t>400GBase-LR8光模块-QSFP-DD-400G-单模模块(1310nm,10km,LC)</t>
        </is>
      </c>
      <c r="H76" s="468" t="n">
        <v>21271.75</v>
      </c>
      <c r="I76" s="435" t="n"/>
      <c r="J76" s="435">
        <f>$H76*$I76</f>
        <v/>
      </c>
      <c r="K76" s="414" t="n"/>
      <c r="L76" s="414" t="n"/>
      <c r="M76" s="379" t="n"/>
      <c r="N76" s="379" t="n"/>
      <c r="O76" s="379" t="n"/>
      <c r="P76" s="379" t="n"/>
      <c r="Q76" s="379" t="n"/>
      <c r="R76" s="379" t="n"/>
      <c r="S76" s="379" t="n"/>
      <c r="T76" s="379" t="n"/>
      <c r="U76" s="379" t="n"/>
      <c r="V76" s="379" t="n"/>
      <c r="W76" s="379" t="n"/>
      <c r="X76" s="379" t="n"/>
    </row>
    <row r="77" ht="18" customHeight="1" s="192">
      <c r="B77" s="431" t="n"/>
      <c r="C77" s="379" t="n"/>
      <c r="D77" s="379" t="n"/>
      <c r="E77" s="379" t="n"/>
      <c r="F77" s="456" t="inlineStr">
        <is>
          <t>光模块，200GE，多模QSFP56 SR4（100m，MPO）</t>
        </is>
      </c>
      <c r="G77" s="453" t="inlineStr">
        <is>
          <t>200GBase-SR4光模块-QSFP56-200G-多模模块(850nm,0.1km,MPO)</t>
        </is>
      </c>
      <c r="H77" s="468" t="n">
        <v>2541.38</v>
      </c>
      <c r="I77" s="435" t="n"/>
      <c r="J77" s="435">
        <f>$H77*$I77</f>
        <v/>
      </c>
      <c r="K77" s="414" t="n"/>
      <c r="L77" s="414" t="n"/>
      <c r="M77" s="379" t="n"/>
      <c r="N77" s="379" t="n"/>
      <c r="O77" s="379" t="n"/>
      <c r="P77" s="379" t="n"/>
      <c r="Q77" s="379" t="n"/>
      <c r="R77" s="379" t="n"/>
      <c r="S77" s="379" t="n"/>
      <c r="T77" s="379" t="n"/>
      <c r="U77" s="379" t="n"/>
      <c r="V77" s="379" t="n"/>
      <c r="W77" s="379" t="n"/>
      <c r="X77" s="379" t="n"/>
    </row>
    <row r="78" ht="18" customHeight="1" s="192">
      <c r="B78" s="431" t="n"/>
      <c r="C78" s="379" t="n"/>
      <c r="D78" s="379" t="n"/>
      <c r="E78" s="379" t="n"/>
      <c r="F78" s="456" t="inlineStr">
        <is>
          <t>光模块，200GE，LC单模，2km</t>
        </is>
      </c>
      <c r="G78" s="453" t="inlineStr">
        <is>
          <t>不涉及</t>
        </is>
      </c>
      <c r="H78" s="468" t="n">
        <v>4043.74</v>
      </c>
      <c r="I78" s="457" t="n"/>
      <c r="J78" s="435">
        <f>$H78*$I78</f>
        <v/>
      </c>
      <c r="K78" s="414" t="n"/>
      <c r="L78" s="414" t="n"/>
      <c r="M78" s="379" t="n"/>
      <c r="N78" s="379" t="n"/>
      <c r="O78" s="379" t="n"/>
      <c r="P78" s="379" t="n"/>
      <c r="Q78" s="379" t="n"/>
      <c r="R78" s="379" t="n"/>
      <c r="S78" s="379" t="n"/>
      <c r="T78" s="379" t="n"/>
      <c r="U78" s="379" t="n"/>
      <c r="V78" s="379" t="n"/>
      <c r="W78" s="379" t="n"/>
      <c r="X78" s="379" t="n"/>
    </row>
    <row r="79" ht="18" customHeight="1" s="192">
      <c r="B79" s="431" t="n"/>
      <c r="C79" s="379" t="n"/>
      <c r="D79" s="379" t="n"/>
      <c r="E79" s="379" t="n"/>
      <c r="F79" s="456" t="inlineStr">
        <is>
          <t>光模块，100GE，LC单模，2km</t>
        </is>
      </c>
      <c r="G79" s="453" t="inlineStr">
        <is>
          <t>100GBase-CWDM4光模块-QSFP28-100G-单模模块(1310nm,2km,LC)</t>
        </is>
      </c>
      <c r="H79" s="468" t="n">
        <v>1923.58</v>
      </c>
      <c r="I79" s="435" t="n"/>
      <c r="J79" s="435">
        <f>$H79*$I79</f>
        <v/>
      </c>
      <c r="K79" s="414" t="n"/>
      <c r="L79" s="414" t="n"/>
      <c r="M79" s="379" t="n"/>
      <c r="N79" s="379" t="n"/>
      <c r="O79" s="379" t="n"/>
      <c r="P79" s="379" t="n"/>
      <c r="Q79" s="379" t="n"/>
      <c r="R79" s="379" t="n"/>
      <c r="S79" s="379" t="n"/>
      <c r="T79" s="379" t="n"/>
      <c r="U79" s="379" t="n"/>
      <c r="V79" s="379" t="n"/>
      <c r="W79" s="379" t="n"/>
      <c r="X79" s="379" t="n"/>
    </row>
    <row r="80" ht="18" customHeight="1" s="192">
      <c r="B80" s="431" t="n"/>
      <c r="C80" s="379" t="n"/>
      <c r="D80" s="379" t="n"/>
      <c r="E80" s="379" t="n"/>
      <c r="F80" s="456" t="inlineStr">
        <is>
          <t>光模块，100GE，MPO多模，100m</t>
        </is>
      </c>
      <c r="G80" s="453" t="inlineStr">
        <is>
          <t>100GBase-SR4光模块-QSFP28-100G-多模模块(850nm,0.1km,MPO)</t>
        </is>
      </c>
      <c r="H80" s="468" t="n">
        <v>1404.08</v>
      </c>
      <c r="I80" s="435" t="n"/>
      <c r="J80" s="435">
        <f>$H80*$I80</f>
        <v/>
      </c>
      <c r="K80" s="414" t="n"/>
      <c r="L80" s="414" t="n"/>
      <c r="M80" s="379" t="n"/>
      <c r="N80" s="379" t="n"/>
      <c r="O80" s="379" t="n"/>
      <c r="P80" s="379" t="n"/>
      <c r="Q80" s="379" t="n"/>
      <c r="R80" s="379" t="n"/>
      <c r="S80" s="379" t="n"/>
      <c r="T80" s="379" t="n"/>
      <c r="U80" s="379" t="n"/>
      <c r="V80" s="379" t="n"/>
      <c r="W80" s="379" t="n"/>
      <c r="X80" s="379" t="n"/>
    </row>
    <row r="81" ht="18" customHeight="1" s="192">
      <c r="B81" s="431" t="n"/>
      <c r="C81" s="379" t="n"/>
      <c r="D81" s="379" t="n"/>
      <c r="E81" s="379" t="n"/>
      <c r="F81" s="456" t="inlineStr">
        <is>
          <t>光模块，25GE，LC多模，100m</t>
        </is>
      </c>
      <c r="G81" s="453" t="inlineStr">
        <is>
          <t>不涉及</t>
        </is>
      </c>
      <c r="H81" s="468" t="n">
        <v>280.82</v>
      </c>
      <c r="I81" s="435" t="n"/>
      <c r="J81" s="435">
        <f>$H81*$I81</f>
        <v/>
      </c>
      <c r="K81" s="414" t="n"/>
      <c r="L81" s="414" t="n"/>
      <c r="M81" s="379" t="n"/>
      <c r="N81" s="379" t="n"/>
      <c r="O81" s="379" t="n"/>
      <c r="P81" s="379" t="n"/>
      <c r="Q81" s="379" t="n"/>
      <c r="R81" s="379" t="n"/>
      <c r="S81" s="379" t="n"/>
      <c r="T81" s="379" t="n"/>
      <c r="U81" s="379" t="n"/>
      <c r="V81" s="379" t="n"/>
      <c r="W81" s="379" t="n"/>
      <c r="X81" s="379" t="n"/>
    </row>
    <row r="82" ht="18" customHeight="1" s="192">
      <c r="B82" s="431" t="n"/>
      <c r="C82" s="379" t="n"/>
      <c r="D82" s="379" t="n"/>
      <c r="E82" s="433" t="n"/>
      <c r="F82" s="433" t="n"/>
      <c r="G82" s="433" t="n"/>
      <c r="H82" s="435" t="inlineStr">
        <is>
          <t>合计</t>
        </is>
      </c>
      <c r="I82" s="435">
        <f>SUM(I73:I81)</f>
        <v/>
      </c>
      <c r="J82" s="435">
        <f>SUM(J73:J81)</f>
        <v/>
      </c>
      <c r="K82" s="414" t="n"/>
      <c r="L82" s="414" t="n"/>
      <c r="M82" s="379" t="n"/>
      <c r="N82" s="379" t="n"/>
      <c r="O82" s="379" t="n"/>
      <c r="P82" s="379" t="n"/>
      <c r="Q82" s="379" t="n"/>
      <c r="R82" s="379" t="n"/>
      <c r="S82" s="379" t="n"/>
      <c r="T82" s="379" t="n"/>
      <c r="U82" s="379" t="n"/>
      <c r="V82" s="379" t="n"/>
      <c r="W82" s="379" t="n"/>
      <c r="X82" s="379" t="n"/>
    </row>
    <row r="83" ht="18" customHeight="1" s="192">
      <c r="B83" s="431" t="n"/>
      <c r="C83" s="441" t="inlineStr">
        <is>
          <t>高度</t>
        </is>
      </c>
      <c r="D83" s="458" t="n">
        <v>4</v>
      </c>
      <c r="E83" s="458" t="n"/>
      <c r="F83" s="458" t="n"/>
      <c r="G83" s="458" t="n"/>
      <c r="H83" s="459" t="n"/>
      <c r="I83" s="459" t="n"/>
      <c r="J83" s="459" t="n"/>
      <c r="K83" s="414" t="n"/>
      <c r="L83" s="414" t="n"/>
      <c r="M83" s="379" t="n"/>
      <c r="N83" s="379" t="n"/>
      <c r="O83" s="379" t="n"/>
      <c r="P83" s="379" t="n"/>
      <c r="Q83" s="379" t="n"/>
      <c r="R83" s="379" t="n"/>
      <c r="S83" s="379" t="n"/>
      <c r="T83" s="379" t="n"/>
      <c r="U83" s="379" t="n"/>
      <c r="V83" s="379" t="n"/>
      <c r="W83" s="379" t="n"/>
      <c r="X83" s="379" t="n"/>
    </row>
    <row r="84" ht="18" customHeight="1" s="192">
      <c r="B84" s="431" t="n"/>
      <c r="C84" s="427" t="inlineStr">
        <is>
          <t>2024-2025框架单台功耗：</t>
        </is>
      </c>
      <c r="D84" s="427" t="inlineStr">
        <is>
          <t>40度满负载：1720w
27度满负载：1310w</t>
        </is>
      </c>
      <c r="E84" s="433" t="n"/>
      <c r="F84" s="433" t="n"/>
      <c r="G84" s="433" t="n"/>
      <c r="H84" s="435" t="n"/>
      <c r="I84" s="460" t="n"/>
      <c r="J84" s="461" t="n"/>
      <c r="K84" s="414" t="n"/>
      <c r="L84" s="414" t="n"/>
      <c r="M84" s="444">
        <f>IF('1-建设需求标准字段'!C4="场景3（千亿长序列~万亿参数模型应用场景）",IF(('2-建设规模换算'!E3+'2-建设规模换算'!E4)&gt;64,CEILING(('2-建设规模换算'!E3+'2-建设规模换算'!E4)/4,1),0),0)</f>
        <v/>
      </c>
      <c r="N84" s="379" t="n"/>
      <c r="O84" s="379" t="n"/>
      <c r="P84" s="379" t="n"/>
      <c r="Q84" s="379" t="n"/>
      <c r="R84" s="379" t="n"/>
      <c r="S84" s="379" t="n"/>
      <c r="T84" s="379" t="n"/>
      <c r="U84" s="379" t="n"/>
      <c r="V84" s="379" t="n"/>
      <c r="W84" s="379" t="n"/>
      <c r="X84" s="379" t="n"/>
    </row>
    <row r="85" ht="18" customHeight="1" s="192">
      <c r="B85" s="462" t="n"/>
      <c r="C85" s="463" t="n"/>
      <c r="D85" s="427" t="n"/>
      <c r="E85" s="463" t="n"/>
      <c r="F85" s="464" t="n"/>
      <c r="G85" s="465" t="n"/>
      <c r="H85" s="466" t="n"/>
      <c r="I85" s="466" t="n"/>
      <c r="J85" s="466" t="n"/>
      <c r="K85" s="414" t="n"/>
      <c r="L85" s="414" t="n"/>
      <c r="M85" s="379" t="n"/>
      <c r="N85" s="379" t="n"/>
      <c r="O85" s="379" t="n"/>
      <c r="P85" s="379" t="n"/>
      <c r="Q85" s="379" t="n"/>
      <c r="R85" s="379" t="n"/>
      <c r="S85" s="379" t="n"/>
      <c r="T85" s="379" t="n"/>
      <c r="U85" s="379" t="n"/>
      <c r="V85" s="379" t="n"/>
      <c r="W85" s="379" t="n"/>
      <c r="X85" s="379" t="n"/>
    </row>
    <row r="86" ht="18" customHeight="1" s="192">
      <c r="B86" s="451" t="inlineStr">
        <is>
          <t>参数面典配3 400G框式汇聚（16槽）</t>
        </is>
      </c>
      <c r="C86" s="427" t="inlineStr">
        <is>
          <t>单台均值
（万元）</t>
        </is>
      </c>
      <c r="D86" s="427" t="inlineStr">
        <is>
          <t>单台峰值
（万元）</t>
        </is>
      </c>
      <c r="E86" s="452" t="inlineStr">
        <is>
          <t>部件分类</t>
        </is>
      </c>
      <c r="F86" s="379" t="n"/>
      <c r="G86" s="452" t="inlineStr">
        <is>
          <t>配置详细描述及配置原则</t>
        </is>
      </c>
      <c r="H86" s="435" t="inlineStr">
        <is>
          <t>单价（元）</t>
        </is>
      </c>
      <c r="I86" s="435" t="inlineStr">
        <is>
          <t>每个典配实配数量</t>
        </is>
      </c>
      <c r="J86" s="435" t="inlineStr">
        <is>
          <t>总价（元）</t>
        </is>
      </c>
      <c r="K86" s="445" t="n"/>
      <c r="L86" s="445" t="n"/>
      <c r="M86" s="444" t="n"/>
      <c r="N86" s="379" t="n"/>
      <c r="O86" s="379" t="n"/>
      <c r="P86" s="379" t="n"/>
      <c r="Q86" s="379" t="n"/>
      <c r="R86" s="379" t="n"/>
      <c r="S86" s="379" t="n"/>
      <c r="T86" s="379" t="n"/>
      <c r="U86" s="379" t="n"/>
      <c r="V86" s="379" t="n"/>
      <c r="W86" s="379" t="n"/>
      <c r="X86" s="379" t="n"/>
    </row>
    <row r="87" ht="18" customHeight="1" s="192">
      <c r="B87" s="431" t="n"/>
      <c r="C87" s="379" t="n"/>
      <c r="D87" s="379" t="n"/>
      <c r="E87" s="379" t="n"/>
      <c r="F87" s="379" t="n"/>
      <c r="G87" s="379" t="n"/>
      <c r="H87" s="435" t="inlineStr">
        <is>
          <t>CE16880-X8</t>
        </is>
      </c>
      <c r="I87" s="435" t="n"/>
      <c r="J87" s="435" t="inlineStr">
        <is>
          <t>CE16880-X8</t>
        </is>
      </c>
      <c r="K87" s="445" t="n"/>
      <c r="L87" s="445" t="n"/>
      <c r="M87" s="444" t="n"/>
      <c r="N87" s="379" t="n"/>
      <c r="O87" s="379" t="n"/>
      <c r="P87" s="379" t="n"/>
      <c r="Q87" s="379" t="n"/>
      <c r="R87" s="379" t="n"/>
      <c r="S87" s="379" t="n"/>
      <c r="T87" s="379" t="n"/>
      <c r="U87" s="379" t="n"/>
      <c r="V87" s="379" t="n"/>
      <c r="W87" s="379" t="n"/>
      <c r="X87" s="379" t="n"/>
    </row>
    <row r="88" ht="18" customHeight="1" s="192">
      <c r="B88" s="431" t="n"/>
      <c r="C88" s="427">
        <f>AVERAGE(J98)/10000</f>
        <v/>
      </c>
      <c r="D88" s="427">
        <f>MAX(J98)/10000</f>
        <v/>
      </c>
      <c r="E88" s="438" t="inlineStr">
        <is>
          <t>基本配置单元</t>
        </is>
      </c>
      <c r="F88" s="467" t="inlineStr">
        <is>
          <t>16槽位框式设备（8*交换网板）</t>
        </is>
      </c>
      <c r="G88" s="453" t="inlineStr">
        <is>
          <t>16槽位交流、高压直流机框套件/
16槽位直流机框套件</t>
        </is>
      </c>
      <c r="H88" s="454" t="n">
        <v>673956.48</v>
      </c>
      <c r="I88" s="435" t="n">
        <v>1</v>
      </c>
      <c r="J88" s="435">
        <f>$H88*$I88</f>
        <v/>
      </c>
      <c r="K88" s="445" t="n"/>
      <c r="L88" s="445" t="n"/>
      <c r="M88" s="444" t="n"/>
      <c r="N88" s="379" t="n"/>
      <c r="O88" s="379" t="n"/>
      <c r="P88" s="379" t="n"/>
      <c r="Q88" s="379" t="n"/>
      <c r="R88" s="379" t="n"/>
      <c r="S88" s="379" t="n"/>
      <c r="T88" s="379" t="n"/>
      <c r="U88" s="379" t="n"/>
      <c r="V88" s="379" t="n"/>
      <c r="W88" s="379" t="n"/>
      <c r="X88" s="379" t="n"/>
    </row>
    <row r="89" ht="18" customHeight="1" s="192">
      <c r="B89" s="431" t="n"/>
      <c r="C89" s="379" t="n"/>
      <c r="D89" s="379" t="n"/>
      <c r="E89" s="379" t="n"/>
      <c r="F89" s="467" t="inlineStr">
        <is>
          <t>36*400GE 单板</t>
        </is>
      </c>
      <c r="G89" s="453" t="inlineStr">
        <is>
          <t>1*CEX8-L36DQ2CQJ2：36端口400GE，2端口100GE以太网光接口板(X8L-J2,QSFP-DD,QSFP28)(CM)
3*CE168-RTU-U6DQ：CloudEngine 16800 6*100G升级到6*400G容量升级RTU</t>
        </is>
      </c>
      <c r="H89" s="454" t="n">
        <v>200782.87</v>
      </c>
      <c r="I89" s="435" t="n">
        <v>16</v>
      </c>
      <c r="J89" s="435">
        <f>$H89*$I89</f>
        <v/>
      </c>
      <c r="K89" s="445" t="n"/>
      <c r="L89" s="445" t="n"/>
      <c r="M89" s="444">
        <f>IF(M84&gt;288,CEILING(M84/36,1),0)</f>
        <v/>
      </c>
      <c r="N89" s="379" t="n"/>
      <c r="O89" s="379" t="n"/>
      <c r="P89" s="379" t="n"/>
      <c r="Q89" s="379" t="n"/>
      <c r="R89" s="379" t="n"/>
      <c r="S89" s="379" t="n"/>
      <c r="T89" s="379" t="n"/>
      <c r="U89" s="379" t="n"/>
      <c r="V89" s="379" t="n"/>
      <c r="W89" s="379" t="n"/>
      <c r="X89" s="379" t="n"/>
    </row>
    <row r="90" ht="18" customHeight="1" s="192">
      <c r="B90" s="431" t="n"/>
      <c r="C90" s="379" t="n"/>
      <c r="D90" s="379" t="n"/>
      <c r="E90" s="438" t="inlineStr">
        <is>
          <t>接口模块单元</t>
        </is>
      </c>
      <c r="F90" s="456" t="inlineStr">
        <is>
          <t>光模块，400GE，单模QSFP-DD FR4（2km，LC）</t>
        </is>
      </c>
      <c r="G90" s="453" t="inlineStr">
        <is>
          <t>400GBase-FR4光模块-QSFP-DD-400G-单模模块(1310nm,2km,LC)</t>
        </is>
      </c>
      <c r="H90" s="454" t="n">
        <v>10544.62</v>
      </c>
      <c r="I90" s="435" t="n">
        <v>576</v>
      </c>
      <c r="J90" s="435">
        <f>$H90*$I90</f>
        <v/>
      </c>
      <c r="K90" s="445" t="n"/>
      <c r="L90" s="445" t="n"/>
      <c r="M90" s="444">
        <f>M89*36</f>
        <v/>
      </c>
      <c r="N90" s="379" t="n"/>
      <c r="O90" s="379" t="n"/>
      <c r="P90" s="379" t="n"/>
      <c r="Q90" s="379" t="n"/>
      <c r="R90" s="379" t="n"/>
      <c r="S90" s="379" t="n"/>
      <c r="T90" s="379" t="n"/>
      <c r="U90" s="379" t="n"/>
      <c r="V90" s="379" t="n"/>
      <c r="W90" s="379" t="n"/>
      <c r="X90" s="379" t="n"/>
    </row>
    <row r="91" ht="18" customHeight="1" s="192">
      <c r="B91" s="431" t="n"/>
      <c r="C91" s="379" t="n"/>
      <c r="D91" s="379" t="n"/>
      <c r="E91" s="438" t="inlineStr">
        <is>
          <t>接口模块单元-可选</t>
        </is>
      </c>
      <c r="F91" s="456" t="inlineStr">
        <is>
          <t>光模块，400GE，LC单模，10km</t>
        </is>
      </c>
      <c r="G91" s="453" t="inlineStr">
        <is>
          <t>400GBase-LR8光模块-QSFP-DD-400G-单模模块(1310nm,10km,LC)</t>
        </is>
      </c>
      <c r="H91" s="454" t="n">
        <v>21271.75</v>
      </c>
      <c r="I91" s="435" t="n"/>
      <c r="J91" s="435">
        <f>$H91*$I91</f>
        <v/>
      </c>
      <c r="K91" s="445" t="n"/>
      <c r="L91" s="445" t="n"/>
      <c r="M91" s="444" t="n"/>
      <c r="N91" s="379" t="n"/>
      <c r="O91" s="379" t="n"/>
      <c r="P91" s="379" t="n"/>
      <c r="Q91" s="379" t="n"/>
      <c r="R91" s="379" t="n"/>
      <c r="S91" s="379" t="n"/>
      <c r="T91" s="379" t="n"/>
      <c r="U91" s="379" t="n"/>
      <c r="V91" s="379" t="n"/>
      <c r="W91" s="379" t="n"/>
      <c r="X91" s="379" t="n"/>
    </row>
    <row r="92" ht="18" customHeight="1" s="192">
      <c r="B92" s="431" t="n"/>
      <c r="C92" s="379" t="n"/>
      <c r="D92" s="379" t="n"/>
      <c r="E92" s="379" t="n"/>
      <c r="F92" s="455" t="inlineStr">
        <is>
          <t>光模块，400GE，多模QSFP-DD SR8（100m，MPO）</t>
        </is>
      </c>
      <c r="G92" s="453" t="inlineStr">
        <is>
          <t>400GBase-SR8光模块-QSFP-DD-400G-多模模块(850nm,0.1km,MPO 1x16,APC)</t>
        </is>
      </c>
      <c r="H92" s="454" t="n">
        <v>4914.27</v>
      </c>
      <c r="I92" s="435" t="n"/>
      <c r="J92" s="435">
        <f>$H92*$I92</f>
        <v/>
      </c>
      <c r="K92" s="445" t="n"/>
      <c r="L92" s="445" t="n"/>
      <c r="M92" s="444" t="n"/>
      <c r="N92" s="379" t="n"/>
      <c r="O92" s="379" t="n"/>
      <c r="P92" s="379" t="n"/>
      <c r="Q92" s="379" t="n"/>
      <c r="R92" s="379" t="n"/>
      <c r="S92" s="379" t="n"/>
      <c r="T92" s="379" t="n"/>
      <c r="U92" s="379" t="n"/>
      <c r="V92" s="379" t="n"/>
      <c r="W92" s="379" t="n"/>
      <c r="X92" s="379" t="n"/>
    </row>
    <row r="93" ht="18" customHeight="1" s="192">
      <c r="B93" s="431" t="n"/>
      <c r="C93" s="379" t="n"/>
      <c r="D93" s="379" t="n"/>
      <c r="E93" s="379" t="n"/>
      <c r="F93" s="456" t="inlineStr">
        <is>
          <t>光模块，200GE，多模QSFP56 SR4（100m，MPO）</t>
        </is>
      </c>
      <c r="G93" s="453" t="inlineStr">
        <is>
          <t>200GBase-SR4光模块-QSFP56-200G-多模模块(850nm,0.1km,MPO)</t>
        </is>
      </c>
      <c r="H93" s="454" t="n">
        <v>2541.38</v>
      </c>
      <c r="I93" s="457" t="n"/>
      <c r="J93" s="435">
        <f>$H93*$I93</f>
        <v/>
      </c>
      <c r="K93" s="445" t="n"/>
      <c r="L93" s="445" t="n"/>
      <c r="M93" s="444" t="n"/>
      <c r="N93" s="379" t="n"/>
      <c r="O93" s="379" t="n"/>
      <c r="P93" s="379" t="n"/>
      <c r="Q93" s="379" t="n"/>
      <c r="R93" s="379" t="n"/>
      <c r="S93" s="379" t="n"/>
      <c r="T93" s="379" t="n"/>
      <c r="U93" s="379" t="n"/>
      <c r="V93" s="379" t="n"/>
      <c r="W93" s="379" t="n"/>
      <c r="X93" s="379" t="n"/>
    </row>
    <row r="94" ht="18" customHeight="1" s="192">
      <c r="B94" s="431" t="n"/>
      <c r="C94" s="379" t="n"/>
      <c r="D94" s="379" t="n"/>
      <c r="E94" s="379" t="n"/>
      <c r="F94" s="456" t="inlineStr">
        <is>
          <t>光模块，200GE，LC单模，2km</t>
        </is>
      </c>
      <c r="G94" s="453" t="inlineStr">
        <is>
          <t>不涉及</t>
        </is>
      </c>
      <c r="H94" s="454" t="n">
        <v>4043.74</v>
      </c>
      <c r="I94" s="435" t="n"/>
      <c r="J94" s="435">
        <f>$H94*$I94</f>
        <v/>
      </c>
      <c r="K94" s="445" t="n"/>
      <c r="L94" s="445" t="n"/>
      <c r="M94" s="444" t="n"/>
      <c r="N94" s="379" t="n"/>
      <c r="O94" s="379" t="n"/>
      <c r="P94" s="379" t="n"/>
      <c r="Q94" s="379" t="n"/>
      <c r="R94" s="379" t="n"/>
      <c r="S94" s="379" t="n"/>
      <c r="T94" s="379" t="n"/>
      <c r="U94" s="379" t="n"/>
      <c r="V94" s="379" t="n"/>
      <c r="W94" s="379" t="n"/>
      <c r="X94" s="379" t="n"/>
    </row>
    <row r="95" ht="18" customHeight="1" s="192">
      <c r="B95" s="431" t="n"/>
      <c r="C95" s="379" t="n"/>
      <c r="D95" s="379" t="n"/>
      <c r="E95" s="379" t="n"/>
      <c r="F95" s="456" t="inlineStr">
        <is>
          <t>光模块，100GE，LC单模，2km</t>
        </is>
      </c>
      <c r="G95" s="453" t="inlineStr">
        <is>
          <t>100GBase-CWDM4光模块-QSFP28-100G-单模模块(1310nm,2km,LC)</t>
        </is>
      </c>
      <c r="H95" s="454" t="n">
        <v>1923.58</v>
      </c>
      <c r="I95" s="435" t="n"/>
      <c r="J95" s="435">
        <f>$H95*$I95</f>
        <v/>
      </c>
      <c r="K95" s="445" t="n"/>
      <c r="L95" s="445" t="n"/>
      <c r="M95" s="444" t="n"/>
      <c r="N95" s="379" t="n"/>
      <c r="O95" s="379" t="n"/>
      <c r="P95" s="379" t="n"/>
      <c r="Q95" s="379" t="n"/>
      <c r="R95" s="379" t="n"/>
      <c r="S95" s="379" t="n"/>
      <c r="T95" s="379" t="n"/>
      <c r="U95" s="379" t="n"/>
      <c r="V95" s="379" t="n"/>
      <c r="W95" s="379" t="n"/>
      <c r="X95" s="379" t="n"/>
    </row>
    <row r="96" ht="18" customHeight="1" s="192">
      <c r="B96" s="431" t="n"/>
      <c r="C96" s="379" t="n"/>
      <c r="D96" s="379" t="n"/>
      <c r="E96" s="379" t="n"/>
      <c r="F96" s="456" t="inlineStr">
        <is>
          <t>光模块，100GE，MPO多模，100m</t>
        </is>
      </c>
      <c r="G96" s="453" t="inlineStr">
        <is>
          <t>100GBase-SR4光模块-QSFP28-100G-多模模块(850nm,0.1km,MPO)</t>
        </is>
      </c>
      <c r="H96" s="454" t="n">
        <v>1404.08</v>
      </c>
      <c r="I96" s="435" t="n"/>
      <c r="J96" s="435">
        <f>$H96*$I96</f>
        <v/>
      </c>
      <c r="K96" s="445" t="n"/>
      <c r="L96" s="445" t="n"/>
      <c r="M96" s="444" t="n"/>
      <c r="N96" s="379" t="n"/>
      <c r="O96" s="379" t="n"/>
      <c r="P96" s="379" t="n"/>
      <c r="Q96" s="379" t="n"/>
      <c r="R96" s="379" t="n"/>
      <c r="S96" s="379" t="n"/>
      <c r="T96" s="379" t="n"/>
      <c r="U96" s="379" t="n"/>
      <c r="V96" s="379" t="n"/>
      <c r="W96" s="379" t="n"/>
      <c r="X96" s="379" t="n"/>
    </row>
    <row r="97" ht="18" customHeight="1" s="192">
      <c r="B97" s="431" t="n"/>
      <c r="C97" s="379" t="n"/>
      <c r="D97" s="379" t="n"/>
      <c r="E97" s="379" t="n"/>
      <c r="F97" s="456" t="inlineStr">
        <is>
          <t>光模块，25GE，LC多模，100m</t>
        </is>
      </c>
      <c r="G97" s="453" t="inlineStr">
        <is>
          <t>25GBase-SR光模块-SFP28-25G多模模块(850nm,0.1km,LC)</t>
        </is>
      </c>
      <c r="H97" s="454" t="n">
        <v>280.82</v>
      </c>
      <c r="I97" s="435" t="n"/>
      <c r="J97" s="435">
        <f>$H97*$I97</f>
        <v/>
      </c>
      <c r="K97" s="445" t="n"/>
      <c r="L97" s="445" t="n"/>
      <c r="M97" s="444" t="n"/>
      <c r="N97" s="379" t="n"/>
      <c r="O97" s="379" t="n"/>
      <c r="P97" s="379" t="n"/>
      <c r="Q97" s="379" t="n"/>
      <c r="R97" s="379" t="n"/>
      <c r="S97" s="379" t="n"/>
      <c r="T97" s="379" t="n"/>
      <c r="U97" s="379" t="n"/>
      <c r="V97" s="379" t="n"/>
      <c r="W97" s="379" t="n"/>
      <c r="X97" s="379" t="n"/>
    </row>
    <row r="98" ht="18" customHeight="1" s="192">
      <c r="B98" s="431" t="n"/>
      <c r="C98" s="379" t="n"/>
      <c r="D98" s="379" t="n"/>
      <c r="E98" s="433" t="n"/>
      <c r="F98" s="433" t="n"/>
      <c r="G98" s="433" t="n"/>
      <c r="H98" s="435" t="inlineStr">
        <is>
          <t>合计</t>
        </is>
      </c>
      <c r="I98" s="435">
        <f>SUM(I88:I97)</f>
        <v/>
      </c>
      <c r="J98" s="435">
        <f>SUM(J88:J97)</f>
        <v/>
      </c>
      <c r="K98" s="445" t="n"/>
      <c r="L98" s="445" t="n"/>
      <c r="M98" s="444" t="n"/>
      <c r="N98" s="379" t="n"/>
      <c r="O98" s="379" t="n"/>
      <c r="P98" s="379" t="n"/>
      <c r="Q98" s="379" t="n"/>
      <c r="R98" s="379" t="n"/>
      <c r="S98" s="379" t="n"/>
      <c r="T98" s="379" t="n"/>
      <c r="U98" s="379" t="n"/>
      <c r="V98" s="379" t="n"/>
      <c r="W98" s="379" t="n"/>
      <c r="X98" s="379" t="n"/>
    </row>
    <row r="99" ht="18" customHeight="1" s="192">
      <c r="B99" s="431" t="n"/>
      <c r="C99" s="441" t="inlineStr">
        <is>
          <t>高度</t>
        </is>
      </c>
      <c r="D99" s="458" t="n">
        <v>15.8</v>
      </c>
      <c r="E99" s="458" t="n"/>
      <c r="F99" s="458" t="n"/>
      <c r="G99" s="458" t="n"/>
      <c r="H99" s="459" t="n"/>
      <c r="I99" s="459" t="n"/>
      <c r="J99" s="459" t="n"/>
      <c r="K99" s="445" t="n"/>
      <c r="L99" s="445" t="n"/>
      <c r="M99" s="444" t="n"/>
      <c r="N99" s="379" t="n"/>
      <c r="O99" s="379" t="n"/>
      <c r="P99" s="379" t="n"/>
      <c r="Q99" s="379" t="n"/>
      <c r="R99" s="379" t="n"/>
      <c r="S99" s="379" t="n"/>
      <c r="T99" s="379" t="n"/>
      <c r="U99" s="379" t="n"/>
      <c r="V99" s="379" t="n"/>
      <c r="W99" s="379" t="n"/>
      <c r="X99" s="379" t="n"/>
    </row>
    <row r="100" ht="18" customHeight="1" s="192">
      <c r="B100" s="431" t="n"/>
      <c r="C100" s="427" t="inlineStr">
        <is>
          <t>2024-2025框架单台功耗：</t>
        </is>
      </c>
      <c r="D100" s="427" t="inlineStr">
        <is>
          <t>40度满负载：47468w
27度满负载：35100w</t>
        </is>
      </c>
      <c r="E100" s="433" t="n"/>
      <c r="F100" s="433" t="n"/>
      <c r="G100" s="433" t="n"/>
      <c r="H100" s="435" t="n"/>
      <c r="I100" s="460" t="n"/>
      <c r="J100" s="461" t="n"/>
      <c r="K100" s="445" t="n"/>
      <c r="L100" s="445" t="n"/>
      <c r="M100" s="444">
        <f>IF(M84&gt;288,16,0)</f>
        <v/>
      </c>
      <c r="N100" s="379" t="n"/>
      <c r="O100" s="379" t="n"/>
      <c r="P100" s="379" t="n"/>
      <c r="Q100" s="379" t="n"/>
      <c r="R100" s="379" t="n"/>
      <c r="S100" s="379" t="n"/>
      <c r="T100" s="379" t="n"/>
      <c r="U100" s="379" t="n"/>
      <c r="V100" s="379" t="n"/>
      <c r="W100" s="379" t="n"/>
      <c r="X100" s="379" t="n"/>
    </row>
    <row r="101" ht="18" customHeight="1" s="192">
      <c r="B101" s="462" t="n"/>
      <c r="C101" s="463" t="n"/>
      <c r="D101" s="427" t="n"/>
      <c r="E101" s="463" t="n"/>
      <c r="F101" s="464" t="n"/>
      <c r="G101" s="465" t="n"/>
      <c r="H101" s="466" t="n"/>
      <c r="I101" s="466" t="n"/>
      <c r="J101" s="466" t="n"/>
      <c r="K101" s="414" t="n"/>
      <c r="L101" s="414" t="n"/>
      <c r="M101" s="379" t="n"/>
      <c r="N101" s="379" t="n"/>
      <c r="O101" s="379" t="n"/>
      <c r="P101" s="379" t="n"/>
      <c r="Q101" s="379" t="n"/>
      <c r="R101" s="379" t="n"/>
      <c r="S101" s="379" t="n"/>
      <c r="T101" s="379" t="n"/>
      <c r="U101" s="379" t="n"/>
      <c r="V101" s="379" t="n"/>
      <c r="W101" s="379" t="n"/>
      <c r="X101" s="379" t="n"/>
    </row>
    <row r="102" ht="18" customHeight="1" s="192">
      <c r="B102" s="451" t="inlineStr">
        <is>
          <t>参数面典配4 400G盒式汇聚</t>
        </is>
      </c>
      <c r="C102" s="427" t="inlineStr">
        <is>
          <t>单台均值
（万元）</t>
        </is>
      </c>
      <c r="D102" s="427" t="inlineStr">
        <is>
          <t>单台峰值
（万元）</t>
        </is>
      </c>
      <c r="E102" s="452" t="inlineStr">
        <is>
          <t>部件分类</t>
        </is>
      </c>
      <c r="F102" s="379" t="n"/>
      <c r="G102" s="452" t="inlineStr">
        <is>
          <t>配置详细描述及配置原则</t>
        </is>
      </c>
      <c r="H102" s="435" t="inlineStr">
        <is>
          <t>单价（元）</t>
        </is>
      </c>
      <c r="I102" s="435" t="inlineStr">
        <is>
          <t>每个典配实配数量</t>
        </is>
      </c>
      <c r="J102" s="435" t="inlineStr">
        <is>
          <t>总价（元）</t>
        </is>
      </c>
      <c r="K102" s="414" t="n"/>
      <c r="L102" s="414" t="n"/>
      <c r="M102" s="379" t="n"/>
      <c r="N102" s="379" t="n"/>
      <c r="O102" s="379" t="n"/>
      <c r="P102" s="379" t="n"/>
      <c r="Q102" s="379" t="n"/>
      <c r="R102" s="379" t="n"/>
      <c r="S102" s="379" t="n"/>
      <c r="T102" s="379" t="n"/>
      <c r="U102" s="379" t="n"/>
      <c r="V102" s="379" t="n"/>
      <c r="W102" s="379" t="n"/>
      <c r="X102" s="379" t="n"/>
    </row>
    <row r="103" ht="18" customHeight="1" s="192">
      <c r="B103" s="431" t="n"/>
      <c r="C103" s="379" t="n"/>
      <c r="D103" s="379" t="n"/>
      <c r="E103" s="379" t="n"/>
      <c r="F103" s="379" t="n"/>
      <c r="G103" s="379" t="n"/>
      <c r="H103" s="435" t="inlineStr">
        <is>
          <t>CE16880-X8</t>
        </is>
      </c>
      <c r="I103" s="435" t="n"/>
      <c r="J103" s="435" t="inlineStr">
        <is>
          <t>CE16880-X8</t>
        </is>
      </c>
      <c r="K103" s="414" t="n"/>
      <c r="L103" s="414" t="n"/>
      <c r="M103" s="379" t="n"/>
      <c r="N103" s="379" t="n"/>
      <c r="O103" s="379" t="n"/>
      <c r="P103" s="379" t="n"/>
      <c r="Q103" s="379" t="n"/>
      <c r="R103" s="379" t="n"/>
      <c r="S103" s="379" t="n"/>
      <c r="T103" s="379" t="n"/>
      <c r="U103" s="379" t="n"/>
      <c r="V103" s="379" t="n"/>
      <c r="W103" s="379" t="n"/>
      <c r="X103" s="379" t="n"/>
    </row>
    <row r="104" ht="18" customHeight="1" s="192">
      <c r="B104" s="431" t="n"/>
      <c r="C104" s="427">
        <f>AVERAGE(J113)/10000</f>
        <v/>
      </c>
      <c r="D104" s="427">
        <f>MAX(J113)/10000</f>
        <v/>
      </c>
      <c r="E104" s="438" t="inlineStr">
        <is>
          <t>基本配置单元</t>
        </is>
      </c>
      <c r="F104" s="467" t="inlineStr">
        <is>
          <t>32*400GE 插卡盒式交换机</t>
        </is>
      </c>
      <c r="G104" s="453" t="inlineStr">
        <is>
          <t>CE9860-4C-EI-A交流/高压直流/直流主机</t>
        </is>
      </c>
      <c r="H104" s="454" t="n">
        <v>207887.5</v>
      </c>
      <c r="I104" s="435" t="n">
        <v>1</v>
      </c>
      <c r="J104" s="435">
        <f>$H104*$I104</f>
        <v/>
      </c>
      <c r="K104" s="414" t="n"/>
      <c r="L104" s="414" t="n"/>
      <c r="M104" s="379" t="n"/>
      <c r="N104" s="379" t="n"/>
      <c r="O104" s="379" t="n"/>
      <c r="P104" s="379" t="n"/>
      <c r="Q104" s="379" t="n"/>
      <c r="R104" s="379" t="n"/>
      <c r="S104" s="379" t="n"/>
      <c r="T104" s="379" t="n"/>
      <c r="U104" s="379" t="n"/>
      <c r="V104" s="379" t="n"/>
      <c r="W104" s="379" t="n"/>
      <c r="X104" s="379" t="n"/>
    </row>
    <row r="105" ht="18" customHeight="1" s="192">
      <c r="B105" s="431" t="n"/>
      <c r="C105" s="379" t="n"/>
      <c r="D105" s="379" t="n"/>
      <c r="E105" s="438" t="inlineStr">
        <is>
          <t>接口模块单元</t>
        </is>
      </c>
      <c r="F105" s="455" t="inlineStr">
        <is>
          <t>光模块，400GE，单模QSFP-DD FR4（2km，LC）</t>
        </is>
      </c>
      <c r="G105" s="453" t="inlineStr">
        <is>
          <t>400GBase-FR4光模块-QSFP-DD-400G-单模模块(1310nm,2km,LC)</t>
        </is>
      </c>
      <c r="H105" s="454" t="n">
        <v>10544.62</v>
      </c>
      <c r="I105" s="435" t="n"/>
      <c r="J105" s="435">
        <f>$H105*$I105</f>
        <v/>
      </c>
      <c r="K105" s="414" t="n"/>
      <c r="L105" s="414" t="n"/>
      <c r="M105" s="379" t="n"/>
      <c r="N105" s="379" t="n"/>
      <c r="O105" s="379" t="n"/>
      <c r="P105" s="379" t="n"/>
      <c r="Q105" s="379" t="n"/>
      <c r="R105" s="379" t="n"/>
      <c r="S105" s="379" t="n"/>
      <c r="T105" s="379" t="n"/>
      <c r="U105" s="379" t="n"/>
      <c r="V105" s="379" t="n"/>
      <c r="W105" s="379" t="n"/>
      <c r="X105" s="379" t="n"/>
    </row>
    <row r="106" ht="18" customHeight="1" s="192">
      <c r="B106" s="431" t="n"/>
      <c r="C106" s="379" t="n"/>
      <c r="D106" s="379" t="n"/>
      <c r="E106" s="379" t="n"/>
      <c r="F106" s="455" t="inlineStr">
        <is>
          <t>光模块，400GE，多模QSFP-DD SR8（100m，MPO）</t>
        </is>
      </c>
      <c r="G106" s="453" t="inlineStr">
        <is>
          <t>400GBase-SR8光模块-QSFP-DD-400G-多模模块(850nm,0.1km,MPO 1x16,APC)</t>
        </is>
      </c>
      <c r="H106" s="454" t="n">
        <v>4914.27</v>
      </c>
      <c r="I106" s="435" t="n"/>
      <c r="J106" s="435">
        <f>$H106*$I106</f>
        <v/>
      </c>
      <c r="K106" s="414" t="n"/>
      <c r="L106" s="414" t="n"/>
      <c r="M106" s="379" t="n"/>
      <c r="N106" s="379" t="n"/>
      <c r="O106" s="379" t="n"/>
      <c r="P106" s="379" t="n"/>
      <c r="Q106" s="379" t="n"/>
      <c r="R106" s="379" t="n"/>
      <c r="S106" s="379" t="n"/>
      <c r="T106" s="379" t="n"/>
      <c r="U106" s="379" t="n"/>
      <c r="V106" s="379" t="n"/>
      <c r="W106" s="379" t="n"/>
      <c r="X106" s="379" t="n"/>
    </row>
    <row r="107" ht="18" customHeight="1" s="192">
      <c r="B107" s="431" t="n"/>
      <c r="C107" s="379" t="n"/>
      <c r="D107" s="379" t="n"/>
      <c r="E107" s="438" t="inlineStr">
        <is>
          <t>接口模块单元-可选</t>
        </is>
      </c>
      <c r="F107" s="456" t="inlineStr">
        <is>
          <t>光模块，400GE，LC单模，10km</t>
        </is>
      </c>
      <c r="G107" s="453" t="inlineStr">
        <is>
          <t>400GBase-LR8光模块-QSFP-DD-400G-单模模块(1310nm,10km,LC)</t>
        </is>
      </c>
      <c r="H107" s="454" t="n">
        <v>21271.75</v>
      </c>
      <c r="I107" s="435" t="n"/>
      <c r="J107" s="435">
        <f>$H107*$I107</f>
        <v/>
      </c>
      <c r="K107" s="414" t="n"/>
      <c r="L107" s="414" t="n"/>
      <c r="M107" s="379" t="n"/>
      <c r="N107" s="379" t="n"/>
      <c r="O107" s="379" t="n"/>
      <c r="P107" s="379" t="n"/>
      <c r="Q107" s="379" t="n"/>
      <c r="R107" s="379" t="n"/>
      <c r="S107" s="379" t="n"/>
      <c r="T107" s="379" t="n"/>
      <c r="U107" s="379" t="n"/>
      <c r="V107" s="379" t="n"/>
      <c r="W107" s="379" t="n"/>
      <c r="X107" s="379" t="n"/>
    </row>
    <row r="108" ht="18" customHeight="1" s="192">
      <c r="B108" s="431" t="n"/>
      <c r="C108" s="379" t="n"/>
      <c r="D108" s="379" t="n"/>
      <c r="E108" s="379" t="n"/>
      <c r="F108" s="456" t="inlineStr">
        <is>
          <t>光模块，200GE，多模QSFP56 SR4（100m，MPO）</t>
        </is>
      </c>
      <c r="G108" s="453" t="inlineStr">
        <is>
          <t>200GBase-SR4光模块-QSFP56-200G-多模模块(850nm,0.1km,MPO)</t>
        </is>
      </c>
      <c r="H108" s="454" t="n">
        <v>2541.38</v>
      </c>
      <c r="I108" s="435" t="n">
        <v>40</v>
      </c>
      <c r="J108" s="435">
        <f>$H108*$I108</f>
        <v/>
      </c>
      <c r="K108" s="414" t="n"/>
      <c r="L108" s="414" t="n"/>
      <c r="M108" s="379" t="n"/>
      <c r="N108" s="379" t="n"/>
      <c r="O108" s="379" t="n"/>
      <c r="P108" s="379" t="n"/>
      <c r="Q108" s="379" t="n"/>
      <c r="R108" s="379" t="n"/>
      <c r="S108" s="379" t="n"/>
      <c r="T108" s="379" t="n"/>
      <c r="U108" s="379" t="n"/>
      <c r="V108" s="379" t="n"/>
      <c r="W108" s="379" t="n"/>
      <c r="X108" s="379" t="n"/>
    </row>
    <row r="109" ht="18" customHeight="1" s="192">
      <c r="B109" s="431" t="n"/>
      <c r="C109" s="379" t="n"/>
      <c r="D109" s="379" t="n"/>
      <c r="E109" s="379" t="n"/>
      <c r="F109" s="456" t="inlineStr">
        <is>
          <t>光模块，200GE，LC单模，2km</t>
        </is>
      </c>
      <c r="G109" s="453" t="inlineStr">
        <is>
          <t>不涉及</t>
        </is>
      </c>
      <c r="H109" s="454" t="n">
        <v>4043.74</v>
      </c>
      <c r="I109" s="457" t="n"/>
      <c r="J109" s="435">
        <f>$H109*$I109</f>
        <v/>
      </c>
      <c r="K109" s="414" t="n"/>
      <c r="L109" s="414" t="n"/>
      <c r="M109" s="379" t="n"/>
      <c r="N109" s="379" t="n"/>
      <c r="O109" s="379" t="n"/>
      <c r="P109" s="379" t="n"/>
      <c r="Q109" s="379" t="n"/>
      <c r="R109" s="379" t="n"/>
      <c r="S109" s="379" t="n"/>
      <c r="T109" s="379" t="n"/>
      <c r="U109" s="379" t="n"/>
      <c r="V109" s="379" t="n"/>
      <c r="W109" s="379" t="n"/>
      <c r="X109" s="379" t="n"/>
    </row>
    <row r="110" ht="18" customHeight="1" s="192">
      <c r="B110" s="431" t="n"/>
      <c r="C110" s="379" t="n"/>
      <c r="D110" s="379" t="n"/>
      <c r="E110" s="379" t="n"/>
      <c r="F110" s="456" t="inlineStr">
        <is>
          <t>光模块，100GE，LC单模，2km</t>
        </is>
      </c>
      <c r="G110" s="453" t="inlineStr">
        <is>
          <t>100GBase-CWDM4光模块-QSFP28-100G-单模模块(1310nm,2km,LC)</t>
        </is>
      </c>
      <c r="H110" s="454" t="n">
        <v>1923.58</v>
      </c>
      <c r="I110" s="435" t="n"/>
      <c r="J110" s="435">
        <f>$H110*$I110</f>
        <v/>
      </c>
      <c r="K110" s="414" t="n"/>
      <c r="L110" s="414" t="n"/>
      <c r="M110" s="379" t="n"/>
      <c r="N110" s="379" t="n"/>
      <c r="O110" s="379" t="n"/>
      <c r="P110" s="379" t="n"/>
      <c r="Q110" s="379" t="n"/>
      <c r="R110" s="379" t="n"/>
      <c r="S110" s="379" t="n"/>
      <c r="T110" s="379" t="n"/>
      <c r="U110" s="379" t="n"/>
      <c r="V110" s="379" t="n"/>
      <c r="W110" s="379" t="n"/>
      <c r="X110" s="379" t="n"/>
    </row>
    <row r="111" ht="18" customHeight="1" s="192">
      <c r="B111" s="431" t="n"/>
      <c r="C111" s="379" t="n"/>
      <c r="D111" s="379" t="n"/>
      <c r="E111" s="379" t="n"/>
      <c r="F111" s="456" t="inlineStr">
        <is>
          <t>光模块，100GE，MPO多模，100m</t>
        </is>
      </c>
      <c r="G111" s="453" t="inlineStr">
        <is>
          <t>100GBase-SR4光模块-QSFP28-100G-多模模块(850nm,0.1km,MPO)</t>
        </is>
      </c>
      <c r="H111" s="454" t="n">
        <v>1404.08</v>
      </c>
      <c r="I111" s="435" t="n"/>
      <c r="J111" s="435">
        <f>$H111*$I111</f>
        <v/>
      </c>
      <c r="K111" s="414" t="n"/>
      <c r="L111" s="414" t="n"/>
      <c r="M111" s="379" t="n"/>
      <c r="N111" s="379" t="n"/>
      <c r="O111" s="379" t="n"/>
      <c r="P111" s="379" t="n"/>
      <c r="Q111" s="379" t="n"/>
      <c r="R111" s="379" t="n"/>
      <c r="S111" s="379" t="n"/>
      <c r="T111" s="379" t="n"/>
      <c r="U111" s="379" t="n"/>
      <c r="V111" s="379" t="n"/>
      <c r="W111" s="379" t="n"/>
      <c r="X111" s="379" t="n"/>
    </row>
    <row r="112" ht="18" customHeight="1" s="192">
      <c r="B112" s="431" t="n"/>
      <c r="C112" s="379" t="n"/>
      <c r="D112" s="379" t="n"/>
      <c r="E112" s="379" t="n"/>
      <c r="F112" s="456" t="inlineStr">
        <is>
          <t>光模块，25GE，LC多模，100m</t>
        </is>
      </c>
      <c r="G112" s="453" t="inlineStr">
        <is>
          <t>不涉及</t>
        </is>
      </c>
      <c r="H112" s="454" t="n">
        <v>280.82</v>
      </c>
      <c r="I112" s="435" t="n"/>
      <c r="J112" s="435">
        <f>$H112*$I112</f>
        <v/>
      </c>
      <c r="K112" s="414" t="n"/>
      <c r="L112" s="414" t="n"/>
      <c r="M112" s="379" t="n"/>
      <c r="N112" s="379" t="n"/>
      <c r="O112" s="379" t="n"/>
      <c r="P112" s="379" t="n"/>
      <c r="Q112" s="379" t="n"/>
      <c r="R112" s="379" t="n"/>
      <c r="S112" s="379" t="n"/>
      <c r="T112" s="379" t="n"/>
      <c r="U112" s="379" t="n"/>
      <c r="V112" s="379" t="n"/>
      <c r="W112" s="379" t="n"/>
      <c r="X112" s="379" t="n"/>
    </row>
    <row r="113" ht="18" customHeight="1" s="192">
      <c r="B113" s="431" t="n"/>
      <c r="C113" s="379" t="n"/>
      <c r="D113" s="379" t="n"/>
      <c r="E113" s="433" t="n"/>
      <c r="F113" s="433" t="n"/>
      <c r="G113" s="433" t="n"/>
      <c r="H113" s="435" t="inlineStr">
        <is>
          <t>合计</t>
        </is>
      </c>
      <c r="I113" s="435">
        <f>SUM(I104:I112)</f>
        <v/>
      </c>
      <c r="J113" s="435">
        <f>SUM(J104:J112)</f>
        <v/>
      </c>
      <c r="K113" s="414" t="n"/>
      <c r="L113" s="414" t="n"/>
      <c r="M113" s="379" t="n"/>
      <c r="N113" s="379" t="n"/>
      <c r="O113" s="379" t="n"/>
      <c r="P113" s="379" t="n"/>
      <c r="Q113" s="379" t="n"/>
      <c r="R113" s="379" t="n"/>
      <c r="S113" s="379" t="n"/>
      <c r="T113" s="379" t="n"/>
      <c r="U113" s="379" t="n"/>
      <c r="V113" s="379" t="n"/>
      <c r="W113" s="379" t="n"/>
      <c r="X113" s="379" t="n"/>
    </row>
    <row r="114" ht="18" customHeight="1" s="192">
      <c r="B114" s="431" t="n"/>
      <c r="C114" s="441" t="inlineStr">
        <is>
          <t>高度</t>
        </is>
      </c>
      <c r="D114" s="458" t="n">
        <v>4</v>
      </c>
      <c r="E114" s="458" t="n"/>
      <c r="F114" s="458" t="n"/>
      <c r="G114" s="458" t="n"/>
      <c r="H114" s="459" t="n"/>
      <c r="I114" s="459" t="n"/>
      <c r="J114" s="459" t="n"/>
      <c r="K114" s="414" t="n"/>
      <c r="L114" s="414" t="n"/>
      <c r="M114" s="379" t="n"/>
      <c r="N114" s="379" t="n"/>
      <c r="O114" s="379" t="n"/>
      <c r="P114" s="379" t="n"/>
      <c r="Q114" s="379" t="n"/>
      <c r="R114" s="379" t="n"/>
      <c r="S114" s="379" t="n"/>
      <c r="T114" s="379" t="n"/>
      <c r="U114" s="379" t="n"/>
      <c r="V114" s="379" t="n"/>
      <c r="W114" s="379" t="n"/>
      <c r="X114" s="379" t="n"/>
    </row>
    <row r="115" ht="18" customHeight="1" s="192">
      <c r="B115" s="431" t="n"/>
      <c r="C115" s="427" t="inlineStr">
        <is>
          <t>2024-2025框架单台功耗：</t>
        </is>
      </c>
      <c r="D115" s="427" t="inlineStr">
        <is>
          <t>40度满负载：1720w
27度满负载：1310w</t>
        </is>
      </c>
      <c r="E115" s="433" t="n"/>
      <c r="F115" s="433" t="n"/>
      <c r="G115" s="433" t="n"/>
      <c r="H115" s="435" t="n"/>
      <c r="I115" s="460" t="n"/>
      <c r="J115" s="461" t="n"/>
      <c r="K115" s="414" t="n"/>
      <c r="L115" s="414" t="n"/>
      <c r="M115" s="444">
        <f>IF(M130&gt;0,8,IF(M84&gt;0,IF(M84&lt;=32,16,0),0))</f>
        <v/>
      </c>
      <c r="N115" s="379" t="n"/>
      <c r="O115" s="379" t="n"/>
      <c r="P115" s="379" t="n"/>
      <c r="Q115" s="379" t="n"/>
      <c r="R115" s="379" t="n"/>
      <c r="S115" s="379" t="n"/>
      <c r="T115" s="379" t="n"/>
      <c r="U115" s="379" t="n"/>
      <c r="V115" s="379" t="n"/>
      <c r="W115" s="379" t="n"/>
      <c r="X115" s="379" t="n"/>
    </row>
    <row r="116" ht="18" customHeight="1" s="192">
      <c r="B116" s="462" t="n"/>
      <c r="C116" s="463" t="n"/>
      <c r="D116" s="427" t="n"/>
      <c r="E116" s="463" t="n"/>
      <c r="F116" s="464" t="n"/>
      <c r="G116" s="465" t="n"/>
      <c r="H116" s="466" t="n"/>
      <c r="I116" s="466" t="n"/>
      <c r="J116" s="466" t="n"/>
      <c r="K116" s="414" t="n"/>
      <c r="L116" s="414" t="n"/>
      <c r="M116" s="379" t="n"/>
      <c r="N116" s="379" t="n"/>
      <c r="O116" s="379" t="n"/>
      <c r="P116" s="379" t="n"/>
      <c r="Q116" s="379" t="n"/>
      <c r="R116" s="379" t="n"/>
      <c r="S116" s="379" t="n"/>
      <c r="T116" s="379" t="n"/>
      <c r="U116" s="379" t="n"/>
      <c r="V116" s="379" t="n"/>
      <c r="W116" s="379" t="n"/>
      <c r="X116" s="379" t="n"/>
    </row>
    <row r="117" ht="18" customHeight="1" s="192">
      <c r="B117" s="451" t="inlineStr">
        <is>
          <t>参数面典配5 200G-B盒式接入</t>
        </is>
      </c>
      <c r="C117" s="427" t="inlineStr">
        <is>
          <t>单台均值
（万元）</t>
        </is>
      </c>
      <c r="D117" s="427" t="inlineStr">
        <is>
          <t>单台峰值
（万元）</t>
        </is>
      </c>
      <c r="E117" s="452" t="inlineStr">
        <is>
          <t>部件分类</t>
        </is>
      </c>
      <c r="F117" s="379" t="n"/>
      <c r="G117" s="452" t="inlineStr">
        <is>
          <t>配置详细描述及配置原则</t>
        </is>
      </c>
      <c r="H117" s="435" t="inlineStr">
        <is>
          <t>单价（元）</t>
        </is>
      </c>
      <c r="I117" s="435" t="inlineStr">
        <is>
          <t>每个典配实配数量</t>
        </is>
      </c>
      <c r="J117" s="435" t="inlineStr">
        <is>
          <t>总价（元）</t>
        </is>
      </c>
      <c r="K117" s="414" t="n"/>
      <c r="L117" s="414" t="n"/>
      <c r="M117" s="379" t="n"/>
      <c r="N117" s="379" t="n"/>
      <c r="O117" s="379" t="n"/>
      <c r="P117" s="379" t="n"/>
      <c r="Q117" s="379" t="n"/>
      <c r="R117" s="379" t="n"/>
      <c r="S117" s="379" t="n"/>
      <c r="T117" s="379" t="n"/>
      <c r="U117" s="379" t="n"/>
      <c r="V117" s="379" t="n"/>
      <c r="W117" s="379" t="n"/>
      <c r="X117" s="379" t="n"/>
    </row>
    <row r="118" ht="18" customHeight="1" s="192">
      <c r="B118" s="431" t="n"/>
      <c r="C118" s="379" t="n"/>
      <c r="D118" s="379" t="n"/>
      <c r="E118" s="379" t="n"/>
      <c r="F118" s="379" t="n"/>
      <c r="G118" s="379" t="n"/>
      <c r="H118" s="435" t="inlineStr">
        <is>
          <t>CE16880-X8</t>
        </is>
      </c>
      <c r="I118" s="435" t="n"/>
      <c r="J118" s="435" t="inlineStr">
        <is>
          <t>CE16880-X8</t>
        </is>
      </c>
      <c r="K118" s="414" t="n"/>
      <c r="L118" s="414" t="n"/>
      <c r="M118" s="379" t="n"/>
      <c r="N118" s="379" t="n"/>
      <c r="O118" s="379" t="n"/>
      <c r="P118" s="379" t="n"/>
      <c r="Q118" s="379" t="n"/>
      <c r="R118" s="379" t="n"/>
      <c r="S118" s="379" t="n"/>
      <c r="T118" s="379" t="n"/>
      <c r="U118" s="379" t="n"/>
      <c r="V118" s="379" t="n"/>
      <c r="W118" s="379" t="n"/>
      <c r="X118" s="379" t="n"/>
    </row>
    <row r="119" ht="18" customHeight="1" s="192">
      <c r="B119" s="431" t="n"/>
      <c r="C119" s="427">
        <f>AVERAGE(J128)/10000</f>
        <v/>
      </c>
      <c r="D119" s="427">
        <f>MAX(J128)/10000</f>
        <v/>
      </c>
      <c r="E119" s="438" t="inlineStr">
        <is>
          <t>基本配置单元</t>
        </is>
      </c>
      <c r="F119" s="467" t="inlineStr">
        <is>
          <t>16*200G+8*400G 插卡盒式交换机</t>
        </is>
      </c>
      <c r="G119" s="453" t="inlineStr">
        <is>
          <t>CE8875-24BQ8DQ 交流/高压直流/直流主机</t>
        </is>
      </c>
      <c r="H119" s="468" t="n">
        <v>114151.38</v>
      </c>
      <c r="I119" s="435" t="n">
        <v>1</v>
      </c>
      <c r="J119" s="435">
        <f>$H119*$I119</f>
        <v/>
      </c>
      <c r="K119" s="414" t="n"/>
      <c r="L119" s="414" t="n"/>
      <c r="M119" s="379" t="n"/>
      <c r="N119" s="379" t="n"/>
      <c r="O119" s="379" t="n"/>
      <c r="P119" s="379" t="n"/>
      <c r="Q119" s="379" t="n"/>
      <c r="R119" s="379" t="n"/>
      <c r="S119" s="379" t="n"/>
      <c r="T119" s="379" t="n"/>
      <c r="U119" s="379" t="n"/>
      <c r="V119" s="379" t="n"/>
      <c r="W119" s="379" t="n"/>
      <c r="X119" s="379" t="n"/>
    </row>
    <row r="120" ht="18" customHeight="1" s="192">
      <c r="B120" s="431" t="n"/>
      <c r="C120" s="379" t="n"/>
      <c r="D120" s="379" t="n"/>
      <c r="E120" s="438" t="inlineStr">
        <is>
          <t>接口模块单元</t>
        </is>
      </c>
      <c r="F120" s="455" t="inlineStr">
        <is>
          <t>光模块，400GE，单模QSFP-DD FR4（2km，LC）</t>
        </is>
      </c>
      <c r="G120" s="453" t="inlineStr">
        <is>
          <t>400GBase-FR4光模块-QSFP-DD-400G-单模模块(1310nm,2km,LC)</t>
        </is>
      </c>
      <c r="H120" s="468" t="n">
        <v>10544.62</v>
      </c>
      <c r="I120" s="435" t="n"/>
      <c r="J120" s="435">
        <f>$H120*$I120</f>
        <v/>
      </c>
      <c r="K120" s="414" t="n"/>
      <c r="L120" s="414" t="n"/>
      <c r="M120" s="379" t="n"/>
      <c r="N120" s="379" t="n"/>
      <c r="O120" s="379" t="n"/>
      <c r="P120" s="379" t="n"/>
      <c r="Q120" s="379" t="n"/>
      <c r="R120" s="379" t="n"/>
      <c r="S120" s="379" t="n"/>
      <c r="T120" s="379" t="n"/>
      <c r="U120" s="379" t="n"/>
      <c r="V120" s="379" t="n"/>
      <c r="W120" s="379" t="n"/>
      <c r="X120" s="379" t="n"/>
    </row>
    <row r="121" ht="18" customHeight="1" s="192">
      <c r="B121" s="431" t="n"/>
      <c r="C121" s="379" t="n"/>
      <c r="D121" s="379" t="n"/>
      <c r="E121" s="379" t="n"/>
      <c r="F121" s="455" t="inlineStr">
        <is>
          <t>光模块，400GE，多模QSFP-DD SR8（100m，MPO）</t>
        </is>
      </c>
      <c r="G121" s="453" t="inlineStr">
        <is>
          <t>400GBase-SR8光模块-QSFP-DD-400G-多模模块(850nm,0.1km,MPO 1x16,APC)</t>
        </is>
      </c>
      <c r="H121" s="468" t="n">
        <v>4914.27</v>
      </c>
      <c r="I121" s="435" t="n">
        <v>8</v>
      </c>
      <c r="J121" s="435">
        <f>$H121*$I121</f>
        <v/>
      </c>
      <c r="K121" s="414" t="n"/>
      <c r="L121" s="414" t="n"/>
      <c r="M121" s="379" t="n"/>
      <c r="N121" s="379" t="n"/>
      <c r="O121" s="379" t="n"/>
      <c r="P121" s="379" t="n"/>
      <c r="Q121" s="379" t="n"/>
      <c r="R121" s="379" t="n"/>
      <c r="S121" s="379" t="n"/>
      <c r="T121" s="379" t="n"/>
      <c r="U121" s="379" t="n"/>
      <c r="V121" s="379" t="n"/>
      <c r="W121" s="379" t="n"/>
      <c r="X121" s="379" t="n"/>
    </row>
    <row r="122" ht="18" customHeight="1" s="192">
      <c r="B122" s="431" t="n"/>
      <c r="C122" s="379" t="n"/>
      <c r="D122" s="379" t="n"/>
      <c r="E122" s="379" t="n"/>
      <c r="F122" s="455" t="inlineStr">
        <is>
          <t>光模块，200GE，多模QSFP56 SR4（100m，MPO）</t>
        </is>
      </c>
      <c r="G122" s="453" t="inlineStr">
        <is>
          <t>200GBase-SR4光模块-QSFP56-200G-多模模块(850nm,0.1km,MPO)</t>
        </is>
      </c>
      <c r="H122" s="468" t="n">
        <v>2541.38</v>
      </c>
      <c r="I122" s="435" t="n">
        <v>16</v>
      </c>
      <c r="J122" s="435">
        <f>$H122*$I122</f>
        <v/>
      </c>
      <c r="K122" s="414" t="n"/>
      <c r="L122" s="414" t="n"/>
      <c r="M122" s="379" t="n"/>
      <c r="N122" s="379" t="n"/>
      <c r="O122" s="379" t="n"/>
      <c r="P122" s="379" t="n"/>
      <c r="Q122" s="379" t="n"/>
      <c r="R122" s="379" t="n"/>
      <c r="S122" s="379" t="n"/>
      <c r="T122" s="379" t="n"/>
      <c r="U122" s="379" t="n"/>
      <c r="V122" s="379" t="n"/>
      <c r="W122" s="379" t="n"/>
      <c r="X122" s="379" t="n"/>
    </row>
    <row r="123" ht="18" customHeight="1" s="192">
      <c r="B123" s="431" t="n"/>
      <c r="C123" s="379" t="n"/>
      <c r="D123" s="379" t="n"/>
      <c r="E123" s="438" t="inlineStr">
        <is>
          <t>接口模块单元-可选</t>
        </is>
      </c>
      <c r="F123" s="456" t="inlineStr">
        <is>
          <t>光模块，400GE，LC单模，10km</t>
        </is>
      </c>
      <c r="G123" s="453" t="inlineStr">
        <is>
          <t>400GBase-LR8光模块-QSFP-DD-400G-单模模块(1310nm,10km,LC)</t>
        </is>
      </c>
      <c r="H123" s="468" t="n">
        <v>21271.75</v>
      </c>
      <c r="I123" s="435" t="n"/>
      <c r="J123" s="435">
        <f>$H123*$I123</f>
        <v/>
      </c>
      <c r="K123" s="414" t="n"/>
      <c r="L123" s="414" t="n"/>
      <c r="M123" s="379" t="n"/>
      <c r="N123" s="379" t="n"/>
      <c r="O123" s="379" t="n"/>
      <c r="P123" s="379" t="n"/>
      <c r="Q123" s="379" t="n"/>
      <c r="R123" s="379" t="n"/>
      <c r="S123" s="379" t="n"/>
      <c r="T123" s="379" t="n"/>
      <c r="U123" s="379" t="n"/>
      <c r="V123" s="379" t="n"/>
      <c r="W123" s="379" t="n"/>
      <c r="X123" s="379" t="n"/>
    </row>
    <row r="124" ht="18" customHeight="1" s="192">
      <c r="B124" s="431" t="n"/>
      <c r="C124" s="379" t="n"/>
      <c r="D124" s="379" t="n"/>
      <c r="E124" s="379" t="n"/>
      <c r="F124" s="456" t="inlineStr">
        <is>
          <t>光模块，200GE，LC单模，2km</t>
        </is>
      </c>
      <c r="G124" s="453" t="inlineStr">
        <is>
          <t>不涉及</t>
        </is>
      </c>
      <c r="H124" s="468" t="n">
        <v>4043.74</v>
      </c>
      <c r="I124" s="435" t="n"/>
      <c r="J124" s="435">
        <f>$H124*$I124</f>
        <v/>
      </c>
      <c r="K124" s="414" t="n"/>
      <c r="L124" s="414" t="n"/>
      <c r="M124" s="379" t="n"/>
      <c r="N124" s="379" t="n"/>
      <c r="O124" s="379" t="n"/>
      <c r="P124" s="379" t="n"/>
      <c r="Q124" s="379" t="n"/>
      <c r="R124" s="379" t="n"/>
      <c r="S124" s="379" t="n"/>
      <c r="T124" s="379" t="n"/>
      <c r="U124" s="379" t="n"/>
      <c r="V124" s="379" t="n"/>
      <c r="W124" s="379" t="n"/>
      <c r="X124" s="379" t="n"/>
    </row>
    <row r="125" ht="18" customHeight="1" s="192">
      <c r="B125" s="431" t="n"/>
      <c r="C125" s="379" t="n"/>
      <c r="D125" s="379" t="n"/>
      <c r="E125" s="379" t="n"/>
      <c r="F125" s="456" t="inlineStr">
        <is>
          <t>光模块，100GE，LC单模，2km</t>
        </is>
      </c>
      <c r="G125" s="453" t="inlineStr">
        <is>
          <t>100GBase-CWDM4光模块-QSFP28-100G-单模模块(1310nm,2km,LC)</t>
        </is>
      </c>
      <c r="H125" s="468" t="n">
        <v>1923.58</v>
      </c>
      <c r="I125" s="435" t="n"/>
      <c r="J125" s="435">
        <f>$H125*$I125</f>
        <v/>
      </c>
      <c r="K125" s="414" t="n"/>
      <c r="L125" s="414" t="n"/>
      <c r="M125" s="379" t="n"/>
      <c r="N125" s="379" t="n"/>
      <c r="O125" s="379" t="n"/>
      <c r="P125" s="379" t="n"/>
      <c r="Q125" s="379" t="n"/>
      <c r="R125" s="379" t="n"/>
      <c r="S125" s="379" t="n"/>
      <c r="T125" s="379" t="n"/>
      <c r="U125" s="379" t="n"/>
      <c r="V125" s="379" t="n"/>
      <c r="W125" s="379" t="n"/>
      <c r="X125" s="379" t="n"/>
    </row>
    <row r="126" ht="18" customHeight="1" s="192">
      <c r="B126" s="431" t="n"/>
      <c r="C126" s="379" t="n"/>
      <c r="D126" s="379" t="n"/>
      <c r="E126" s="379" t="n"/>
      <c r="F126" s="456" t="inlineStr">
        <is>
          <t>光模块，100GE，MPO多模，100m</t>
        </is>
      </c>
      <c r="G126" s="453" t="inlineStr">
        <is>
          <t>100GBase-SR4光模块-QSFP28-100G-多模模块(850nm,0.1km,MPO)</t>
        </is>
      </c>
      <c r="H126" s="468" t="n">
        <v>1404.08</v>
      </c>
      <c r="I126" s="435" t="n"/>
      <c r="J126" s="435">
        <f>$H126*$I126</f>
        <v/>
      </c>
      <c r="K126" s="414" t="n"/>
      <c r="L126" s="414" t="n"/>
      <c r="M126" s="379" t="n"/>
      <c r="N126" s="379" t="n"/>
      <c r="O126" s="379" t="n"/>
      <c r="P126" s="379" t="n"/>
      <c r="Q126" s="379" t="n"/>
      <c r="R126" s="379" t="n"/>
      <c r="S126" s="379" t="n"/>
      <c r="T126" s="379" t="n"/>
      <c r="U126" s="379" t="n"/>
      <c r="V126" s="379" t="n"/>
      <c r="W126" s="379" t="n"/>
      <c r="X126" s="379" t="n"/>
    </row>
    <row r="127" ht="18" customHeight="1" s="192">
      <c r="B127" s="431" t="n"/>
      <c r="C127" s="379" t="n"/>
      <c r="D127" s="379" t="n"/>
      <c r="E127" s="379" t="n"/>
      <c r="F127" s="456" t="inlineStr">
        <is>
          <t>光模块，25GE，LC多模，100m</t>
        </is>
      </c>
      <c r="G127" s="453" t="inlineStr">
        <is>
          <t>不涉及</t>
        </is>
      </c>
      <c r="H127" s="468" t="n">
        <v>280.82</v>
      </c>
      <c r="I127" s="435" t="n"/>
      <c r="J127" s="435">
        <f>$H127*$I127</f>
        <v/>
      </c>
      <c r="K127" s="414" t="n"/>
      <c r="L127" s="414" t="n"/>
      <c r="M127" s="379" t="n"/>
      <c r="N127" s="379" t="n"/>
      <c r="O127" s="379" t="n"/>
      <c r="P127" s="379" t="n"/>
      <c r="Q127" s="379" t="n"/>
      <c r="R127" s="379" t="n"/>
      <c r="S127" s="379" t="n"/>
      <c r="T127" s="379" t="n"/>
      <c r="U127" s="379" t="n"/>
      <c r="V127" s="379" t="n"/>
      <c r="W127" s="379" t="n"/>
      <c r="X127" s="379" t="n"/>
    </row>
    <row r="128" ht="18" customHeight="1" s="192">
      <c r="B128" s="431" t="n"/>
      <c r="C128" s="379" t="n"/>
      <c r="D128" s="379" t="n"/>
      <c r="E128" s="433" t="n"/>
      <c r="F128" s="433" t="n"/>
      <c r="G128" s="433" t="n"/>
      <c r="H128" s="435" t="inlineStr">
        <is>
          <t>合计</t>
        </is>
      </c>
      <c r="I128" s="435">
        <f>SUM(I119:I127)</f>
        <v/>
      </c>
      <c r="J128" s="435">
        <f>SUM(J119:J127)</f>
        <v/>
      </c>
      <c r="K128" s="414" t="n"/>
      <c r="L128" s="414" t="n"/>
      <c r="M128" s="379" t="n"/>
      <c r="N128" s="379" t="n"/>
      <c r="O128" s="379" t="n"/>
      <c r="P128" s="379" t="n"/>
      <c r="Q128" s="379" t="n"/>
      <c r="R128" s="379" t="n"/>
      <c r="S128" s="379" t="n"/>
      <c r="T128" s="379" t="n"/>
      <c r="U128" s="379" t="n"/>
      <c r="V128" s="379" t="n"/>
      <c r="W128" s="379" t="n"/>
      <c r="X128" s="379" t="n"/>
    </row>
    <row r="129" ht="18" customHeight="1" s="192">
      <c r="B129" s="431" t="n"/>
      <c r="C129" s="441" t="inlineStr">
        <is>
          <t>高度</t>
        </is>
      </c>
      <c r="D129" s="458" t="n">
        <v>1</v>
      </c>
      <c r="E129" s="458" t="n"/>
      <c r="F129" s="458" t="n"/>
      <c r="G129" s="458" t="n"/>
      <c r="H129" s="459" t="n"/>
      <c r="I129" s="459" t="n"/>
      <c r="J129" s="459" t="n"/>
      <c r="K129" s="414" t="n"/>
      <c r="L129" s="414" t="n"/>
      <c r="M129" s="379" t="n"/>
      <c r="N129" s="379" t="n"/>
      <c r="O129" s="379" t="n"/>
      <c r="P129" s="379" t="n"/>
      <c r="Q129" s="379" t="n"/>
      <c r="R129" s="379" t="n"/>
      <c r="S129" s="379" t="n"/>
      <c r="T129" s="379" t="n"/>
      <c r="U129" s="379" t="n"/>
      <c r="V129" s="379" t="n"/>
      <c r="W129" s="379" t="n"/>
      <c r="X129" s="379" t="n"/>
    </row>
    <row r="130" ht="18" customHeight="1" s="192">
      <c r="B130" s="431" t="n"/>
      <c r="C130" s="427" t="inlineStr">
        <is>
          <t>2024-2025框架单台功耗：</t>
        </is>
      </c>
      <c r="D130" s="427" t="inlineStr">
        <is>
          <t>770-1152w</t>
        </is>
      </c>
      <c r="E130" s="433" t="n"/>
      <c r="F130" s="433" t="n"/>
      <c r="G130" s="433" t="n"/>
      <c r="H130" s="435" t="n"/>
      <c r="I130" s="460" t="n"/>
      <c r="J130" s="461" t="n"/>
      <c r="K130" s="414" t="n"/>
      <c r="L130" s="414" t="n"/>
      <c r="M130" s="444">
        <f>IF('1-建设需求标准字段'!C4="场景3（千亿长序列~万亿参数模型应用场景）",IF(('2-建设规模换算'!E3+'2-建设规模换算'!E4)&lt;=64,CEILING(('2-建设规模换算'!E3+'2-建设规模换算'!E4)/2,1),0),0)</f>
        <v/>
      </c>
      <c r="N130" s="379" t="n"/>
      <c r="O130" s="379" t="n"/>
      <c r="P130" s="379" t="n"/>
      <c r="Q130" s="379" t="n"/>
      <c r="R130" s="379" t="n"/>
      <c r="S130" s="379" t="n"/>
      <c r="T130" s="379" t="n"/>
      <c r="U130" s="379" t="n"/>
      <c r="V130" s="379" t="n"/>
      <c r="W130" s="379" t="n"/>
      <c r="X130" s="379" t="n"/>
    </row>
    <row r="131" ht="18" customHeight="1" s="192">
      <c r="B131" s="462" t="n"/>
      <c r="C131" s="463" t="n"/>
      <c r="D131" s="427" t="n"/>
      <c r="E131" s="463" t="n"/>
      <c r="F131" s="464" t="n"/>
      <c r="G131" s="465" t="n"/>
      <c r="H131" s="466" t="n"/>
      <c r="I131" s="466" t="n"/>
      <c r="J131" s="466" t="n"/>
      <c r="K131" s="414" t="n"/>
      <c r="L131" s="414" t="n"/>
      <c r="M131" s="379" t="n"/>
      <c r="N131" s="379" t="n"/>
      <c r="O131" s="379" t="n"/>
      <c r="P131" s="379" t="n"/>
      <c r="Q131" s="379" t="n"/>
      <c r="R131" s="379" t="n"/>
      <c r="S131" s="379" t="n"/>
      <c r="T131" s="379" t="n"/>
      <c r="U131" s="379" t="n"/>
      <c r="V131" s="379" t="n"/>
      <c r="W131" s="379" t="n"/>
      <c r="X131" s="379" t="n"/>
    </row>
    <row r="132" ht="18" customHeight="1" s="192">
      <c r="B132" s="469" t="inlineStr">
        <is>
          <t>数据面典配1 100G框式汇聚（16槽）</t>
        </is>
      </c>
      <c r="C132" s="427" t="inlineStr">
        <is>
          <t>单台均值
（万元）</t>
        </is>
      </c>
      <c r="D132" s="427" t="inlineStr">
        <is>
          <t>单台峰值
（万元）</t>
        </is>
      </c>
      <c r="E132" s="452" t="inlineStr">
        <is>
          <t>部件分类</t>
        </is>
      </c>
      <c r="F132" s="379" t="n"/>
      <c r="G132" s="452" t="inlineStr">
        <is>
          <t>配置详细描述及配置原则</t>
        </is>
      </c>
      <c r="H132" s="435" t="inlineStr">
        <is>
          <t>单价（元）</t>
        </is>
      </c>
      <c r="I132" s="435" t="inlineStr">
        <is>
          <t>每个典配实配数量</t>
        </is>
      </c>
      <c r="J132" s="435" t="inlineStr">
        <is>
          <t>总价（元）</t>
        </is>
      </c>
      <c r="K132" s="414" t="n"/>
      <c r="L132" s="414" t="n"/>
      <c r="M132" s="379" t="n"/>
      <c r="N132" s="379" t="n"/>
      <c r="O132" s="379" t="n"/>
      <c r="P132" s="379" t="n"/>
      <c r="Q132" s="379" t="n"/>
      <c r="R132" s="379" t="n"/>
      <c r="S132" s="379" t="n"/>
      <c r="T132" s="379" t="n"/>
      <c r="U132" s="379" t="n"/>
      <c r="V132" s="379" t="n"/>
      <c r="W132" s="379" t="n"/>
      <c r="X132" s="379" t="n"/>
    </row>
    <row r="133" ht="18" customHeight="1" s="192">
      <c r="B133" s="431" t="n"/>
      <c r="C133" s="379" t="n"/>
      <c r="D133" s="379" t="n"/>
      <c r="E133" s="379" t="n"/>
      <c r="F133" s="379" t="n"/>
      <c r="G133" s="379" t="n"/>
      <c r="H133" s="435" t="inlineStr">
        <is>
          <t>CE16880-X8</t>
        </is>
      </c>
      <c r="I133" s="435" t="n"/>
      <c r="J133" s="435" t="inlineStr">
        <is>
          <t>CE16880-X8</t>
        </is>
      </c>
      <c r="K133" s="414" t="n"/>
      <c r="L133" s="414" t="n"/>
      <c r="M133" s="379" t="n"/>
      <c r="N133" s="379" t="n"/>
      <c r="O133" s="379" t="n"/>
      <c r="P133" s="379" t="n"/>
      <c r="Q133" s="379" t="n"/>
      <c r="R133" s="379" t="n"/>
      <c r="S133" s="379" t="n"/>
      <c r="T133" s="379" t="n"/>
      <c r="U133" s="379" t="n"/>
      <c r="V133" s="379" t="n"/>
      <c r="W133" s="379" t="n"/>
      <c r="X133" s="379" t="n"/>
    </row>
    <row r="134" ht="18" customHeight="1" s="192">
      <c r="B134" s="431" t="n"/>
      <c r="C134" s="427">
        <f>AVERAGE(J144)/10000</f>
        <v/>
      </c>
      <c r="D134" s="427">
        <f>MAX(J144)/10000</f>
        <v/>
      </c>
      <c r="E134" s="438" t="inlineStr">
        <is>
          <t>基本配置单元</t>
        </is>
      </c>
      <c r="F134" s="467" t="inlineStr">
        <is>
          <t>16槽位框式设备（4*交换网板）</t>
        </is>
      </c>
      <c r="G134" s="453" t="inlineStr">
        <is>
          <t>16槽位交流、高压直流机框套件/
16槽位直流机框套件</t>
        </is>
      </c>
      <c r="H134" s="468" t="n">
        <v>438071.71</v>
      </c>
      <c r="I134" s="435" t="n">
        <v>1</v>
      </c>
      <c r="J134" s="435">
        <f>$H134*$I134</f>
        <v/>
      </c>
      <c r="K134" s="414" t="n"/>
      <c r="L134" s="414" t="n"/>
      <c r="M134" s="379" t="n"/>
      <c r="N134" s="379" t="n"/>
      <c r="O134" s="379" t="n"/>
      <c r="P134" s="379" t="n"/>
      <c r="Q134" s="379" t="n"/>
      <c r="R134" s="379" t="n"/>
      <c r="S134" s="379" t="n"/>
      <c r="T134" s="379" t="n"/>
      <c r="U134" s="379" t="n"/>
      <c r="V134" s="379" t="n"/>
      <c r="W134" s="379" t="n"/>
      <c r="X134" s="379" t="n"/>
    </row>
    <row r="135" ht="18" customHeight="1" s="192">
      <c r="B135" s="431" t="n"/>
      <c r="C135" s="379" t="n"/>
      <c r="D135" s="379" t="n"/>
      <c r="E135" s="379" t="n"/>
      <c r="F135" s="467" t="inlineStr">
        <is>
          <t>36*100GE 单板</t>
        </is>
      </c>
      <c r="G135" s="453" t="inlineStr">
        <is>
          <t>36端口100GE以太网光接口板(X8L-J,QSFP28)</t>
        </is>
      </c>
      <c r="H135" s="468" t="n">
        <v>58227.03</v>
      </c>
      <c r="I135" s="435" t="n">
        <v>8</v>
      </c>
      <c r="J135" s="435">
        <f>$H135*$I135</f>
        <v/>
      </c>
      <c r="K135" s="414" t="n"/>
      <c r="L135" s="414" t="n"/>
      <c r="M135" s="379" t="n"/>
      <c r="N135" s="379" t="n"/>
      <c r="O135" s="379" t="n"/>
      <c r="P135" s="379" t="n"/>
      <c r="Q135" s="379" t="n"/>
      <c r="R135" s="379" t="n"/>
      <c r="S135" s="379" t="n"/>
      <c r="T135" s="379" t="n"/>
      <c r="U135" s="379" t="n"/>
      <c r="V135" s="379" t="n"/>
      <c r="W135" s="379" t="n"/>
      <c r="X135" s="379" t="n"/>
    </row>
    <row r="136" ht="18" customHeight="1" s="192">
      <c r="B136" s="431" t="n"/>
      <c r="C136" s="379" t="n"/>
      <c r="D136" s="379" t="n"/>
      <c r="E136" s="438" t="inlineStr">
        <is>
          <t>接口模块单元</t>
        </is>
      </c>
      <c r="F136" s="455" t="inlineStr">
        <is>
          <t>光模块，100GE，LC单模，2km</t>
        </is>
      </c>
      <c r="G136" s="453" t="inlineStr">
        <is>
          <t>100GBase-CWDM4光模块-QSFP28-100G-单模模块(1310nm,2km,LC)</t>
        </is>
      </c>
      <c r="H136" s="468" t="n">
        <v>1923.58</v>
      </c>
      <c r="I136" s="435" t="n">
        <v>288</v>
      </c>
      <c r="J136" s="435">
        <f>$H136*$I136</f>
        <v/>
      </c>
      <c r="K136" s="414" t="n"/>
      <c r="L136" s="414" t="n"/>
      <c r="M136" s="379" t="n"/>
      <c r="N136" s="379" t="n"/>
      <c r="O136" s="379" t="n"/>
      <c r="P136" s="379" t="n"/>
      <c r="Q136" s="379" t="n"/>
      <c r="R136" s="379" t="n"/>
      <c r="S136" s="379" t="n"/>
      <c r="T136" s="379" t="n"/>
      <c r="U136" s="379" t="n"/>
      <c r="V136" s="379" t="n"/>
      <c r="W136" s="379" t="n"/>
      <c r="X136" s="379" t="n"/>
    </row>
    <row r="137" ht="18" customHeight="1" s="192">
      <c r="B137" s="431" t="n"/>
      <c r="C137" s="379" t="n"/>
      <c r="D137" s="379" t="n"/>
      <c r="E137" s="438" t="inlineStr">
        <is>
          <t>接口模块单元-可选</t>
        </is>
      </c>
      <c r="F137" s="456" t="inlineStr">
        <is>
          <t>光模块，400GE，LC单模，10km</t>
        </is>
      </c>
      <c r="G137" s="453" t="inlineStr">
        <is>
          <t>400GBase-LR8光模块-QSFP-DD-400G-单模模块(1310nm,10km,LC)</t>
        </is>
      </c>
      <c r="H137" s="468" t="n">
        <v>21271.75</v>
      </c>
      <c r="I137" s="435" t="n"/>
      <c r="J137" s="435">
        <f>$H137*$I137</f>
        <v/>
      </c>
      <c r="K137" s="414" t="n"/>
      <c r="L137" s="414" t="n"/>
      <c r="M137" s="379" t="n"/>
      <c r="N137" s="379" t="n"/>
      <c r="O137" s="379" t="n"/>
      <c r="P137" s="379" t="n"/>
      <c r="Q137" s="379" t="n"/>
      <c r="R137" s="379" t="n"/>
      <c r="S137" s="379" t="n"/>
      <c r="T137" s="379" t="n"/>
      <c r="U137" s="379" t="n"/>
      <c r="V137" s="379" t="n"/>
      <c r="W137" s="379" t="n"/>
      <c r="X137" s="379" t="n"/>
    </row>
    <row r="138" ht="18" customHeight="1" s="192">
      <c r="B138" s="431" t="n"/>
      <c r="C138" s="379" t="n"/>
      <c r="D138" s="379" t="n"/>
      <c r="E138" s="379" t="n"/>
      <c r="F138" s="455" t="inlineStr">
        <is>
          <t>光模块，400GE，单模QSFP-DD FR4（2km，LC）</t>
        </is>
      </c>
      <c r="G138" s="453" t="inlineStr">
        <is>
          <t>400GBase-FR4光模块-QSFP-DD-400G-单模模块(1310nm,2km,LC)</t>
        </is>
      </c>
      <c r="H138" s="468" t="n">
        <v>10544.62</v>
      </c>
      <c r="I138" s="435" t="n"/>
      <c r="J138" s="435">
        <f>$H138*$I138</f>
        <v/>
      </c>
      <c r="K138" s="414" t="n"/>
      <c r="L138" s="414" t="n"/>
      <c r="M138" s="379" t="n"/>
      <c r="N138" s="379" t="n"/>
      <c r="O138" s="379" t="n"/>
      <c r="P138" s="379" t="n"/>
      <c r="Q138" s="379" t="n"/>
      <c r="R138" s="379" t="n"/>
      <c r="S138" s="379" t="n"/>
      <c r="T138" s="379" t="n"/>
      <c r="U138" s="379" t="n"/>
      <c r="V138" s="379" t="n"/>
      <c r="W138" s="379" t="n"/>
      <c r="X138" s="379" t="n"/>
    </row>
    <row r="139" ht="18" customHeight="1" s="192">
      <c r="B139" s="431" t="n"/>
      <c r="C139" s="379" t="n"/>
      <c r="D139" s="379" t="n"/>
      <c r="E139" s="379" t="n"/>
      <c r="F139" s="456" t="inlineStr">
        <is>
          <t>光模块，400GE，多模QSFP-DD SR8（100m，MPO）</t>
        </is>
      </c>
      <c r="G139" s="453" t="inlineStr">
        <is>
          <t>400GBase-SR8光模块-QSFP-DD-400G-多模模块(850nm,0.1km,MPO 1x16,APC)</t>
        </is>
      </c>
      <c r="H139" s="468" t="n">
        <v>4914.27</v>
      </c>
      <c r="I139" s="457" t="n"/>
      <c r="J139" s="435">
        <f>$H139*$I139</f>
        <v/>
      </c>
      <c r="K139" s="414" t="n"/>
      <c r="L139" s="414" t="n"/>
      <c r="M139" s="379" t="n"/>
      <c r="N139" s="379" t="n"/>
      <c r="O139" s="379" t="n"/>
      <c r="P139" s="379" t="n"/>
      <c r="Q139" s="379" t="n"/>
      <c r="R139" s="379" t="n"/>
      <c r="S139" s="379" t="n"/>
      <c r="T139" s="379" t="n"/>
      <c r="U139" s="379" t="n"/>
      <c r="V139" s="379" t="n"/>
      <c r="W139" s="379" t="n"/>
      <c r="X139" s="379" t="n"/>
    </row>
    <row r="140" ht="18" customHeight="1" s="192">
      <c r="B140" s="431" t="n"/>
      <c r="C140" s="379" t="n"/>
      <c r="D140" s="379" t="n"/>
      <c r="E140" s="379" t="n"/>
      <c r="F140" s="456" t="inlineStr">
        <is>
          <t>光模块，200GE，多模QSFP56 SR4（100m，MPO）</t>
        </is>
      </c>
      <c r="G140" s="453" t="inlineStr">
        <is>
          <t>200GBase-SR4光模块-QSFP56-200G-多模模块(850nm,0.1km,MPO)</t>
        </is>
      </c>
      <c r="H140" s="468" t="n">
        <v>2541.38</v>
      </c>
      <c r="I140" s="435" t="n"/>
      <c r="J140" s="435">
        <f>$H140*$I140</f>
        <v/>
      </c>
      <c r="K140" s="414" t="n"/>
      <c r="L140" s="414" t="n"/>
      <c r="M140" s="379" t="n"/>
      <c r="N140" s="379" t="n"/>
      <c r="O140" s="379" t="n"/>
      <c r="P140" s="379" t="n"/>
      <c r="Q140" s="379" t="n"/>
      <c r="R140" s="379" t="n"/>
      <c r="S140" s="379" t="n"/>
      <c r="T140" s="379" t="n"/>
      <c r="U140" s="379" t="n"/>
      <c r="V140" s="379" t="n"/>
      <c r="W140" s="379" t="n"/>
      <c r="X140" s="379" t="n"/>
    </row>
    <row r="141" ht="18" customHeight="1" s="192">
      <c r="B141" s="431" t="n"/>
      <c r="C141" s="379" t="n"/>
      <c r="D141" s="379" t="n"/>
      <c r="E141" s="379" t="n"/>
      <c r="F141" s="456" t="inlineStr">
        <is>
          <t>光模块，200GE，LC单模，2km</t>
        </is>
      </c>
      <c r="G141" s="453" t="inlineStr">
        <is>
          <t>不涉及</t>
        </is>
      </c>
      <c r="H141" s="468" t="n">
        <v>4043.74</v>
      </c>
      <c r="I141" s="435" t="n"/>
      <c r="J141" s="435">
        <f>$H141*$I141</f>
        <v/>
      </c>
      <c r="K141" s="414" t="n"/>
      <c r="L141" s="414" t="n"/>
      <c r="M141" s="379" t="n"/>
      <c r="N141" s="379" t="n"/>
      <c r="O141" s="379" t="n"/>
      <c r="P141" s="379" t="n"/>
      <c r="Q141" s="379" t="n"/>
      <c r="R141" s="379" t="n"/>
      <c r="S141" s="379" t="n"/>
      <c r="T141" s="379" t="n"/>
      <c r="U141" s="379" t="n"/>
      <c r="V141" s="379" t="n"/>
      <c r="W141" s="379" t="n"/>
      <c r="X141" s="379" t="n"/>
    </row>
    <row r="142" ht="18" customHeight="1" s="192">
      <c r="B142" s="431" t="n"/>
      <c r="C142" s="379" t="n"/>
      <c r="D142" s="379" t="n"/>
      <c r="E142" s="379" t="n"/>
      <c r="F142" s="456" t="inlineStr">
        <is>
          <t>光模块，100GE，MPO多模，100m</t>
        </is>
      </c>
      <c r="G142" s="453" t="inlineStr">
        <is>
          <t>100GBase-SR4光模块-QSFP28-100G-多模模块(850nm,0.1km,MPO)</t>
        </is>
      </c>
      <c r="H142" s="468" t="n">
        <v>1404.08</v>
      </c>
      <c r="I142" s="435" t="n"/>
      <c r="J142" s="435">
        <f>$H142*$I142</f>
        <v/>
      </c>
      <c r="K142" s="414" t="n"/>
      <c r="L142" s="414" t="n"/>
      <c r="M142" s="379" t="n"/>
      <c r="N142" s="379" t="n"/>
      <c r="O142" s="379" t="n"/>
      <c r="P142" s="379" t="n"/>
      <c r="Q142" s="379" t="n"/>
      <c r="R142" s="379" t="n"/>
      <c r="S142" s="379" t="n"/>
      <c r="T142" s="379" t="n"/>
      <c r="U142" s="379" t="n"/>
      <c r="V142" s="379" t="n"/>
      <c r="W142" s="379" t="n"/>
      <c r="X142" s="379" t="n"/>
    </row>
    <row r="143" ht="18" customHeight="1" s="192">
      <c r="B143" s="431" t="n"/>
      <c r="C143" s="379" t="n"/>
      <c r="D143" s="379" t="n"/>
      <c r="E143" s="379" t="n"/>
      <c r="F143" s="456" t="inlineStr">
        <is>
          <t>光模块，25GE，LC多模，100m</t>
        </is>
      </c>
      <c r="G143" s="453" t="inlineStr">
        <is>
          <t>25GBase-SR光模块-SFP28-25G多模模块(850nm,0.1km,LC)</t>
        </is>
      </c>
      <c r="H143" s="468" t="n">
        <v>280.82</v>
      </c>
      <c r="I143" s="435" t="n"/>
      <c r="J143" s="435">
        <f>$H143*$I143</f>
        <v/>
      </c>
      <c r="K143" s="414" t="n"/>
      <c r="L143" s="414" t="n"/>
      <c r="M143" s="379" t="n"/>
      <c r="N143" s="379" t="n"/>
      <c r="O143" s="379" t="n"/>
      <c r="P143" s="379" t="n"/>
      <c r="Q143" s="379" t="n"/>
      <c r="R143" s="379" t="n"/>
      <c r="S143" s="379" t="n"/>
      <c r="T143" s="379" t="n"/>
      <c r="U143" s="379" t="n"/>
      <c r="V143" s="379" t="n"/>
      <c r="W143" s="379" t="n"/>
      <c r="X143" s="379" t="n"/>
    </row>
    <row r="144" ht="18" customHeight="1" s="192">
      <c r="B144" s="431" t="n"/>
      <c r="C144" s="379" t="n"/>
      <c r="D144" s="379" t="n"/>
      <c r="E144" s="433" t="n"/>
      <c r="F144" s="433" t="n"/>
      <c r="G144" s="433" t="n"/>
      <c r="H144" s="435" t="inlineStr">
        <is>
          <t>合计</t>
        </is>
      </c>
      <c r="I144" s="435">
        <f>SUM(I134:I143)</f>
        <v/>
      </c>
      <c r="J144" s="435">
        <f>SUM(J134:J143)</f>
        <v/>
      </c>
      <c r="K144" s="414" t="n"/>
      <c r="L144" s="414" t="n"/>
      <c r="M144" s="379" t="n"/>
      <c r="N144" s="379" t="n"/>
      <c r="O144" s="379" t="n"/>
      <c r="P144" s="379" t="n"/>
      <c r="Q144" s="379" t="n"/>
      <c r="R144" s="379" t="n"/>
      <c r="S144" s="379" t="n"/>
      <c r="T144" s="379" t="n"/>
      <c r="U144" s="379" t="n"/>
      <c r="V144" s="379" t="n"/>
      <c r="W144" s="379" t="n"/>
      <c r="X144" s="379" t="n"/>
    </row>
    <row r="145" ht="18" customHeight="1" s="192">
      <c r="B145" s="431" t="n"/>
      <c r="C145" s="441" t="inlineStr">
        <is>
          <t>高度</t>
        </is>
      </c>
      <c r="D145" s="458" t="n">
        <v>15.8</v>
      </c>
      <c r="E145" s="458" t="n"/>
      <c r="F145" s="458" t="n"/>
      <c r="G145" s="458" t="n"/>
      <c r="H145" s="459" t="n"/>
      <c r="I145" s="459" t="n"/>
      <c r="J145" s="459" t="n"/>
      <c r="K145" s="414" t="n"/>
      <c r="L145" s="414" t="n"/>
      <c r="M145" s="379" t="n"/>
      <c r="N145" s="379" t="n"/>
      <c r="O145" s="379" t="n"/>
      <c r="P145" s="379" t="n"/>
      <c r="Q145" s="379" t="n"/>
      <c r="R145" s="379" t="n"/>
      <c r="S145" s="379" t="n"/>
      <c r="T145" s="379" t="n"/>
      <c r="U145" s="379" t="n"/>
      <c r="V145" s="379" t="n"/>
      <c r="W145" s="379" t="n"/>
      <c r="X145" s="379" t="n"/>
    </row>
    <row r="146" ht="18" customHeight="1" s="192">
      <c r="B146" s="431" t="n"/>
      <c r="C146" s="427" t="inlineStr">
        <is>
          <t>2024-2025框架单台功耗：</t>
        </is>
      </c>
      <c r="D146" s="427" t="inlineStr">
        <is>
          <t>40度满负载：12348w/6352w
27度满负载：9120w/4710w</t>
        </is>
      </c>
      <c r="E146" s="433" t="n"/>
      <c r="F146" s="433" t="n"/>
      <c r="G146" s="433" t="n"/>
      <c r="H146" s="435" t="n"/>
      <c r="I146" s="460" t="n"/>
      <c r="J146" s="461" t="n"/>
      <c r="K146" s="414" t="n"/>
      <c r="L146" s="414" t="n"/>
      <c r="M146" s="444">
        <f>IF(O161&gt;4,CEILING(CEILING((M161*64+M176*6)/36,1)/8,2),0)</f>
        <v/>
      </c>
      <c r="N146" s="379" t="n"/>
      <c r="O146" s="379" t="n"/>
      <c r="P146" s="379" t="n"/>
      <c r="Q146" s="379" t="n"/>
      <c r="R146" s="379" t="n"/>
      <c r="S146" s="379" t="n"/>
      <c r="T146" s="379" t="n"/>
      <c r="U146" s="379" t="n"/>
      <c r="V146" s="379" t="n"/>
      <c r="W146" s="379" t="n"/>
      <c r="X146" s="379" t="n"/>
    </row>
    <row r="147" ht="18" customHeight="1" s="192">
      <c r="B147" s="462" t="n"/>
      <c r="C147" s="463" t="n"/>
      <c r="D147" s="427" t="n"/>
      <c r="E147" s="463" t="n"/>
      <c r="F147" s="464" t="n"/>
      <c r="G147" s="465" t="n"/>
      <c r="H147" s="466" t="n"/>
      <c r="I147" s="466" t="n"/>
      <c r="J147" s="466" t="n"/>
      <c r="K147" s="414" t="n"/>
      <c r="L147" s="414" t="n"/>
      <c r="M147" s="379" t="n"/>
      <c r="N147" s="379" t="n"/>
      <c r="O147" s="379" t="n"/>
      <c r="P147" s="379" t="n"/>
      <c r="Q147" s="379" t="n"/>
      <c r="R147" s="379" t="n"/>
      <c r="S147" s="379" t="n"/>
      <c r="T147" s="379" t="n"/>
      <c r="U147" s="379" t="n"/>
      <c r="V147" s="379" t="n"/>
      <c r="W147" s="379" t="n"/>
      <c r="X147" s="379" t="n"/>
    </row>
    <row r="148" ht="18" customHeight="1" s="192">
      <c r="B148" s="451" t="inlineStr">
        <is>
          <t>数据面典配2 100G盒式汇聚&amp;接入</t>
        </is>
      </c>
      <c r="C148" s="427" t="inlineStr">
        <is>
          <t>单台均值
（万元）</t>
        </is>
      </c>
      <c r="D148" s="427" t="inlineStr">
        <is>
          <t>单台峰值
（万元）</t>
        </is>
      </c>
      <c r="E148" s="452" t="inlineStr">
        <is>
          <t>部件分类</t>
        </is>
      </c>
      <c r="F148" s="379" t="n"/>
      <c r="G148" s="452" t="inlineStr">
        <is>
          <t>配置详细描述及配置原则</t>
        </is>
      </c>
      <c r="H148" s="435" t="inlineStr">
        <is>
          <t>单价（元）</t>
        </is>
      </c>
      <c r="I148" s="435" t="inlineStr">
        <is>
          <t>每个典配实配数量</t>
        </is>
      </c>
      <c r="J148" s="435" t="inlineStr">
        <is>
          <t>总价（元）</t>
        </is>
      </c>
      <c r="K148" s="414" t="n"/>
      <c r="L148" s="414" t="n"/>
      <c r="M148" s="379" t="n"/>
      <c r="N148" s="379" t="n"/>
      <c r="O148" s="379" t="n"/>
      <c r="P148" s="379" t="n"/>
      <c r="Q148" s="379" t="n"/>
      <c r="R148" s="379" t="n"/>
      <c r="S148" s="379" t="n"/>
      <c r="T148" s="379" t="n"/>
      <c r="U148" s="379" t="n"/>
      <c r="V148" s="379" t="n"/>
      <c r="W148" s="379" t="n"/>
      <c r="X148" s="379" t="n"/>
    </row>
    <row r="149" ht="18" customHeight="1" s="192">
      <c r="B149" s="431" t="n"/>
      <c r="C149" s="379" t="n"/>
      <c r="D149" s="379" t="n"/>
      <c r="E149" s="379" t="n"/>
      <c r="F149" s="379" t="n"/>
      <c r="G149" s="379" t="n"/>
      <c r="H149" s="435" t="inlineStr">
        <is>
          <t>CE16880-X8</t>
        </is>
      </c>
      <c r="I149" s="435" t="n"/>
      <c r="J149" s="435" t="inlineStr">
        <is>
          <t>CE16880-X8</t>
        </is>
      </c>
      <c r="K149" s="414" t="n"/>
      <c r="L149" s="414" t="n"/>
      <c r="M149" s="379" t="n"/>
      <c r="N149" s="379" t="n"/>
      <c r="O149" s="379" t="n"/>
      <c r="P149" s="379" t="n"/>
      <c r="Q149" s="379" t="n"/>
      <c r="R149" s="379" t="n"/>
      <c r="S149" s="379" t="n"/>
      <c r="T149" s="379" t="n"/>
      <c r="U149" s="379" t="n"/>
      <c r="V149" s="379" t="n"/>
      <c r="W149" s="379" t="n"/>
      <c r="X149" s="379" t="n"/>
    </row>
    <row r="150" ht="18" customHeight="1" s="192">
      <c r="B150" s="431" t="n"/>
      <c r="C150" s="427">
        <f>AVERAGE(J159)/10000</f>
        <v/>
      </c>
      <c r="D150" s="427">
        <f>MAX(J159)/10000</f>
        <v/>
      </c>
      <c r="E150" s="438" t="inlineStr">
        <is>
          <t>基本配置单元</t>
        </is>
      </c>
      <c r="F150" s="467" t="inlineStr">
        <is>
          <t>128*100GE 插卡盒式交换机</t>
        </is>
      </c>
      <c r="G150" s="453" t="inlineStr">
        <is>
          <t>CE9860-4C-EI-A交流/高压直流/直流主机</t>
        </is>
      </c>
      <c r="H150" s="468" t="n">
        <v>105305.7</v>
      </c>
      <c r="I150" s="435" t="n">
        <v>1</v>
      </c>
      <c r="J150" s="435">
        <f>$H150*$I150</f>
        <v/>
      </c>
      <c r="K150" s="414" t="n"/>
      <c r="L150" s="414" t="n"/>
      <c r="M150" s="379" t="n"/>
      <c r="N150" s="379" t="n"/>
      <c r="O150" s="379" t="n"/>
      <c r="P150" s="379" t="n"/>
      <c r="Q150" s="379" t="n"/>
      <c r="R150" s="379" t="n"/>
      <c r="S150" s="379" t="n"/>
      <c r="T150" s="379" t="n"/>
      <c r="U150" s="379" t="n"/>
      <c r="V150" s="379" t="n"/>
      <c r="W150" s="379" t="n"/>
      <c r="X150" s="379" t="n"/>
    </row>
    <row r="151" ht="18" customHeight="1" s="192">
      <c r="B151" s="431" t="n"/>
      <c r="C151" s="379" t="n"/>
      <c r="D151" s="379" t="n"/>
      <c r="E151" s="438" t="inlineStr">
        <is>
          <t>接口模块单元</t>
        </is>
      </c>
      <c r="F151" s="455" t="inlineStr">
        <is>
          <t>光模块，100GE，LC单模，2km</t>
        </is>
      </c>
      <c r="G151" s="453" t="inlineStr">
        <is>
          <t>100GBase-CWDM4光模块-QSFP28-100G-单模模块(1310nm,2km,LC)</t>
        </is>
      </c>
      <c r="H151" s="468" t="n">
        <v>1923.58</v>
      </c>
      <c r="I151" s="435" t="n">
        <v>128</v>
      </c>
      <c r="J151" s="435">
        <f>$H151*$I151</f>
        <v/>
      </c>
      <c r="K151" s="414" t="n"/>
      <c r="L151" s="414" t="n"/>
      <c r="M151" s="379" t="n"/>
      <c r="N151" s="379" t="n"/>
      <c r="O151" s="379" t="n"/>
      <c r="P151" s="379" t="n"/>
      <c r="Q151" s="379" t="n"/>
      <c r="R151" s="379" t="n"/>
      <c r="S151" s="379" t="n"/>
      <c r="T151" s="379" t="n"/>
      <c r="U151" s="379" t="n"/>
      <c r="V151" s="379" t="n"/>
      <c r="W151" s="379" t="n"/>
      <c r="X151" s="379" t="n"/>
    </row>
    <row r="152" ht="18" customHeight="1" s="192">
      <c r="B152" s="431" t="n"/>
      <c r="C152" s="379" t="n"/>
      <c r="D152" s="379" t="n"/>
      <c r="E152" s="438" t="inlineStr">
        <is>
          <t>接口模块单元</t>
        </is>
      </c>
      <c r="F152" s="456" t="inlineStr">
        <is>
          <t>光模块，400GE，LC单模，10km</t>
        </is>
      </c>
      <c r="G152" s="453" t="inlineStr">
        <is>
          <t>400GBase-LR8光模块-QSFP-DD-400G-单模模块(1310nm,10km,LC)</t>
        </is>
      </c>
      <c r="H152" s="468" t="n">
        <v>21271.75</v>
      </c>
      <c r="I152" s="435" t="n"/>
      <c r="J152" s="435">
        <f>$H152*$I152</f>
        <v/>
      </c>
      <c r="K152" s="414" t="n"/>
      <c r="L152" s="414" t="n"/>
      <c r="M152" s="379" t="n"/>
      <c r="N152" s="379" t="n"/>
      <c r="O152" s="379" t="n"/>
      <c r="P152" s="379" t="n"/>
      <c r="Q152" s="379" t="n"/>
      <c r="R152" s="379" t="n"/>
      <c r="S152" s="379" t="n"/>
      <c r="T152" s="379" t="n"/>
      <c r="U152" s="379" t="n"/>
      <c r="V152" s="379" t="n"/>
      <c r="W152" s="379" t="n"/>
      <c r="X152" s="379" t="n"/>
    </row>
    <row r="153" ht="18" customHeight="1" s="192">
      <c r="B153" s="431" t="n"/>
      <c r="C153" s="379" t="n"/>
      <c r="D153" s="379" t="n"/>
      <c r="E153" s="379" t="n"/>
      <c r="F153" s="456" t="inlineStr">
        <is>
          <t>光模块，400GE，单模QSFP-DD FR4（2km，LC）</t>
        </is>
      </c>
      <c r="G153" s="453" t="inlineStr">
        <is>
          <t>400GBase-FR4光模块-QSFP-DD-400G-单模模块(1310nm,2km,LC)</t>
        </is>
      </c>
      <c r="H153" s="468" t="n">
        <v>10544.62</v>
      </c>
      <c r="I153" s="435" t="n"/>
      <c r="J153" s="435">
        <f>$H153*$I153</f>
        <v/>
      </c>
      <c r="K153" s="414" t="n"/>
      <c r="L153" s="414" t="n"/>
      <c r="M153" s="379" t="n"/>
      <c r="N153" s="379" t="n"/>
      <c r="O153" s="379" t="n"/>
      <c r="P153" s="379" t="n"/>
      <c r="Q153" s="379" t="n"/>
      <c r="R153" s="379" t="n"/>
      <c r="S153" s="379" t="n"/>
      <c r="T153" s="379" t="n"/>
      <c r="U153" s="379" t="n"/>
      <c r="V153" s="379" t="n"/>
      <c r="W153" s="379" t="n"/>
      <c r="X153" s="379" t="n"/>
    </row>
    <row r="154" ht="18" customHeight="1" s="192">
      <c r="B154" s="431" t="n"/>
      <c r="C154" s="379" t="n"/>
      <c r="D154" s="379" t="n"/>
      <c r="E154" s="379" t="n"/>
      <c r="F154" s="456" t="inlineStr">
        <is>
          <t>光模块，400GE，多模QSFP-DD SR8（100m，MPO）</t>
        </is>
      </c>
      <c r="G154" s="453" t="inlineStr">
        <is>
          <t>400GBase-SR8光模块-QSFP-DD-400G-多模模块(850nm,0.1km,MPO 1x16,APC)</t>
        </is>
      </c>
      <c r="H154" s="468" t="n">
        <v>4914.27</v>
      </c>
      <c r="I154" s="435" t="n"/>
      <c r="J154" s="435">
        <f>$H154*$I154</f>
        <v/>
      </c>
      <c r="K154" s="414" t="n"/>
      <c r="L154" s="414" t="n"/>
      <c r="M154" s="379" t="n"/>
      <c r="N154" s="379" t="n"/>
      <c r="O154" s="379" t="n"/>
      <c r="P154" s="379" t="n"/>
      <c r="Q154" s="379" t="n"/>
      <c r="R154" s="379" t="n"/>
      <c r="S154" s="379" t="n"/>
      <c r="T154" s="379" t="n"/>
      <c r="U154" s="379" t="n"/>
      <c r="V154" s="379" t="n"/>
      <c r="W154" s="379" t="n"/>
      <c r="X154" s="379" t="n"/>
    </row>
    <row r="155" ht="18" customHeight="1" s="192">
      <c r="B155" s="431" t="n"/>
      <c r="C155" s="379" t="n"/>
      <c r="D155" s="379" t="n"/>
      <c r="E155" s="379" t="n"/>
      <c r="F155" s="456" t="inlineStr">
        <is>
          <t>光模块，200GE，多模QSFP56 SR4（100m，MPO）</t>
        </is>
      </c>
      <c r="G155" s="453" t="inlineStr">
        <is>
          <t>200GBase-SR4光模块-QSFP56-200G-多模模块(850nm,0.1km,MPO)</t>
        </is>
      </c>
      <c r="H155" s="468" t="n">
        <v>2541.38</v>
      </c>
      <c r="I155" s="435" t="n"/>
      <c r="J155" s="435">
        <f>$H155*$I155</f>
        <v/>
      </c>
      <c r="K155" s="414" t="n"/>
      <c r="L155" s="414" t="n"/>
      <c r="M155" s="379" t="n"/>
      <c r="N155" s="379" t="n"/>
      <c r="O155" s="379" t="n"/>
      <c r="P155" s="379" t="n"/>
      <c r="Q155" s="379" t="n"/>
      <c r="R155" s="379" t="n"/>
      <c r="S155" s="379" t="n"/>
      <c r="T155" s="379" t="n"/>
      <c r="U155" s="379" t="n"/>
      <c r="V155" s="379" t="n"/>
      <c r="W155" s="379" t="n"/>
      <c r="X155" s="379" t="n"/>
    </row>
    <row r="156" ht="18" customHeight="1" s="192">
      <c r="B156" s="431" t="n"/>
      <c r="C156" s="379" t="n"/>
      <c r="D156" s="379" t="n"/>
      <c r="E156" s="379" t="n"/>
      <c r="F156" s="456" t="inlineStr">
        <is>
          <t>光模块，200GE，LC单模，2km</t>
        </is>
      </c>
      <c r="G156" s="453" t="inlineStr">
        <is>
          <t>不涉及</t>
        </is>
      </c>
      <c r="H156" s="468" t="n">
        <v>4043.74</v>
      </c>
      <c r="I156" s="435" t="n"/>
      <c r="J156" s="435">
        <f>$H156*$I156</f>
        <v/>
      </c>
      <c r="K156" s="414" t="n"/>
      <c r="L156" s="414" t="n"/>
      <c r="M156" s="379" t="n"/>
      <c r="N156" s="379" t="n"/>
      <c r="O156" s="379" t="n"/>
      <c r="P156" s="379" t="n"/>
      <c r="Q156" s="379" t="n"/>
      <c r="R156" s="379" t="n"/>
      <c r="S156" s="379" t="n"/>
      <c r="T156" s="379" t="n"/>
      <c r="U156" s="379" t="n"/>
      <c r="V156" s="379" t="n"/>
      <c r="W156" s="379" t="n"/>
      <c r="X156" s="379" t="n"/>
    </row>
    <row r="157" ht="18" customHeight="1" s="192">
      <c r="B157" s="431" t="n"/>
      <c r="C157" s="379" t="n"/>
      <c r="D157" s="379" t="n"/>
      <c r="E157" s="379" t="n"/>
      <c r="F157" s="455" t="inlineStr">
        <is>
          <t>光模块，100GE，MPO多模，100m</t>
        </is>
      </c>
      <c r="G157" s="453" t="inlineStr">
        <is>
          <t>100GBase-SR4光模块-QSFP28-100G-多模模块(850nm,0.1km,MPO)</t>
        </is>
      </c>
      <c r="H157" s="468" t="n">
        <v>1404.08</v>
      </c>
      <c r="I157" s="435" t="n"/>
      <c r="J157" s="435">
        <f>$H157*$I157</f>
        <v/>
      </c>
      <c r="K157" s="414" t="n"/>
      <c r="L157" s="414" t="n"/>
      <c r="M157" s="379" t="n"/>
      <c r="N157" s="379" t="n"/>
      <c r="O157" s="379" t="n"/>
      <c r="P157" s="379" t="n"/>
      <c r="Q157" s="379" t="n"/>
      <c r="R157" s="379" t="n"/>
      <c r="S157" s="379" t="n"/>
      <c r="T157" s="379" t="n"/>
      <c r="U157" s="379" t="n"/>
      <c r="V157" s="379" t="n"/>
      <c r="W157" s="379" t="n"/>
      <c r="X157" s="379" t="n"/>
    </row>
    <row r="158" ht="18" customHeight="1" s="192">
      <c r="B158" s="431" t="n"/>
      <c r="C158" s="379" t="n"/>
      <c r="D158" s="379" t="n"/>
      <c r="E158" s="379" t="n"/>
      <c r="F158" s="456" t="inlineStr">
        <is>
          <t>光模块，25GE，LC多模，100m</t>
        </is>
      </c>
      <c r="G158" s="453" t="inlineStr">
        <is>
          <t>不涉及</t>
        </is>
      </c>
      <c r="H158" s="468" t="n">
        <v>280.82</v>
      </c>
      <c r="I158" s="435" t="n"/>
      <c r="J158" s="435">
        <f>$H158*$I158</f>
        <v/>
      </c>
      <c r="K158" s="414" t="n"/>
      <c r="L158" s="414" t="n"/>
      <c r="M158" s="379" t="n"/>
      <c r="N158" s="379" t="n"/>
      <c r="O158" s="379" t="n"/>
      <c r="P158" s="379" t="n"/>
      <c r="Q158" s="379" t="n"/>
      <c r="R158" s="379" t="n"/>
      <c r="S158" s="379" t="n"/>
      <c r="T158" s="379" t="n"/>
      <c r="U158" s="379" t="n"/>
      <c r="V158" s="379" t="n"/>
      <c r="W158" s="379" t="n"/>
      <c r="X158" s="379" t="n"/>
    </row>
    <row r="159" ht="18" customHeight="1" s="192">
      <c r="B159" s="431" t="n"/>
      <c r="C159" s="379" t="n"/>
      <c r="D159" s="379" t="n"/>
      <c r="E159" s="433" t="n"/>
      <c r="F159" s="433" t="n"/>
      <c r="G159" s="433" t="n"/>
      <c r="H159" s="435" t="inlineStr">
        <is>
          <t>合计</t>
        </is>
      </c>
      <c r="I159" s="435">
        <f>SUM(I150:I158)</f>
        <v/>
      </c>
      <c r="J159" s="435">
        <f>SUM(J150:J158)</f>
        <v/>
      </c>
      <c r="K159" s="414" t="n"/>
      <c r="L159" s="414" t="n"/>
      <c r="M159" s="379" t="n"/>
      <c r="N159" s="379" t="n"/>
      <c r="O159" s="379" t="n"/>
      <c r="P159" s="379" t="n"/>
      <c r="Q159" s="379" t="n"/>
      <c r="R159" s="379" t="n"/>
      <c r="S159" s="379" t="n"/>
      <c r="T159" s="379" t="n"/>
      <c r="U159" s="379" t="n"/>
      <c r="V159" s="379" t="n"/>
      <c r="W159" s="379" t="n"/>
      <c r="X159" s="379" t="n"/>
    </row>
    <row r="160" ht="18" customHeight="1" s="192">
      <c r="B160" s="431" t="n"/>
      <c r="C160" s="441" t="inlineStr">
        <is>
          <t>高度</t>
        </is>
      </c>
      <c r="D160" s="458" t="n">
        <v>1</v>
      </c>
      <c r="E160" s="458" t="n"/>
      <c r="F160" s="458" t="n"/>
      <c r="G160" s="458" t="n"/>
      <c r="H160" s="459" t="n"/>
      <c r="I160" s="459" t="n"/>
      <c r="J160" s="459" t="n"/>
      <c r="K160" s="414" t="n"/>
      <c r="L160" s="414" t="n"/>
      <c r="M160" s="379" t="n"/>
      <c r="N160" s="379" t="n"/>
      <c r="O160" s="379" t="n"/>
      <c r="P160" s="379" t="n"/>
      <c r="Q160" s="379" t="n"/>
      <c r="R160" s="379" t="n"/>
      <c r="S160" s="379" t="n"/>
      <c r="T160" s="379" t="n"/>
      <c r="U160" s="379" t="n"/>
      <c r="V160" s="379" t="n"/>
      <c r="W160" s="379" t="n"/>
      <c r="X160" s="379" t="n"/>
    </row>
    <row r="161" ht="18" customHeight="1" s="192">
      <c r="B161" s="431" t="n"/>
      <c r="C161" s="427" t="inlineStr">
        <is>
          <t>2024-2025框架单台功耗：</t>
        </is>
      </c>
      <c r="D161" s="427" t="inlineStr">
        <is>
          <t>40度满负载：2330w
27度满负载：1910w</t>
        </is>
      </c>
      <c r="E161" s="433" t="n"/>
      <c r="F161" s="433" t="n"/>
      <c r="G161" s="433" t="n"/>
      <c r="H161" s="435" t="n"/>
      <c r="I161" s="460" t="n"/>
      <c r="J161" s="461" t="n"/>
      <c r="K161" s="414" t="n"/>
      <c r="L161" s="414" t="n"/>
      <c r="M161" s="444">
        <f>CEILING('2-建设规模换算'!E11/64,1)*2</f>
        <v/>
      </c>
      <c r="N161" s="379" t="n"/>
      <c r="O161" s="440">
        <f>IF(M176+M161&gt;0,2^CEILING(LOG((M161*64+M176*24)/128,2),1),0)</f>
        <v/>
      </c>
      <c r="P161" s="379" t="n"/>
      <c r="Q161" s="379" t="n"/>
      <c r="R161" s="379" t="n"/>
      <c r="S161" s="379" t="n"/>
      <c r="T161" s="379" t="n"/>
      <c r="U161" s="379" t="n"/>
      <c r="V161" s="379" t="n"/>
      <c r="W161" s="379" t="n"/>
      <c r="X161" s="379" t="n"/>
    </row>
    <row r="162" ht="18" customHeight="1" s="192">
      <c r="B162" s="462" t="n"/>
      <c r="C162" s="463" t="n"/>
      <c r="D162" s="427" t="n"/>
      <c r="E162" s="463" t="n"/>
      <c r="F162" s="464" t="n"/>
      <c r="G162" s="465" t="n"/>
      <c r="H162" s="466" t="n"/>
      <c r="I162" s="466" t="n"/>
      <c r="J162" s="466" t="n"/>
      <c r="K162" s="414" t="n"/>
      <c r="L162" s="414" t="n"/>
      <c r="M162" s="379" t="n"/>
      <c r="N162" s="379" t="n"/>
      <c r="O162" s="379" t="n"/>
      <c r="P162" s="379" t="n"/>
      <c r="Q162" s="379" t="n"/>
      <c r="R162" s="379" t="n"/>
      <c r="S162" s="379" t="n"/>
      <c r="T162" s="379" t="n"/>
      <c r="U162" s="379" t="n"/>
      <c r="V162" s="379" t="n"/>
      <c r="W162" s="379" t="n"/>
      <c r="X162" s="379" t="n"/>
    </row>
    <row r="163" ht="18" customHeight="1" s="192">
      <c r="B163" s="451" t="inlineStr">
        <is>
          <t>数据面典配3 25G盒式接入</t>
        </is>
      </c>
      <c r="C163" s="427" t="inlineStr">
        <is>
          <t>单台均值
（万元）</t>
        </is>
      </c>
      <c r="D163" s="427" t="inlineStr">
        <is>
          <t>单台峰值
（万元）</t>
        </is>
      </c>
      <c r="E163" s="452" t="inlineStr">
        <is>
          <t>部件分类</t>
        </is>
      </c>
      <c r="F163" s="379" t="n"/>
      <c r="G163" s="452" t="inlineStr">
        <is>
          <t>配置详细描述及配置原则</t>
        </is>
      </c>
      <c r="H163" s="435" t="inlineStr">
        <is>
          <t>单价（元）</t>
        </is>
      </c>
      <c r="I163" s="435" t="inlineStr">
        <is>
          <t>每个典配实配数量</t>
        </is>
      </c>
      <c r="J163" s="435" t="inlineStr">
        <is>
          <t>总价（元）</t>
        </is>
      </c>
      <c r="K163" s="414" t="n"/>
      <c r="L163" s="414" t="n"/>
      <c r="M163" s="379" t="n"/>
      <c r="N163" s="379" t="n"/>
      <c r="O163" s="379" t="n"/>
      <c r="P163" s="379" t="n"/>
      <c r="Q163" s="379" t="n"/>
      <c r="R163" s="379" t="n"/>
      <c r="S163" s="379" t="n"/>
      <c r="T163" s="379" t="n"/>
      <c r="U163" s="379" t="n"/>
      <c r="V163" s="379" t="n"/>
      <c r="W163" s="379" t="n"/>
      <c r="X163" s="379" t="n"/>
    </row>
    <row r="164" ht="18" customHeight="1" s="192">
      <c r="B164" s="431" t="n"/>
      <c r="C164" s="379" t="n"/>
      <c r="D164" s="379" t="n"/>
      <c r="E164" s="379" t="n"/>
      <c r="F164" s="379" t="n"/>
      <c r="G164" s="379" t="n"/>
      <c r="H164" s="435" t="inlineStr">
        <is>
          <t>CE16880-X8</t>
        </is>
      </c>
      <c r="I164" s="435" t="n"/>
      <c r="J164" s="435" t="inlineStr">
        <is>
          <t>CE16880-X8</t>
        </is>
      </c>
      <c r="K164" s="414" t="n"/>
      <c r="L164" s="414" t="n"/>
      <c r="M164" s="379" t="n"/>
      <c r="N164" s="379" t="n"/>
      <c r="O164" s="379" t="n"/>
      <c r="P164" s="379" t="n"/>
      <c r="Q164" s="379" t="n"/>
      <c r="R164" s="379" t="n"/>
      <c r="S164" s="379" t="n"/>
      <c r="T164" s="379" t="n"/>
      <c r="U164" s="379" t="n"/>
      <c r="V164" s="379" t="n"/>
      <c r="W164" s="379" t="n"/>
      <c r="X164" s="379" t="n"/>
    </row>
    <row r="165" ht="18" customHeight="1" s="192">
      <c r="B165" s="431" t="n"/>
      <c r="C165" s="427">
        <f>AVERAGE(J174)/10000</f>
        <v/>
      </c>
      <c r="D165" s="427">
        <f>MAX(J174)/10000</f>
        <v/>
      </c>
      <c r="E165" s="438" t="inlineStr">
        <is>
          <t>基本配置单元</t>
        </is>
      </c>
      <c r="F165" s="467" t="inlineStr">
        <is>
          <t>48*25GE 盒式交换机</t>
        </is>
      </c>
      <c r="G165" s="453" t="inlineStr">
        <is>
          <t>CE6865E-48S8CQ交流/高压直流/直流主机</t>
        </is>
      </c>
      <c r="H165" s="454" t="n">
        <v>25273.37</v>
      </c>
      <c r="I165" s="435" t="n">
        <v>1</v>
      </c>
      <c r="J165" s="435">
        <f>$H165*$I165</f>
        <v/>
      </c>
      <c r="K165" s="414" t="n"/>
      <c r="L165" s="414" t="n"/>
      <c r="M165" s="379" t="n"/>
      <c r="N165" s="379" t="n"/>
      <c r="O165" s="379" t="n"/>
      <c r="P165" s="379" t="n"/>
      <c r="Q165" s="379" t="n"/>
      <c r="R165" s="379" t="n"/>
      <c r="S165" s="379" t="n"/>
      <c r="T165" s="379" t="n"/>
      <c r="U165" s="379" t="n"/>
      <c r="V165" s="379" t="n"/>
      <c r="W165" s="379" t="n"/>
      <c r="X165" s="379" t="n"/>
    </row>
    <row r="166" ht="18" customHeight="1" s="192">
      <c r="B166" s="431" t="n"/>
      <c r="C166" s="379" t="n"/>
      <c r="D166" s="379" t="n"/>
      <c r="E166" s="438" t="inlineStr">
        <is>
          <t>接口模块单元</t>
        </is>
      </c>
      <c r="F166" s="456" t="inlineStr">
        <is>
          <t>光模块，25GE，LC多模，100m</t>
        </is>
      </c>
      <c r="G166" s="453" t="inlineStr">
        <is>
          <t>25GBase-SR光模块-SFP28-25G多模模块(850nm,0.1km,LC)</t>
        </is>
      </c>
      <c r="H166" s="454" t="n">
        <v>280.82</v>
      </c>
      <c r="I166" s="435" t="n">
        <v>48</v>
      </c>
      <c r="J166" s="435">
        <f>$H166*$I166</f>
        <v/>
      </c>
      <c r="K166" s="414" t="n"/>
      <c r="L166" s="414" t="n"/>
      <c r="M166" s="379" t="n"/>
      <c r="N166" s="379" t="n"/>
      <c r="O166" s="379" t="n"/>
      <c r="P166" s="379" t="n"/>
      <c r="Q166" s="379" t="n"/>
      <c r="R166" s="379" t="n"/>
      <c r="S166" s="379" t="n"/>
      <c r="T166" s="379" t="n"/>
      <c r="U166" s="379" t="n"/>
      <c r="V166" s="379" t="n"/>
      <c r="W166" s="379" t="n"/>
      <c r="X166" s="379" t="n"/>
    </row>
    <row r="167" ht="18" customHeight="1" s="192">
      <c r="B167" s="431" t="n"/>
      <c r="C167" s="379" t="n"/>
      <c r="D167" s="379" t="n"/>
      <c r="E167" s="379" t="n"/>
      <c r="F167" s="456" t="inlineStr">
        <is>
          <t>光模块，100GE，MPO多模，100m</t>
        </is>
      </c>
      <c r="G167" s="453" t="inlineStr">
        <is>
          <t>100GBase-SR4光模块-QSFP28-100G-多模模块(850nm,0.1km,MPO)</t>
        </is>
      </c>
      <c r="H167" s="454" t="n">
        <v>1404.08</v>
      </c>
      <c r="I167" s="435" t="n">
        <v>8</v>
      </c>
      <c r="J167" s="435">
        <f>$H167*$I167</f>
        <v/>
      </c>
      <c r="K167" s="414" t="n"/>
      <c r="L167" s="414" t="n"/>
      <c r="M167" s="379" t="n"/>
      <c r="N167" s="379" t="n"/>
      <c r="O167" s="379" t="n"/>
      <c r="P167" s="379" t="n"/>
      <c r="Q167" s="379" t="n"/>
      <c r="R167" s="379" t="n"/>
      <c r="S167" s="379" t="n"/>
      <c r="T167" s="379" t="n"/>
      <c r="U167" s="379" t="n"/>
      <c r="V167" s="379" t="n"/>
      <c r="W167" s="379" t="n"/>
      <c r="X167" s="379" t="n"/>
    </row>
    <row r="168" ht="18" customHeight="1" s="192">
      <c r="B168" s="431" t="n"/>
      <c r="C168" s="379" t="n"/>
      <c r="D168" s="379" t="n"/>
      <c r="E168" s="379" t="n"/>
      <c r="F168" s="456" t="inlineStr">
        <is>
          <t>光模块，100GE，LC单模，2km</t>
        </is>
      </c>
      <c r="G168" s="453" t="inlineStr">
        <is>
          <t>100GBase-CWDM4光模块-QSFP28-100G-单模模块(1310nm,2km,LC)</t>
        </is>
      </c>
      <c r="H168" s="454" t="n">
        <v>1923.58</v>
      </c>
      <c r="I168" s="435" t="n"/>
      <c r="J168" s="435">
        <f>$H168*$I168</f>
        <v/>
      </c>
      <c r="K168" s="414" t="n"/>
      <c r="L168" s="414" t="n"/>
      <c r="M168" s="379" t="n"/>
      <c r="N168" s="379" t="n"/>
      <c r="O168" s="379" t="n"/>
      <c r="P168" s="379" t="n"/>
      <c r="Q168" s="379" t="n"/>
      <c r="R168" s="379" t="n"/>
      <c r="S168" s="379" t="n"/>
      <c r="T168" s="379" t="n"/>
      <c r="U168" s="379" t="n"/>
      <c r="V168" s="379" t="n"/>
      <c r="W168" s="379" t="n"/>
      <c r="X168" s="379" t="n"/>
    </row>
    <row r="169" ht="18" customHeight="1" s="192">
      <c r="B169" s="431" t="n"/>
      <c r="C169" s="379" t="n"/>
      <c r="D169" s="379" t="n"/>
      <c r="E169" s="438" t="inlineStr">
        <is>
          <t>接口模块单元</t>
        </is>
      </c>
      <c r="F169" s="456" t="inlineStr">
        <is>
          <t>光模块，400GE，LC单模，10km</t>
        </is>
      </c>
      <c r="G169" s="453" t="inlineStr">
        <is>
          <t>不涉及</t>
        </is>
      </c>
      <c r="H169" s="454" t="n">
        <v>21271.75</v>
      </c>
      <c r="I169" s="435" t="n"/>
      <c r="J169" s="435">
        <f>$H169*$I169</f>
        <v/>
      </c>
      <c r="K169" s="414" t="n"/>
      <c r="L169" s="414" t="n"/>
      <c r="M169" s="379" t="n"/>
      <c r="N169" s="379" t="n"/>
      <c r="O169" s="379" t="n"/>
      <c r="P169" s="379" t="n"/>
      <c r="Q169" s="379" t="n"/>
      <c r="R169" s="379" t="n"/>
      <c r="S169" s="379" t="n"/>
      <c r="T169" s="379" t="n"/>
      <c r="U169" s="379" t="n"/>
      <c r="V169" s="379" t="n"/>
      <c r="W169" s="379" t="n"/>
      <c r="X169" s="379" t="n"/>
    </row>
    <row r="170" ht="18" customHeight="1" s="192">
      <c r="B170" s="431" t="n"/>
      <c r="C170" s="379" t="n"/>
      <c r="D170" s="379" t="n"/>
      <c r="E170" s="379" t="n"/>
      <c r="F170" s="456" t="inlineStr">
        <is>
          <t>光模块，400GE，单模QSFP-DD FR4（2km，LC）</t>
        </is>
      </c>
      <c r="G170" s="453" t="inlineStr">
        <is>
          <t>不涉及</t>
        </is>
      </c>
      <c r="H170" s="454" t="n">
        <v>10544.62</v>
      </c>
      <c r="I170" s="435" t="n"/>
      <c r="J170" s="435">
        <f>$H170*$I170</f>
        <v/>
      </c>
      <c r="K170" s="414" t="n"/>
      <c r="L170" s="414" t="n"/>
      <c r="M170" s="379" t="n"/>
      <c r="N170" s="379" t="n"/>
      <c r="O170" s="379" t="n"/>
      <c r="P170" s="379" t="n"/>
      <c r="Q170" s="379" t="n"/>
      <c r="R170" s="379" t="n"/>
      <c r="S170" s="379" t="n"/>
      <c r="T170" s="379" t="n"/>
      <c r="U170" s="379" t="n"/>
      <c r="V170" s="379" t="n"/>
      <c r="W170" s="379" t="n"/>
      <c r="X170" s="379" t="n"/>
    </row>
    <row r="171" ht="18" customHeight="1" s="192">
      <c r="B171" s="431" t="n"/>
      <c r="C171" s="379" t="n"/>
      <c r="D171" s="379" t="n"/>
      <c r="E171" s="379" t="n"/>
      <c r="F171" s="456" t="inlineStr">
        <is>
          <t>光模块，400GE，多模QSFP-DD SR8（100m，MPO）</t>
        </is>
      </c>
      <c r="G171" s="453" t="inlineStr">
        <is>
          <t>不涉及</t>
        </is>
      </c>
      <c r="H171" s="454" t="n">
        <v>4914.27</v>
      </c>
      <c r="I171" s="435" t="n"/>
      <c r="J171" s="435">
        <f>$H171*$I171</f>
        <v/>
      </c>
      <c r="K171" s="414" t="n"/>
      <c r="L171" s="414" t="n"/>
      <c r="M171" s="379" t="n"/>
      <c r="N171" s="379" t="n"/>
      <c r="O171" s="379" t="n"/>
      <c r="P171" s="379" t="n"/>
      <c r="Q171" s="379" t="n"/>
      <c r="R171" s="379" t="n"/>
      <c r="S171" s="379" t="n"/>
      <c r="T171" s="379" t="n"/>
      <c r="U171" s="379" t="n"/>
      <c r="V171" s="379" t="n"/>
      <c r="W171" s="379" t="n"/>
      <c r="X171" s="379" t="n"/>
    </row>
    <row r="172" ht="18" customHeight="1" s="192">
      <c r="B172" s="431" t="n"/>
      <c r="C172" s="379" t="n"/>
      <c r="D172" s="379" t="n"/>
      <c r="E172" s="379" t="n"/>
      <c r="F172" s="456" t="inlineStr">
        <is>
          <t>光模块，200GE，多模QSFP56 SR4（100m，MPO）</t>
        </is>
      </c>
      <c r="G172" s="453" t="inlineStr">
        <is>
          <t>不涉及</t>
        </is>
      </c>
      <c r="H172" s="454" t="n">
        <v>2541.38</v>
      </c>
      <c r="I172" s="435" t="n"/>
      <c r="J172" s="435">
        <f>$H172*$I172</f>
        <v/>
      </c>
      <c r="K172" s="414" t="n"/>
      <c r="L172" s="414" t="n"/>
      <c r="M172" s="379" t="n"/>
      <c r="N172" s="379" t="n"/>
      <c r="O172" s="379" t="n"/>
      <c r="P172" s="379" t="n"/>
      <c r="Q172" s="379" t="n"/>
      <c r="R172" s="379" t="n"/>
      <c r="S172" s="379" t="n"/>
      <c r="T172" s="379" t="n"/>
      <c r="U172" s="379" t="n"/>
      <c r="V172" s="379" t="n"/>
      <c r="W172" s="379" t="n"/>
      <c r="X172" s="379" t="n"/>
    </row>
    <row r="173" ht="18" customHeight="1" s="192">
      <c r="B173" s="431" t="n"/>
      <c r="C173" s="379" t="n"/>
      <c r="D173" s="379" t="n"/>
      <c r="E173" s="379" t="n"/>
      <c r="F173" s="456" t="inlineStr">
        <is>
          <t>光模块，200GE，LC单模，2km</t>
        </is>
      </c>
      <c r="G173" s="453" t="inlineStr">
        <is>
          <t>不涉及</t>
        </is>
      </c>
      <c r="H173" s="454" t="n">
        <v>4043.74</v>
      </c>
      <c r="I173" s="435" t="n"/>
      <c r="J173" s="435">
        <f>$H173*$I173</f>
        <v/>
      </c>
      <c r="K173" s="414" t="n"/>
      <c r="L173" s="414" t="n"/>
      <c r="M173" s="379" t="n"/>
      <c r="N173" s="379" t="n"/>
      <c r="O173" s="379" t="n"/>
      <c r="P173" s="379" t="n"/>
      <c r="Q173" s="379" t="n"/>
      <c r="R173" s="379" t="n"/>
      <c r="S173" s="379" t="n"/>
      <c r="T173" s="379" t="n"/>
      <c r="U173" s="379" t="n"/>
      <c r="V173" s="379" t="n"/>
      <c r="W173" s="379" t="n"/>
      <c r="X173" s="379" t="n"/>
    </row>
    <row r="174" ht="18" customHeight="1" s="192">
      <c r="B174" s="431" t="n"/>
      <c r="C174" s="379" t="n"/>
      <c r="D174" s="379" t="n"/>
      <c r="E174" s="433" t="n"/>
      <c r="F174" s="433" t="n"/>
      <c r="G174" s="433" t="n"/>
      <c r="H174" s="435" t="inlineStr">
        <is>
          <t>合计</t>
        </is>
      </c>
      <c r="I174" s="435">
        <f>SUM(I165:I173)</f>
        <v/>
      </c>
      <c r="J174" s="435">
        <f>SUM(J165:J173)</f>
        <v/>
      </c>
      <c r="K174" s="414" t="n"/>
      <c r="L174" s="414" t="n"/>
      <c r="M174" s="379" t="n"/>
      <c r="N174" s="379" t="n"/>
      <c r="O174" s="379" t="n"/>
      <c r="P174" s="379" t="n"/>
      <c r="Q174" s="379" t="n"/>
      <c r="R174" s="379" t="n"/>
      <c r="S174" s="379" t="n"/>
      <c r="T174" s="379" t="n"/>
      <c r="U174" s="379" t="n"/>
      <c r="V174" s="379" t="n"/>
      <c r="W174" s="379" t="n"/>
      <c r="X174" s="379" t="n"/>
    </row>
    <row r="175" ht="18" customHeight="1" s="192">
      <c r="B175" s="431" t="n"/>
      <c r="C175" s="441" t="inlineStr">
        <is>
          <t>高度</t>
        </is>
      </c>
      <c r="D175" s="458" t="n">
        <v>1</v>
      </c>
      <c r="E175" s="458" t="n"/>
      <c r="F175" s="458" t="n"/>
      <c r="G175" s="458" t="n"/>
      <c r="H175" s="459" t="n"/>
      <c r="I175" s="459" t="n"/>
      <c r="J175" s="459" t="n"/>
      <c r="K175" s="414" t="n"/>
      <c r="L175" s="414" t="n"/>
      <c r="M175" s="379" t="n"/>
      <c r="N175" s="379" t="n"/>
      <c r="O175" s="379" t="n"/>
      <c r="P175" s="379" t="n"/>
      <c r="Q175" s="379" t="n"/>
      <c r="R175" s="379" t="n"/>
      <c r="S175" s="379" t="n"/>
      <c r="T175" s="379" t="n"/>
      <c r="U175" s="379" t="n"/>
      <c r="V175" s="379" t="n"/>
      <c r="W175" s="379" t="n"/>
      <c r="X175" s="379" t="n"/>
    </row>
    <row r="176" ht="18" customHeight="1" s="192">
      <c r="B176" s="431" t="n"/>
      <c r="C176" s="427" t="inlineStr">
        <is>
          <t>2024-2025框架单台功耗：</t>
        </is>
      </c>
      <c r="D176" s="427" t="inlineStr">
        <is>
          <t>40度满负载：378w
27度满负载：232w</t>
        </is>
      </c>
      <c r="E176" s="433" t="n"/>
      <c r="F176" s="433" t="n"/>
      <c r="G176" s="433" t="n"/>
      <c r="H176" s="435" t="n"/>
      <c r="I176" s="460" t="n"/>
      <c r="J176" s="461" t="n"/>
      <c r="K176" s="414" t="n"/>
      <c r="L176" s="414" t="n"/>
      <c r="M176" s="444">
        <f>CEILING(('2-建设规模换算'!E3+'2-建设规模换算'!E4)/24,1)*2</f>
        <v/>
      </c>
      <c r="N176" s="379" t="n"/>
      <c r="O176" s="379" t="n"/>
      <c r="P176" s="379" t="n"/>
      <c r="Q176" s="379" t="n"/>
      <c r="R176" s="379" t="n"/>
      <c r="S176" s="379" t="n"/>
      <c r="T176" s="379" t="n"/>
      <c r="U176" s="379" t="n"/>
      <c r="V176" s="379" t="n"/>
      <c r="W176" s="379" t="n"/>
      <c r="X176" s="379" t="n"/>
    </row>
    <row r="177" ht="18" customHeight="1" s="192">
      <c r="B177" s="431" t="n"/>
      <c r="C177" s="379" t="n"/>
      <c r="D177" s="379" t="n"/>
      <c r="E177" s="379" t="n"/>
      <c r="F177" s="379" t="n"/>
      <c r="G177" s="379" t="n"/>
      <c r="H177" s="414" t="n"/>
      <c r="I177" s="414" t="n"/>
      <c r="J177" s="414" t="n"/>
      <c r="K177" s="414" t="n"/>
      <c r="L177" s="414" t="n"/>
      <c r="M177" s="379" t="n"/>
      <c r="N177" s="379" t="n"/>
      <c r="O177" s="379" t="n"/>
      <c r="P177" s="379" t="n"/>
      <c r="Q177" s="379" t="n"/>
      <c r="R177" s="379" t="n"/>
      <c r="S177" s="379" t="n"/>
      <c r="T177" s="379" t="n"/>
      <c r="U177" s="379" t="n"/>
      <c r="V177" s="379" t="n"/>
      <c r="W177" s="379" t="n"/>
      <c r="X177" s="379" t="n"/>
    </row>
    <row r="178" ht="18" customHeight="1" s="192">
      <c r="B178" s="470" t="inlineStr">
        <is>
          <t>参数面ROCE交换机</t>
        </is>
      </c>
      <c r="C178" s="471" t="inlineStr">
        <is>
          <t>参数面典配1 400G框式汇聚（8槽）</t>
        </is>
      </c>
      <c r="D178" s="427" t="inlineStr">
        <is>
          <t>8槽位框式设备（8*交换网板）</t>
        </is>
      </c>
      <c r="E178" s="471" t="inlineStr">
        <is>
          <t>CE16880-X8(含华为CE TOR交换机软件V1.0)</t>
        </is>
      </c>
      <c r="F178" s="472">
        <f>ROUNDUP(4980091.76/10000,2)</f>
        <v/>
      </c>
      <c r="G178" s="473" t="inlineStr">
        <is>
          <t>台</t>
        </is>
      </c>
      <c r="H178" s="466" t="inlineStr">
        <is>
          <t>单台配置：8*36*400G
8槽位框式设备（8*交换网板）+8块36*400GE 单板+288个光模块，400GE，单模QSFP-DD FR4（2km，LC）</t>
        </is>
      </c>
      <c r="I178" s="474" t="inlineStr">
        <is>
          <t>23948
(100%负载，288 * 400GE LC 2KM 光模块，室温40摄氏度)</t>
        </is>
      </c>
      <c r="J178" s="474" t="inlineStr">
        <is>
          <t>17600
(100%负载，288 * 400GE LC 2KM 光模块，室温27摄氏度)</t>
        </is>
      </c>
      <c r="K178" s="474" t="inlineStr">
        <is>
          <t>17600
(100%负载，288 * 400GE LC 2KM 光模块，室温27摄氏度)</t>
        </is>
      </c>
      <c r="L178" s="475" t="n">
        <v>15.8</v>
      </c>
      <c r="M178" s="476" t="n"/>
      <c r="N178" s="379" t="n"/>
      <c r="O178" s="379" t="n"/>
      <c r="P178" s="379" t="n"/>
      <c r="Q178" s="379" t="n"/>
      <c r="R178" s="379" t="n"/>
      <c r="S178" s="379" t="n"/>
      <c r="T178" s="379" t="n"/>
      <c r="U178" s="379" t="n"/>
      <c r="V178" s="379" t="n"/>
      <c r="W178" s="379" t="n"/>
      <c r="X178" s="379" t="n"/>
    </row>
    <row r="179" ht="18" customHeight="1" s="192">
      <c r="B179" s="431" t="n"/>
      <c r="C179" s="471" t="inlineStr">
        <is>
          <t>参数面典配2 200G盒式接入</t>
        </is>
      </c>
      <c r="D179" s="427" t="inlineStr">
        <is>
          <t>32*200G+16*400G 插卡盒式交换机</t>
        </is>
      </c>
      <c r="E179" s="471" t="inlineStr">
        <is>
          <t>CE9860-4C-EI-A(含华为CE TOR交换机软件V1.0)</t>
        </is>
      </c>
      <c r="F179" s="472" t="n">
        <v>45.78</v>
      </c>
      <c r="G179" s="473" t="inlineStr">
        <is>
          <t>台</t>
        </is>
      </c>
      <c r="H179" s="466" t="inlineStr">
        <is>
          <t>单台配置：32*400G(下行16*400G一分二为32*200G)
CE9860-4C-EI-A交流/高压直流/直流主机+16个400GBase-FR4光模块-QSFP-DD-400G-单模模块(1310nm,2km,LC+32个200GBase-SR4光模块-QSFP56-200G-多模模块(850nm,0.1km,MPO)</t>
        </is>
      </c>
      <c r="I179" s="474" t="inlineStr">
        <is>
          <t>1720
(100%负载，32 * 400GE LC 2KM 光模块，室温40摄氏度)</t>
        </is>
      </c>
      <c r="J179" s="474" t="inlineStr">
        <is>
          <t>1310
(100%负载，32 * 400GE LC 2KM 光模块，室温27摄氏度)</t>
        </is>
      </c>
      <c r="K179" s="477" t="inlineStr">
        <is>
          <t>1310
(100%负载，32 * 400GE LC 2KM 光模块，室温27摄氏度)</t>
        </is>
      </c>
      <c r="L179" s="478" t="n">
        <v>4</v>
      </c>
      <c r="M179" s="476" t="n"/>
      <c r="N179" s="379" t="n"/>
      <c r="O179" s="379" t="n"/>
      <c r="P179" s="379" t="n"/>
      <c r="Q179" s="379" t="n"/>
      <c r="R179" s="379" t="n"/>
      <c r="S179" s="379" t="n"/>
      <c r="T179" s="379" t="n"/>
      <c r="U179" s="379" t="n"/>
      <c r="V179" s="379" t="n"/>
      <c r="W179" s="379" t="n"/>
      <c r="X179" s="379" t="n"/>
    </row>
    <row r="180" ht="18" customHeight="1" s="192">
      <c r="B180" s="431" t="n"/>
      <c r="C180" s="471" t="inlineStr">
        <is>
          <t>参数面典配3 400G框式汇聚（16槽）</t>
        </is>
      </c>
      <c r="D180" s="427" t="inlineStr">
        <is>
          <t>16槽位框式设备（8*交换网板）</t>
        </is>
      </c>
      <c r="E180" s="471" t="inlineStr">
        <is>
          <t>CE16880-X16(含华为CE TOR交换机软件V1.0)</t>
        </is>
      </c>
      <c r="F180" s="472">
        <f>9960183.52/10000</f>
        <v/>
      </c>
      <c r="G180" s="473" t="inlineStr">
        <is>
          <t>台</t>
        </is>
      </c>
      <c r="H180" s="466" t="inlineStr">
        <is>
          <t>单台配置：16*36*400G
16槽位框式设备（16*交换网板）+16块36*400GE 单板+576个光模块，400GE，单模QSFP-DD FR4（2km，LC）</t>
        </is>
      </c>
      <c r="I180" s="474" t="inlineStr">
        <is>
          <t>47468
(100%负载，576 * 400GE LC 2KM 光模块，室温40摄氏度)</t>
        </is>
      </c>
      <c r="J180" s="474" t="inlineStr">
        <is>
          <t>35100
(100%负载，576 * 400GE LC 2KM 光模块，室温27摄氏度)</t>
        </is>
      </c>
      <c r="K180" s="477" t="inlineStr">
        <is>
          <t>35100
(100%负载，576 * 400GE LC 2KM 光模块，室温27摄氏度)</t>
        </is>
      </c>
      <c r="L180" s="475" t="n">
        <v>32.3</v>
      </c>
      <c r="M180" s="479" t="n"/>
      <c r="N180" s="379" t="n"/>
      <c r="O180" s="379" t="n"/>
      <c r="P180" s="379" t="n"/>
      <c r="Q180" s="379" t="n"/>
      <c r="R180" s="379" t="n"/>
      <c r="S180" s="379" t="n"/>
      <c r="T180" s="379" t="n"/>
      <c r="U180" s="379" t="n"/>
      <c r="V180" s="379" t="n"/>
      <c r="W180" s="379" t="n"/>
      <c r="X180" s="379" t="n"/>
    </row>
    <row r="181" ht="18" customHeight="1" s="192">
      <c r="B181" s="431" t="n"/>
      <c r="C181" s="471" t="inlineStr">
        <is>
          <t>参数面典配4 400G盒式汇聚</t>
        </is>
      </c>
      <c r="D181" s="427" t="inlineStr">
        <is>
          <t>32*400GE 插卡盒式交换机</t>
        </is>
      </c>
      <c r="E181" s="471" t="inlineStr">
        <is>
          <t>CE9860-4C-EI-A(含华为CE TOR交换机软件V1.0)</t>
        </is>
      </c>
      <c r="F181" s="472" t="n">
        <v>54.54</v>
      </c>
      <c r="G181" s="473" t="inlineStr">
        <is>
          <t>台</t>
        </is>
      </c>
      <c r="H181" s="466" t="inlineStr">
        <is>
          <t>单台配置：32*400G
CE9860-4C-EI-A交流/高压直流/直流主机+32个400GBase-FR4光模块-QSFP-DD-400G-单模模块(1310nm,2km,LC</t>
        </is>
      </c>
      <c r="I181" s="474" t="inlineStr">
        <is>
          <t>1720
(100%负载，32 * 400GE LC 2KM 光模块，室温40摄氏度)</t>
        </is>
      </c>
      <c r="J181" s="474" t="inlineStr">
        <is>
          <t>1310
(100%负载，32 * 400GE LC 2KM 光模块，室温27摄氏度)</t>
        </is>
      </c>
      <c r="K181" s="477" t="inlineStr">
        <is>
          <t>1310
(100%负载，32 * 400GE LC 2KM 光模块，室温27摄氏度)</t>
        </is>
      </c>
      <c r="L181" s="478" t="n">
        <v>4</v>
      </c>
      <c r="M181" s="480" t="n"/>
      <c r="N181" s="379" t="n"/>
      <c r="O181" s="379" t="n"/>
      <c r="P181" s="379" t="n"/>
      <c r="Q181" s="379" t="n"/>
      <c r="R181" s="379" t="n"/>
      <c r="S181" s="379" t="n"/>
      <c r="T181" s="379" t="n"/>
      <c r="U181" s="379" t="n"/>
      <c r="V181" s="379" t="n"/>
      <c r="W181" s="379" t="n"/>
      <c r="X181" s="379" t="n"/>
    </row>
    <row r="182" ht="18" customHeight="1" s="192">
      <c r="B182" s="431" t="n"/>
      <c r="C182" s="471" t="inlineStr">
        <is>
          <t>参数面典配5 200G-B盒式接入</t>
        </is>
      </c>
      <c r="D182" s="427" t="inlineStr">
        <is>
          <t>16*200G+8*400G 插卡盒式交换机</t>
        </is>
      </c>
      <c r="E182" s="471" t="inlineStr">
        <is>
          <t>CE8875-24BQ8DQ(含华为CE TOR交换机软件V1.0)</t>
        </is>
      </c>
      <c r="F182" s="472" t="n">
        <v>24</v>
      </c>
      <c r="G182" s="473" t="inlineStr">
        <is>
          <t>台</t>
        </is>
      </c>
      <c r="H182" s="466" t="inlineStr">
        <is>
          <t>单台配置：16*200G+8*400GE
CE8875-24BQ8DQ 交流/高压直流/直流主机+32个400GBase-FR4光模块-QSFP-DD-400G-单模模块(1310nm,2km,LC+8个400GBase-FR4光模块-QSFP-DD-400G-单模模块(1310nm,2km,LC)</t>
        </is>
      </c>
      <c r="I182" s="481" t="n"/>
      <c r="J182" s="482" t="n"/>
      <c r="K182" s="482" t="n"/>
      <c r="L182" s="483" t="n"/>
      <c r="M182" s="480" t="n"/>
      <c r="N182" s="379" t="n"/>
      <c r="O182" s="379" t="n"/>
      <c r="P182" s="379" t="n"/>
      <c r="Q182" s="379" t="n"/>
      <c r="R182" s="379" t="n"/>
      <c r="S182" s="379" t="n"/>
      <c r="T182" s="379" t="n"/>
      <c r="U182" s="379" t="n"/>
      <c r="V182" s="379" t="n"/>
      <c r="W182" s="379" t="n"/>
      <c r="X182" s="379" t="n"/>
    </row>
    <row r="183" ht="18" customHeight="1" s="192">
      <c r="B183" s="431" t="n"/>
      <c r="C183" s="472" t="inlineStr">
        <is>
          <t>非集采
128*200G</t>
        </is>
      </c>
      <c r="D183" s="484" t="inlineStr">
        <is>
          <t>参数面200G</t>
        </is>
      </c>
      <c r="E183" s="471" t="n"/>
      <c r="F183" s="485" t="n">
        <v>92</v>
      </c>
      <c r="G183" s="473" t="inlineStr">
        <is>
          <t>台</t>
        </is>
      </c>
      <c r="H183" s="414" t="n"/>
      <c r="I183" s="486" t="n"/>
      <c r="J183" s="474" t="inlineStr">
        <is>
          <t>功耗：在室温27度情况下，满配：2800；半配：1600</t>
        </is>
      </c>
      <c r="K183" s="477" t="n"/>
      <c r="L183" s="478" t="n">
        <v>4</v>
      </c>
      <c r="M183" s="487" t="n"/>
      <c r="N183" s="379" t="n"/>
      <c r="O183" s="379" t="n"/>
      <c r="P183" s="379" t="n"/>
      <c r="Q183" s="379" t="n"/>
      <c r="R183" s="379" t="n"/>
      <c r="S183" s="379" t="n"/>
      <c r="T183" s="379" t="n"/>
      <c r="U183" s="379" t="n"/>
      <c r="V183" s="379" t="n"/>
      <c r="W183" s="379" t="n"/>
      <c r="X183" s="379" t="n"/>
    </row>
    <row r="184" ht="18" customHeight="1" s="192">
      <c r="B184" s="431" t="n"/>
      <c r="C184" s="472" t="inlineStr">
        <is>
          <t>非集采
128*400G</t>
        </is>
      </c>
      <c r="D184" s="484" t="inlineStr">
        <is>
          <t>参数面400G</t>
        </is>
      </c>
      <c r="E184" s="471" t="n"/>
      <c r="F184" s="485" t="n">
        <v>115</v>
      </c>
      <c r="G184" s="473" t="inlineStr">
        <is>
          <t>台</t>
        </is>
      </c>
      <c r="H184" s="414" t="n"/>
      <c r="I184" s="486" t="n"/>
      <c r="J184" s="474" t="inlineStr">
        <is>
          <t>功耗：在室温27度情况下，满配：2800；半配：1600</t>
        </is>
      </c>
      <c r="K184" s="482" t="n"/>
      <c r="L184" s="483" t="n">
        <v>4</v>
      </c>
      <c r="M184" s="487" t="n"/>
      <c r="N184" s="379" t="n"/>
      <c r="O184" s="379" t="n"/>
      <c r="P184" s="379" t="n"/>
      <c r="Q184" s="379" t="n"/>
      <c r="R184" s="379" t="n"/>
      <c r="S184" s="379" t="n"/>
      <c r="T184" s="379" t="n"/>
      <c r="U184" s="379" t="n"/>
      <c r="V184" s="379" t="n"/>
      <c r="W184" s="379" t="n"/>
      <c r="X184" s="379" t="n"/>
    </row>
    <row r="185" ht="18" customHeight="1" s="192">
      <c r="B185" s="470" t="inlineStr">
        <is>
          <t>数据面ROCE交换机</t>
        </is>
      </c>
      <c r="C185" s="488" t="inlineStr">
        <is>
          <t>数据面典配1 100G框式汇聚（16槽）</t>
        </is>
      </c>
      <c r="D185" s="427" t="inlineStr">
        <is>
          <t>16槽位框式设备（4*交换网板）</t>
        </is>
      </c>
      <c r="E185" s="471" t="inlineStr">
        <is>
          <t>CE16880-X16(含华为CE TOR交换机软件V1.0)</t>
        </is>
      </c>
      <c r="F185" s="472">
        <f>2477686.27/10000</f>
        <v/>
      </c>
      <c r="G185" s="473" t="inlineStr">
        <is>
          <t>台</t>
        </is>
      </c>
      <c r="H185" s="466" t="inlineStr">
        <is>
          <t>单台配置：16*36*100G
16槽位框式设备（4*交换网板）+16块36*100GE 单板+576个光模块，100GE，LC单模，2km</t>
        </is>
      </c>
      <c r="I185" s="474" t="inlineStr">
        <is>
          <t>12348
(100%负载，576 * 100GE LC 2KM 光模块，室温40摄氏度)</t>
        </is>
      </c>
      <c r="J185" s="474" t="inlineStr">
        <is>
          <t>9120
(100%负载，576 * 100GE LC 2KM 光模块，室温27摄氏度)</t>
        </is>
      </c>
      <c r="K185" s="477" t="inlineStr">
        <is>
          <t>9120
(100%负载，576 * 100GE LC 2KM 光模块，室温27摄氏度)</t>
        </is>
      </c>
      <c r="L185" s="475" t="n">
        <v>32.3</v>
      </c>
      <c r="M185" s="487" t="n"/>
      <c r="N185" s="379" t="n"/>
      <c r="O185" s="379" t="n"/>
      <c r="P185" s="379" t="n"/>
      <c r="Q185" s="379" t="n"/>
      <c r="R185" s="379" t="n"/>
      <c r="S185" s="379" t="n"/>
      <c r="T185" s="379" t="n"/>
      <c r="U185" s="379" t="n"/>
      <c r="V185" s="379" t="n"/>
      <c r="W185" s="379" t="n"/>
      <c r="X185" s="379" t="n"/>
    </row>
    <row r="186" ht="18" customHeight="1" s="192">
      <c r="B186" s="431" t="n"/>
      <c r="C186" s="488" t="inlineStr">
        <is>
          <t>数据面典配2 100G盒式汇聚&amp;接入</t>
        </is>
      </c>
      <c r="D186" s="427" t="inlineStr">
        <is>
          <t>128*100GE 插卡盒式交换机</t>
        </is>
      </c>
      <c r="E186" s="471" t="inlineStr">
        <is>
          <t>CE9860-4C-EI-A(含华为CE TOR交换机软件V1.0)</t>
        </is>
      </c>
      <c r="F186" s="472">
        <f>351523.94/10000</f>
        <v/>
      </c>
      <c r="G186" s="473" t="inlineStr">
        <is>
          <t>台</t>
        </is>
      </c>
      <c r="H186" s="466" t="inlineStr">
        <is>
          <t>单台：128*100G单模
CE9860-4C-EI-A交流/高压直流/直流主机+128个100GBase-CWDM4光模块-QSFP28-100G-单模模块(1310nm,2km,LC)</t>
        </is>
      </c>
      <c r="I186" s="489" t="inlineStr">
        <is>
          <t>2330
(100%负载，128* 100GE LC 2KM光模块，室温40摄氏度)</t>
        </is>
      </c>
      <c r="J186" s="489" t="inlineStr">
        <is>
          <t>1910
(100%负载，128*100GE MPO 100m光模块，室温27摄氏度)</t>
        </is>
      </c>
      <c r="K186" s="490" t="inlineStr">
        <is>
          <t>1910
(100%负载，128*100GE MPO 100m光模块，室温27摄氏度)</t>
        </is>
      </c>
      <c r="L186" s="491" t="n">
        <v>4</v>
      </c>
      <c r="M186" s="444" t="n"/>
      <c r="N186" s="379" t="n"/>
      <c r="O186" s="379" t="n"/>
      <c r="P186" s="379" t="n"/>
      <c r="Q186" s="379" t="n"/>
      <c r="R186" s="379" t="n"/>
      <c r="S186" s="379" t="n"/>
      <c r="T186" s="379" t="n"/>
      <c r="U186" s="379" t="n"/>
      <c r="V186" s="379" t="n"/>
      <c r="W186" s="379" t="n"/>
      <c r="X186" s="379" t="n"/>
    </row>
    <row r="187" ht="18" customHeight="1" s="192">
      <c r="B187" s="431" t="n"/>
      <c r="C187" s="471" t="inlineStr">
        <is>
          <t>数据面典配3 25G盒式接入</t>
        </is>
      </c>
      <c r="D187" s="427" t="inlineStr">
        <is>
          <t>48*25GE 盒式交换机</t>
        </is>
      </c>
      <c r="E187" s="471" t="inlineStr">
        <is>
          <t>CE6865E-48S8CQ(含华为CE TOR交换机软件V1.0)</t>
        </is>
      </c>
      <c r="F187" s="472" t="n">
        <v>5.5</v>
      </c>
      <c r="G187" s="473" t="inlineStr">
        <is>
          <t>台</t>
        </is>
      </c>
      <c r="H187" s="466" t="inlineStr">
        <is>
          <t>单台配置：48*25G+8*100G
48*（光模块，25GE，LC多模，100m）+8*（光模块，100GE，LC单模，2km）</t>
        </is>
      </c>
      <c r="I187" s="490" t="inlineStr">
        <is>
          <t>378
(100%负载，48*25GE LC 300m + 8* 100GE 2KM ，室温40摄氏度)</t>
        </is>
      </c>
      <c r="J187" s="490" t="inlineStr">
        <is>
          <t>232
(100%负载，48*25GE LC 300m + 8* 100GE MPO 100m ，室温27摄氏度)</t>
        </is>
      </c>
      <c r="K187" s="490" t="inlineStr">
        <is>
          <t>232
(100%负载，48*25GE LC 300m + 8* 100GE MPO 100m ，室温27摄氏度)</t>
        </is>
      </c>
      <c r="L187" s="491" t="n">
        <v>1</v>
      </c>
      <c r="M187" s="444" t="n"/>
      <c r="N187" s="379" t="n"/>
      <c r="O187" s="379" t="n"/>
      <c r="P187" s="379" t="n"/>
      <c r="Q187" s="379" t="n"/>
      <c r="R187" s="379" t="n"/>
      <c r="S187" s="379" t="n"/>
      <c r="T187" s="379" t="n"/>
      <c r="U187" s="379" t="n"/>
      <c r="V187" s="379" t="n"/>
      <c r="W187" s="379" t="n"/>
      <c r="X187" s="379" t="n"/>
    </row>
    <row r="188" ht="18" customHeight="1" s="192">
      <c r="B188" s="431" t="n"/>
      <c r="C188" s="472" t="inlineStr">
        <is>
          <t>非集采8*36*100GE</t>
        </is>
      </c>
      <c r="D188" s="427" t="inlineStr">
        <is>
          <t>8槽位框式设备（4*交换网板）</t>
        </is>
      </c>
      <c r="E188" s="471" t="inlineStr">
        <is>
          <t>CE16880-X16(含华为CE TOR交换机软件V1.0)</t>
        </is>
      </c>
      <c r="F188" s="472" t="n">
        <v>146</v>
      </c>
      <c r="G188" s="473" t="inlineStr">
        <is>
          <t>台</t>
        </is>
      </c>
      <c r="H188" s="466" t="inlineStr">
        <is>
          <t>单台配置：8*36*100G
8槽位框式设备（4*交换网板）+8块36*100GE 单板+288个光模块，100GE，LC单模，2km</t>
        </is>
      </c>
      <c r="I188" s="474" t="inlineStr">
        <is>
          <t>6352
(100%负载，288 * 100GE LC 2KM 光模块，室温40摄氏度)</t>
        </is>
      </c>
      <c r="J188" s="474" t="inlineStr">
        <is>
          <t>4710
(100%负载，288 * 100GE LC 2KM 光模块，室温27摄氏度)</t>
        </is>
      </c>
      <c r="K188" s="474" t="inlineStr">
        <is>
          <t>4710
(100%负载，288 * 100GE LC 2KM 光模块，室温27摄氏度)</t>
        </is>
      </c>
      <c r="L188" s="475" t="n">
        <v>15.8</v>
      </c>
      <c r="M188" s="444" t="n"/>
      <c r="N188" s="379" t="n"/>
      <c r="O188" s="379" t="n"/>
      <c r="P188" s="379" t="n"/>
      <c r="Q188" s="379" t="n"/>
      <c r="R188" s="379" t="n"/>
      <c r="S188" s="379" t="n"/>
      <c r="T188" s="379" t="n"/>
      <c r="U188" s="379" t="n"/>
      <c r="V188" s="379" t="n"/>
      <c r="W188" s="379" t="n"/>
      <c r="X188" s="379" t="n"/>
    </row>
  </sheetData>
  <autoFilter ref="B2:X188"/>
  <mergeCells count="106">
    <mergeCell ref="E120:E122"/>
    <mergeCell ref="E88:E89"/>
    <mergeCell ref="D86:D87"/>
    <mergeCell ref="B178:B184"/>
    <mergeCell ref="E169:E173"/>
    <mergeCell ref="D134:D144"/>
    <mergeCell ref="D163:D164"/>
    <mergeCell ref="B86:B100"/>
    <mergeCell ref="C71:C72"/>
    <mergeCell ref="E74:E75"/>
    <mergeCell ref="C132:C133"/>
    <mergeCell ref="G3:G4"/>
    <mergeCell ref="D71:D72"/>
    <mergeCell ref="E105:E106"/>
    <mergeCell ref="D30:D49"/>
    <mergeCell ref="B71:B84"/>
    <mergeCell ref="N28:R28"/>
    <mergeCell ref="G163:G164"/>
    <mergeCell ref="C86:C87"/>
    <mergeCell ref="E132:F133"/>
    <mergeCell ref="H3:L3"/>
    <mergeCell ref="B148:B161"/>
    <mergeCell ref="E34:E36"/>
    <mergeCell ref="G86:G87"/>
    <mergeCell ref="B3:B26"/>
    <mergeCell ref="S3:S4"/>
    <mergeCell ref="B185:B188"/>
    <mergeCell ref="E30:E32"/>
    <mergeCell ref="C88:C98"/>
    <mergeCell ref="E28:F29"/>
    <mergeCell ref="G117:G118"/>
    <mergeCell ref="E137:E143"/>
    <mergeCell ref="E86:F87"/>
    <mergeCell ref="C148:C149"/>
    <mergeCell ref="D3:D4"/>
    <mergeCell ref="G148:G149"/>
    <mergeCell ref="M28:M29"/>
    <mergeCell ref="B132:B146"/>
    <mergeCell ref="E71:F72"/>
    <mergeCell ref="C57:C67"/>
    <mergeCell ref="E38:E40"/>
    <mergeCell ref="D102:D103"/>
    <mergeCell ref="D117:D118"/>
    <mergeCell ref="D55:D56"/>
    <mergeCell ref="B102:B115"/>
    <mergeCell ref="E57:E58"/>
    <mergeCell ref="C102:C103"/>
    <mergeCell ref="C3:C4"/>
    <mergeCell ref="D165:D174"/>
    <mergeCell ref="C150:C159"/>
    <mergeCell ref="E9:E11"/>
    <mergeCell ref="E166:E168"/>
    <mergeCell ref="G132:G133"/>
    <mergeCell ref="C134:C144"/>
    <mergeCell ref="D119:D128"/>
    <mergeCell ref="E163:F164"/>
    <mergeCell ref="M3:M4"/>
    <mergeCell ref="G28:G29"/>
    <mergeCell ref="E107:E112"/>
    <mergeCell ref="C104:C113"/>
    <mergeCell ref="G55:G56"/>
    <mergeCell ref="S28:S29"/>
    <mergeCell ref="B28:B51"/>
    <mergeCell ref="B163:B176"/>
    <mergeCell ref="D28:D29"/>
    <mergeCell ref="C73:C82"/>
    <mergeCell ref="E91:E97"/>
    <mergeCell ref="E102:F103"/>
    <mergeCell ref="D104:D113"/>
    <mergeCell ref="E134:E135"/>
    <mergeCell ref="B55:B69"/>
    <mergeCell ref="D150:D159"/>
    <mergeCell ref="E13:E15"/>
    <mergeCell ref="D88:D98"/>
    <mergeCell ref="C30:C49"/>
    <mergeCell ref="G71:G72"/>
    <mergeCell ref="B117:B130"/>
    <mergeCell ref="C119:C128"/>
    <mergeCell ref="C165:C174"/>
    <mergeCell ref="B2:G2"/>
    <mergeCell ref="E148:F149"/>
    <mergeCell ref="D73:D82"/>
    <mergeCell ref="B53:G53"/>
    <mergeCell ref="D57:D67"/>
    <mergeCell ref="N3:R3"/>
    <mergeCell ref="C117:C118"/>
    <mergeCell ref="C55:C56"/>
    <mergeCell ref="E16:E24"/>
    <mergeCell ref="D5:D24"/>
    <mergeCell ref="C163:C164"/>
    <mergeCell ref="E3:F4"/>
    <mergeCell ref="E123:E127"/>
    <mergeCell ref="E41:E49"/>
    <mergeCell ref="D148:D149"/>
    <mergeCell ref="H28:L28"/>
    <mergeCell ref="E5:E7"/>
    <mergeCell ref="E76:E81"/>
    <mergeCell ref="B54:G54"/>
    <mergeCell ref="D132:D133"/>
    <mergeCell ref="E55:F56"/>
    <mergeCell ref="E117:F118"/>
    <mergeCell ref="C28:C29"/>
    <mergeCell ref="E60:E66"/>
    <mergeCell ref="C5:C24"/>
    <mergeCell ref="E152:E158"/>
    <mergeCell ref="G102:G103"/>
  </mergeCells>
  <dataValidations count="1">
    <dataValidation sqref="F73 F88:F89 F104 F119 F134:F135 F150 F165" showDropDown="0" showInputMessage="1" showErrorMessage="1" allowBlank="1" type="list">
      <formula1>#REF!</formula1>
    </dataValidation>
  </dataValidations>
  <pageMargins left="0.75" right="0.75" top="1" bottom="1" header="0.5" footer="0.5"/>
  <pageSetup orientation="portrait" paperSize="9"/>
  <legacyDrawing xmlns:r="http://schemas.openxmlformats.org/officeDocument/2006/relationships" r:id="anysvml"/>
  <tableParts count="1">
    <tablePart xmlns:r="http://schemas.openxmlformats.org/officeDocument/2006/relationships" r:id="rId1"/>
  </tableParts>
</worksheet>
</file>

<file path=xl/worksheets/sheet11.xml><?xml version="1.0" encoding="utf-8"?>
<worksheet xmlns="http://schemas.openxmlformats.org/spreadsheetml/2006/main">
  <sheetPr codeName="Sheet10">
    <outlinePr summaryBelow="1" summaryRight="1"/>
    <pageSetUpPr/>
  </sheetPr>
  <dimension ref="A1:L25"/>
  <sheetViews>
    <sheetView workbookViewId="0">
      <pane ySplit="1" topLeftCell="A2" activePane="bottomLeft" state="frozen"/>
      <selection pane="bottomLeft" activeCell="N18" sqref="N18"/>
    </sheetView>
  </sheetViews>
  <sheetFormatPr baseColWidth="8" defaultColWidth="8.88671875" defaultRowHeight="14.4"/>
  <cols>
    <col width="60" customWidth="1" style="192" min="2" max="2"/>
    <col width="10" customWidth="1" style="192" min="3" max="3"/>
    <col width="28.6" customWidth="1" style="192" min="4" max="4"/>
    <col width="10" customWidth="1" style="192" min="5" max="5"/>
    <col width="10" customWidth="1" style="192" min="6" max="6"/>
    <col width="12.1" customWidth="1" style="192" min="7" max="7"/>
    <col width="11" customWidth="1" style="192" min="8" max="8"/>
    <col width="10" customWidth="1" style="192" min="9" max="9"/>
    <col width="16.5" customWidth="1" style="192" min="10" max="11"/>
    <col width="16.5" customWidth="1" style="192" min="11" max="11"/>
    <col width="10" customWidth="1" style="192" min="12" max="12"/>
  </cols>
  <sheetData>
    <row r="1" ht="18" customHeight="1" s="192">
      <c r="B1" s="354" t="inlineStr">
        <is>
          <t>模型基础参数 → KV Cache 每秒数据量（O） → HBM 容纳 KV Cache 时长（P） → 存存比（外置存储容量 / 总 HBM 容量） → 外置存储容量</t>
        </is>
      </c>
      <c r="C1" s="354" t="n"/>
      <c r="D1" s="354" t="n"/>
      <c r="E1" s="354" t="n"/>
      <c r="F1" s="354" t="n"/>
      <c r="G1" s="354" t="n"/>
      <c r="H1" s="354" t="n"/>
      <c r="I1" s="354" t="n"/>
      <c r="J1" s="354" t="n"/>
      <c r="K1" s="354" t="n"/>
      <c r="L1" s="354" t="n"/>
    </row>
    <row r="2" ht="18" customHeight="1" s="192">
      <c r="B2" s="431" t="inlineStr">
        <is>
          <t>每秒产生KV Cache数据：O=N* I* (J*(1-K)+L) （九天当前吞吐量较低，产生KV Cache数据较少）</t>
        </is>
      </c>
      <c r="C2" s="379" t="n"/>
      <c r="D2" s="414" t="n"/>
      <c r="E2" s="414" t="n"/>
      <c r="F2" s="414" t="n"/>
      <c r="G2" s="414" t="n"/>
      <c r="H2" s="414" t="n"/>
      <c r="I2" s="414" t="n"/>
      <c r="J2" s="414" t="n"/>
      <c r="K2" s="414" t="n"/>
      <c r="L2" s="379" t="n"/>
    </row>
    <row r="3" ht="18" customHeight="1" s="192">
      <c r="B3" s="431" t="inlineStr">
        <is>
          <t>HBM容纳KV Cache时长: P=G*1024*1024/O/3600（业界KV Cache通常保存24小时）</t>
        </is>
      </c>
      <c r="C3" s="379" t="n"/>
      <c r="D3" s="414" t="n"/>
      <c r="E3" s="414" t="n"/>
      <c r="F3" s="414" t="n"/>
      <c r="G3" s="414" t="n"/>
      <c r="H3" s="414" t="n"/>
      <c r="I3" s="414" t="n"/>
      <c r="J3" s="414" t="n"/>
      <c r="K3" s="414" t="n"/>
      <c r="L3" s="379" t="n"/>
    </row>
    <row r="4" ht="18" customHeight="1" s="192">
      <c r="B4" s="431" t="n"/>
      <c r="C4" s="379" t="n"/>
      <c r="D4" s="414" t="n"/>
      <c r="E4" s="414" t="n"/>
      <c r="F4" s="414" t="n"/>
      <c r="G4" s="414" t="n"/>
      <c r="H4" s="414" t="n"/>
      <c r="I4" s="414" t="n"/>
      <c r="J4" s="414" t="n"/>
      <c r="K4" s="414" t="n"/>
      <c r="L4" s="379" t="n"/>
    </row>
    <row r="5" ht="18" customHeight="1" s="192">
      <c r="B5" s="492" t="inlineStr">
        <is>
          <t>模型名称</t>
        </is>
      </c>
      <c r="C5" s="493" t="inlineStr">
        <is>
          <t>字母表示</t>
        </is>
      </c>
      <c r="D5" s="494" t="inlineStr">
        <is>
          <t>Qwen2.5-7B</t>
        </is>
      </c>
      <c r="E5" s="494" t="inlineStr">
        <is>
          <t>llama3-8B</t>
        </is>
      </c>
      <c r="F5" s="494" t="inlineStr">
        <is>
          <t>Qwen3-32B</t>
        </is>
      </c>
      <c r="G5" s="494" t="inlineStr">
        <is>
          <t>Qwen2.5-72B</t>
        </is>
      </c>
      <c r="H5" s="494" t="inlineStr">
        <is>
          <t>llama3-70B</t>
        </is>
      </c>
      <c r="I5" s="494" t="inlineStr">
        <is>
          <t>九天模型-75B</t>
        </is>
      </c>
      <c r="J5" s="494" t="inlineStr">
        <is>
          <t>DeepSeek-R1-大EP</t>
        </is>
      </c>
      <c r="K5" s="494" t="inlineStr">
        <is>
          <t>DeepSeek-R1-一体机</t>
        </is>
      </c>
      <c r="L5" s="379" t="n"/>
    </row>
    <row r="6" ht="18" customHeight="1" s="192">
      <c r="B6" s="495" t="inlineStr">
        <is>
          <t>模型参数量(B)</t>
        </is>
      </c>
      <c r="C6" s="496" t="inlineStr">
        <is>
          <t>A</t>
        </is>
      </c>
      <c r="D6" s="497" t="n">
        <v>7</v>
      </c>
      <c r="E6" s="497" t="n">
        <v>8</v>
      </c>
      <c r="F6" s="497" t="n">
        <v>72</v>
      </c>
      <c r="G6" s="497" t="n">
        <v>72</v>
      </c>
      <c r="H6" s="497" t="n">
        <v>70</v>
      </c>
      <c r="I6" s="497" t="n">
        <v>75</v>
      </c>
      <c r="J6" s="497" t="n">
        <v>671</v>
      </c>
      <c r="K6" s="497" t="n">
        <v>671</v>
      </c>
      <c r="L6" s="379" t="n"/>
    </row>
    <row r="7" ht="18" customHeight="1" s="192">
      <c r="B7" s="498" t="inlineStr">
        <is>
          <t>模型权重精度(Byte)</t>
        </is>
      </c>
      <c r="C7" s="499" t="inlineStr">
        <is>
          <t>B</t>
        </is>
      </c>
      <c r="D7" s="500" t="n">
        <v>2</v>
      </c>
      <c r="E7" s="500" t="n">
        <v>2</v>
      </c>
      <c r="F7" s="500" t="n">
        <v>2</v>
      </c>
      <c r="G7" s="500" t="n">
        <v>2</v>
      </c>
      <c r="H7" s="500" t="n">
        <v>2</v>
      </c>
      <c r="I7" s="500" t="n">
        <v>1</v>
      </c>
      <c r="J7" s="500" t="n">
        <v>1</v>
      </c>
      <c r="K7" s="500" t="n">
        <v>1</v>
      </c>
      <c r="L7" s="379" t="n"/>
    </row>
    <row r="8" ht="18" customHeight="1" s="192">
      <c r="B8" s="495" t="inlineStr">
        <is>
          <t>推理卡数(张)</t>
        </is>
      </c>
      <c r="C8" s="496" t="inlineStr">
        <is>
          <t>C</t>
        </is>
      </c>
      <c r="D8" s="497" t="n">
        <v>1</v>
      </c>
      <c r="E8" s="497" t="n">
        <v>1</v>
      </c>
      <c r="F8" s="497" t="n">
        <v>8</v>
      </c>
      <c r="G8" s="497" t="n">
        <v>8</v>
      </c>
      <c r="H8" s="497" t="n">
        <v>8</v>
      </c>
      <c r="I8" s="497" t="n">
        <v>8</v>
      </c>
      <c r="J8" s="497" t="n">
        <v>64</v>
      </c>
      <c r="K8" s="497" t="n">
        <v>16</v>
      </c>
      <c r="L8" s="379" t="n"/>
    </row>
    <row r="9" ht="18" customHeight="1" s="192">
      <c r="B9" s="498" t="inlineStr">
        <is>
          <t>模型加载份数(份)</t>
        </is>
      </c>
      <c r="C9" s="499" t="inlineStr">
        <is>
          <t>D</t>
        </is>
      </c>
      <c r="D9" s="500" t="n">
        <v>1</v>
      </c>
      <c r="E9" s="500" t="n">
        <v>1</v>
      </c>
      <c r="F9" s="500" t="n">
        <v>1</v>
      </c>
      <c r="G9" s="500" t="n">
        <v>1</v>
      </c>
      <c r="H9" s="500" t="n">
        <v>1</v>
      </c>
      <c r="I9" s="500" t="n">
        <v>1</v>
      </c>
      <c r="J9" s="500" t="n">
        <v>3</v>
      </c>
      <c r="K9" s="500" t="n">
        <v>1</v>
      </c>
      <c r="L9" s="379" t="n"/>
    </row>
    <row r="10" ht="18" customHeight="1" s="192">
      <c r="B10" s="495" t="inlineStr">
        <is>
          <t>单卡HBM容量(GB)</t>
        </is>
      </c>
      <c r="C10" s="496" t="inlineStr">
        <is>
          <t>E</t>
        </is>
      </c>
      <c r="D10" s="497" t="n">
        <v>64</v>
      </c>
      <c r="E10" s="497" t="n">
        <v>64</v>
      </c>
      <c r="F10" s="497" t="n">
        <v>64</v>
      </c>
      <c r="G10" s="497" t="n">
        <v>64</v>
      </c>
      <c r="H10" s="497" t="n">
        <v>64</v>
      </c>
      <c r="I10" s="497" t="n">
        <v>64</v>
      </c>
      <c r="J10" s="497" t="n">
        <v>64</v>
      </c>
      <c r="K10" s="497" t="n">
        <v>64</v>
      </c>
      <c r="L10" s="379" t="n"/>
    </row>
    <row r="11" ht="18" customHeight="1" s="192">
      <c r="B11" s="498" t="inlineStr">
        <is>
          <t>总HBM容量(GB)</t>
        </is>
      </c>
      <c r="C11" s="499" t="inlineStr">
        <is>
          <t>F</t>
        </is>
      </c>
      <c r="D11" s="500" t="n">
        <v>64</v>
      </c>
      <c r="E11" s="500" t="n">
        <v>64</v>
      </c>
      <c r="F11" s="500" t="n">
        <v>512</v>
      </c>
      <c r="G11" s="500" t="n">
        <v>512</v>
      </c>
      <c r="H11" s="500" t="n">
        <v>512</v>
      </c>
      <c r="I11" s="500" t="n">
        <v>512</v>
      </c>
      <c r="J11" s="500" t="n">
        <v>4096</v>
      </c>
      <c r="K11" s="500" t="n">
        <v>1024</v>
      </c>
      <c r="L11" s="379" t="n"/>
    </row>
    <row r="12" ht="18" customHeight="1" s="192">
      <c r="B12" s="495" t="inlineStr">
        <is>
          <t>加载模型后的HBM空闲容量(GB)</t>
        </is>
      </c>
      <c r="C12" s="496" t="inlineStr">
        <is>
          <t>G</t>
        </is>
      </c>
      <c r="D12" s="497" t="n">
        <v>50</v>
      </c>
      <c r="E12" s="497" t="n">
        <v>48</v>
      </c>
      <c r="F12" s="497" t="n">
        <v>368</v>
      </c>
      <c r="G12" s="497" t="n">
        <v>368</v>
      </c>
      <c r="H12" s="497" t="n">
        <v>372</v>
      </c>
      <c r="I12" s="497" t="n">
        <v>437</v>
      </c>
      <c r="J12" s="497" t="n">
        <v>2083</v>
      </c>
      <c r="K12" s="497" t="n">
        <v>353</v>
      </c>
      <c r="L12" s="379" t="n"/>
    </row>
    <row r="13" ht="18" customHeight="1" s="192">
      <c r="B13" s="498" t="inlineStr">
        <is>
          <t>单卡吞吐量(Token/s)</t>
        </is>
      </c>
      <c r="C13" s="499" t="inlineStr">
        <is>
          <t>H</t>
        </is>
      </c>
      <c r="D13" s="500" t="n">
        <v>200</v>
      </c>
      <c r="E13" s="500" t="n">
        <v>200</v>
      </c>
      <c r="F13" s="500" t="n">
        <v>100</v>
      </c>
      <c r="G13" s="500" t="n">
        <v>100</v>
      </c>
      <c r="H13" s="500" t="n">
        <v>100</v>
      </c>
      <c r="I13" s="500" t="n">
        <v>35</v>
      </c>
      <c r="J13" s="500" t="n">
        <v>400</v>
      </c>
      <c r="K13" s="500" t="n">
        <v>400</v>
      </c>
      <c r="L13" s="379" t="n"/>
    </row>
    <row r="14" ht="18" customHeight="1" s="192">
      <c r="B14" s="495" t="inlineStr">
        <is>
          <t>总吞吐量(Token/s)</t>
        </is>
      </c>
      <c r="C14" s="496" t="inlineStr">
        <is>
          <t>I</t>
        </is>
      </c>
      <c r="D14" s="497" t="n">
        <v>200</v>
      </c>
      <c r="E14" s="497" t="n">
        <v>200</v>
      </c>
      <c r="F14" s="497" t="n">
        <v>800</v>
      </c>
      <c r="G14" s="497" t="n">
        <v>800</v>
      </c>
      <c r="H14" s="497" t="n">
        <v>800</v>
      </c>
      <c r="I14" s="497" t="n">
        <v>280</v>
      </c>
      <c r="J14" s="497" t="n">
        <v>25600</v>
      </c>
      <c r="K14" s="497" t="n">
        <v>6400</v>
      </c>
      <c r="L14" s="379" t="n"/>
    </row>
    <row r="15" ht="18" customHeight="1" s="192">
      <c r="B15" s="498" t="inlineStr">
        <is>
          <t>输入百分比</t>
        </is>
      </c>
      <c r="C15" s="499" t="inlineStr">
        <is>
          <t>J</t>
        </is>
      </c>
      <c r="D15" s="500" t="n">
        <v>0.78</v>
      </c>
      <c r="E15" s="500" t="n">
        <v>0.78</v>
      </c>
      <c r="F15" s="500" t="n">
        <v>0.78</v>
      </c>
      <c r="G15" s="500" t="n">
        <v>0.78</v>
      </c>
      <c r="H15" s="500" t="n">
        <v>0.78</v>
      </c>
      <c r="I15" s="500" t="n">
        <v>0.78</v>
      </c>
      <c r="J15" s="500" t="n">
        <v>0.78</v>
      </c>
      <c r="K15" s="500" t="n">
        <v>0.78</v>
      </c>
      <c r="L15" s="379" t="n"/>
    </row>
    <row r="16" ht="18" customHeight="1" s="192">
      <c r="B16" s="495" t="inlineStr">
        <is>
          <t>外置存储输入命中率</t>
        </is>
      </c>
      <c r="C16" s="496" t="inlineStr">
        <is>
          <t>K</t>
        </is>
      </c>
      <c r="D16" s="497" t="n">
        <v>0.5629999999999999</v>
      </c>
      <c r="E16" s="497" t="n">
        <v>0.5629999999999999</v>
      </c>
      <c r="F16" s="497" t="n">
        <v>0.5629999999999999</v>
      </c>
      <c r="G16" s="497" t="n">
        <v>0.5629999999999999</v>
      </c>
      <c r="H16" s="497" t="n">
        <v>0.5629999999999999</v>
      </c>
      <c r="I16" s="497" t="n">
        <v>0.5629999999999999</v>
      </c>
      <c r="J16" s="497" t="n">
        <v>0.5629999999999999</v>
      </c>
      <c r="K16" s="497" t="n">
        <v>0.5629999999999999</v>
      </c>
      <c r="L16" s="379" t="n"/>
    </row>
    <row r="17" ht="18" customHeight="1" s="192">
      <c r="B17" s="498" t="inlineStr">
        <is>
          <t>输出百分比</t>
        </is>
      </c>
      <c r="C17" s="499" t="inlineStr">
        <is>
          <t>L</t>
        </is>
      </c>
      <c r="D17" s="500" t="n">
        <v>0.22</v>
      </c>
      <c r="E17" s="500" t="n">
        <v>0.22</v>
      </c>
      <c r="F17" s="500" t="n">
        <v>0.22</v>
      </c>
      <c r="G17" s="500" t="n">
        <v>0.22</v>
      </c>
      <c r="H17" s="500" t="n">
        <v>0.22</v>
      </c>
      <c r="I17" s="500" t="n">
        <v>0.22</v>
      </c>
      <c r="J17" s="500" t="n">
        <v>0.22</v>
      </c>
      <c r="K17" s="500" t="n">
        <v>0.22</v>
      </c>
      <c r="L17" s="379" t="n"/>
    </row>
    <row r="18" ht="18" customHeight="1" s="192">
      <c r="B18" s="495" t="inlineStr">
        <is>
          <t>注意力优化技术</t>
        </is>
      </c>
      <c r="C18" s="496" t="inlineStr">
        <is>
          <t>M</t>
        </is>
      </c>
      <c r="D18" s="497" t="inlineStr">
        <is>
          <t>GQA</t>
        </is>
      </c>
      <c r="E18" s="497" t="inlineStr">
        <is>
          <t>GQA</t>
        </is>
      </c>
      <c r="F18" s="497" t="inlineStr">
        <is>
          <t>GQA</t>
        </is>
      </c>
      <c r="G18" s="497" t="inlineStr">
        <is>
          <t>GQA</t>
        </is>
      </c>
      <c r="H18" s="497" t="inlineStr">
        <is>
          <t>GQA</t>
        </is>
      </c>
      <c r="I18" s="497" t="inlineStr">
        <is>
          <t>GQA</t>
        </is>
      </c>
      <c r="J18" s="497" t="inlineStr">
        <is>
          <t>MLA</t>
        </is>
      </c>
      <c r="K18" s="497" t="inlineStr">
        <is>
          <t>MLA</t>
        </is>
      </c>
      <c r="L18" s="379" t="n"/>
    </row>
    <row r="19" ht="18" customHeight="1" s="192">
      <c r="B19" s="498" t="inlineStr">
        <is>
          <t>每Token的KV Cache数据(KB)</t>
        </is>
      </c>
      <c r="C19" s="499" t="inlineStr">
        <is>
          <t>N</t>
        </is>
      </c>
      <c r="D19" s="500" t="n">
        <v>50</v>
      </c>
      <c r="E19" s="500" t="n">
        <v>150</v>
      </c>
      <c r="F19" s="500" t="n">
        <v>320</v>
      </c>
      <c r="G19" s="500" t="n">
        <v>320</v>
      </c>
      <c r="H19" s="500" t="n">
        <v>320</v>
      </c>
      <c r="I19" s="500" t="n">
        <v>344</v>
      </c>
      <c r="J19" s="500" t="n">
        <v>70</v>
      </c>
      <c r="K19" s="500" t="n">
        <v>70</v>
      </c>
      <c r="L19" s="379" t="n"/>
    </row>
    <row r="20" ht="18" customHeight="1" s="192">
      <c r="B20" s="495" t="inlineStr">
        <is>
          <t>每秒产生KV Cache数据(KB)</t>
        </is>
      </c>
      <c r="C20" s="496" t="inlineStr">
        <is>
          <t>O</t>
        </is>
      </c>
      <c r="D20" s="497" t="n">
        <v>5609</v>
      </c>
      <c r="E20" s="497" t="n">
        <v>16826</v>
      </c>
      <c r="F20" s="497" t="n">
        <v>143580</v>
      </c>
      <c r="G20" s="497" t="n">
        <v>143580</v>
      </c>
      <c r="H20" s="497" t="n">
        <v>143580</v>
      </c>
      <c r="I20" s="497" t="n">
        <v>54022</v>
      </c>
      <c r="J20" s="497" t="n">
        <v>1005061</v>
      </c>
      <c r="K20" s="497" t="n">
        <v>251265</v>
      </c>
      <c r="L20" s="379" t="n"/>
    </row>
    <row r="21" ht="18" customHeight="1" s="192">
      <c r="B21" s="498" t="inlineStr">
        <is>
          <t>HBM容纳KV Cache时长(小时)</t>
        </is>
      </c>
      <c r="C21" s="499" t="inlineStr">
        <is>
          <t>P</t>
        </is>
      </c>
      <c r="D21" s="500" t="n">
        <v>2.6</v>
      </c>
      <c r="E21" s="500" t="n">
        <v>0.8</v>
      </c>
      <c r="F21" s="500" t="n">
        <v>0.7</v>
      </c>
      <c r="G21" s="500" t="n">
        <v>0.7</v>
      </c>
      <c r="H21" s="500" t="n">
        <v>0.8</v>
      </c>
      <c r="I21" s="500" t="n">
        <v>2.4</v>
      </c>
      <c r="J21" s="500" t="n">
        <v>0.6</v>
      </c>
      <c r="K21" s="500" t="n">
        <v>0.4</v>
      </c>
      <c r="L21" s="379" t="n"/>
    </row>
    <row r="22" ht="18" customHeight="1" s="192">
      <c r="B22" s="501" t="inlineStr">
        <is>
          <t>存存比(外置存储容量/总HBM容量)</t>
        </is>
      </c>
      <c r="C22" s="502" t="n"/>
      <c r="D22" s="497" t="n">
        <v>6</v>
      </c>
      <c r="E22" s="497" t="n">
        <v>21</v>
      </c>
      <c r="F22" s="497" t="n">
        <v>22</v>
      </c>
      <c r="G22" s="497" t="n">
        <v>22</v>
      </c>
      <c r="H22" s="497" t="n">
        <v>22</v>
      </c>
      <c r="I22" s="503" t="n">
        <v>8</v>
      </c>
      <c r="J22" s="503" t="n">
        <v>20</v>
      </c>
      <c r="K22" s="503" t="n">
        <v>20</v>
      </c>
      <c r="L22" s="379" t="n"/>
    </row>
    <row r="23" ht="18" customHeight="1" s="192">
      <c r="B23" s="504" t="inlineStr">
        <is>
          <t>算存比(总算力/外置存储容量)</t>
        </is>
      </c>
      <c r="C23" s="505" t="n"/>
      <c r="D23" s="500" t="n">
        <v>679</v>
      </c>
      <c r="E23" s="500" t="n">
        <v>209</v>
      </c>
      <c r="F23" s="500" t="n">
        <v>195</v>
      </c>
      <c r="G23" s="500" t="n">
        <v>195</v>
      </c>
      <c r="H23" s="500" t="n">
        <v>195</v>
      </c>
      <c r="I23" s="506" t="n">
        <v>558</v>
      </c>
      <c r="J23" s="506" t="n">
        <v>222</v>
      </c>
      <c r="K23" s="506" t="n">
        <v>220</v>
      </c>
      <c r="L23" s="379" t="inlineStr">
        <is>
          <t>a</t>
        </is>
      </c>
    </row>
    <row r="24" ht="18" customHeight="1" s="192">
      <c r="B24" s="431" t="n"/>
      <c r="C24" s="379" t="n"/>
      <c r="D24" s="414" t="n"/>
      <c r="E24" s="414" t="n"/>
      <c r="F24" s="414" t="n"/>
      <c r="G24" s="414" t="n"/>
      <c r="H24" s="414" t="n"/>
      <c r="I24" s="414" t="n"/>
      <c r="J24" s="414" t="n"/>
      <c r="K24" s="414" t="n"/>
      <c r="L24" s="379" t="n"/>
    </row>
    <row r="25" ht="18" customHeight="1" s="192">
      <c r="B25" s="507" t="inlineStr">
        <is>
          <t>每秒产生KV Cache数据：O</t>
        </is>
      </c>
      <c r="C25" s="355" t="inlineStr">
        <is>
          <t>O</t>
        </is>
      </c>
      <c r="D25" s="414">
        <f>D19*D14*(D16*(1-D16)+D17)</f>
        <v/>
      </c>
      <c r="E25" s="414" t="n"/>
      <c r="F25" s="414" t="n"/>
      <c r="G25" s="414" t="n"/>
      <c r="H25" s="414" t="n"/>
      <c r="I25" s="414" t="n"/>
      <c r="J25" s="414" t="n"/>
      <c r="K25" s="414" t="n"/>
      <c r="L25" s="379" t="n"/>
    </row>
  </sheetData>
  <autoFilter ref="B1:L25"/>
  <mergeCells count="4">
    <mergeCell ref="B4:K4"/>
    <mergeCell ref="B2:K2"/>
    <mergeCell ref="B1:K1"/>
    <mergeCell ref="B3:K3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2.xml><?xml version="1.0" encoding="utf-8"?>
<worksheet xmlns="http://schemas.openxmlformats.org/spreadsheetml/2006/main">
  <sheetPr codeName="Sheet815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.4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9">
    <outlinePr summaryBelow="1" summaryRight="1"/>
    <pageSetUpPr/>
  </sheetPr>
  <dimension ref="A1:F30"/>
  <sheetViews>
    <sheetView tabSelected="1" topLeftCell="A4" workbookViewId="0">
      <pane ySplit="1" topLeftCell="A2" activePane="bottomLeft" state="frozen"/>
      <selection pane="bottomLeft" activeCell="A14" sqref="A14:XFD14"/>
    </sheetView>
  </sheetViews>
  <sheetFormatPr baseColWidth="8" defaultColWidth="10.77734375" defaultRowHeight="15.6"/>
  <cols>
    <col width="10.77734375" customWidth="1" style="235" min="1" max="1"/>
    <col width="24.2" bestFit="1" customWidth="1" style="235" min="2" max="2"/>
    <col width="60" customWidth="1" style="235" min="3" max="3"/>
    <col width="60" customWidth="1" style="235" min="4" max="4"/>
    <col width="42.90000000000001" customWidth="1" style="233" min="5" max="5"/>
    <col width="56.6640625" customWidth="1" style="235" min="6" max="6"/>
    <col width="10.77734375" customWidth="1" style="235" min="7" max="14"/>
    <col width="14.109375" customWidth="1" style="235" min="15" max="15"/>
    <col width="8.44140625" customWidth="1" style="235" min="16" max="18"/>
    <col width="146.33203125" customWidth="1" style="235" min="19" max="19"/>
    <col width="4.6640625" customWidth="1" style="235" min="20" max="20"/>
    <col width="10.33203125" customWidth="1" style="235" min="21" max="21"/>
    <col width="8.44140625" customWidth="1" style="235" min="22" max="23"/>
    <col width="14" customWidth="1" style="235" min="24" max="25"/>
    <col width="4.6640625" customWidth="1" style="235" min="26" max="26"/>
    <col width="10.77734375" customWidth="1" style="235" min="27" max="16317"/>
    <col width="10.77734375" customWidth="1" style="235" min="16318" max="16384"/>
  </cols>
  <sheetData>
    <row r="1" ht="18" customHeight="1" s="192">
      <c r="B1" s="354" t="inlineStr">
        <is>
          <t>智算中心推理集群资源构建自动化工具</t>
        </is>
      </c>
      <c r="C1" s="354" t="n"/>
      <c r="D1" s="354" t="n"/>
      <c r="E1" s="354" t="n"/>
    </row>
    <row r="2" ht="18" customHeight="1" s="192">
      <c r="B2" s="359" t="inlineStr">
        <is>
          <t>输入参数</t>
        </is>
      </c>
      <c r="C2" s="359" t="inlineStr">
        <is>
          <t>手动输入/选择</t>
        </is>
      </c>
      <c r="D2" s="359" t="inlineStr">
        <is>
          <t>集群能力（描述）</t>
        </is>
      </c>
      <c r="E2" s="359" t="inlineStr">
        <is>
          <t>备注</t>
        </is>
      </c>
    </row>
    <row r="3" ht="18" customHeight="1" s="192">
      <c r="B3" s="360" t="inlineStr">
        <is>
          <t>建设模式</t>
        </is>
      </c>
      <c r="C3" s="361" t="inlineStr">
        <is>
          <t>新建推理POD</t>
        </is>
      </c>
      <c r="D3" s="356">
        <f>"整体建设规模"&amp;C14&amp;"台推理服务器，可满足"&amp;C6&amp;"EFLOPS（FP16）的智能算力需求，总投资预估为"&amp;'3-投资简表'!F11&amp;"万元人民币（不含增值税价）"</f>
        <v/>
      </c>
      <c r="E3" s="362" t="inlineStr">
        <is>
          <t>手动筛选</t>
        </is>
      </c>
      <c r="F3" s="220" t="n"/>
    </row>
    <row r="4" ht="18" customHeight="1" s="192">
      <c r="B4" s="360" t="inlineStr">
        <is>
          <t>推理场景</t>
        </is>
      </c>
      <c r="C4" s="361" t="inlineStr">
        <is>
          <t>场景2（百~千亿参数模型场景）</t>
        </is>
      </c>
      <c r="D4" s="363" t="inlineStr">
        <is>
          <t>场景1（百亿及以下参数模型场景）：无参数面、数据面网络 PCIE
场景2（百~千亿参数模型场景）：无参数面、有数据面网络  扣卡
场景3（千亿长序列~万亿参数模型应用场景）：模型参数量超大，有参数面和数据面网络  扣卡</t>
        </is>
      </c>
      <c r="E4" s="362" t="n"/>
      <c r="F4" s="220" t="n"/>
    </row>
    <row r="5" ht="18" customHeight="1" s="192">
      <c r="B5" s="360" t="inlineStr">
        <is>
          <t>GPU卡形态</t>
        </is>
      </c>
      <c r="C5" s="361" t="inlineStr">
        <is>
          <t>扣卡(64G)</t>
        </is>
      </c>
      <c r="D5" s="364" t="inlineStr">
        <is>
          <t xml:space="preserve">PCIE 2.3KW，扣卡5.2KW  </t>
        </is>
      </c>
      <c r="E5" s="362" t="n"/>
      <c r="F5" s="220" t="n"/>
    </row>
    <row r="6" ht="18" customHeight="1" s="192">
      <c r="B6" s="360" t="inlineStr">
        <is>
          <t>推理规模</t>
        </is>
      </c>
      <c r="C6" s="361" t="n">
        <v>512</v>
      </c>
      <c r="D6" s="363">
        <f>"推理集群算力规模"&amp;C6&amp;"Pflops"</f>
        <v/>
      </c>
      <c r="E6" s="362" t="inlineStr">
        <is>
          <t>手动输入</t>
        </is>
      </c>
    </row>
    <row r="7" ht="18" customHeight="1" s="192">
      <c r="B7" s="365" t="inlineStr">
        <is>
          <t>存储规模需求</t>
        </is>
      </c>
      <c r="C7" s="366">
        <f>IF(C5&lt;&gt;"PCIE",CEILING(C6/200,1),0)</f>
        <v/>
      </c>
      <c r="D7" s="367">
        <f>"高性能文件存储存储需求"&amp;C7&amp;"PB"</f>
        <v/>
      </c>
      <c r="E7" s="368" t="inlineStr">
        <is>
          <t>全闪需求
场景1无全全存需求
场景2（按常用模型最小值估算，算存比200：1）</t>
        </is>
      </c>
      <c r="F7" s="253" t="n"/>
    </row>
    <row r="8" ht="18" customHeight="1" s="192">
      <c r="B8" s="360" t="inlineStr">
        <is>
          <t>机房配套-智算服务器机架功耗</t>
        </is>
      </c>
      <c r="C8" s="369" t="inlineStr">
        <is>
          <t>7kw</t>
        </is>
      </c>
      <c r="D8" s="370">
        <f>"非弹性装架占用"&amp;'5-机柜装架'!C4+'5-机柜装架'!D4+'5-机柜装架'!E4+'5-机柜装架'!F4+'5-机柜装架'!G4+'5-机柜装架'!H4+'5-机柜装架'!I4&amp;"个"&amp;C8&amp;"机架，弹性装架占用"&amp;'5-机柜装架'!D17&amp;"个7kw机架"</f>
        <v/>
      </c>
      <c r="E8" s="362" t="inlineStr">
        <is>
          <t>手动筛选</t>
        </is>
      </c>
      <c r="F8" s="269" t="n"/>
    </row>
    <row r="9" ht="18" customHeight="1" s="192">
      <c r="B9" s="371" t="inlineStr">
        <is>
          <t>机房配套-存储服务器机架功耗</t>
        </is>
      </c>
      <c r="C9" s="361" t="inlineStr">
        <is>
          <t>10kw</t>
        </is>
      </c>
      <c r="D9" s="372">
        <f>"占用"&amp;C7&amp;"个10kw机架，1PB全闪占用1个10kw机架"</f>
        <v/>
      </c>
      <c r="E9" s="362" t="inlineStr">
        <is>
          <t>手动筛选</t>
        </is>
      </c>
    </row>
    <row r="10" ht="18" customHeight="1" s="192">
      <c r="B10" s="371" t="inlineStr">
        <is>
          <t>机房配套-POD核心框式设备机架功耗</t>
        </is>
      </c>
      <c r="C10" s="361" t="inlineStr">
        <is>
          <t>7/15/23/46KW</t>
        </is>
      </c>
      <c r="D10" s="370" t="n"/>
      <c r="E10" s="362" t="inlineStr">
        <is>
          <t>手动输入</t>
        </is>
      </c>
      <c r="F10" s="270" t="n"/>
    </row>
    <row r="11" ht="18" customHeight="1" s="192">
      <c r="B11" s="371" t="inlineStr">
        <is>
          <t>机房配套-POD管理汇聚设备机架功耗</t>
        </is>
      </c>
      <c r="C11" s="361" t="inlineStr">
        <is>
          <t>7/15/23/46KW</t>
        </is>
      </c>
      <c r="D11" s="370" t="n"/>
      <c r="E11" s="362" t="inlineStr">
        <is>
          <t>手动输入</t>
        </is>
      </c>
      <c r="F11" s="270" t="n"/>
    </row>
    <row r="12" ht="18" customHeight="1" s="192">
      <c r="B12" s="373" t="inlineStr">
        <is>
          <t>机房配套-参数面+数据面汇聚框式设备机架功耗</t>
        </is>
      </c>
      <c r="C12" s="361" t="inlineStr">
        <is>
          <t>7/15/23/46KW</t>
        </is>
      </c>
      <c r="D12" s="370" t="n"/>
      <c r="E12" s="362" t="inlineStr">
        <is>
          <t>手动输入</t>
        </is>
      </c>
      <c r="F12" s="270" t="n"/>
    </row>
    <row r="13" ht="18" customHeight="1" s="192">
      <c r="B13" s="373" t="inlineStr">
        <is>
          <t>机房配套-通算服务器+其他网络设备机架功耗</t>
        </is>
      </c>
      <c r="C13" s="361" t="inlineStr">
        <is>
          <t>7kw</t>
        </is>
      </c>
      <c r="D13" s="372">
        <f>"非弹性装架占用"&amp;'5-机柜装架'!D6+'5-机柜装架'!C6&amp;"个"&amp;'1-建设需求标准字段'!C13&amp;"机架，弹性装架与智算服务器混装"</f>
        <v/>
      </c>
      <c r="E13" s="362" t="inlineStr">
        <is>
          <t>手动筛选</t>
        </is>
      </c>
      <c r="F13" s="270" t="n"/>
    </row>
    <row r="14" ht="18" customHeight="1" s="192">
      <c r="B14" s="371" t="inlineStr">
        <is>
          <t>新建推理服务器</t>
        </is>
      </c>
      <c r="C14" s="374">
        <f>CEILING(IF(C5="PCIE",CEILING(C6*1024/140,1),CEILING(C6*1024/280,1))/8,1)</f>
        <v/>
      </c>
      <c r="D14" s="375" t="n"/>
      <c r="E14" s="362" t="n"/>
      <c r="F14" s="270" t="n"/>
    </row>
    <row r="15" ht="18" customHeight="1" s="192">
      <c r="B15" s="371" t="inlineStr">
        <is>
          <t>新建通算服务器</t>
        </is>
      </c>
      <c r="C15" s="374">
        <f>'2-建设规模换算'!E10</f>
        <v/>
      </c>
      <c r="D15" s="375" t="n"/>
      <c r="E15" s="362" t="n"/>
    </row>
    <row r="16" ht="18" customHeight="1" s="192">
      <c r="B16" s="376" t="inlineStr">
        <is>
          <t>新建存储服务器</t>
        </is>
      </c>
      <c r="C16" s="377">
        <f>'2-建设规模换算'!E12</f>
        <v/>
      </c>
      <c r="D16" s="375" t="n"/>
      <c r="E16" s="362" t="inlineStr">
        <is>
          <t>手动筛选</t>
        </is>
      </c>
    </row>
    <row r="17" ht="18" customHeight="1" s="192">
      <c r="B17" s="371" t="inlineStr">
        <is>
          <t>新建ROCE网络设备</t>
        </is>
      </c>
      <c r="C17" s="374">
        <f>SUM('2-建设规模换算'!E16:E20)</f>
        <v/>
      </c>
      <c r="D17" s="375" t="n"/>
      <c r="E17" s="362" t="n"/>
    </row>
    <row r="18" ht="18" customHeight="1" s="192">
      <c r="B18" s="371" t="inlineStr">
        <is>
          <t>新建网络设备</t>
        </is>
      </c>
      <c r="C18" s="374">
        <f>'2-建设规模换算'!E21+'2-建设规模换算'!E27</f>
        <v/>
      </c>
      <c r="D18" s="375" t="n"/>
      <c r="E18" s="362" t="n"/>
    </row>
    <row r="19" ht="18" customHeight="1" s="192">
      <c r="B19" s="378" t="inlineStr">
        <is>
          <t>机房新增功耗</t>
        </is>
      </c>
      <c r="C19" s="374">
        <f>'2-建设规模换算'!I28&amp;"kw"</f>
        <v/>
      </c>
      <c r="D19" s="375" t="n"/>
      <c r="E19" s="362" t="n"/>
    </row>
    <row r="20" ht="18" customHeight="1" s="192">
      <c r="B20" s="378" t="inlineStr">
        <is>
          <t>投资估算</t>
        </is>
      </c>
      <c r="C20" s="374">
        <f>'3-投资简表'!F11&amp;"万"</f>
        <v/>
      </c>
      <c r="D20" s="375" t="n"/>
      <c r="E20" s="362" t="n"/>
    </row>
    <row r="21" ht="18" customHeight="1" s="192">
      <c r="B21" s="379" t="n"/>
      <c r="C21" s="379" t="n"/>
      <c r="D21" s="379" t="n"/>
      <c r="E21" s="379" t="n"/>
    </row>
    <row r="22" ht="18" customHeight="1" s="192">
      <c r="B22" s="379" t="n"/>
      <c r="C22" s="380" t="n"/>
      <c r="D22" s="379" t="n"/>
      <c r="E22" s="379" t="n"/>
    </row>
    <row r="23" ht="18" customHeight="1" s="192">
      <c r="B23" s="379" t="n"/>
      <c r="C23" s="379" t="n"/>
      <c r="D23" s="379" t="n"/>
      <c r="E23" s="355" t="n"/>
    </row>
    <row r="24" ht="18" customHeight="1" s="192">
      <c r="B24" s="355" t="n"/>
      <c r="C24" s="355" t="n"/>
      <c r="D24" s="355" t="n"/>
      <c r="E24" s="379" t="n"/>
    </row>
    <row r="25" ht="18" customHeight="1" s="192">
      <c r="B25" s="355" t="inlineStr">
        <is>
          <t>说明</t>
        </is>
      </c>
      <c r="C25" s="355" t="n"/>
      <c r="D25" s="355" t="n"/>
      <c r="E25" s="379" t="n"/>
    </row>
    <row r="26" ht="18" customHeight="1" s="192">
      <c r="B26" s="362" t="inlineStr">
        <is>
          <t>1、黄色区域为可编辑区域</t>
        </is>
      </c>
      <c r="C26" s="355" t="n"/>
      <c r="D26" s="355" t="n"/>
      <c r="E26" s="379" t="n"/>
    </row>
    <row r="27" ht="18" customHeight="1" s="192">
      <c r="B27" s="381" t="inlineStr">
        <is>
          <t>2、粉色区域为选择区域</t>
        </is>
      </c>
      <c r="C27" s="355" t="n"/>
      <c r="D27" s="355" t="n"/>
      <c r="E27" s="355" t="n"/>
    </row>
    <row r="28" ht="18" customHeight="1" s="192">
      <c r="B28" s="382" t="inlineStr">
        <is>
          <t>3、蓝色区域为自动生成区域</t>
        </is>
      </c>
      <c r="C28" s="355" t="n"/>
      <c r="D28" s="355" t="n"/>
      <c r="E28" s="379" t="n"/>
    </row>
    <row r="29" ht="18" customHeight="1" s="192">
      <c r="B29" s="383" t="inlineStr">
        <is>
          <t>4、红色区域为自动生成区域</t>
        </is>
      </c>
      <c r="C29" s="355" t="n"/>
      <c r="D29" s="355" t="n"/>
      <c r="E29" s="379" t="n"/>
    </row>
    <row r="30">
      <c r="B30" s="270" t="n"/>
      <c r="C30" s="270" t="n"/>
      <c r="D30" s="270" t="n"/>
      <c r="E30" s="358" t="n"/>
    </row>
  </sheetData>
  <autoFilter ref="B1:E29"/>
  <mergeCells count="2">
    <mergeCell ref="F8:F9"/>
    <mergeCell ref="B1:E1"/>
  </mergeCells>
  <conditionalFormatting sqref="C5">
    <cfRule type="expression" priority="2" dxfId="0">
      <formula>"OR($B$4=""场景2（百~千亿参数模型场景）"",$B$4=""场景3（千亿长序列~万亿参数模型应用场景）"")"</formula>
    </cfRule>
  </conditionalFormatting>
  <dataValidations count="4">
    <dataValidation sqref="C4" showDropDown="0" showInputMessage="1" showErrorMessage="1" allowBlank="1" type="list">
      <formula1>"场景1（百亿及以下参数模型场景）,场景2（百~千亿参数模型场景）,场景3（千亿长序列~万亿参数模型应用场景）"</formula1>
    </dataValidation>
    <dataValidation sqref="C8" showDropDown="0" showInputMessage="1" showErrorMessage="1" allowBlank="1" type="list">
      <formula1>"5kw,7kw,10kw,15kw,20kw"</formula1>
    </dataValidation>
    <dataValidation sqref="C5" showDropDown="0" showInputMessage="1" showErrorMessage="1" allowBlank="1" type="list">
      <formula1>"PCIE,扣卡(32G),扣卡(64G)"</formula1>
    </dataValidation>
    <dataValidation sqref="C13" showDropDown="0" showInputMessage="1" showErrorMessage="1" allowBlank="1" type="list">
      <formula1>"5kw,7kw"</formula1>
    </dataValidation>
  </dataValidations>
  <pageMargins left="0.75" right="0.75" top="1" bottom="1" header="0.5" footer="0.5"/>
  <pageSetup orientation="portrait" paperSize="9"/>
  <legacyDrawing xmlns:r="http://schemas.openxmlformats.org/officeDocument/2006/relationships" r:id="anysvml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 codeName="Sheet11">
    <outlinePr summaryBelow="1" summaryRight="1"/>
    <pageSetUpPr/>
  </sheetPr>
  <dimension ref="A1:J31"/>
  <sheetViews>
    <sheetView topLeftCell="D1" zoomScale="70" zoomScaleNormal="70" workbookViewId="0">
      <pane ySplit="2" topLeftCell="A3" activePane="bottomLeft" state="frozen"/>
      <selection pane="bottomLeft" activeCell="D25" sqref="D25"/>
    </sheetView>
  </sheetViews>
  <sheetFormatPr baseColWidth="8" defaultColWidth="8.77734375" defaultRowHeight="12"/>
  <cols>
    <col width="8.77734375" customWidth="1" style="193" min="1" max="1"/>
    <col width="10" customWidth="1" style="194" min="2" max="2"/>
    <col width="16.5" customWidth="1" style="194" min="3" max="3"/>
    <col width="60" customWidth="1" style="193" min="4" max="4"/>
    <col width="60" customWidth="1" style="193" min="5" max="7"/>
    <col width="60" customWidth="1" style="192" min="6" max="6"/>
    <col width="16.5" customWidth="1" style="192" min="7" max="7"/>
    <col width="60" customWidth="1" style="193" min="8" max="8"/>
    <col width="22" customWidth="1" style="193" min="9" max="9"/>
    <col width="19.8" customWidth="1" style="193" min="10" max="10"/>
    <col width="16.88671875" customWidth="1" style="193" min="11" max="14"/>
    <col width="8.33203125" customWidth="1" style="193" min="15" max="15"/>
    <col width="7.33203125" customWidth="1" style="193" min="16" max="16"/>
    <col width="7.21875" customWidth="1" style="193" min="17" max="17"/>
    <col width="36.6640625" customWidth="1" style="193" min="18" max="18"/>
    <col width="8.77734375" customWidth="1" style="193" min="19" max="20"/>
    <col width="14.109375" customWidth="1" style="193" min="21" max="16371"/>
    <col width="8.77734375" customWidth="1" style="193" min="16372" max="16384"/>
  </cols>
  <sheetData>
    <row r="1">
      <c r="A1" s="195" t="n"/>
      <c r="B1" s="195" t="n"/>
      <c r="C1" s="196" t="n"/>
      <c r="D1" s="197" t="n"/>
      <c r="E1" s="195" t="n"/>
      <c r="F1" s="195" t="n"/>
      <c r="G1" s="195" t="n"/>
      <c r="H1" s="195" t="n"/>
      <c r="I1" s="195" t="n"/>
    </row>
    <row r="2" ht="18" customHeight="1" s="192">
      <c r="A2" s="195" t="n"/>
      <c r="B2" s="384" t="inlineStr">
        <is>
          <t xml:space="preserve">类别  </t>
        </is>
      </c>
      <c r="C2" s="384" t="inlineStr">
        <is>
          <t>名称</t>
        </is>
      </c>
      <c r="D2" s="384" t="inlineStr">
        <is>
          <t>设备配置</t>
        </is>
      </c>
      <c r="E2" s="385" t="inlineStr">
        <is>
          <t>设备数量</t>
        </is>
      </c>
      <c r="F2" s="385" t="inlineStr">
        <is>
          <t>单价</t>
        </is>
      </c>
      <c r="G2" s="385" t="inlineStr">
        <is>
          <t>总价</t>
        </is>
      </c>
      <c r="H2" s="384" t="inlineStr">
        <is>
          <t>功耗</t>
        </is>
      </c>
      <c r="I2" s="384" t="inlineStr">
        <is>
          <t>总功耗</t>
        </is>
      </c>
      <c r="J2" s="384" t="inlineStr">
        <is>
          <t>备注</t>
        </is>
      </c>
    </row>
    <row r="3" ht="18" customHeight="1" s="192">
      <c r="A3" s="195" t="n"/>
      <c r="B3" s="386" t="inlineStr">
        <is>
          <t>智算服务器</t>
        </is>
      </c>
      <c r="C3" s="386">
        <f>'服务器模型-勿动'!B2</f>
        <v/>
      </c>
      <c r="D3" s="386">
        <f>'服务器模型-勿动'!D2</f>
        <v/>
      </c>
      <c r="E3" s="387">
        <f>IF('1-建设需求标准字段'!C5="扣卡(64G)",'1-建设需求标准字段'!C14,0)</f>
        <v/>
      </c>
      <c r="F3" s="388">
        <f>'服务器模型-勿动'!G2</f>
        <v/>
      </c>
      <c r="G3" s="388">
        <f>E3*F3</f>
        <v/>
      </c>
      <c r="H3" s="386">
        <f>'服务器模型-勿动'!F2</f>
        <v/>
      </c>
      <c r="I3" s="386">
        <f>E3*H3</f>
        <v/>
      </c>
      <c r="J3" s="386" t="n"/>
    </row>
    <row r="4" ht="18" customHeight="1" s="192">
      <c r="A4" s="195" t="n"/>
      <c r="B4" s="379" t="n"/>
      <c r="C4" s="386">
        <f>'服务器模型-勿动'!B3</f>
        <v/>
      </c>
      <c r="D4" s="386">
        <f>'服务器模型-勿动'!D3</f>
        <v/>
      </c>
      <c r="E4" s="387">
        <f>IF('1-建设需求标准字段'!C5="扣卡(32G)",'1-建设需求标准字段'!C14,0)</f>
        <v/>
      </c>
      <c r="F4" s="388">
        <f>'服务器模型-勿动'!G3</f>
        <v/>
      </c>
      <c r="G4" s="388">
        <f>E4*F4</f>
        <v/>
      </c>
      <c r="H4" s="386">
        <f>'服务器模型-勿动'!F3</f>
        <v/>
      </c>
      <c r="I4" s="386">
        <f>E4*H4</f>
        <v/>
      </c>
      <c r="J4" s="386" t="n"/>
    </row>
    <row r="5" ht="18" customHeight="1" s="192">
      <c r="A5" s="195" t="n"/>
      <c r="B5" s="379" t="n"/>
      <c r="C5" s="386">
        <f>'服务器模型-勿动'!B4</f>
        <v/>
      </c>
      <c r="D5" s="386">
        <f>'服务器模型-勿动'!D4</f>
        <v/>
      </c>
      <c r="E5" s="387">
        <f>IF('1-建设需求标准字段'!C5="PCIE",'1-建设需求标准字段'!C14,0)</f>
        <v/>
      </c>
      <c r="F5" s="388">
        <f>'服务器模型-勿动'!G4</f>
        <v/>
      </c>
      <c r="G5" s="388">
        <f>E5*F5</f>
        <v/>
      </c>
      <c r="H5" s="386">
        <f>'服务器模型-勿动'!F4</f>
        <v/>
      </c>
      <c r="I5" s="386">
        <f>E5*H5</f>
        <v/>
      </c>
      <c r="J5" s="386" t="n"/>
    </row>
    <row r="6" ht="18" customHeight="1" s="192">
      <c r="A6" s="195" t="n"/>
      <c r="B6" s="379" t="n"/>
      <c r="C6" s="389" t="inlineStr">
        <is>
          <t>小计1 智算服务器</t>
        </is>
      </c>
      <c r="D6" s="389" t="n"/>
      <c r="E6" s="390">
        <f>SUM(E3:E5)</f>
        <v/>
      </c>
      <c r="F6" s="391" t="n"/>
      <c r="G6" s="391">
        <f>SUM(G3:G5)</f>
        <v/>
      </c>
      <c r="H6" s="389" t="n"/>
      <c r="I6" s="389">
        <f>SUM(I3:I5)</f>
        <v/>
      </c>
      <c r="J6" s="392" t="n"/>
    </row>
    <row r="7" ht="18" customHeight="1" s="192">
      <c r="A7" s="195" t="n"/>
      <c r="B7" s="386" t="inlineStr">
        <is>
          <t>通算服务器</t>
        </is>
      </c>
      <c r="C7" s="386">
        <f>'服务器模型-勿动'!B6</f>
        <v/>
      </c>
      <c r="D7" s="386">
        <f>'服务器模型-勿动'!D6</f>
        <v/>
      </c>
      <c r="E7" s="387">
        <f>CEILING(E6/30,1)</f>
        <v/>
      </c>
      <c r="F7" s="388">
        <f>'服务器模型-勿动'!G6</f>
        <v/>
      </c>
      <c r="G7" s="388">
        <f>E7*F7</f>
        <v/>
      </c>
      <c r="H7" s="386">
        <f>'服务器模型-勿动'!F6</f>
        <v/>
      </c>
      <c r="I7" s="386">
        <f>E7*H7</f>
        <v/>
      </c>
      <c r="J7" s="386" t="n"/>
    </row>
    <row r="8" ht="18" customHeight="1" s="192">
      <c r="A8" s="195" t="n"/>
      <c r="B8" s="379" t="n"/>
      <c r="C8" s="386">
        <f>'服务器模型-勿动'!B7</f>
        <v/>
      </c>
      <c r="D8" s="386">
        <f>'服务器模型-勿动'!D7</f>
        <v/>
      </c>
      <c r="E8" s="387" t="n">
        <v>2</v>
      </c>
      <c r="F8" s="388">
        <f>'服务器模型-勿动'!G7</f>
        <v/>
      </c>
      <c r="G8" s="388">
        <f>E8*F8</f>
        <v/>
      </c>
      <c r="H8" s="386">
        <f>'服务器模型-勿动'!F7</f>
        <v/>
      </c>
      <c r="I8" s="386">
        <f>E8*H8</f>
        <v/>
      </c>
      <c r="J8" s="386" t="n"/>
    </row>
    <row r="9" ht="18" customHeight="1" s="192">
      <c r="A9" s="195" t="n"/>
      <c r="B9" s="379" t="n"/>
      <c r="C9" s="386" t="inlineStr">
        <is>
          <t>NCE</t>
        </is>
      </c>
      <c r="D9" s="386" t="inlineStr">
        <is>
          <t>2*Kunpeng920-7260（64c 2.6GHz）/16*32G/2*480G SATA SSD/6*1.92T SATA SSD（支持raid0、1 、5、10）/2*10GE+4*25GE</t>
        </is>
      </c>
      <c r="E9" s="387" t="n">
        <v>3</v>
      </c>
      <c r="F9" s="388" t="n">
        <v>10</v>
      </c>
      <c r="G9" s="388">
        <f>E9*F9</f>
        <v/>
      </c>
      <c r="H9" s="386">
        <f>H8</f>
        <v/>
      </c>
      <c r="I9" s="386">
        <f>E9*H9</f>
        <v/>
      </c>
      <c r="J9" s="386" t="n"/>
    </row>
    <row r="10" ht="18" customHeight="1" s="192">
      <c r="A10" s="195" t="n"/>
      <c r="B10" s="386" t="n"/>
      <c r="C10" s="389" t="inlineStr">
        <is>
          <t>小计2 通算服务器</t>
        </is>
      </c>
      <c r="D10" s="389" t="n"/>
      <c r="E10" s="390">
        <f>SUM(E7:E9)</f>
        <v/>
      </c>
      <c r="F10" s="391" t="n"/>
      <c r="G10" s="391">
        <f>SUM(G7:G9)</f>
        <v/>
      </c>
      <c r="H10" s="389" t="n"/>
      <c r="I10" s="389">
        <f>SUM(I7:I9)</f>
        <v/>
      </c>
      <c r="J10" s="392" t="n"/>
    </row>
    <row r="11" ht="18" customHeight="1" s="192">
      <c r="A11" s="195" t="n"/>
      <c r="B11" s="386" t="inlineStr">
        <is>
          <t>存储服务器</t>
        </is>
      </c>
      <c r="C11" s="386">
        <f>'服务器模型-勿动'!B5</f>
        <v/>
      </c>
      <c r="D11" s="386">
        <f>'服务器模型-勿动'!D5</f>
        <v/>
      </c>
      <c r="E11" s="387">
        <f>'1-建设需求标准字段'!C7*18</f>
        <v/>
      </c>
      <c r="F11" s="388">
        <f>'服务器模型-勿动'!G5</f>
        <v/>
      </c>
      <c r="G11" s="388">
        <f>(E11/18)*F11</f>
        <v/>
      </c>
      <c r="H11" s="386">
        <f>'服务器模型-勿动'!F5</f>
        <v/>
      </c>
      <c r="I11" s="386">
        <f>E11*H11</f>
        <v/>
      </c>
      <c r="J11" s="386" t="inlineStr">
        <is>
          <t>算存比200:1</t>
        </is>
      </c>
    </row>
    <row r="12" ht="18" customHeight="1" s="192">
      <c r="A12" s="195" t="n"/>
      <c r="B12" s="379" t="n"/>
      <c r="C12" s="389" t="inlineStr">
        <is>
          <t>小计3 存储服务器</t>
        </is>
      </c>
      <c r="D12" s="389" t="n"/>
      <c r="E12" s="390">
        <f>E11</f>
        <v/>
      </c>
      <c r="F12" s="391" t="n"/>
      <c r="G12" s="391">
        <f>G11</f>
        <v/>
      </c>
      <c r="H12" s="389" t="n"/>
      <c r="I12" s="389">
        <f>I11</f>
        <v/>
      </c>
      <c r="J12" s="392" t="n"/>
    </row>
    <row r="13" ht="18" customHeight="1" s="192">
      <c r="A13" s="195" t="n"/>
      <c r="B13" s="386" t="inlineStr">
        <is>
          <t>业务面网络设备</t>
        </is>
      </c>
      <c r="C13" s="386">
        <f>'网络设备模型-勿动'!A7</f>
        <v/>
      </c>
      <c r="D13" s="386">
        <f>'网络设备模型-勿动'!C7</f>
        <v/>
      </c>
      <c r="E13" s="387">
        <f>2*CEILING(E6/40,1)+2*CEILING(E7/40,1)</f>
        <v/>
      </c>
      <c r="F13" s="388">
        <f>'网络设备模型-勿动'!E7</f>
        <v/>
      </c>
      <c r="G13" s="388">
        <f>E13*F13</f>
        <v/>
      </c>
      <c r="H13" s="386">
        <f>'网络设备模型-勿动'!D7</f>
        <v/>
      </c>
      <c r="I13" s="386">
        <f>H13*E13</f>
        <v/>
      </c>
      <c r="J13" s="386" t="inlineStr">
        <is>
          <t>推理服务器业务接入交换机</t>
        </is>
      </c>
    </row>
    <row r="14" ht="18" customHeight="1" s="192">
      <c r="A14" s="195" t="n"/>
      <c r="B14" s="379" t="n"/>
      <c r="C14" s="386">
        <f>'网络设备模型-勿动'!A8</f>
        <v/>
      </c>
      <c r="D14" s="386">
        <f>'网络设备模型-勿动'!C8</f>
        <v/>
      </c>
      <c r="E14" s="387">
        <f>2*CEILING(E7/40,1)</f>
        <v/>
      </c>
      <c r="F14" s="388">
        <f>'网络设备模型-勿动'!E8</f>
        <v/>
      </c>
      <c r="G14" s="388">
        <f>E14*F14</f>
        <v/>
      </c>
      <c r="H14" s="386">
        <f>'网络设备模型-勿动'!D8</f>
        <v/>
      </c>
      <c r="I14" s="386">
        <f>H14*E14</f>
        <v/>
      </c>
      <c r="J14" s="386" t="inlineStr">
        <is>
          <t>裸金属网关接入交换机</t>
        </is>
      </c>
    </row>
    <row r="15" ht="18" customHeight="1" s="192">
      <c r="A15" s="195" t="n"/>
      <c r="B15" s="379" t="n"/>
      <c r="C15" s="386">
        <f>'网络设备模型-勿动'!A2</f>
        <v/>
      </c>
      <c r="D15" s="386">
        <f>IF(E13&lt;=128,'网络设备模型-勿动'!B4,IF(价格计算!M5=1,'网络设备模型-勿动'!B3,IF(价格计算!M9=1,'网络设备模型-勿动'!B2,"")))</f>
        <v/>
      </c>
      <c r="E15" s="387" t="n">
        <v>4</v>
      </c>
      <c r="F15" s="388">
        <f>IF(E13&lt;=128,VLOOKUP(D15,'网络设备模型-勿动'!B:F,5,FALSE),价格计算!O26)</f>
        <v/>
      </c>
      <c r="G15" s="388">
        <f>E15*F15</f>
        <v/>
      </c>
      <c r="H15" s="386">
        <f>IFERROR(INDEX('网络设备模型-勿动'!D:D,MATCH(D15,'网络设备模型-勿动'!B:B,0)),"")</f>
        <v/>
      </c>
      <c r="I15" s="386">
        <f>H15*E15</f>
        <v/>
      </c>
      <c r="J15" s="386" t="n"/>
    </row>
    <row r="16" ht="18" customHeight="1" s="192">
      <c r="A16" s="195" t="n"/>
      <c r="B16" s="379" t="n"/>
      <c r="C16" s="393" t="inlineStr">
        <is>
          <t>参数面leaf交换机</t>
        </is>
      </c>
      <c r="D16" s="386">
        <f>IF('1-建设需求标准字段'!C4="场景3（千亿长序列~万亿参数模型应用场景）",IF(价格计算!M130=0,价格计算!B71,价格计算!B117),"")</f>
        <v/>
      </c>
      <c r="E16" s="387">
        <f>IF(价格计算!M130=0,价格计算!M84,价格计算!M130)</f>
        <v/>
      </c>
      <c r="F16" s="388">
        <f>IF(E16=0,0,INDEX(价格计算!F178:F184,MATCH(D16,价格计算!C178:C184,0)))</f>
        <v/>
      </c>
      <c r="G16" s="388">
        <f>E16*F16</f>
        <v/>
      </c>
      <c r="H16" s="386">
        <f>IFERROR(INDEX('网络设备模型-勿动'!D:D,MATCH(D16,'网络设备模型-勿动'!B:B,0)),"")</f>
        <v/>
      </c>
      <c r="I16" s="386">
        <f>IF(E16=0,0,H16*E16)</f>
        <v/>
      </c>
      <c r="J16" s="386" t="n"/>
    </row>
    <row r="17" ht="18" customHeight="1" s="192">
      <c r="A17" s="195" t="n"/>
      <c r="B17" s="379" t="n"/>
      <c r="C17" s="393" t="inlineStr">
        <is>
          <t>参数面spine交换机</t>
        </is>
      </c>
      <c r="D17" s="386">
        <f>IF(价格计算!M115&gt;0,价格计算!B102,IF(价格计算!M100&gt;0,价格计算!B86,(IF(价格计算!M69&gt;0,价格计算!B55,""))))</f>
        <v/>
      </c>
      <c r="E17" s="387">
        <f>IF(价格计算!M69&gt;0,价格计算!M69,IF(价格计算!M100&gt;0,价格计算!M100,IF(价格计算!M115&gt;0,价格计算!M115,0)))</f>
        <v/>
      </c>
      <c r="F17" s="388">
        <f>IF(E17=0,0,INDEX(价格计算!F178:F184,MATCH(D17,价格计算!C178:C184,0)))</f>
        <v/>
      </c>
      <c r="G17" s="388">
        <f>E17*F17</f>
        <v/>
      </c>
      <c r="H17" s="386">
        <f>IFERROR(INDEX('网络设备模型-勿动'!D:D,MATCH(D17,'网络设备模型-勿动'!B:B,0)),"")</f>
        <v/>
      </c>
      <c r="I17" s="386">
        <f>IF(E17=0,0,H17*E17)</f>
        <v/>
      </c>
      <c r="J17" s="386" t="n"/>
    </row>
    <row r="18" ht="18" customHeight="1" s="192">
      <c r="A18" s="195" t="n"/>
      <c r="B18" s="379" t="n"/>
      <c r="C18" s="393" t="inlineStr">
        <is>
          <t>数据面leaf交换机-计算侧</t>
        </is>
      </c>
      <c r="D18" s="386">
        <f>IF(E3+E4=0,"",IF(E6&gt;0,'网络设备模型-勿动'!B17,0))</f>
        <v/>
      </c>
      <c r="E18" s="387">
        <f>价格计算!M176</f>
        <v/>
      </c>
      <c r="F18" s="388">
        <f>IF(E18=0,0,INDEX(价格计算!F185:F188,MATCH(D18,价格计算!C185:C188,0)))</f>
        <v/>
      </c>
      <c r="G18" s="388">
        <f>E18*F18</f>
        <v/>
      </c>
      <c r="H18" s="386">
        <f>IFERROR(INDEX('网络设备模型-勿动'!D:D,MATCH(D18,'网络设备模型-勿动'!B:B,0)),"")</f>
        <v/>
      </c>
      <c r="I18" s="386">
        <f>IF(E18=0,0,H18*E18)</f>
        <v/>
      </c>
      <c r="J18" s="386" t="n"/>
    </row>
    <row r="19" ht="18" customHeight="1" s="192">
      <c r="A19" s="195" t="n"/>
      <c r="B19" s="379" t="n"/>
      <c r="C19" s="393" t="inlineStr">
        <is>
          <t>数据面leaf交换机-存储侧</t>
        </is>
      </c>
      <c r="D19" s="386">
        <f>IF(E3+E4=0,"",IF(E6&gt;0,'网络设备模型-勿动'!B16,0))</f>
        <v/>
      </c>
      <c r="E19" s="387">
        <f>价格计算!M161</f>
        <v/>
      </c>
      <c r="F19" s="388">
        <f>IF(E19=0,0,INDEX(价格计算!F185:F188,MATCH(D19,价格计算!C185:C188,0)))</f>
        <v/>
      </c>
      <c r="G19" s="388">
        <f>E19*F19</f>
        <v/>
      </c>
      <c r="H19" s="386">
        <f>IFERROR(INDEX('网络设备模型-勿动'!D:D,MATCH(D19,'网络设备模型-勿动'!B:B,0)),"")</f>
        <v/>
      </c>
      <c r="I19" s="386">
        <f>IF(E19=0,0,H19*E19)</f>
        <v/>
      </c>
      <c r="J19" s="386" t="n"/>
    </row>
    <row r="20" ht="18" customHeight="1" s="192">
      <c r="A20" s="195" t="n"/>
      <c r="B20" s="379" t="n"/>
      <c r="C20" s="393" t="inlineStr">
        <is>
          <t>数据面spine交换机</t>
        </is>
      </c>
      <c r="D20" s="386">
        <f>IF(价格计算!M146&gt;0,价格计算!B132,IF(价格计算!O161&gt;0,价格计算!B148,""))</f>
        <v/>
      </c>
      <c r="E20" s="387">
        <f>IF(价格计算!O161&gt;0,价格计算!O161,IF(价格计算!M146&gt;0,价格计算!M146,0))</f>
        <v/>
      </c>
      <c r="F20" s="388">
        <f>IF(E20=0,0,INDEX(价格计算!F185:F188,MATCH(D20,价格计算!C185:C188,0)))</f>
        <v/>
      </c>
      <c r="G20" s="388">
        <f>E20*F20</f>
        <v/>
      </c>
      <c r="H20" s="386">
        <f>IFERROR(INDEX('网络设备模型-勿动'!D:D,MATCH(D20,'网络设备模型-勿动'!B:B,0)),"")</f>
        <v/>
      </c>
      <c r="I20" s="386">
        <f>IF(E20=0,0,H20*E20)</f>
        <v/>
      </c>
      <c r="J20" s="386" t="n"/>
    </row>
    <row r="21" ht="18" customHeight="1" s="192">
      <c r="A21" s="195" t="n"/>
      <c r="B21" s="389" t="n"/>
      <c r="C21" s="389" t="inlineStr">
        <is>
          <t>小计4 业务面网络设备</t>
        </is>
      </c>
      <c r="D21" s="389" t="n"/>
      <c r="E21" s="390">
        <f>SUM(E13:E20)</f>
        <v/>
      </c>
      <c r="F21" s="391" t="n"/>
      <c r="G21" s="391">
        <f>SUM(G13:G20)</f>
        <v/>
      </c>
      <c r="H21" s="389" t="n"/>
      <c r="I21" s="389">
        <f>SUM(I13:I20)</f>
        <v/>
      </c>
      <c r="J21" s="394" t="n"/>
    </row>
    <row r="22" ht="18" customHeight="1" s="192">
      <c r="A22" s="195" t="n"/>
      <c r="B22" s="386" t="inlineStr">
        <is>
          <t>管理面网络设备</t>
        </is>
      </c>
      <c r="C22" s="386">
        <f>'网络设备模型-勿动'!A5</f>
        <v/>
      </c>
      <c r="D22" s="386">
        <f>IF(价格计算!M34=1,'网络设备模型-勿动'!B5,'网络设备模型-勿动'!B6)</f>
        <v/>
      </c>
      <c r="E22" s="387" t="n">
        <v>2</v>
      </c>
      <c r="F22" s="388">
        <f>价格计算!O51</f>
        <v/>
      </c>
      <c r="G22" s="388">
        <f>E22*F22</f>
        <v/>
      </c>
      <c r="H22" s="386">
        <f>IFERROR(INDEX('网络设备模型-勿动'!D:D,MATCH(D22,'网络设备模型-勿动'!B:B,0)),"")</f>
        <v/>
      </c>
      <c r="I22" s="386">
        <f>H22*E22</f>
        <v/>
      </c>
      <c r="J22" s="386" t="n"/>
    </row>
    <row r="23" ht="18" customHeight="1" s="192">
      <c r="A23" s="195" t="n"/>
      <c r="B23" s="379" t="n"/>
      <c r="C23" s="386">
        <f>'网络设备模型-勿动'!A7</f>
        <v/>
      </c>
      <c r="D23" s="386">
        <f>'网络设备模型-勿动'!C7</f>
        <v/>
      </c>
      <c r="E23" s="387" t="n">
        <v>4</v>
      </c>
      <c r="F23" s="388">
        <f>'网络设备模型-勿动'!E7</f>
        <v/>
      </c>
      <c r="G23" s="388">
        <f>E23*F23</f>
        <v/>
      </c>
      <c r="H23" s="386">
        <f>H13</f>
        <v/>
      </c>
      <c r="I23" s="386">
        <f>H23*E23</f>
        <v/>
      </c>
      <c r="J23" s="386" t="n"/>
    </row>
    <row r="24" ht="18" customHeight="1" s="192">
      <c r="A24" s="195" t="n"/>
      <c r="B24" s="379" t="n"/>
      <c r="C24" s="386">
        <f>'网络设备模型-勿动'!A8</f>
        <v/>
      </c>
      <c r="D24" s="386">
        <f>'网络设备模型-勿动'!C8</f>
        <v/>
      </c>
      <c r="E24" s="387">
        <f>2*CEILING((E7+E6)/40,1)</f>
        <v/>
      </c>
      <c r="F24" s="388">
        <f>'网络设备模型-勿动'!E8</f>
        <v/>
      </c>
      <c r="G24" s="388">
        <f>E24*F24</f>
        <v/>
      </c>
      <c r="H24" s="386">
        <f>H14</f>
        <v/>
      </c>
      <c r="I24" s="386">
        <f>H24*E24</f>
        <v/>
      </c>
      <c r="J24" s="393" t="inlineStr">
        <is>
          <t>智管平台接入交换机+NCE接入交换机</t>
        </is>
      </c>
    </row>
    <row r="25" ht="18" customHeight="1" s="192">
      <c r="A25" s="195" t="n"/>
      <c r="B25" s="379" t="n"/>
      <c r="C25" s="386" t="inlineStr">
        <is>
          <t>IPMI接入交换机</t>
        </is>
      </c>
      <c r="D25" s="386">
        <f>'网络设备模型-勿动'!C9</f>
        <v/>
      </c>
      <c r="E25" s="387">
        <f>ROUNDUP((E6+E10)/40,0)</f>
        <v/>
      </c>
      <c r="F25" s="388">
        <f>'网络设备模型-勿动'!E9</f>
        <v/>
      </c>
      <c r="G25" s="388">
        <f>E25*F25</f>
        <v/>
      </c>
      <c r="H25" s="386">
        <f>'网络设备模型-勿动'!D9</f>
        <v/>
      </c>
      <c r="I25" s="386">
        <f>H25*E25</f>
        <v/>
      </c>
      <c r="J25" s="386" t="inlineStr">
        <is>
          <t>选型与GE接入交换机一致</t>
        </is>
      </c>
    </row>
    <row r="26" ht="18" customHeight="1" s="192">
      <c r="A26" s="195" t="n"/>
      <c r="B26" s="379" t="n"/>
      <c r="C26" s="386" t="inlineStr">
        <is>
          <t>网络设备管理接入交换机</t>
        </is>
      </c>
      <c r="D26" s="386">
        <f>'网络设备模型-勿动'!C9</f>
        <v/>
      </c>
      <c r="E26" s="387">
        <f>CEILING((E21+E22+E24+E25+E23)/40,1)</f>
        <v/>
      </c>
      <c r="F26" s="388">
        <f>'网络设备模型-勿动'!E9</f>
        <v/>
      </c>
      <c r="G26" s="388">
        <f>E26*F26</f>
        <v/>
      </c>
      <c r="H26" s="386">
        <f>'网络设备模型-勿动'!D9</f>
        <v/>
      </c>
      <c r="I26" s="386">
        <f>H26*E26</f>
        <v/>
      </c>
      <c r="J26" s="386" t="inlineStr">
        <is>
          <t>选型与GE接入交换机一致</t>
        </is>
      </c>
    </row>
    <row r="27" ht="18" customHeight="1" s="192">
      <c r="A27" s="195" t="n"/>
      <c r="B27" s="389" t="n"/>
      <c r="C27" s="389" t="inlineStr">
        <is>
          <t>小计5 管理面网络设备</t>
        </is>
      </c>
      <c r="D27" s="389" t="n"/>
      <c r="E27" s="390">
        <f>SUM(E22:E26)</f>
        <v/>
      </c>
      <c r="F27" s="391" t="n"/>
      <c r="G27" s="391">
        <f>SUM(G22:G26)</f>
        <v/>
      </c>
      <c r="H27" s="389" t="n"/>
      <c r="I27" s="389">
        <f>SUM(I22:I26)</f>
        <v/>
      </c>
      <c r="J27" s="386" t="n"/>
    </row>
    <row r="28" ht="18" customHeight="1" s="192">
      <c r="B28" s="389" t="inlineStr">
        <is>
          <t>硬件设备总计</t>
        </is>
      </c>
      <c r="C28" s="389" t="n"/>
      <c r="D28" s="389" t="n"/>
      <c r="E28" s="390">
        <f>E27+E21+E10+E6</f>
        <v/>
      </c>
      <c r="F28" s="391" t="n"/>
      <c r="G28" s="391">
        <f>G27+G21+G6+G10</f>
        <v/>
      </c>
      <c r="H28" s="389" t="n"/>
      <c r="I28" s="389">
        <f>I27+I21+I12+I10+I6</f>
        <v/>
      </c>
      <c r="J28" s="386" t="n"/>
    </row>
    <row r="29" ht="18" customHeight="1" s="192">
      <c r="B29" s="386" t="inlineStr">
        <is>
          <t>软件</t>
        </is>
      </c>
      <c r="C29" s="386" t="inlineStr">
        <is>
          <t>主机防病毒</t>
        </is>
      </c>
      <c r="D29" s="386" t="n"/>
      <c r="E29" s="387">
        <f>E6+E10+E12-E7</f>
        <v/>
      </c>
      <c r="F29" s="388" t="n">
        <v>0.022</v>
      </c>
      <c r="G29" s="388">
        <f>E29*F29</f>
        <v/>
      </c>
      <c r="H29" s="386" t="n"/>
      <c r="I29" s="386" t="n"/>
      <c r="J29" s="386" t="n"/>
    </row>
    <row r="30" ht="18" customHeight="1" s="192">
      <c r="B30" s="379" t="n"/>
      <c r="C30" s="386" t="n"/>
      <c r="D30" s="386" t="n"/>
      <c r="E30" s="387" t="n"/>
      <c r="F30" s="388" t="n"/>
      <c r="G30" s="388" t="n"/>
      <c r="H30" s="386" t="n"/>
      <c r="I30" s="386" t="n"/>
      <c r="J30" s="386" t="n"/>
    </row>
    <row r="31" ht="18" customHeight="1" s="192">
      <c r="B31" s="389" t="n"/>
      <c r="C31" s="389" t="inlineStr">
        <is>
          <t>小计6 软件</t>
        </is>
      </c>
      <c r="D31" s="389" t="n"/>
      <c r="E31" s="390">
        <f>SUM(E29:E30)</f>
        <v/>
      </c>
      <c r="F31" s="391" t="n"/>
      <c r="G31" s="391">
        <f>SUM(G29:G30)</f>
        <v/>
      </c>
      <c r="H31" s="389" t="n"/>
      <c r="I31" s="389" t="n"/>
      <c r="J31" s="386" t="n"/>
    </row>
  </sheetData>
  <autoFilter ref="B2:J31"/>
  <mergeCells count="6">
    <mergeCell ref="B3:B6"/>
    <mergeCell ref="B11:B12"/>
    <mergeCell ref="B7:B9"/>
    <mergeCell ref="B22:B26"/>
    <mergeCell ref="B13:B20"/>
    <mergeCell ref="B29:B30"/>
  </mergeCells>
  <pageMargins left="0.75" right="0.75" top="1" bottom="1" header="0.5" footer="0.5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5">
    <tabColor rgb="FF92D050"/>
    <outlinePr summaryBelow="1" summaryRight="1"/>
    <pageSetUpPr/>
  </sheetPr>
  <dimension ref="A1:L11"/>
  <sheetViews>
    <sheetView workbookViewId="0">
      <pane ySplit="2" topLeftCell="A3" activePane="bottomLeft" state="frozen"/>
      <selection pane="bottomLeft" activeCell="F9" sqref="F9"/>
    </sheetView>
  </sheetViews>
  <sheetFormatPr baseColWidth="8" defaultColWidth="8.77734375" defaultRowHeight="14.4"/>
  <cols>
    <col width="8.77734375" customWidth="1" style="192" min="1" max="2"/>
    <col width="29.7" customWidth="1" style="192" min="2" max="2"/>
    <col width="10" customWidth="1" style="192" min="3" max="3"/>
    <col width="10" customWidth="1" style="192" min="4" max="4"/>
    <col width="16.5" customWidth="1" style="192" min="5" max="5"/>
    <col width="20.9" customWidth="1" style="192" min="6" max="6"/>
    <col width="10" customWidth="1" style="192" min="7" max="7"/>
    <col width="14.3" customWidth="1" style="192" min="8" max="8"/>
    <col width="10" customWidth="1" style="192" min="9" max="9"/>
    <col width="10" customWidth="1" style="192" min="10" max="10"/>
    <col width="33" customWidth="1" style="192" min="11" max="11"/>
    <col width="10" customWidth="1" style="192" min="12" max="16384"/>
  </cols>
  <sheetData>
    <row r="1"/>
    <row r="2" ht="18" customHeight="1" s="192">
      <c r="B2" s="384" t="inlineStr">
        <is>
          <t>智算中心</t>
        </is>
      </c>
      <c r="C2" s="384" t="inlineStr">
        <is>
          <t>类别</t>
        </is>
      </c>
      <c r="D2" s="384" t="inlineStr">
        <is>
          <t xml:space="preserve">单位  </t>
        </is>
      </c>
      <c r="E2" s="385" t="inlineStr">
        <is>
          <t xml:space="preserve">数量  </t>
        </is>
      </c>
      <c r="F2" s="384" t="inlineStr">
        <is>
          <t xml:space="preserve">不含税投资估算(万元)   </t>
        </is>
      </c>
      <c r="G2" s="385" t="inlineStr">
        <is>
          <t>增值税率</t>
        </is>
      </c>
      <c r="H2" s="384" t="inlineStr">
        <is>
          <t xml:space="preserve">含税投资估算(万元)   </t>
        </is>
      </c>
      <c r="I2" s="384" t="n"/>
      <c r="J2" s="384" t="n"/>
      <c r="K2" s="384" t="n"/>
      <c r="L2" s="384" t="n"/>
    </row>
    <row r="3" ht="18" customHeight="1" s="192">
      <c r="B3" s="395" t="inlineStr">
        <is>
          <t>主设备</t>
        </is>
      </c>
      <c r="C3" s="395" t="inlineStr">
        <is>
          <t>智算服务器</t>
        </is>
      </c>
      <c r="D3" s="395" t="inlineStr">
        <is>
          <t>台</t>
        </is>
      </c>
      <c r="E3" s="396">
        <f>'2-建设规模换算'!E6</f>
        <v/>
      </c>
      <c r="F3" s="395">
        <f>'2-建设规模换算'!G6</f>
        <v/>
      </c>
      <c r="G3" s="397" t="n">
        <v>0.13</v>
      </c>
      <c r="H3" s="395">
        <f>F3*1.13</f>
        <v/>
      </c>
      <c r="I3" s="379" t="n"/>
      <c r="J3" s="379" t="inlineStr">
        <is>
          <t>智算服务器</t>
        </is>
      </c>
      <c r="K3" s="379">
        <f>F3</f>
        <v/>
      </c>
      <c r="L3" s="379">
        <f>K3/$K$7</f>
        <v/>
      </c>
    </row>
    <row r="4" ht="18" customHeight="1" s="192">
      <c r="B4" s="379" t="n"/>
      <c r="C4" s="395" t="inlineStr">
        <is>
          <t>通算服务器</t>
        </is>
      </c>
      <c r="D4" s="395" t="inlineStr">
        <is>
          <t>台</t>
        </is>
      </c>
      <c r="E4" s="396">
        <f>'2-建设规模换算'!E10</f>
        <v/>
      </c>
      <c r="F4" s="395">
        <f>'2-建设规模换算'!G10</f>
        <v/>
      </c>
      <c r="G4" s="397" t="n">
        <v>0.13</v>
      </c>
      <c r="H4" s="395">
        <f>F4*1.13</f>
        <v/>
      </c>
      <c r="I4" s="379" t="n"/>
      <c r="J4" s="379" t="inlineStr">
        <is>
          <t>通算服务器</t>
        </is>
      </c>
      <c r="K4" s="379">
        <f>F4</f>
        <v/>
      </c>
      <c r="L4" s="379">
        <f>K4/$K$7</f>
        <v/>
      </c>
    </row>
    <row r="5" ht="18" customHeight="1" s="192">
      <c r="B5" s="379" t="n"/>
      <c r="C5" s="395" t="inlineStr">
        <is>
          <t>业务域网络设备</t>
        </is>
      </c>
      <c r="D5" s="395" t="inlineStr">
        <is>
          <t>台</t>
        </is>
      </c>
      <c r="E5" s="396">
        <f>'2-建设规模换算'!E21</f>
        <v/>
      </c>
      <c r="F5" s="395">
        <f>'2-建设规模换算'!G21</f>
        <v/>
      </c>
      <c r="G5" s="397" t="n">
        <v>0.13</v>
      </c>
      <c r="H5" s="395">
        <f>F5*1.13</f>
        <v/>
      </c>
      <c r="I5" s="379" t="n"/>
      <c r="J5" s="379" t="inlineStr">
        <is>
          <t>网络及安全设备</t>
        </is>
      </c>
      <c r="K5" s="379">
        <f>'2-建设规模换算'!G27+'2-建设规模换算'!G21</f>
        <v/>
      </c>
      <c r="L5" s="379">
        <f>K5/$K$7</f>
        <v/>
      </c>
    </row>
    <row r="6" ht="18" customHeight="1" s="192">
      <c r="B6" s="379" t="n"/>
      <c r="C6" s="395" t="inlineStr">
        <is>
          <t>管理域网络设备</t>
        </is>
      </c>
      <c r="D6" s="395" t="inlineStr">
        <is>
          <t>台</t>
        </is>
      </c>
      <c r="E6" s="396">
        <f>'2-建设规模换算'!E27</f>
        <v/>
      </c>
      <c r="F6" s="395">
        <f>'2-建设规模换算'!G27</f>
        <v/>
      </c>
      <c r="G6" s="397" t="n">
        <v>0.13</v>
      </c>
      <c r="H6" s="395">
        <f>F6*1.13</f>
        <v/>
      </c>
      <c r="I6" s="379" t="n"/>
      <c r="J6" s="379" t="inlineStr">
        <is>
          <t>其他费用</t>
        </is>
      </c>
      <c r="K6" s="379">
        <f>F9+F10</f>
        <v/>
      </c>
      <c r="L6" s="379">
        <f>K6/$K$7</f>
        <v/>
      </c>
    </row>
    <row r="7" ht="18" customHeight="1" s="192">
      <c r="B7" s="379" t="n"/>
      <c r="C7" s="395" t="inlineStr">
        <is>
          <t>软件</t>
        </is>
      </c>
      <c r="D7" s="395" t="inlineStr">
        <is>
          <t>套</t>
        </is>
      </c>
      <c r="E7" s="396">
        <f>'2-建设规模换算'!E31</f>
        <v/>
      </c>
      <c r="F7" s="395">
        <f>'2-建设规模换算'!G29</f>
        <v/>
      </c>
      <c r="G7" s="397" t="n">
        <v>0.13</v>
      </c>
      <c r="H7" s="395">
        <f>F7*1.13</f>
        <v/>
      </c>
      <c r="I7" s="379" t="n"/>
      <c r="J7" s="379" t="inlineStr">
        <is>
          <t>总计</t>
        </is>
      </c>
      <c r="K7" s="379">
        <f>SUM(K3:K6)</f>
        <v/>
      </c>
      <c r="L7" s="379">
        <f>K7/$K$7</f>
        <v/>
      </c>
    </row>
    <row r="8" ht="18" customHeight="1" s="192">
      <c r="B8" s="395" t="inlineStr">
        <is>
          <t>主设备费用</t>
        </is>
      </c>
      <c r="C8" s="379" t="n"/>
      <c r="D8" s="395" t="n"/>
      <c r="E8" s="396">
        <f>SUM(E3:E6)</f>
        <v/>
      </c>
      <c r="F8" s="395">
        <f>SUM(F3:F7)</f>
        <v/>
      </c>
      <c r="G8" s="397" t="n"/>
      <c r="H8" s="395">
        <f>SUM(H3:H7)</f>
        <v/>
      </c>
      <c r="I8" s="379" t="n"/>
      <c r="J8" s="379" t="n"/>
      <c r="K8" s="379" t="n"/>
      <c r="L8" s="379" t="n"/>
    </row>
    <row r="9" ht="18" customHeight="1" s="192">
      <c r="B9" s="395" t="inlineStr">
        <is>
          <t>硬件集成费</t>
        </is>
      </c>
      <c r="C9" s="379" t="n"/>
      <c r="D9" s="395" t="n">
        <v>0.02</v>
      </c>
      <c r="E9" s="396" t="n"/>
      <c r="F9" s="395">
        <f>F8*0.02</f>
        <v/>
      </c>
      <c r="G9" s="397" t="n">
        <v>0.06</v>
      </c>
      <c r="H9" s="395">
        <f>F9*1.13</f>
        <v/>
      </c>
      <c r="I9" s="379" t="n"/>
      <c r="J9" s="379" t="n"/>
      <c r="K9" s="379" t="n"/>
      <c r="L9" s="379" t="n"/>
    </row>
    <row r="10" ht="18" customHeight="1" s="192">
      <c r="B10" s="395" t="inlineStr">
        <is>
          <t>安装工程费、工程建设其他费、预备费等(以上费用的7%)</t>
        </is>
      </c>
      <c r="C10" s="379" t="n"/>
      <c r="D10" s="395" t="n"/>
      <c r="E10" s="396" t="n"/>
      <c r="F10" s="395">
        <f>(F8+F9)*0.07</f>
        <v/>
      </c>
      <c r="G10" s="397" t="n">
        <v>0.06</v>
      </c>
      <c r="H10" s="395">
        <f>F10*1.13</f>
        <v/>
      </c>
      <c r="I10" s="379" t="n"/>
      <c r="J10" s="379" t="n"/>
      <c r="K10" s="379" t="n"/>
      <c r="L10" s="379" t="n"/>
    </row>
    <row r="11" ht="18" customHeight="1" s="192">
      <c r="B11" s="398" t="inlineStr">
        <is>
          <t>合计</t>
        </is>
      </c>
      <c r="C11" s="398" t="n"/>
      <c r="D11" s="395" t="n"/>
      <c r="E11" s="396" t="n"/>
      <c r="F11" s="398">
        <f>ROUND(F10+F9+F8,2)</f>
        <v/>
      </c>
      <c r="G11" s="399" t="n"/>
      <c r="H11" s="398">
        <f>SUM(H8:H10)</f>
        <v/>
      </c>
      <c r="I11" s="379" t="n"/>
      <c r="J11" s="379" t="n"/>
      <c r="K11" s="379" t="n"/>
      <c r="L11" s="379" t="n"/>
    </row>
  </sheetData>
  <autoFilter ref="B2:L11"/>
  <mergeCells count="4">
    <mergeCell ref="B9:C9"/>
    <mergeCell ref="B8:C8"/>
    <mergeCell ref="B3:B7"/>
    <mergeCell ref="B10:C10"/>
  </mergeCells>
  <pageMargins left="0.75" right="0.75" top="1" bottom="1" header="0.5" footer="0.5"/>
  <pageSetup orientation="portrait" paperSize="9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5.xml><?xml version="1.0" encoding="utf-8"?>
<worksheet xmlns="http://schemas.openxmlformats.org/spreadsheetml/2006/main">
  <sheetPr codeName="Sheet7">
    <outlinePr summaryBelow="1" summaryRight="1"/>
    <pageSetUpPr/>
  </sheetPr>
  <dimension ref="A1:AU41"/>
  <sheetViews>
    <sheetView showGridLines="0" zoomScale="55" zoomScaleNormal="55" workbookViewId="0">
      <pane ySplit="2" topLeftCell="A3" activePane="bottomLeft" state="frozen"/>
      <selection pane="bottomLeft" activeCell="AI20" sqref="AI20"/>
    </sheetView>
  </sheetViews>
  <sheetFormatPr baseColWidth="8" defaultColWidth="10.77734375" defaultRowHeight="21" customHeight="1"/>
  <cols>
    <col width="10" customWidth="1" style="235" min="1" max="62"/>
    <col width="16.5" customWidth="1" style="192" min="2" max="2"/>
    <col width="10" customWidth="1" style="192" min="3" max="3"/>
    <col width="10" customWidth="1" style="192" min="4" max="4"/>
    <col width="15.4" customWidth="1" style="192" min="5" max="5"/>
    <col width="60" customWidth="1" style="192" min="6" max="6"/>
    <col width="33" customWidth="1" style="192" min="7" max="7"/>
    <col width="10" customWidth="1" style="192" min="8" max="8"/>
    <col width="10" customWidth="1" style="192" min="9" max="9"/>
    <col width="10" customWidth="1" style="192" min="10" max="10"/>
    <col width="10" customWidth="1" style="192" min="11" max="11"/>
    <col width="33" customWidth="1" style="192" min="12" max="12"/>
    <col width="10" customWidth="1" style="192" min="13" max="13"/>
    <col width="10" customWidth="1" style="192" min="14" max="14"/>
    <col width="15.4" customWidth="1" style="192" min="15" max="15"/>
    <col width="10" customWidth="1" style="192" min="16" max="16"/>
    <col width="16.5" customWidth="1" style="192" min="17" max="17"/>
    <col width="16.5" customWidth="1" style="192" min="18" max="18"/>
    <col width="16.5" customWidth="1" style="192" min="19" max="19"/>
    <col width="38.5" customWidth="1" style="192" min="20" max="20"/>
    <col width="10" customWidth="1" style="192" min="21" max="21"/>
    <col width="10" customWidth="1" style="192" min="22" max="22"/>
    <col width="16.5" customWidth="1" style="192" min="23" max="23"/>
    <col width="16.5" customWidth="1" style="192" min="24" max="24"/>
    <col width="10" customWidth="1" style="192" min="25" max="25"/>
    <col width="10" customWidth="1" style="192" min="26" max="26"/>
    <col width="16.5" customWidth="1" style="192" min="27" max="27"/>
    <col width="10" customWidth="1" style="192" min="28" max="28"/>
    <col width="10" customWidth="1" style="192" min="29" max="29"/>
    <col width="10" customWidth="1" style="192" min="30" max="30"/>
    <col width="10" customWidth="1" style="192" min="31" max="31"/>
    <col width="10" customWidth="1" style="192" min="32" max="32"/>
    <col width="10" customWidth="1" style="192" min="33" max="33"/>
    <col width="23.1" customWidth="1" style="192" min="34" max="34"/>
    <col width="17.6" customWidth="1" style="192" min="35" max="35"/>
    <col width="10" customWidth="1" style="192" min="36" max="36"/>
    <col width="10" customWidth="1" style="192" min="37" max="37"/>
    <col width="10" customWidth="1" style="192" min="38" max="38"/>
    <col width="10" customWidth="1" style="192" min="39" max="39"/>
    <col width="10" customWidth="1" style="192" min="40" max="40"/>
    <col width="10" customWidth="1" style="192" min="41" max="41"/>
    <col width="10" customWidth="1" style="192" min="42" max="42"/>
    <col width="10" customWidth="1" style="192" min="43" max="43"/>
    <col width="10" customWidth="1" style="192" min="44" max="44"/>
    <col width="29.7" customWidth="1" style="192" min="45" max="45"/>
    <col width="10" customWidth="1" style="192" min="46" max="46"/>
    <col width="10" customWidth="1" style="192" min="47" max="47"/>
    <col width="3.88671875" customWidth="1" style="235" min="63" max="63"/>
    <col width="18.33203125" customWidth="1" style="235" min="64" max="64"/>
    <col width="22" customWidth="1" style="235" min="65" max="65"/>
    <col width="14.109375" customWidth="1" style="235" min="66" max="66"/>
    <col width="8.44140625" customWidth="1" style="235" min="67" max="69"/>
    <col width="146.33203125" customWidth="1" style="235" min="70" max="70"/>
    <col width="4.6640625" customWidth="1" style="235" min="71" max="71"/>
    <col width="10.44140625" customWidth="1" style="235" min="72" max="72"/>
    <col width="8.44140625" customWidth="1" style="235" min="73" max="74"/>
    <col width="14" customWidth="1" style="235" min="75" max="76"/>
    <col width="4.6640625" customWidth="1" style="235" min="77" max="77"/>
    <col width="10.77734375" customWidth="1" style="235" min="78" max="16384"/>
  </cols>
  <sheetData>
    <row r="1" ht="15.6" customHeight="1" s="192"/>
    <row r="2" ht="18" customHeight="1" s="192">
      <c r="A2" s="384" t="n"/>
      <c r="B2" s="384" t="n"/>
      <c r="C2" s="384" t="n"/>
      <c r="D2" s="384" t="n"/>
      <c r="E2" s="384" t="n"/>
      <c r="F2" s="384" t="n"/>
      <c r="G2" s="384" t="n"/>
      <c r="H2" s="384" t="n"/>
      <c r="I2" s="384" t="n"/>
      <c r="J2" s="384" t="n"/>
      <c r="K2" s="384" t="n"/>
      <c r="L2" s="384" t="n"/>
      <c r="M2" s="384" t="n"/>
      <c r="N2" s="384" t="n"/>
      <c r="O2" s="384" t="n"/>
      <c r="P2" s="384" t="n"/>
      <c r="Q2" s="384" t="n"/>
      <c r="R2" s="384">
        <f>'2-建设规模换算'!C15</f>
        <v/>
      </c>
      <c r="S2" s="400">
        <f>'2-建设规模换算'!E15</f>
        <v/>
      </c>
      <c r="T2" s="384" t="n"/>
      <c r="U2" s="384" t="n"/>
      <c r="V2" s="384" t="n"/>
      <c r="W2" s="384">
        <f>'2-建设规模换算'!C22</f>
        <v/>
      </c>
      <c r="X2" s="400">
        <f>'2-建设规模换算'!E22</f>
        <v/>
      </c>
      <c r="Y2" s="384" t="n"/>
      <c r="Z2" s="384" t="n"/>
      <c r="AA2" s="384" t="n"/>
      <c r="AB2" s="384" t="n"/>
      <c r="AC2" s="384" t="n"/>
      <c r="AD2" s="384" t="n"/>
      <c r="AE2" s="384" t="n"/>
      <c r="AF2" s="384" t="n"/>
      <c r="AG2" s="384" t="n"/>
      <c r="AH2" s="384" t="n"/>
      <c r="AI2" s="384" t="n"/>
      <c r="AJ2" s="384" t="n"/>
      <c r="AK2" s="384" t="n"/>
      <c r="AL2" s="384" t="n"/>
      <c r="AM2" s="384" t="n"/>
      <c r="AN2" s="384" t="n"/>
      <c r="AO2" s="384" t="n"/>
      <c r="AP2" s="384" t="n"/>
      <c r="AQ2" s="384" t="n"/>
      <c r="AR2" s="384" t="n"/>
      <c r="AS2" s="384" t="n"/>
      <c r="AT2" s="384" t="n"/>
      <c r="AU2" s="384" t="n"/>
    </row>
    <row r="3" ht="18" customHeight="1" s="192">
      <c r="A3" s="379" t="n"/>
      <c r="B3" s="379" t="n"/>
      <c r="C3" s="379" t="n"/>
      <c r="D3" s="379" t="n"/>
      <c r="E3" s="379" t="n"/>
      <c r="F3" s="379" t="n"/>
      <c r="G3" s="379" t="n"/>
      <c r="H3" s="379" t="n"/>
      <c r="I3" s="379" t="n"/>
      <c r="J3" s="379" t="n"/>
      <c r="K3" s="379" t="n"/>
      <c r="L3" s="379" t="n"/>
      <c r="M3" s="379" t="n"/>
      <c r="N3" s="379" t="n"/>
      <c r="O3" s="379" t="n"/>
      <c r="P3" s="379" t="n"/>
      <c r="Q3" s="379" t="n"/>
      <c r="R3" s="379" t="n"/>
      <c r="S3" s="379" t="n"/>
      <c r="T3" s="379" t="n"/>
      <c r="U3" s="379" t="n"/>
      <c r="V3" s="379" t="n"/>
      <c r="W3" s="379" t="n"/>
      <c r="X3" s="379" t="n"/>
      <c r="Y3" s="379" t="n"/>
      <c r="Z3" s="379" t="n"/>
      <c r="AA3" s="379" t="n"/>
      <c r="AB3" s="379" t="n"/>
      <c r="AC3" s="379" t="n"/>
      <c r="AD3" s="379" t="n"/>
      <c r="AE3" s="379" t="n"/>
      <c r="AF3" s="379" t="n"/>
      <c r="AG3" s="379" t="n"/>
      <c r="AH3" s="379" t="n"/>
      <c r="AI3" s="379" t="n"/>
      <c r="AJ3" s="379" t="n"/>
      <c r="AK3" s="379" t="n"/>
      <c r="AL3" s="379" t="n"/>
      <c r="AM3" s="379" t="n"/>
      <c r="AN3" s="379" t="n"/>
      <c r="AO3" s="379" t="n"/>
      <c r="AP3" s="379" t="n"/>
      <c r="AQ3" s="379" t="n"/>
      <c r="AR3" s="379" t="n"/>
      <c r="AS3" s="379" t="n"/>
      <c r="AT3" s="379" t="n"/>
      <c r="AU3" s="379" t="n"/>
    </row>
    <row r="4" ht="18" customHeight="1" s="192">
      <c r="A4" s="379" t="n"/>
      <c r="B4" s="379" t="n"/>
      <c r="C4" s="379" t="n"/>
      <c r="D4" s="379" t="n"/>
      <c r="E4" s="379" t="n"/>
      <c r="F4" s="379" t="n"/>
      <c r="G4" s="379" t="n"/>
      <c r="H4" s="379" t="n"/>
      <c r="I4" s="379" t="n"/>
      <c r="J4" s="379" t="n"/>
      <c r="K4" s="379" t="n"/>
      <c r="L4" s="379" t="n"/>
      <c r="M4" s="379" t="n"/>
      <c r="N4" s="379" t="n"/>
      <c r="O4" s="379" t="n"/>
      <c r="P4" s="379" t="n"/>
      <c r="Q4" s="379" t="n"/>
      <c r="R4" s="379" t="n"/>
      <c r="S4" s="379" t="n"/>
      <c r="T4" s="379" t="n"/>
      <c r="U4" s="379" t="n"/>
      <c r="V4" s="379" t="n"/>
      <c r="W4" s="379" t="n"/>
      <c r="X4" s="379" t="n"/>
      <c r="Y4" s="379" t="n"/>
      <c r="Z4" s="379" t="n"/>
      <c r="AA4" s="379" t="n"/>
      <c r="AB4" s="379" t="n"/>
      <c r="AC4" s="379" t="n"/>
      <c r="AD4" s="379" t="n"/>
      <c r="AE4" s="379" t="n"/>
      <c r="AF4" s="379" t="n"/>
      <c r="AG4" s="379" t="n"/>
      <c r="AH4" s="379" t="n"/>
      <c r="AI4" s="379" t="n"/>
      <c r="AJ4" s="379" t="n"/>
      <c r="AK4" s="379" t="n"/>
      <c r="AL4" s="379" t="n"/>
      <c r="AM4" s="379" t="n"/>
      <c r="AN4" s="379" t="n"/>
      <c r="AO4" s="379" t="n"/>
      <c r="AP4" s="379" t="n"/>
      <c r="AQ4" s="379" t="n"/>
      <c r="AR4" s="379" t="n"/>
      <c r="AS4" s="379" t="n"/>
      <c r="AT4" s="379" t="n"/>
      <c r="AU4" s="379" t="n"/>
    </row>
    <row r="5" ht="18" customHeight="1" s="192">
      <c r="A5" s="379" t="n"/>
      <c r="B5" s="379" t="n"/>
      <c r="C5" s="379" t="n"/>
      <c r="D5" s="379" t="n"/>
      <c r="E5" s="379" t="n"/>
      <c r="F5" s="379" t="n"/>
      <c r="G5" s="379" t="n"/>
      <c r="H5" s="379" t="n"/>
      <c r="I5" s="379" t="n"/>
      <c r="J5" s="379" t="n"/>
      <c r="K5" s="379" t="n"/>
      <c r="L5" s="379" t="n"/>
      <c r="M5" s="379" t="n"/>
      <c r="N5" s="379" t="n"/>
      <c r="O5" s="379" t="n"/>
      <c r="P5" s="379" t="n"/>
      <c r="Q5" s="379" t="n"/>
      <c r="R5" s="379" t="n"/>
      <c r="S5" s="379" t="n"/>
      <c r="T5" s="379" t="n"/>
      <c r="U5" s="379" t="n"/>
      <c r="V5" s="379" t="n"/>
      <c r="W5" s="379" t="n"/>
      <c r="X5" s="379" t="n"/>
      <c r="Y5" s="379" t="n"/>
      <c r="Z5" s="379" t="n"/>
      <c r="AA5" s="379" t="n"/>
      <c r="AB5" s="379" t="n"/>
      <c r="AC5" s="379" t="n"/>
      <c r="AD5" s="379" t="n"/>
      <c r="AE5" s="379" t="n"/>
      <c r="AF5" s="379" t="n"/>
      <c r="AG5" s="379" t="n"/>
      <c r="AH5" s="379" t="n"/>
      <c r="AI5" s="379" t="n"/>
      <c r="AJ5" s="379" t="n"/>
      <c r="AK5" s="379" t="n"/>
      <c r="AL5" s="379" t="n"/>
      <c r="AM5" s="379" t="n"/>
      <c r="AN5" s="379" t="n"/>
      <c r="AO5" s="379" t="n"/>
      <c r="AP5" s="379" t="n"/>
      <c r="AQ5" s="379" t="n"/>
      <c r="AR5" s="379" t="n"/>
      <c r="AS5" s="379" t="n"/>
      <c r="AT5" s="379" t="n"/>
      <c r="AU5" s="379" t="n"/>
    </row>
    <row r="6" ht="18" customHeight="1" s="192">
      <c r="A6" s="379" t="n"/>
      <c r="B6" s="379" t="n"/>
      <c r="C6" s="379" t="n"/>
      <c r="D6" s="379" t="n"/>
      <c r="E6" s="379" t="n"/>
      <c r="F6" s="379" t="n"/>
      <c r="G6" s="379" t="n"/>
      <c r="H6" s="379" t="n"/>
      <c r="I6" s="379" t="n"/>
      <c r="J6" s="379" t="n"/>
      <c r="K6" s="379" t="n"/>
      <c r="L6" s="379" t="n"/>
      <c r="M6" s="379" t="n"/>
      <c r="N6" s="379" t="n"/>
      <c r="O6" s="379" t="n"/>
      <c r="P6" s="379" t="n"/>
      <c r="Q6" s="379" t="n"/>
      <c r="R6" s="379" t="n"/>
      <c r="S6" s="379" t="n"/>
      <c r="T6" s="379" t="n"/>
      <c r="U6" s="379" t="n"/>
      <c r="V6" s="379" t="n"/>
      <c r="W6" s="379" t="n"/>
      <c r="X6" s="379" t="n"/>
      <c r="Y6" s="379" t="n"/>
      <c r="Z6" s="379" t="n"/>
      <c r="AA6" s="379" t="n"/>
      <c r="AB6" s="379" t="n"/>
      <c r="AC6" s="379" t="n"/>
      <c r="AD6" s="379" t="n"/>
      <c r="AE6" s="379" t="n"/>
      <c r="AF6" s="379" t="n"/>
      <c r="AG6" s="379" t="n"/>
      <c r="AH6" s="379" t="n"/>
      <c r="AI6" s="379" t="n"/>
      <c r="AJ6" s="379" t="n"/>
      <c r="AK6" s="379" t="n"/>
      <c r="AL6" s="379" t="n"/>
      <c r="AM6" s="379" t="n"/>
      <c r="AN6" s="379" t="n"/>
      <c r="AO6" s="379" t="n"/>
      <c r="AP6" s="379" t="n"/>
      <c r="AQ6" s="379" t="n"/>
      <c r="AR6" s="379" t="n"/>
      <c r="AS6" s="379" t="n"/>
      <c r="AT6" s="379" t="n"/>
      <c r="AU6" s="379" t="n"/>
    </row>
    <row r="7" ht="18" customHeight="1" s="192">
      <c r="A7" s="379" t="n"/>
      <c r="B7" s="379" t="n"/>
      <c r="C7" s="379" t="n"/>
      <c r="D7" s="401" t="n"/>
      <c r="E7" s="379" t="n"/>
      <c r="F7" s="355" t="n"/>
      <c r="G7" s="379" t="n"/>
      <c r="H7" s="379" t="n"/>
      <c r="I7" s="379" t="n"/>
      <c r="J7" s="379" t="n"/>
      <c r="K7" s="379" t="n"/>
      <c r="L7" s="379" t="n"/>
      <c r="M7" s="379" t="n"/>
      <c r="N7" s="379" t="n"/>
      <c r="O7" s="379" t="n"/>
      <c r="P7" s="379" t="n"/>
      <c r="Q7" s="379" t="n"/>
      <c r="R7" s="379" t="n"/>
      <c r="S7" s="379" t="n"/>
      <c r="T7" s="379" t="n"/>
      <c r="U7" s="379" t="n"/>
      <c r="V7" s="379" t="n"/>
      <c r="W7" s="379" t="n"/>
      <c r="X7" s="379" t="n"/>
      <c r="Y7" s="379" t="n"/>
      <c r="Z7" s="379" t="n"/>
      <c r="AA7" s="379" t="n"/>
      <c r="AB7" s="379" t="n"/>
      <c r="AC7" s="379" t="n"/>
      <c r="AD7" s="379" t="n"/>
      <c r="AE7" s="379" t="n"/>
      <c r="AF7" s="379" t="n"/>
      <c r="AG7" s="379" t="n"/>
      <c r="AH7" s="379" t="n"/>
      <c r="AI7" s="379" t="n"/>
      <c r="AJ7" s="379" t="n"/>
      <c r="AK7" s="379" t="n"/>
      <c r="AL7" s="379" t="n"/>
      <c r="AM7" s="379" t="n"/>
      <c r="AN7" s="379" t="n"/>
      <c r="AO7" s="379" t="n"/>
      <c r="AP7" s="379" t="n"/>
      <c r="AQ7" s="379" t="n"/>
      <c r="AR7" s="379" t="n"/>
      <c r="AS7" s="379" t="n"/>
      <c r="AT7" s="379" t="n"/>
      <c r="AU7" s="379" t="n"/>
    </row>
    <row r="8" ht="18" customHeight="1" s="192">
      <c r="A8" s="379" t="n"/>
      <c r="B8" s="379" t="n"/>
      <c r="C8" s="379" t="n"/>
      <c r="D8" s="379" t="n"/>
      <c r="E8" s="402" t="n"/>
      <c r="F8" s="403" t="n"/>
      <c r="G8" s="379" t="n"/>
      <c r="H8" s="379" t="n"/>
      <c r="I8" s="379" t="n"/>
      <c r="J8" s="379" t="n"/>
      <c r="K8" s="379" t="n"/>
      <c r="L8" s="379" t="n"/>
      <c r="M8" s="379" t="n"/>
      <c r="N8" s="379" t="n"/>
      <c r="O8" s="379" t="n"/>
      <c r="P8" s="379" t="n"/>
      <c r="Q8" s="379" t="n"/>
      <c r="R8" s="379" t="n"/>
      <c r="S8" s="379" t="n"/>
      <c r="T8" s="379" t="n"/>
      <c r="U8" s="379" t="n"/>
      <c r="V8" s="379" t="n"/>
      <c r="W8" s="379" t="n"/>
      <c r="X8" s="379" t="n"/>
      <c r="Y8" s="379" t="n"/>
      <c r="Z8" s="379" t="n"/>
      <c r="AA8" s="379" t="n"/>
      <c r="AB8" s="379" t="n"/>
      <c r="AC8" s="379" t="n"/>
      <c r="AD8" s="379" t="n"/>
      <c r="AE8" s="379" t="n"/>
      <c r="AF8" s="379" t="n"/>
      <c r="AG8" s="379" t="n"/>
      <c r="AH8" s="379" t="n"/>
      <c r="AI8" s="379" t="n"/>
      <c r="AJ8" s="379" t="n"/>
      <c r="AK8" s="379" t="n"/>
      <c r="AL8" s="379" t="n"/>
      <c r="AM8" s="379" t="n"/>
      <c r="AN8" s="379" t="n"/>
      <c r="AO8" s="379" t="n"/>
      <c r="AP8" s="379" t="n"/>
      <c r="AQ8" s="379" t="n"/>
      <c r="AR8" s="379" t="n"/>
      <c r="AS8" s="379" t="n"/>
      <c r="AT8" s="379" t="n"/>
      <c r="AU8" s="379" t="n"/>
    </row>
    <row r="9" ht="18" customHeight="1" s="192">
      <c r="A9" s="379" t="n"/>
      <c r="B9" s="379" t="n"/>
      <c r="C9" s="379" t="n"/>
      <c r="D9" s="379" t="n"/>
      <c r="E9" s="379" t="n"/>
      <c r="F9" s="379" t="n"/>
      <c r="G9" s="379" t="n"/>
      <c r="H9" s="379" t="n"/>
      <c r="I9" s="379" t="n"/>
      <c r="J9" s="379" t="n"/>
      <c r="K9" s="379" t="n"/>
      <c r="L9" s="379" t="n"/>
      <c r="M9" s="379" t="n"/>
      <c r="N9" s="379" t="n"/>
      <c r="O9" s="379" t="n"/>
      <c r="P9" s="379" t="n"/>
      <c r="Q9" s="379" t="n"/>
      <c r="R9" s="379" t="n"/>
      <c r="S9" s="379" t="n"/>
      <c r="T9" s="379" t="n"/>
      <c r="U9" s="379" t="n"/>
      <c r="V9" s="379" t="n"/>
      <c r="W9" s="379" t="n"/>
      <c r="X9" s="379" t="n"/>
      <c r="Y9" s="379" t="n"/>
      <c r="Z9" s="379" t="n"/>
      <c r="AA9" s="355">
        <f>'2-建设规模换算'!C24</f>
        <v/>
      </c>
      <c r="AB9" s="379" t="n"/>
      <c r="AC9" s="379" t="n"/>
      <c r="AD9" s="379" t="n"/>
      <c r="AE9" s="379" t="n"/>
      <c r="AF9" s="379" t="n"/>
      <c r="AG9" s="379" t="n"/>
      <c r="AH9" s="355">
        <f>'2-建设规模换算'!C25</f>
        <v/>
      </c>
      <c r="AI9" s="379" t="n"/>
      <c r="AJ9" s="379" t="n"/>
      <c r="AK9" s="379" t="n"/>
      <c r="AL9" s="379" t="n"/>
      <c r="AM9" s="379" t="n"/>
      <c r="AN9" s="379" t="n"/>
      <c r="AO9" s="379" t="n"/>
      <c r="AP9" s="379" t="n"/>
      <c r="AQ9" s="379" t="n"/>
      <c r="AR9" s="379" t="n"/>
      <c r="AS9" s="355">
        <f>'2-建设规模换算'!C26</f>
        <v/>
      </c>
      <c r="AT9" s="379" t="n"/>
      <c r="AU9" s="379" t="n"/>
    </row>
    <row r="10" ht="18" customHeight="1" s="192">
      <c r="A10" s="379" t="n"/>
      <c r="B10" s="379" t="n"/>
      <c r="C10" s="379" t="n"/>
      <c r="D10" s="379" t="n"/>
      <c r="E10" s="379" t="n"/>
      <c r="F10" s="379" t="n"/>
      <c r="G10" s="379" t="n"/>
      <c r="H10" s="379" t="n"/>
      <c r="I10" s="379" t="n"/>
      <c r="J10" s="379" t="n"/>
      <c r="K10" s="379" t="n"/>
      <c r="L10" s="379" t="n"/>
      <c r="M10" s="379" t="n"/>
      <c r="N10" s="379" t="n"/>
      <c r="O10" s="379" t="n"/>
      <c r="P10" s="379" t="n"/>
      <c r="Q10" s="379" t="n"/>
      <c r="R10" s="379" t="n"/>
      <c r="S10" s="379" t="n"/>
      <c r="T10" s="379" t="n"/>
      <c r="U10" s="379" t="n"/>
      <c r="V10" s="379" t="n"/>
      <c r="W10" s="379" t="n"/>
      <c r="X10" s="379" t="n"/>
      <c r="Y10" s="379" t="n"/>
      <c r="Z10" s="355" t="inlineStr">
        <is>
          <t>新增</t>
        </is>
      </c>
      <c r="AA10" s="404">
        <f>'2-建设规模换算'!E24</f>
        <v/>
      </c>
      <c r="AB10" s="379" t="n"/>
      <c r="AC10" s="379" t="n"/>
      <c r="AD10" s="379" t="n"/>
      <c r="AE10" s="379" t="n"/>
      <c r="AF10" s="379" t="n"/>
      <c r="AG10" s="355" t="inlineStr">
        <is>
          <t>新增</t>
        </is>
      </c>
      <c r="AH10" s="404">
        <f>'2-建设规模换算'!E25</f>
        <v/>
      </c>
      <c r="AI10" s="379" t="n"/>
      <c r="AJ10" s="379" t="n"/>
      <c r="AK10" s="379" t="n"/>
      <c r="AL10" s="379" t="n"/>
      <c r="AM10" s="379" t="n"/>
      <c r="AN10" s="379" t="n"/>
      <c r="AO10" s="379" t="n"/>
      <c r="AP10" s="379" t="n"/>
      <c r="AQ10" s="379" t="n"/>
      <c r="AR10" s="355" t="inlineStr">
        <is>
          <t>新增</t>
        </is>
      </c>
      <c r="AS10" s="404">
        <f>'2-建设规模换算'!E26</f>
        <v/>
      </c>
      <c r="AT10" s="379" t="n"/>
      <c r="AU10" s="379" t="n"/>
    </row>
    <row r="11" ht="18" customHeight="1" s="192">
      <c r="A11" s="379" t="n"/>
      <c r="B11" s="379" t="n"/>
      <c r="C11" s="379" t="n"/>
      <c r="D11" s="379" t="n"/>
      <c r="E11" s="379" t="n"/>
      <c r="F11" s="379" t="n"/>
      <c r="G11" s="379" t="n"/>
      <c r="H11" s="402" t="n"/>
      <c r="I11" s="379" t="n"/>
      <c r="J11" s="379" t="n"/>
      <c r="K11" s="379" t="n"/>
      <c r="L11" s="379" t="n"/>
      <c r="M11" s="379" t="n"/>
      <c r="N11" s="379" t="n"/>
      <c r="O11" s="379" t="n"/>
      <c r="P11" s="379" t="n"/>
      <c r="Q11" s="379" t="n"/>
      <c r="R11" s="379" t="n"/>
      <c r="S11" s="379" t="n"/>
      <c r="T11" s="379" t="n"/>
      <c r="U11" s="379" t="n"/>
      <c r="V11" s="379" t="n"/>
      <c r="W11" s="379" t="n"/>
      <c r="X11" s="379" t="n"/>
      <c r="Y11" s="379" t="n"/>
      <c r="Z11" s="371" t="inlineStr">
        <is>
          <t>上行40G多模</t>
        </is>
      </c>
      <c r="AA11" s="404">
        <f>AA10*2</f>
        <v/>
      </c>
      <c r="AB11" s="379" t="n"/>
      <c r="AC11" s="379" t="n"/>
      <c r="AD11" s="379" t="n"/>
      <c r="AE11" s="379" t="n"/>
      <c r="AF11" s="379" t="n"/>
      <c r="AG11" s="371" t="inlineStr">
        <is>
          <t>上行10G多模</t>
        </is>
      </c>
      <c r="AH11" s="404">
        <f>AH10*2</f>
        <v/>
      </c>
      <c r="AI11" s="379" t="n"/>
      <c r="AJ11" s="379" t="n"/>
      <c r="AK11" s="379" t="n"/>
      <c r="AL11" s="379" t="n"/>
      <c r="AM11" s="379" t="n"/>
      <c r="AN11" s="379" t="n"/>
      <c r="AO11" s="379" t="n"/>
      <c r="AP11" s="379" t="n"/>
      <c r="AQ11" s="379" t="n"/>
      <c r="AR11" s="371" t="inlineStr">
        <is>
          <t>上行10G多模</t>
        </is>
      </c>
      <c r="AS11" s="404">
        <f>AS10*2</f>
        <v/>
      </c>
      <c r="AT11" s="379" t="n"/>
      <c r="AU11" s="379" t="n"/>
    </row>
    <row r="12" ht="18" customHeight="1" s="192">
      <c r="A12" s="379" t="n"/>
      <c r="B12" s="379" t="n"/>
      <c r="C12" s="379" t="n"/>
      <c r="D12" s="379" t="n"/>
      <c r="E12" s="379" t="n"/>
      <c r="F12" s="379" t="n"/>
      <c r="G12" s="379" t="n"/>
      <c r="H12" s="379" t="n"/>
      <c r="I12" s="379" t="n"/>
      <c r="J12" s="379" t="n"/>
      <c r="K12" s="379" t="n"/>
      <c r="L12" s="379" t="n"/>
      <c r="M12" s="379" t="n"/>
      <c r="N12" s="379" t="n"/>
      <c r="O12" s="379" t="n"/>
      <c r="P12" s="379" t="n"/>
      <c r="Q12" s="379" t="n"/>
      <c r="R12" s="379" t="n"/>
      <c r="S12" s="379" t="n"/>
      <c r="T12" s="379" t="n"/>
      <c r="U12" s="379" t="n"/>
      <c r="V12" s="379" t="n"/>
      <c r="W12" s="379" t="n"/>
      <c r="X12" s="379" t="n"/>
      <c r="Y12" s="379" t="n"/>
      <c r="Z12" s="371" t="inlineStr">
        <is>
          <t>下行10G多模</t>
        </is>
      </c>
      <c r="AA12" s="404">
        <f>(W20+AA20)*2</f>
        <v/>
      </c>
      <c r="AB12" s="379" t="n"/>
      <c r="AC12" s="379" t="n"/>
      <c r="AD12" s="379" t="n"/>
      <c r="AE12" s="379" t="n"/>
      <c r="AF12" s="379" t="n"/>
      <c r="AG12" s="371" t="inlineStr">
        <is>
          <t>下行GE</t>
        </is>
      </c>
      <c r="AH12" s="404">
        <f>(W20+AA20+AD20+AF20)</f>
        <v/>
      </c>
      <c r="AI12" s="379" t="n"/>
      <c r="AJ12" s="379" t="n"/>
      <c r="AK12" s="379" t="n"/>
      <c r="AL12" s="379" t="n"/>
      <c r="AM12" s="379" t="n"/>
      <c r="AN12" s="379" t="n"/>
      <c r="AO12" s="379" t="n"/>
      <c r="AP12" s="379" t="n"/>
      <c r="AQ12" s="379" t="n"/>
      <c r="AR12" s="371" t="inlineStr">
        <is>
          <t>下行GE</t>
        </is>
      </c>
      <c r="AS12" s="404">
        <f>(AI20+AL20+AO20+AR20+AU20)</f>
        <v/>
      </c>
      <c r="AT12" s="379" t="n"/>
      <c r="AU12" s="379" t="n"/>
    </row>
    <row r="13" ht="18" customHeight="1" s="192">
      <c r="A13" s="379" t="n"/>
      <c r="B13" s="379" t="n"/>
      <c r="C13" s="379" t="n"/>
      <c r="D13" s="379" t="n"/>
      <c r="E13" s="379" t="n"/>
      <c r="F13" s="379" t="n"/>
      <c r="G13" s="379" t="n"/>
      <c r="H13" s="379" t="n"/>
      <c r="I13" s="379" t="n"/>
      <c r="J13" s="379" t="n"/>
      <c r="K13" s="379" t="n"/>
      <c r="L13" s="379" t="n"/>
      <c r="M13" s="379" t="n"/>
      <c r="N13" s="379" t="n"/>
      <c r="O13" s="379" t="n"/>
      <c r="P13" s="379" t="n"/>
      <c r="Q13" s="379" t="n"/>
      <c r="R13" s="379" t="n"/>
      <c r="S13" s="379" t="n"/>
      <c r="T13" s="379" t="n"/>
      <c r="U13" s="379" t="n"/>
      <c r="V13" s="379" t="n"/>
      <c r="W13" s="355" t="n"/>
      <c r="X13" s="379" t="n"/>
      <c r="Y13" s="379" t="n"/>
      <c r="Z13" s="379" t="n"/>
      <c r="AA13" s="379" t="n"/>
      <c r="AB13" s="379" t="n"/>
      <c r="AC13" s="379" t="n"/>
      <c r="AD13" s="379" t="n"/>
      <c r="AE13" s="379" t="n"/>
      <c r="AF13" s="379" t="n"/>
      <c r="AG13" s="379" t="n"/>
      <c r="AH13" s="379" t="n"/>
      <c r="AI13" s="379" t="n"/>
      <c r="AJ13" s="379" t="n"/>
      <c r="AK13" s="379" t="n"/>
      <c r="AL13" s="379" t="n"/>
      <c r="AM13" s="379" t="n"/>
      <c r="AN13" s="379" t="n"/>
      <c r="AO13" s="379" t="n"/>
      <c r="AP13" s="379" t="n"/>
      <c r="AQ13" s="379" t="n"/>
      <c r="AR13" s="379" t="n"/>
      <c r="AS13" s="379" t="n"/>
      <c r="AT13" s="379" t="n"/>
      <c r="AU13" s="379" t="n"/>
    </row>
    <row r="14" ht="18" customHeight="1" s="192">
      <c r="A14" s="355" t="n"/>
      <c r="B14" s="355">
        <f>'2-建设规模换算'!C23</f>
        <v/>
      </c>
      <c r="C14" s="379" t="n"/>
      <c r="D14" s="405" t="n"/>
      <c r="E14" s="379" t="n"/>
      <c r="F14" s="379" t="n"/>
      <c r="G14" s="355">
        <f>'2-建设规模换算'!C13</f>
        <v/>
      </c>
      <c r="H14" s="379" t="n"/>
      <c r="I14" s="405" t="n"/>
      <c r="J14" s="379" t="n"/>
      <c r="K14" s="379" t="n"/>
      <c r="L14" s="355">
        <f>'2-建设规模换算'!C23</f>
        <v/>
      </c>
      <c r="M14" s="379" t="n"/>
      <c r="N14" s="405" t="n"/>
      <c r="O14" s="379" t="n"/>
      <c r="P14" s="379" t="n"/>
      <c r="Q14" s="355">
        <f>'2-建设规模换算'!C23</f>
        <v/>
      </c>
      <c r="R14" s="379" t="n"/>
      <c r="S14" s="405" t="n"/>
      <c r="T14" s="379" t="n"/>
      <c r="U14" s="379" t="n"/>
      <c r="V14" s="379" t="n"/>
      <c r="W14" s="355" t="n"/>
      <c r="X14" s="379" t="n"/>
      <c r="Y14" s="379" t="n"/>
      <c r="Z14" s="379" t="n"/>
      <c r="AA14" s="355" t="n"/>
      <c r="AB14" s="379" t="n"/>
      <c r="AC14" s="379" t="n"/>
      <c r="AD14" s="379" t="n"/>
      <c r="AE14" s="355" t="n"/>
      <c r="AF14" s="379" t="n"/>
      <c r="AG14" s="379" t="n"/>
      <c r="AH14" s="355" t="n"/>
      <c r="AI14" s="379" t="n"/>
      <c r="AJ14" s="379" t="n"/>
      <c r="AK14" s="379" t="n"/>
      <c r="AL14" s="379" t="n"/>
      <c r="AM14" s="379" t="n"/>
      <c r="AN14" s="379" t="n"/>
      <c r="AO14" s="355" t="n"/>
      <c r="AP14" s="379" t="n"/>
      <c r="AQ14" s="379" t="n"/>
      <c r="AR14" s="379" t="n"/>
      <c r="AS14" s="379" t="n"/>
      <c r="AT14" s="379" t="n"/>
      <c r="AU14" s="379" t="n"/>
    </row>
    <row r="15" ht="18" customHeight="1" s="192">
      <c r="A15" s="355" t="inlineStr">
        <is>
          <t>新增</t>
        </is>
      </c>
      <c r="B15" s="404" t="n">
        <v>2</v>
      </c>
      <c r="C15" s="379" t="n"/>
      <c r="D15" s="379" t="n"/>
      <c r="E15" s="402" t="n"/>
      <c r="F15" s="355" t="inlineStr">
        <is>
          <t>新增</t>
        </is>
      </c>
      <c r="G15" s="404">
        <f>2*CEILING('2-建设规模换算'!E6/40,1)</f>
        <v/>
      </c>
      <c r="H15" s="379" t="n"/>
      <c r="I15" s="379" t="n"/>
      <c r="J15" s="379" t="n"/>
      <c r="K15" s="355" t="inlineStr">
        <is>
          <t>新增</t>
        </is>
      </c>
      <c r="L15" s="404">
        <f>2*CEILING('2-建设规模换算'!E7/40,1)</f>
        <v/>
      </c>
      <c r="M15" s="379" t="n"/>
      <c r="N15" s="379" t="n"/>
      <c r="O15" s="379" t="n"/>
      <c r="P15" s="355" t="inlineStr">
        <is>
          <t>新增</t>
        </is>
      </c>
      <c r="Q15" s="404" t="n">
        <v>2</v>
      </c>
      <c r="R15" s="379" t="n"/>
      <c r="S15" s="379" t="n"/>
      <c r="T15" s="379" t="n"/>
      <c r="U15" s="379" t="n"/>
      <c r="V15" s="355" t="n"/>
      <c r="W15" s="355" t="n"/>
      <c r="X15" s="379" t="n"/>
      <c r="Y15" s="379" t="n"/>
      <c r="Z15" s="355" t="n"/>
      <c r="AA15" s="379" t="n"/>
      <c r="AB15" s="379" t="n"/>
      <c r="AC15" s="379" t="n"/>
      <c r="AD15" s="355" t="n"/>
      <c r="AE15" s="379" t="n"/>
      <c r="AF15" s="379" t="n"/>
      <c r="AG15" s="355" t="n"/>
      <c r="AH15" s="379" t="n"/>
      <c r="AI15" s="379" t="n"/>
      <c r="AJ15" s="379" t="n"/>
      <c r="AK15" s="379" t="n"/>
      <c r="AL15" s="379" t="n"/>
      <c r="AM15" s="379" t="n"/>
      <c r="AN15" s="355" t="n"/>
      <c r="AO15" s="379" t="n"/>
      <c r="AP15" s="379" t="n"/>
      <c r="AQ15" s="379" t="n"/>
      <c r="AR15" s="379" t="n"/>
      <c r="AS15" s="379" t="n"/>
      <c r="AT15" s="379" t="n"/>
      <c r="AU15" s="379" t="n"/>
    </row>
    <row r="16" ht="18" customHeight="1" s="192">
      <c r="A16" s="371" t="inlineStr">
        <is>
          <t>上行100G多模</t>
        </is>
      </c>
      <c r="B16" s="404">
        <f>B15*4</f>
        <v/>
      </c>
      <c r="C16" s="379" t="n"/>
      <c r="D16" s="379" t="n"/>
      <c r="E16" s="379" t="n"/>
      <c r="F16" s="371" t="inlineStr">
        <is>
          <t>上行100G多模</t>
        </is>
      </c>
      <c r="G16" s="404">
        <f>G15*4</f>
        <v/>
      </c>
      <c r="H16" s="379" t="n"/>
      <c r="I16" s="379" t="n"/>
      <c r="J16" s="379" t="n"/>
      <c r="K16" s="371" t="inlineStr">
        <is>
          <t>上行100G多模</t>
        </is>
      </c>
      <c r="L16" s="404">
        <f>L15*4</f>
        <v/>
      </c>
      <c r="M16" s="379" t="n"/>
      <c r="N16" s="379" t="n"/>
      <c r="O16" s="379" t="n"/>
      <c r="P16" s="371" t="inlineStr">
        <is>
          <t>上行100G多模</t>
        </is>
      </c>
      <c r="Q16" s="404">
        <f>Q15*4</f>
        <v/>
      </c>
      <c r="R16" s="379" t="n"/>
      <c r="S16" s="379" t="n"/>
      <c r="T16" s="379" t="n"/>
      <c r="U16" s="379" t="n"/>
      <c r="V16" s="379" t="n"/>
      <c r="W16" s="379" t="n"/>
      <c r="X16" s="379" t="n"/>
      <c r="Y16" s="379" t="n"/>
      <c r="Z16" s="379" t="n"/>
      <c r="AA16" s="379" t="n"/>
      <c r="AB16" s="379" t="n"/>
      <c r="AC16" s="379" t="n"/>
      <c r="AD16" s="379" t="n"/>
      <c r="AE16" s="379" t="n"/>
      <c r="AF16" s="379" t="n"/>
      <c r="AG16" s="379" t="n"/>
      <c r="AH16" s="379" t="n"/>
      <c r="AI16" s="379" t="n"/>
      <c r="AJ16" s="379" t="n"/>
      <c r="AK16" s="379" t="n"/>
      <c r="AL16" s="379" t="n"/>
      <c r="AM16" s="379" t="n"/>
      <c r="AN16" s="379" t="n"/>
      <c r="AO16" s="379" t="n"/>
      <c r="AP16" s="379" t="n"/>
      <c r="AQ16" s="379" t="n"/>
      <c r="AR16" s="379" t="n"/>
      <c r="AS16" s="379" t="n"/>
      <c r="AT16" s="379" t="n"/>
      <c r="AU16" s="379" t="n"/>
    </row>
    <row r="17" ht="18" customHeight="1" s="192">
      <c r="A17" s="371" t="inlineStr">
        <is>
          <t>下行25GE多模</t>
        </is>
      </c>
      <c r="B17" s="404">
        <f>E20*2</f>
        <v/>
      </c>
      <c r="C17" s="379" t="n"/>
      <c r="D17" s="379" t="n"/>
      <c r="E17" s="379" t="n"/>
      <c r="F17" s="371" t="inlineStr">
        <is>
          <t>下行25GE多模</t>
        </is>
      </c>
      <c r="G17" s="404">
        <f>G21*2</f>
        <v/>
      </c>
      <c r="H17" s="355" t="n"/>
      <c r="I17" s="379" t="n"/>
      <c r="J17" s="379" t="n"/>
      <c r="K17" s="371" t="inlineStr">
        <is>
          <t>下行25GE多模</t>
        </is>
      </c>
      <c r="L17" s="404">
        <f>O20*2</f>
        <v/>
      </c>
      <c r="M17" s="379" t="n"/>
      <c r="N17" s="379" t="n"/>
      <c r="O17" s="379" t="n"/>
      <c r="P17" s="371" t="inlineStr">
        <is>
          <t>下行25GE多模</t>
        </is>
      </c>
      <c r="Q17" s="404">
        <f>T20*2</f>
        <v/>
      </c>
      <c r="R17" s="379" t="n"/>
      <c r="S17" s="379" t="n"/>
      <c r="T17" s="379" t="n"/>
      <c r="U17" s="379" t="n"/>
      <c r="V17" s="379" t="n"/>
      <c r="W17" s="379" t="n"/>
      <c r="X17" s="379" t="n"/>
      <c r="Y17" s="379" t="n"/>
      <c r="Z17" s="379" t="n"/>
      <c r="AA17" s="379" t="n"/>
      <c r="AB17" s="379" t="n"/>
      <c r="AC17" s="379" t="n"/>
      <c r="AD17" s="379" t="n"/>
      <c r="AE17" s="379" t="n"/>
      <c r="AF17" s="379" t="n"/>
      <c r="AG17" s="379" t="n"/>
      <c r="AH17" s="379" t="n"/>
      <c r="AI17" s="379" t="n"/>
      <c r="AJ17" s="379" t="n"/>
      <c r="AK17" s="379" t="n"/>
      <c r="AL17" s="379" t="n"/>
      <c r="AM17" s="379" t="n"/>
      <c r="AN17" s="379" t="n"/>
      <c r="AO17" s="379" t="n"/>
      <c r="AP17" s="379" t="n"/>
      <c r="AQ17" s="379" t="n"/>
      <c r="AR17" s="379" t="n"/>
      <c r="AS17" s="379" t="n"/>
      <c r="AT17" s="379" t="n"/>
      <c r="AU17" s="379" t="n"/>
    </row>
    <row r="18" ht="18" customHeight="1" s="192">
      <c r="A18" s="371" t="n"/>
      <c r="B18" s="379" t="n"/>
      <c r="C18" s="379" t="n"/>
      <c r="D18" s="379" t="n"/>
      <c r="E18" s="379" t="n"/>
      <c r="F18" s="379" t="n"/>
      <c r="G18" s="379" t="n"/>
      <c r="H18" s="379" t="n"/>
      <c r="I18" s="379" t="n"/>
      <c r="J18" s="379" t="n"/>
      <c r="K18" s="379" t="n"/>
      <c r="L18" s="379" t="n"/>
      <c r="M18" s="379" t="n"/>
      <c r="N18" s="379" t="n"/>
      <c r="O18" s="379" t="n"/>
      <c r="P18" s="379" t="n"/>
      <c r="Q18" s="379" t="n"/>
      <c r="R18" s="379" t="n"/>
      <c r="S18" s="379" t="n"/>
      <c r="T18" s="379" t="n"/>
      <c r="U18" s="379" t="n"/>
      <c r="V18" s="379" t="n"/>
      <c r="W18" s="379" t="n"/>
      <c r="X18" s="379" t="n"/>
      <c r="Y18" s="379" t="n"/>
      <c r="Z18" s="379" t="n"/>
      <c r="AA18" s="379" t="n"/>
      <c r="AB18" s="379" t="n"/>
      <c r="AC18" s="379" t="n"/>
      <c r="AD18" s="379" t="n"/>
      <c r="AE18" s="379" t="n"/>
      <c r="AF18" s="379" t="n"/>
      <c r="AG18" s="379" t="n"/>
      <c r="AH18" s="379" t="n"/>
      <c r="AI18" s="379" t="n"/>
      <c r="AJ18" s="379" t="n"/>
      <c r="AK18" s="379" t="n"/>
      <c r="AL18" s="379" t="n"/>
      <c r="AM18" s="379" t="n"/>
      <c r="AN18" s="379" t="n"/>
      <c r="AO18" s="379" t="n"/>
      <c r="AP18" s="379" t="n"/>
      <c r="AQ18" s="379" t="n"/>
      <c r="AR18" s="379" t="n"/>
      <c r="AS18" s="379" t="n"/>
      <c r="AT18" s="379" t="n"/>
      <c r="AU18" s="379" t="n"/>
    </row>
    <row r="19" ht="18" customHeight="1" s="192">
      <c r="A19" s="379" t="n"/>
      <c r="B19" s="379" t="n"/>
      <c r="C19" s="379" t="n"/>
      <c r="D19" s="379" t="n"/>
      <c r="E19" s="379" t="n"/>
      <c r="F19" s="379" t="n"/>
      <c r="G19" s="379" t="n"/>
      <c r="H19" s="379" t="n"/>
      <c r="I19" s="379" t="n"/>
      <c r="J19" s="379" t="n"/>
      <c r="K19" s="379" t="n"/>
      <c r="L19" s="379" t="n"/>
      <c r="M19" s="379" t="n"/>
      <c r="N19" s="379" t="n"/>
      <c r="O19" s="355" t="n"/>
      <c r="P19" s="379" t="n"/>
      <c r="Q19" s="379" t="n"/>
      <c r="R19" s="379" t="n"/>
      <c r="S19" s="379" t="n"/>
      <c r="T19" s="355" t="n"/>
      <c r="U19" s="379" t="n"/>
      <c r="V19" s="379" t="n"/>
      <c r="W19" s="379" t="n"/>
      <c r="X19" s="379" t="n"/>
      <c r="Y19" s="379" t="n"/>
      <c r="Z19" s="379" t="n"/>
      <c r="AA19" s="379" t="n"/>
      <c r="AB19" s="379" t="n"/>
      <c r="AC19" s="379" t="n"/>
      <c r="AD19" s="379" t="n"/>
      <c r="AE19" s="379" t="n"/>
      <c r="AF19" s="379" t="n"/>
      <c r="AG19" s="379" t="n"/>
      <c r="AH19" s="379" t="n"/>
      <c r="AI19" s="379" t="n"/>
      <c r="AJ19" s="379" t="n"/>
      <c r="AK19" s="379" t="n"/>
      <c r="AL19" s="379" t="n"/>
      <c r="AM19" s="379" t="n"/>
      <c r="AN19" s="379" t="n"/>
      <c r="AO19" s="379" t="n"/>
      <c r="AP19" s="379" t="n"/>
      <c r="AQ19" s="379" t="n"/>
      <c r="AR19" s="379" t="n"/>
      <c r="AS19" s="379" t="n"/>
      <c r="AT19" s="379" t="n"/>
      <c r="AU19" s="379" t="n"/>
    </row>
    <row r="20" ht="18" customHeight="1" s="192">
      <c r="A20" s="379" t="n"/>
      <c r="B20" s="355">
        <f>'2-建设规模换算'!C8</f>
        <v/>
      </c>
      <c r="C20" s="379" t="n"/>
      <c r="D20" s="379" t="n"/>
      <c r="E20" s="355">
        <f>'2-建设规模换算'!E8</f>
        <v/>
      </c>
      <c r="F20" s="379" t="n"/>
      <c r="G20" s="406" t="inlineStr">
        <is>
          <t>GPU服务器(扣卡)</t>
        </is>
      </c>
      <c r="H20" s="355" t="n"/>
      <c r="I20" s="379" t="n"/>
      <c r="J20" s="379" t="n"/>
      <c r="K20" s="355" t="n"/>
      <c r="L20" s="355">
        <f>'2-建设规模换算'!C7</f>
        <v/>
      </c>
      <c r="M20" s="379" t="n"/>
      <c r="N20" s="379" t="n"/>
      <c r="O20" s="355">
        <f>'2-建设规模换算'!E7</f>
        <v/>
      </c>
      <c r="P20" s="379" t="n"/>
      <c r="Q20" s="379" t="n"/>
      <c r="R20" s="355">
        <f>'2-建设规模换算'!C9</f>
        <v/>
      </c>
      <c r="S20" s="379" t="n"/>
      <c r="T20" s="355">
        <f>'2-建设规模换算'!E9</f>
        <v/>
      </c>
      <c r="U20" s="379" t="n"/>
      <c r="V20" s="355" t="inlineStr">
        <is>
          <t>智算服务器</t>
        </is>
      </c>
      <c r="W20" s="355">
        <f>G21</f>
        <v/>
      </c>
      <c r="X20" s="379" t="n"/>
      <c r="Y20" s="379" t="n"/>
      <c r="Z20" s="355">
        <f>L20</f>
        <v/>
      </c>
      <c r="AA20" s="355">
        <f>O20</f>
        <v/>
      </c>
      <c r="AB20" s="379" t="n"/>
      <c r="AC20" s="355">
        <f>B20</f>
        <v/>
      </c>
      <c r="AD20" s="355">
        <f>E20</f>
        <v/>
      </c>
      <c r="AE20" s="355">
        <f>R20</f>
        <v/>
      </c>
      <c r="AF20" s="355">
        <f>T20</f>
        <v/>
      </c>
      <c r="AG20" s="379" t="n"/>
      <c r="AH20" s="355">
        <f>Q14</f>
        <v/>
      </c>
      <c r="AI20" s="355">
        <f>Q15+L15+G15+B15</f>
        <v/>
      </c>
      <c r="AJ20" s="379" t="n"/>
      <c r="AK20" s="355">
        <f>F24</f>
        <v/>
      </c>
      <c r="AL20" s="355">
        <f>F25</f>
        <v/>
      </c>
      <c r="AM20" s="379" t="n"/>
      <c r="AN20" s="355">
        <f>F30</f>
        <v/>
      </c>
      <c r="AO20" s="355">
        <f>F31</f>
        <v/>
      </c>
      <c r="AP20" s="379" t="n"/>
      <c r="AQ20" s="355">
        <f>R2</f>
        <v/>
      </c>
      <c r="AR20" s="355">
        <f>S2</f>
        <v/>
      </c>
      <c r="AS20" s="379" t="n"/>
      <c r="AT20" s="355">
        <f>W2</f>
        <v/>
      </c>
      <c r="AU20" s="355">
        <f>X2</f>
        <v/>
      </c>
    </row>
    <row r="21" ht="18" customHeight="1" s="192">
      <c r="A21" s="379" t="n"/>
      <c r="B21" s="379" t="n"/>
      <c r="C21" s="379" t="n"/>
      <c r="D21" s="379" t="n"/>
      <c r="E21" s="379" t="n"/>
      <c r="F21" s="379" t="n"/>
      <c r="G21" s="355">
        <f>'2-建设规模换算'!E6</f>
        <v/>
      </c>
      <c r="H21" s="379" t="n"/>
      <c r="I21" s="379" t="n"/>
      <c r="J21" s="379" t="n"/>
      <c r="K21" s="379" t="n"/>
      <c r="L21" s="379" t="n"/>
      <c r="M21" s="355" t="n"/>
      <c r="N21" s="379" t="n"/>
      <c r="O21" s="355" t="n"/>
      <c r="P21" s="379" t="n"/>
      <c r="Q21" s="379" t="n"/>
      <c r="R21" s="355" t="n"/>
      <c r="S21" s="379" t="n"/>
      <c r="T21" s="355" t="n"/>
      <c r="U21" s="379" t="n"/>
      <c r="V21" s="379" t="n"/>
      <c r="W21" s="379" t="n"/>
      <c r="X21" s="379" t="n"/>
      <c r="Y21" s="379" t="n"/>
      <c r="Z21" s="379" t="n"/>
      <c r="AA21" s="379" t="n"/>
      <c r="AB21" s="379" t="n"/>
      <c r="AC21" s="379" t="n"/>
      <c r="AD21" s="379" t="n"/>
      <c r="AE21" s="379" t="n"/>
      <c r="AF21" s="379" t="n"/>
      <c r="AG21" s="379" t="n"/>
      <c r="AH21" s="379" t="n"/>
      <c r="AI21" s="379" t="n"/>
      <c r="AJ21" s="379" t="n"/>
      <c r="AK21" s="379" t="n"/>
      <c r="AL21" s="379" t="n"/>
      <c r="AM21" s="379" t="n"/>
      <c r="AN21" s="379" t="n"/>
      <c r="AO21" s="379" t="n"/>
      <c r="AP21" s="379" t="n"/>
      <c r="AQ21" s="379" t="n"/>
      <c r="AR21" s="379" t="n"/>
      <c r="AS21" s="379" t="n"/>
      <c r="AT21" s="379" t="n"/>
      <c r="AU21" s="379" t="n"/>
    </row>
    <row r="22" ht="18" customHeight="1" s="192">
      <c r="A22" s="407" t="n"/>
      <c r="B22" s="379" t="n"/>
      <c r="C22" s="379" t="n"/>
      <c r="D22" s="379" t="n"/>
      <c r="E22" s="379" t="n"/>
      <c r="F22" s="379" t="n"/>
      <c r="G22" s="379" t="n"/>
      <c r="H22" s="379" t="n"/>
      <c r="I22" s="379" t="n"/>
      <c r="J22" s="379" t="n"/>
      <c r="K22" s="379" t="n"/>
      <c r="L22" s="379" t="n"/>
      <c r="M22" s="379" t="n"/>
      <c r="N22" s="379" t="n"/>
      <c r="O22" s="379" t="n"/>
      <c r="P22" s="379" t="n"/>
      <c r="Q22" s="379" t="n"/>
      <c r="R22" s="379" t="n"/>
      <c r="S22" s="379" t="n"/>
      <c r="T22" s="379" t="n"/>
      <c r="U22" s="379" t="n"/>
      <c r="V22" s="379" t="n"/>
      <c r="W22" s="379" t="n"/>
      <c r="X22" s="379" t="n"/>
      <c r="Y22" s="379" t="n"/>
      <c r="Z22" s="379" t="n"/>
      <c r="AA22" s="379" t="n"/>
      <c r="AB22" s="379" t="n"/>
      <c r="AC22" s="379" t="n"/>
      <c r="AD22" s="379" t="n"/>
      <c r="AE22" s="379" t="n"/>
      <c r="AF22" s="379" t="n"/>
      <c r="AG22" s="379" t="n"/>
      <c r="AH22" s="379" t="n"/>
      <c r="AI22" s="379" t="n"/>
      <c r="AJ22" s="379" t="n"/>
      <c r="AK22" s="379" t="n"/>
      <c r="AL22" s="379" t="n"/>
      <c r="AM22" s="379" t="n"/>
      <c r="AN22" s="379" t="n"/>
      <c r="AO22" s="379" t="n"/>
      <c r="AP22" s="379" t="n"/>
      <c r="AQ22" s="379" t="n"/>
      <c r="AR22" s="379" t="n"/>
      <c r="AS22" s="379" t="n"/>
      <c r="AT22" s="379" t="n"/>
      <c r="AU22" s="379" t="n"/>
    </row>
    <row r="23" ht="18" customHeight="1" s="192">
      <c r="A23" s="379" t="n"/>
      <c r="B23" s="379" t="n"/>
      <c r="C23" s="379" t="n"/>
      <c r="D23" s="379" t="n"/>
      <c r="E23" s="379" t="n"/>
      <c r="F23" s="379" t="n"/>
      <c r="G23" s="379" t="n"/>
      <c r="H23" s="379" t="n"/>
      <c r="I23" s="379" t="n"/>
      <c r="J23" s="379" t="n"/>
      <c r="K23" s="379" t="n"/>
      <c r="L23" s="379" t="n"/>
      <c r="M23" s="379" t="n"/>
      <c r="N23" s="379" t="n"/>
      <c r="O23" s="379" t="n"/>
      <c r="P23" s="379" t="n"/>
      <c r="Q23" s="379" t="n"/>
      <c r="R23" s="406">
        <f>'2-建设规模换算'!C11</f>
        <v/>
      </c>
      <c r="S23" s="379" t="n"/>
      <c r="T23" s="379" t="n"/>
      <c r="U23" s="379" t="n"/>
      <c r="V23" s="379" t="n"/>
      <c r="W23" s="379" t="n"/>
      <c r="X23" s="379" t="n"/>
      <c r="Y23" s="379" t="n"/>
      <c r="Z23" s="379" t="n"/>
      <c r="AA23" s="379" t="n"/>
      <c r="AB23" s="379" t="n"/>
      <c r="AC23" s="379" t="n"/>
      <c r="AD23" s="379" t="n"/>
      <c r="AE23" s="379" t="n"/>
      <c r="AF23" s="379" t="n"/>
      <c r="AG23" s="379" t="n"/>
      <c r="AH23" s="379" t="n"/>
      <c r="AI23" s="379" t="n"/>
      <c r="AJ23" s="379" t="n"/>
      <c r="AK23" s="379" t="n"/>
      <c r="AL23" s="379" t="n"/>
      <c r="AM23" s="379" t="n"/>
      <c r="AN23" s="379" t="n"/>
      <c r="AO23" s="379" t="n"/>
      <c r="AP23" s="379" t="n"/>
      <c r="AQ23" s="379" t="n"/>
      <c r="AR23" s="379" t="n"/>
      <c r="AS23" s="379" t="n"/>
      <c r="AT23" s="379" t="n"/>
      <c r="AU23" s="379" t="n"/>
    </row>
    <row r="24" ht="18" customHeight="1" s="192">
      <c r="A24" s="379" t="n"/>
      <c r="B24" s="379" t="n"/>
      <c r="C24" s="379" t="n"/>
      <c r="D24" s="379" t="n"/>
      <c r="E24" s="379" t="n"/>
      <c r="F24" s="355" t="inlineStr">
        <is>
          <t>参数面leaf接入交换机</t>
        </is>
      </c>
      <c r="G24" s="379" t="n"/>
      <c r="H24" s="379" t="n"/>
      <c r="I24" s="379" t="n"/>
      <c r="J24" s="379" t="n"/>
      <c r="K24" s="379" t="n"/>
      <c r="L24" s="379" t="n"/>
      <c r="M24" s="379" t="n"/>
      <c r="N24" s="379" t="n"/>
      <c r="O24" s="379" t="n"/>
      <c r="P24" s="379" t="n"/>
      <c r="Q24" s="379" t="n"/>
      <c r="R24" s="355">
        <f>'2-建设规模换算'!E11</f>
        <v/>
      </c>
      <c r="S24" s="379" t="n"/>
      <c r="T24" s="379" t="n"/>
      <c r="U24" s="379" t="n"/>
      <c r="V24" s="379" t="n"/>
      <c r="W24" s="379" t="n"/>
      <c r="X24" s="379" t="n"/>
      <c r="Y24" s="379" t="n"/>
      <c r="Z24" s="379" t="n"/>
      <c r="AA24" s="379" t="n"/>
      <c r="AB24" s="379" t="n"/>
      <c r="AC24" s="379" t="n"/>
      <c r="AD24" s="379" t="n"/>
      <c r="AE24" s="379" t="n"/>
      <c r="AF24" s="379" t="n"/>
      <c r="AG24" s="379" t="n"/>
      <c r="AH24" s="379" t="n"/>
      <c r="AI24" s="379" t="n"/>
      <c r="AJ24" s="379" t="n"/>
      <c r="AK24" s="379" t="n"/>
      <c r="AL24" s="379" t="n"/>
      <c r="AM24" s="379" t="n"/>
      <c r="AN24" s="379" t="n"/>
      <c r="AO24" s="379" t="n"/>
      <c r="AP24" s="379" t="n"/>
      <c r="AQ24" s="379" t="n"/>
      <c r="AR24" s="379" t="n"/>
      <c r="AS24" s="379" t="n"/>
      <c r="AT24" s="379" t="n"/>
      <c r="AU24" s="379" t="n"/>
    </row>
    <row r="25" ht="18" customHeight="1" s="192">
      <c r="A25" s="379" t="n"/>
      <c r="B25" s="379" t="n"/>
      <c r="C25" s="379" t="n"/>
      <c r="D25" s="379" t="n"/>
      <c r="E25" s="355" t="inlineStr">
        <is>
          <t>新增</t>
        </is>
      </c>
      <c r="F25" s="404">
        <f>'2-建设规模换算'!E16</f>
        <v/>
      </c>
      <c r="G25" s="379" t="n"/>
      <c r="H25" s="379" t="n"/>
      <c r="I25" s="379" t="n"/>
      <c r="J25" s="379" t="n"/>
      <c r="K25" s="379" t="n"/>
      <c r="L25" s="379" t="n"/>
      <c r="M25" s="379" t="n"/>
      <c r="N25" s="379" t="n"/>
      <c r="O25" s="379" t="n"/>
      <c r="P25" s="379" t="n"/>
      <c r="Q25" s="379" t="n"/>
      <c r="R25" s="379" t="n"/>
      <c r="S25" s="379" t="n"/>
      <c r="T25" s="379" t="n"/>
      <c r="U25" s="379" t="n"/>
      <c r="V25" s="379" t="n"/>
      <c r="W25" s="379" t="n"/>
      <c r="X25" s="379" t="n"/>
      <c r="Y25" s="379" t="n"/>
      <c r="Z25" s="379" t="n"/>
      <c r="AA25" s="379" t="n"/>
      <c r="AB25" s="379" t="n"/>
      <c r="AC25" s="379" t="n"/>
      <c r="AD25" s="379" t="n"/>
      <c r="AE25" s="379" t="n"/>
      <c r="AF25" s="379" t="n"/>
      <c r="AG25" s="379" t="n"/>
      <c r="AH25" s="379" t="n"/>
      <c r="AI25" s="379" t="n"/>
      <c r="AJ25" s="379" t="n"/>
      <c r="AK25" s="379" t="n"/>
      <c r="AL25" s="379" t="n"/>
      <c r="AM25" s="379" t="n"/>
      <c r="AN25" s="379" t="n"/>
      <c r="AO25" s="379" t="n"/>
      <c r="AP25" s="379" t="n"/>
      <c r="AQ25" s="379" t="n"/>
      <c r="AR25" s="379" t="n"/>
      <c r="AS25" s="379" t="n"/>
      <c r="AT25" s="379" t="n"/>
      <c r="AU25" s="379" t="n"/>
    </row>
    <row r="26" ht="18" customHeight="1" s="192">
      <c r="A26" s="379" t="n"/>
      <c r="B26" s="379" t="n"/>
      <c r="C26" s="379" t="n"/>
      <c r="D26" s="379" t="n"/>
      <c r="E26" s="355" t="inlineStr">
        <is>
          <t>下行400G多模</t>
        </is>
      </c>
      <c r="F26" s="404">
        <f>IF(F25=0,0,G21*4)</f>
        <v/>
      </c>
      <c r="G26" s="379" t="n"/>
      <c r="H26" s="379" t="n"/>
      <c r="I26" s="379" t="n"/>
      <c r="J26" s="379" t="n"/>
      <c r="K26" s="379" t="n"/>
      <c r="L26" s="379" t="n"/>
      <c r="M26" s="379" t="n"/>
      <c r="N26" s="379" t="n"/>
      <c r="O26" s="379" t="n"/>
      <c r="P26" s="379" t="n"/>
      <c r="Q26" s="379" t="n"/>
      <c r="R26" s="379" t="n"/>
      <c r="S26" s="379" t="n"/>
      <c r="T26" s="379" t="n"/>
      <c r="U26" s="379" t="n"/>
      <c r="V26" s="379" t="n"/>
      <c r="W26" s="379" t="n"/>
      <c r="X26" s="379" t="n"/>
      <c r="Y26" s="379" t="n"/>
      <c r="Z26" s="379" t="n"/>
      <c r="AA26" s="379" t="n"/>
      <c r="AB26" s="379" t="n"/>
      <c r="AC26" s="379" t="n"/>
      <c r="AD26" s="379" t="n"/>
      <c r="AE26" s="379" t="n"/>
      <c r="AF26" s="379" t="n"/>
      <c r="AG26" s="379" t="n"/>
      <c r="AH26" s="379" t="n"/>
      <c r="AI26" s="379" t="n"/>
      <c r="AJ26" s="379" t="n"/>
      <c r="AK26" s="379" t="n"/>
      <c r="AL26" s="379" t="n"/>
      <c r="AM26" s="379" t="n"/>
      <c r="AN26" s="379" t="n"/>
      <c r="AO26" s="379" t="n"/>
      <c r="AP26" s="379" t="n"/>
      <c r="AQ26" s="379" t="n"/>
      <c r="AR26" s="379" t="n"/>
      <c r="AS26" s="379" t="n"/>
      <c r="AT26" s="379" t="n"/>
      <c r="AU26" s="379" t="n"/>
    </row>
    <row r="27" ht="18" customHeight="1" s="192">
      <c r="A27" s="379" t="n"/>
      <c r="B27" s="379" t="n"/>
      <c r="C27" s="379" t="n"/>
      <c r="D27" s="379" t="n"/>
      <c r="E27" s="355" t="inlineStr">
        <is>
          <t>上行400G多模</t>
        </is>
      </c>
      <c r="F27" s="404">
        <f>IF('2-建设规模换算'!D16='网络设备模型-勿动'!B11,16*'2-建设规模换算'!E16,8*'2-建设规模换算'!E16)</f>
        <v/>
      </c>
      <c r="G27" s="379" t="n"/>
      <c r="H27" s="379" t="n"/>
      <c r="I27" s="379" t="n"/>
      <c r="J27" s="379" t="n"/>
      <c r="K27" s="379" t="n"/>
      <c r="L27" s="379" t="n"/>
      <c r="M27" s="379" t="n"/>
      <c r="N27" s="379" t="n"/>
      <c r="O27" s="379" t="n"/>
      <c r="P27" s="379" t="n"/>
      <c r="Q27" s="379" t="n"/>
      <c r="R27" s="379" t="n"/>
      <c r="S27" s="379" t="n"/>
      <c r="T27" s="379" t="n"/>
      <c r="U27" s="379" t="n"/>
      <c r="V27" s="379" t="n"/>
      <c r="W27" s="379" t="n"/>
      <c r="X27" s="379" t="n"/>
      <c r="Y27" s="379" t="n"/>
      <c r="Z27" s="379" t="n"/>
      <c r="AA27" s="379" t="n"/>
      <c r="AB27" s="379" t="n"/>
      <c r="AC27" s="379" t="n"/>
      <c r="AD27" s="379" t="n"/>
      <c r="AE27" s="379" t="n"/>
      <c r="AF27" s="379" t="n"/>
      <c r="AG27" s="379" t="n"/>
      <c r="AH27" s="379" t="n"/>
      <c r="AI27" s="379" t="n"/>
      <c r="AJ27" s="379" t="n"/>
      <c r="AK27" s="379" t="n"/>
      <c r="AL27" s="379" t="n"/>
      <c r="AM27" s="379" t="n"/>
      <c r="AN27" s="379" t="n"/>
      <c r="AO27" s="379" t="n"/>
      <c r="AP27" s="379" t="n"/>
      <c r="AQ27" s="379" t="n"/>
      <c r="AR27" s="379" t="n"/>
      <c r="AS27" s="379" t="n"/>
      <c r="AT27" s="379" t="n"/>
      <c r="AU27" s="379" t="n"/>
    </row>
    <row r="28" ht="18" customHeight="1" s="192">
      <c r="A28" s="379" t="n"/>
      <c r="B28" s="379" t="n"/>
      <c r="C28" s="379" t="n"/>
      <c r="D28" s="379" t="n"/>
      <c r="E28" s="379" t="n"/>
      <c r="F28" s="379" t="n"/>
      <c r="G28" s="379" t="n"/>
      <c r="H28" s="379" t="n"/>
      <c r="I28" s="379" t="n"/>
      <c r="J28" s="379" t="n"/>
      <c r="K28" s="379" t="n"/>
      <c r="L28" s="379" t="n"/>
      <c r="M28" s="379" t="n"/>
      <c r="N28" s="379" t="n"/>
      <c r="O28" s="379" t="n"/>
      <c r="P28" s="379" t="n"/>
      <c r="Q28" s="379" t="n"/>
      <c r="R28" s="379" t="n"/>
      <c r="S28" s="379" t="n"/>
      <c r="T28" s="379" t="n"/>
      <c r="U28" s="379" t="n"/>
      <c r="V28" s="379" t="n"/>
      <c r="W28" s="379" t="n"/>
      <c r="X28" s="379" t="n"/>
      <c r="Y28" s="379" t="n"/>
      <c r="Z28" s="379" t="n"/>
      <c r="AA28" s="379" t="n"/>
      <c r="AB28" s="379" t="n"/>
      <c r="AC28" s="379" t="n"/>
      <c r="AD28" s="379" t="n"/>
      <c r="AE28" s="379" t="n"/>
      <c r="AF28" s="379" t="n"/>
      <c r="AG28" s="379" t="n"/>
      <c r="AH28" s="379" t="n"/>
      <c r="AI28" s="379" t="n"/>
      <c r="AJ28" s="379" t="n"/>
      <c r="AK28" s="379" t="n"/>
      <c r="AL28" s="379" t="n"/>
      <c r="AM28" s="379" t="n"/>
      <c r="AN28" s="379" t="n"/>
      <c r="AO28" s="379" t="n"/>
      <c r="AP28" s="379" t="n"/>
      <c r="AQ28" s="379" t="n"/>
      <c r="AR28" s="379" t="n"/>
      <c r="AS28" s="379" t="n"/>
      <c r="AT28" s="379" t="n"/>
      <c r="AU28" s="379" t="n"/>
    </row>
    <row r="29" ht="18" customHeight="1" s="192">
      <c r="A29" s="379" t="n"/>
      <c r="B29" s="408" t="n"/>
      <c r="C29" s="355" t="n"/>
      <c r="D29" s="371" t="n"/>
      <c r="E29" s="360" t="n"/>
      <c r="F29" s="379" t="n"/>
      <c r="G29" s="379" t="n"/>
      <c r="H29" s="379" t="n"/>
      <c r="I29" s="379" t="n"/>
      <c r="J29" s="379" t="n"/>
      <c r="K29" s="379" t="n"/>
      <c r="L29" s="379" t="n"/>
      <c r="M29" s="379" t="n"/>
      <c r="N29" s="379" t="n"/>
      <c r="O29" s="379" t="n"/>
      <c r="P29" s="379" t="n"/>
      <c r="Q29" s="379" t="n"/>
      <c r="R29" s="379" t="n"/>
      <c r="S29" s="379" t="n"/>
      <c r="T29" s="379" t="n"/>
      <c r="U29" s="379" t="n"/>
      <c r="V29" s="379" t="n"/>
      <c r="W29" s="379" t="n"/>
      <c r="X29" s="379" t="n"/>
      <c r="Y29" s="379" t="n"/>
      <c r="Z29" s="379" t="n"/>
      <c r="AA29" s="379" t="n"/>
      <c r="AB29" s="379" t="n"/>
      <c r="AC29" s="379" t="n"/>
      <c r="AD29" s="379" t="n"/>
      <c r="AE29" s="379" t="n"/>
      <c r="AF29" s="379" t="n"/>
      <c r="AG29" s="379" t="n"/>
      <c r="AH29" s="379" t="n"/>
      <c r="AI29" s="379" t="n"/>
      <c r="AJ29" s="379" t="n"/>
      <c r="AK29" s="379" t="n"/>
      <c r="AL29" s="379" t="n"/>
      <c r="AM29" s="379" t="n"/>
      <c r="AN29" s="379" t="n"/>
      <c r="AO29" s="379" t="n"/>
      <c r="AP29" s="379" t="n"/>
      <c r="AQ29" s="379" t="n"/>
      <c r="AR29" s="379" t="n"/>
      <c r="AS29" s="379" t="n"/>
      <c r="AT29" s="379" t="n"/>
      <c r="AU29" s="379" t="n"/>
    </row>
    <row r="30" ht="18" customHeight="1" s="192">
      <c r="A30" s="379" t="n"/>
      <c r="B30" s="408" t="n"/>
      <c r="C30" s="355" t="n"/>
      <c r="D30" s="379" t="n"/>
      <c r="E30" s="360" t="n"/>
      <c r="F30" s="355" t="inlineStr">
        <is>
          <t>参数面spine交换机</t>
        </is>
      </c>
      <c r="G30" s="379" t="n"/>
      <c r="H30" s="379" t="n"/>
      <c r="I30" s="379" t="n"/>
      <c r="J30" s="379" t="n"/>
      <c r="K30" s="379" t="n"/>
      <c r="L30" s="379" t="n"/>
      <c r="M30" s="379" t="n"/>
      <c r="N30" s="379" t="n"/>
      <c r="O30" s="379" t="n"/>
      <c r="P30" s="379" t="n"/>
      <c r="Q30" s="379" t="n"/>
      <c r="R30" s="379" t="n"/>
      <c r="S30" s="379" t="n"/>
      <c r="T30" s="379" t="n"/>
      <c r="U30" s="379" t="n"/>
      <c r="V30" s="379" t="n"/>
      <c r="W30" s="379" t="n"/>
      <c r="X30" s="379" t="n"/>
      <c r="Y30" s="379" t="n"/>
      <c r="Z30" s="379" t="n"/>
      <c r="AA30" s="379" t="n"/>
      <c r="AB30" s="379" t="n"/>
      <c r="AC30" s="379" t="n"/>
      <c r="AD30" s="379" t="n"/>
      <c r="AE30" s="379" t="n"/>
      <c r="AF30" s="379" t="n"/>
      <c r="AG30" s="379" t="n"/>
      <c r="AH30" s="379" t="n"/>
      <c r="AI30" s="379" t="n"/>
      <c r="AJ30" s="379" t="n"/>
      <c r="AK30" s="379" t="n"/>
      <c r="AL30" s="379" t="n"/>
      <c r="AM30" s="379" t="n"/>
      <c r="AN30" s="379" t="n"/>
      <c r="AO30" s="379" t="n"/>
      <c r="AP30" s="379" t="n"/>
      <c r="AQ30" s="379" t="n"/>
      <c r="AR30" s="379" t="n"/>
      <c r="AS30" s="379" t="n"/>
      <c r="AT30" s="379" t="n"/>
      <c r="AU30" s="379" t="n"/>
    </row>
    <row r="31" ht="18" customHeight="1" s="192">
      <c r="A31" s="379" t="n"/>
      <c r="B31" s="408" t="n"/>
      <c r="C31" s="355" t="n"/>
      <c r="D31" s="379" t="n"/>
      <c r="E31" s="355" t="inlineStr">
        <is>
          <t>新增</t>
        </is>
      </c>
      <c r="F31" s="404">
        <f>'2-建设规模换算'!E17</f>
        <v/>
      </c>
      <c r="G31" s="379" t="n"/>
      <c r="H31" s="379" t="n"/>
      <c r="I31" s="379" t="n"/>
      <c r="J31" s="379" t="n"/>
      <c r="K31" s="379" t="n"/>
      <c r="L31" s="379" t="n"/>
      <c r="M31" s="379" t="n"/>
      <c r="N31" s="379" t="n"/>
      <c r="O31" s="379" t="n"/>
      <c r="P31" s="379" t="n"/>
      <c r="Q31" s="379" t="n"/>
      <c r="R31" s="379" t="n"/>
      <c r="S31" s="379" t="n"/>
      <c r="T31" s="406" t="inlineStr">
        <is>
          <t>数据面leaf接入交换机</t>
        </is>
      </c>
      <c r="U31" s="379" t="n"/>
      <c r="V31" s="379" t="n"/>
      <c r="W31" s="379" t="n"/>
      <c r="X31" s="379" t="n"/>
      <c r="Y31" s="379" t="n"/>
      <c r="Z31" s="379" t="n"/>
      <c r="AA31" s="379" t="n"/>
      <c r="AB31" s="379" t="n"/>
      <c r="AC31" s="379" t="n"/>
      <c r="AD31" s="379" t="n"/>
      <c r="AE31" s="379" t="n"/>
      <c r="AF31" s="379" t="n"/>
      <c r="AG31" s="379" t="n"/>
      <c r="AH31" s="379" t="n"/>
      <c r="AI31" s="379" t="n"/>
      <c r="AJ31" s="379" t="n"/>
      <c r="AK31" s="379" t="n"/>
      <c r="AL31" s="379" t="n"/>
      <c r="AM31" s="379" t="n"/>
      <c r="AN31" s="379" t="n"/>
      <c r="AO31" s="379" t="n"/>
      <c r="AP31" s="379" t="n"/>
      <c r="AQ31" s="379" t="n"/>
      <c r="AR31" s="379" t="n"/>
      <c r="AS31" s="379" t="n"/>
      <c r="AT31" s="379" t="n"/>
      <c r="AU31" s="379" t="n"/>
    </row>
    <row r="32" ht="18" customHeight="1" s="192">
      <c r="A32" s="379" t="n"/>
      <c r="B32" s="379" t="n"/>
      <c r="C32" s="379" t="n"/>
      <c r="D32" s="379" t="n"/>
      <c r="E32" s="355" t="inlineStr">
        <is>
          <t>下行400G多模</t>
        </is>
      </c>
      <c r="F32" s="404">
        <f>F27</f>
        <v/>
      </c>
      <c r="G32" s="379" t="n"/>
      <c r="H32" s="379" t="n"/>
      <c r="I32" s="379" t="n"/>
      <c r="J32" s="379" t="n"/>
      <c r="K32" s="379" t="n"/>
      <c r="L32" s="379" t="n"/>
      <c r="M32" s="379" t="n"/>
      <c r="N32" s="379" t="n"/>
      <c r="O32" s="379" t="n"/>
      <c r="P32" s="379" t="n"/>
      <c r="Q32" s="379" t="n"/>
      <c r="R32" s="379" t="n"/>
      <c r="S32" s="355" t="inlineStr">
        <is>
          <t>新增</t>
        </is>
      </c>
      <c r="T32" s="404">
        <f>'2-建设规模换算'!E18+'2-建设规模换算'!E19</f>
        <v/>
      </c>
      <c r="U32" s="379" t="n"/>
      <c r="V32" s="379" t="n"/>
      <c r="W32" s="379" t="n"/>
      <c r="X32" s="379" t="n"/>
      <c r="Y32" s="379" t="n"/>
      <c r="Z32" s="379" t="n"/>
      <c r="AA32" s="379" t="n"/>
      <c r="AB32" s="379" t="n"/>
      <c r="AC32" s="379" t="n"/>
      <c r="AD32" s="379" t="n"/>
      <c r="AE32" s="379" t="n"/>
      <c r="AF32" s="379" t="n"/>
      <c r="AG32" s="379" t="n"/>
      <c r="AH32" s="379" t="n"/>
      <c r="AI32" s="379" t="n"/>
      <c r="AJ32" s="379" t="n"/>
      <c r="AK32" s="379" t="n"/>
      <c r="AL32" s="379" t="n"/>
      <c r="AM32" s="379" t="n"/>
      <c r="AN32" s="379" t="n"/>
      <c r="AO32" s="379" t="n"/>
      <c r="AP32" s="379" t="n"/>
      <c r="AQ32" s="379" t="n"/>
      <c r="AR32" s="379" t="n"/>
      <c r="AS32" s="379" t="n"/>
      <c r="AT32" s="379" t="n"/>
      <c r="AU32" s="379" t="n"/>
    </row>
    <row r="33" ht="18" customHeight="1" s="192">
      <c r="A33" s="379" t="n"/>
      <c r="B33" s="379" t="n"/>
      <c r="C33" s="379" t="n"/>
      <c r="D33" s="379" t="n"/>
      <c r="E33" s="379" t="n"/>
      <c r="F33" s="379" t="n"/>
      <c r="G33" s="379" t="n"/>
      <c r="H33" s="379" t="n"/>
      <c r="I33" s="379" t="n"/>
      <c r="J33" s="379" t="n"/>
      <c r="K33" s="379" t="n"/>
      <c r="L33" s="379" t="n"/>
      <c r="M33" s="379" t="n"/>
      <c r="N33" s="379" t="n"/>
      <c r="O33" s="379" t="n"/>
      <c r="P33" s="379" t="n"/>
      <c r="Q33" s="379" t="n"/>
      <c r="R33" s="379" t="n"/>
      <c r="S33" s="406" t="inlineStr">
        <is>
          <t>下行100G多模</t>
        </is>
      </c>
      <c r="T33" s="404">
        <f>'2-建设规模换算'!E12*2</f>
        <v/>
      </c>
      <c r="U33" s="379" t="n"/>
      <c r="V33" s="379" t="n"/>
      <c r="W33" s="379" t="n"/>
      <c r="X33" s="379" t="n"/>
      <c r="Y33" s="379" t="n"/>
      <c r="Z33" s="379" t="n"/>
      <c r="AA33" s="379" t="n"/>
      <c r="AB33" s="379" t="n"/>
      <c r="AC33" s="379" t="n"/>
      <c r="AD33" s="379" t="n"/>
      <c r="AE33" s="379" t="n"/>
      <c r="AF33" s="379" t="n"/>
      <c r="AG33" s="379" t="n"/>
      <c r="AH33" s="379" t="n"/>
      <c r="AI33" s="379" t="n"/>
      <c r="AJ33" s="379" t="n"/>
      <c r="AK33" s="379" t="n"/>
      <c r="AL33" s="379" t="n"/>
      <c r="AM33" s="379" t="n"/>
      <c r="AN33" s="379" t="n"/>
      <c r="AO33" s="379" t="n"/>
      <c r="AP33" s="379" t="n"/>
      <c r="AQ33" s="379" t="n"/>
      <c r="AR33" s="379" t="n"/>
      <c r="AS33" s="379" t="n"/>
      <c r="AT33" s="379" t="n"/>
      <c r="AU33" s="379" t="n"/>
    </row>
    <row r="34" ht="18" customHeight="1" s="192">
      <c r="A34" s="379" t="n"/>
      <c r="B34" s="379" t="n"/>
      <c r="C34" s="379" t="n"/>
      <c r="D34" s="379" t="n"/>
      <c r="E34" s="379" t="n"/>
      <c r="F34" s="379" t="n"/>
      <c r="G34" s="379" t="n"/>
      <c r="H34" s="379" t="n"/>
      <c r="I34" s="379" t="n"/>
      <c r="J34" s="379" t="n"/>
      <c r="K34" s="379" t="n"/>
      <c r="L34" s="379" t="n"/>
      <c r="M34" s="379" t="n"/>
      <c r="N34" s="379" t="n"/>
      <c r="O34" s="379" t="n"/>
      <c r="P34" s="379" t="n"/>
      <c r="Q34" s="379" t="n"/>
      <c r="R34" s="379" t="n"/>
      <c r="S34" s="406" t="inlineStr">
        <is>
          <t>下行25G多模</t>
        </is>
      </c>
      <c r="T34" s="404">
        <f>IF(T32=0,0,'2-建设规模换算'!E6*2)</f>
        <v/>
      </c>
      <c r="U34" s="379" t="n"/>
      <c r="V34" s="379" t="n"/>
      <c r="W34" s="379" t="n"/>
      <c r="X34" s="379" t="n"/>
      <c r="Y34" s="379" t="n"/>
      <c r="Z34" s="379" t="n"/>
      <c r="AA34" s="379" t="n"/>
      <c r="AB34" s="379" t="n"/>
      <c r="AC34" s="379" t="n"/>
      <c r="AD34" s="379" t="n"/>
      <c r="AE34" s="379" t="n"/>
      <c r="AF34" s="379" t="n"/>
      <c r="AG34" s="379" t="n"/>
      <c r="AH34" s="379" t="n"/>
      <c r="AI34" s="379" t="n"/>
      <c r="AJ34" s="379" t="n"/>
      <c r="AK34" s="379" t="n"/>
      <c r="AL34" s="379" t="n"/>
      <c r="AM34" s="379" t="n"/>
      <c r="AN34" s="379" t="n"/>
      <c r="AO34" s="379" t="n"/>
      <c r="AP34" s="379" t="n"/>
      <c r="AQ34" s="379" t="n"/>
      <c r="AR34" s="379" t="n"/>
      <c r="AS34" s="379" t="n"/>
      <c r="AT34" s="379" t="n"/>
      <c r="AU34" s="379" t="n"/>
    </row>
    <row r="35" ht="18" customHeight="1" s="192">
      <c r="A35" s="379" t="n"/>
      <c r="B35" s="379" t="n"/>
      <c r="C35" s="379" t="n"/>
      <c r="D35" s="379" t="n"/>
      <c r="E35" s="379" t="n"/>
      <c r="F35" s="379" t="n"/>
      <c r="G35" s="379" t="n"/>
      <c r="H35" s="379" t="n"/>
      <c r="I35" s="379" t="n"/>
      <c r="J35" s="379" t="n"/>
      <c r="K35" s="379" t="n"/>
      <c r="L35" s="379" t="n"/>
      <c r="M35" s="379" t="n"/>
      <c r="N35" s="379" t="n"/>
      <c r="O35" s="379" t="n"/>
      <c r="P35" s="379" t="n"/>
      <c r="Q35" s="379" t="n"/>
      <c r="R35" s="379" t="n"/>
      <c r="S35" s="406" t="inlineStr">
        <is>
          <t>上行100G多模</t>
        </is>
      </c>
      <c r="T35" s="404">
        <f>'2-建设规模换算'!E18*4+'2-建设规模换算'!E19*64</f>
        <v/>
      </c>
      <c r="U35" s="379" t="n"/>
      <c r="V35" s="379" t="n"/>
      <c r="W35" s="379" t="n"/>
      <c r="X35" s="379" t="n"/>
      <c r="Y35" s="379" t="n"/>
      <c r="Z35" s="379" t="n"/>
      <c r="AA35" s="379" t="n"/>
      <c r="AB35" s="379" t="n"/>
      <c r="AC35" s="379" t="n"/>
      <c r="AD35" s="379" t="n"/>
      <c r="AE35" s="379" t="n"/>
      <c r="AF35" s="379" t="n"/>
      <c r="AG35" s="379" t="n"/>
      <c r="AH35" s="379" t="n"/>
      <c r="AI35" s="379" t="n"/>
      <c r="AJ35" s="379" t="n"/>
      <c r="AK35" s="379" t="n"/>
      <c r="AL35" s="379" t="n"/>
      <c r="AM35" s="379" t="n"/>
      <c r="AN35" s="379" t="n"/>
      <c r="AO35" s="379" t="n"/>
      <c r="AP35" s="379" t="n"/>
      <c r="AQ35" s="379" t="n"/>
      <c r="AR35" s="379" t="n"/>
      <c r="AS35" s="379" t="n"/>
      <c r="AT35" s="379" t="n"/>
      <c r="AU35" s="379" t="n"/>
    </row>
    <row r="36" ht="18" customHeight="1" s="192">
      <c r="A36" s="379" t="n"/>
      <c r="B36" s="379" t="n"/>
      <c r="C36" s="379" t="n"/>
      <c r="D36" s="379" t="n"/>
      <c r="E36" s="379" t="n"/>
      <c r="F36" s="379" t="n"/>
      <c r="G36" s="379" t="n"/>
      <c r="H36" s="379" t="n"/>
      <c r="I36" s="379" t="n"/>
      <c r="J36" s="379" t="n"/>
      <c r="K36" s="379" t="n"/>
      <c r="L36" s="379" t="n"/>
      <c r="M36" s="379" t="n"/>
      <c r="N36" s="379" t="n"/>
      <c r="O36" s="379" t="n"/>
      <c r="P36" s="379" t="n"/>
      <c r="Q36" s="379" t="n"/>
      <c r="R36" s="379" t="n"/>
      <c r="S36" s="360" t="n"/>
      <c r="T36" s="379" t="n"/>
      <c r="U36" s="379" t="n"/>
      <c r="V36" s="379" t="n"/>
      <c r="W36" s="379" t="n"/>
      <c r="X36" s="379" t="n"/>
      <c r="Y36" s="379" t="n"/>
      <c r="Z36" s="379" t="n"/>
      <c r="AA36" s="379" t="n"/>
      <c r="AB36" s="379" t="n"/>
      <c r="AC36" s="379" t="n"/>
      <c r="AD36" s="379" t="n"/>
      <c r="AE36" s="379" t="n"/>
      <c r="AF36" s="379" t="n"/>
      <c r="AG36" s="379" t="n"/>
      <c r="AH36" s="379" t="n"/>
      <c r="AI36" s="379" t="n"/>
      <c r="AJ36" s="379" t="n"/>
      <c r="AK36" s="379" t="n"/>
      <c r="AL36" s="379" t="n"/>
      <c r="AM36" s="379" t="n"/>
      <c r="AN36" s="379" t="n"/>
      <c r="AO36" s="379" t="n"/>
      <c r="AP36" s="379" t="n"/>
      <c r="AQ36" s="379" t="n"/>
      <c r="AR36" s="379" t="n"/>
      <c r="AS36" s="379" t="n"/>
      <c r="AT36" s="379" t="n"/>
      <c r="AU36" s="379" t="n"/>
    </row>
    <row r="37" ht="18" customHeight="1" s="192">
      <c r="A37" s="379" t="n"/>
      <c r="B37" s="379" t="n"/>
      <c r="C37" s="379" t="n"/>
      <c r="D37" s="355" t="n"/>
      <c r="E37" s="379" t="n"/>
      <c r="F37" s="371" t="n"/>
      <c r="G37" s="379" t="n"/>
      <c r="H37" s="379" t="n"/>
      <c r="I37" s="355" t="n"/>
      <c r="J37" s="379" t="n"/>
      <c r="K37" s="371" t="n"/>
      <c r="L37" s="379" t="n"/>
      <c r="M37" s="379" t="n"/>
      <c r="N37" s="355" t="n"/>
      <c r="O37" s="379" t="n"/>
      <c r="P37" s="379" t="n"/>
      <c r="Q37" s="355" t="n"/>
      <c r="R37" s="379" t="n"/>
      <c r="S37" s="360" t="n"/>
      <c r="T37" s="355" t="inlineStr">
        <is>
          <t>参数面spine交换机</t>
        </is>
      </c>
      <c r="U37" s="379" t="n"/>
      <c r="V37" s="379" t="n"/>
      <c r="W37" s="379" t="n"/>
      <c r="X37" s="379" t="n"/>
      <c r="Y37" s="379" t="n"/>
      <c r="Z37" s="379" t="n"/>
      <c r="AA37" s="379" t="n"/>
      <c r="AB37" s="379" t="n"/>
      <c r="AC37" s="379" t="n"/>
      <c r="AD37" s="379" t="n"/>
      <c r="AE37" s="379" t="n"/>
      <c r="AF37" s="379" t="n"/>
      <c r="AG37" s="379" t="n"/>
      <c r="AH37" s="379" t="n"/>
      <c r="AI37" s="379" t="n"/>
      <c r="AJ37" s="379" t="n"/>
      <c r="AK37" s="379" t="n"/>
      <c r="AL37" s="379" t="n"/>
      <c r="AM37" s="379" t="n"/>
      <c r="AN37" s="379" t="n"/>
      <c r="AO37" s="379" t="n"/>
      <c r="AP37" s="379" t="n"/>
      <c r="AQ37" s="379" t="n"/>
      <c r="AR37" s="379" t="n"/>
      <c r="AS37" s="379" t="n"/>
      <c r="AT37" s="379" t="n"/>
      <c r="AU37" s="379" t="n"/>
    </row>
    <row r="38" ht="18" customHeight="1" s="192">
      <c r="A38" s="379" t="n"/>
      <c r="B38" s="379" t="n"/>
      <c r="C38" s="355" t="n"/>
      <c r="D38" s="355" t="n"/>
      <c r="E38" s="379" t="n"/>
      <c r="F38" s="379" t="n"/>
      <c r="G38" s="379" t="n"/>
      <c r="H38" s="355" t="n"/>
      <c r="I38" s="355" t="n"/>
      <c r="J38" s="379" t="n"/>
      <c r="K38" s="379" t="n"/>
      <c r="L38" s="379" t="n"/>
      <c r="M38" s="355" t="n"/>
      <c r="N38" s="355" t="n"/>
      <c r="O38" s="379" t="n"/>
      <c r="P38" s="355" t="n"/>
      <c r="Q38" s="355" t="n"/>
      <c r="R38" s="379" t="n"/>
      <c r="S38" s="355" t="inlineStr">
        <is>
          <t>新增</t>
        </is>
      </c>
      <c r="T38" s="404">
        <f>'2-建设规模换算'!E20</f>
        <v/>
      </c>
      <c r="U38" s="379" t="n"/>
      <c r="V38" s="379" t="n"/>
      <c r="W38" s="379" t="n"/>
      <c r="X38" s="379" t="n"/>
      <c r="Y38" s="379" t="n"/>
      <c r="Z38" s="379" t="n"/>
      <c r="AA38" s="379" t="n"/>
      <c r="AB38" s="379" t="n"/>
      <c r="AC38" s="379" t="n"/>
      <c r="AD38" s="379" t="n"/>
      <c r="AE38" s="379" t="n"/>
      <c r="AF38" s="379" t="n"/>
      <c r="AG38" s="379" t="n"/>
      <c r="AH38" s="379" t="n"/>
      <c r="AI38" s="379" t="n"/>
      <c r="AJ38" s="379" t="n"/>
      <c r="AK38" s="379" t="n"/>
      <c r="AL38" s="379" t="n"/>
      <c r="AM38" s="379" t="n"/>
      <c r="AN38" s="379" t="n"/>
      <c r="AO38" s="379" t="n"/>
      <c r="AP38" s="379" t="n"/>
      <c r="AQ38" s="379" t="n"/>
      <c r="AR38" s="379" t="n"/>
      <c r="AS38" s="379" t="n"/>
      <c r="AT38" s="379" t="n"/>
      <c r="AU38" s="379" t="n"/>
    </row>
    <row r="39" ht="18" customHeight="1" s="192">
      <c r="A39" s="379" t="n"/>
      <c r="B39" s="379" t="n"/>
      <c r="C39" s="355" t="n"/>
      <c r="D39" s="379" t="n"/>
      <c r="E39" s="379" t="n"/>
      <c r="F39" s="379" t="n"/>
      <c r="G39" s="379" t="n"/>
      <c r="H39" s="355" t="n"/>
      <c r="I39" s="379" t="n"/>
      <c r="J39" s="379" t="n"/>
      <c r="K39" s="379" t="n"/>
      <c r="L39" s="379" t="n"/>
      <c r="M39" s="355" t="n"/>
      <c r="N39" s="379" t="n"/>
      <c r="O39" s="379" t="n"/>
      <c r="P39" s="355" t="n"/>
      <c r="Q39" s="379" t="n"/>
      <c r="R39" s="379" t="n"/>
      <c r="S39" s="406" t="inlineStr">
        <is>
          <t>下行100G多模</t>
        </is>
      </c>
      <c r="T39" s="404">
        <f>T35</f>
        <v/>
      </c>
      <c r="U39" s="379" t="n"/>
      <c r="V39" s="379" t="n"/>
      <c r="W39" s="379" t="n"/>
      <c r="X39" s="379" t="n"/>
      <c r="Y39" s="379" t="n"/>
      <c r="Z39" s="379" t="n"/>
      <c r="AA39" s="379" t="n"/>
      <c r="AB39" s="379" t="n"/>
      <c r="AC39" s="379" t="n"/>
      <c r="AD39" s="379" t="n"/>
      <c r="AE39" s="379" t="n"/>
      <c r="AF39" s="379" t="n"/>
      <c r="AG39" s="379" t="n"/>
      <c r="AH39" s="379" t="n"/>
      <c r="AI39" s="379" t="n"/>
      <c r="AJ39" s="379" t="n"/>
      <c r="AK39" s="379" t="n"/>
      <c r="AL39" s="379" t="n"/>
      <c r="AM39" s="379" t="n"/>
      <c r="AN39" s="379" t="n"/>
      <c r="AO39" s="379" t="n"/>
      <c r="AP39" s="379" t="n"/>
      <c r="AQ39" s="379" t="n"/>
      <c r="AR39" s="379" t="n"/>
      <c r="AS39" s="379" t="n"/>
      <c r="AT39" s="379" t="n"/>
      <c r="AU39" s="379" t="n"/>
    </row>
    <row r="40" ht="21" customHeight="1" s="192">
      <c r="A40" s="358" t="n"/>
      <c r="B40" s="358" t="n"/>
      <c r="C40" s="270" t="n"/>
      <c r="D40" s="409" t="n"/>
      <c r="E40" s="358" t="n"/>
      <c r="F40" s="358" t="n"/>
      <c r="G40" s="358" t="n"/>
      <c r="H40" s="270" t="n"/>
      <c r="I40" s="409" t="n"/>
      <c r="J40" s="358" t="n"/>
      <c r="K40" s="358" t="n"/>
      <c r="L40" s="358" t="n"/>
      <c r="M40" s="270" t="n"/>
      <c r="N40" s="409" t="n"/>
      <c r="O40" s="358" t="n"/>
      <c r="P40" s="270" t="n"/>
      <c r="Q40" s="409" t="n"/>
      <c r="R40" s="358" t="n"/>
      <c r="S40" s="358" t="n"/>
      <c r="T40" s="358" t="n"/>
      <c r="U40" s="358" t="n"/>
      <c r="V40" s="358" t="n"/>
      <c r="W40" s="358" t="n"/>
      <c r="X40" s="358" t="n"/>
      <c r="Y40" s="358" t="n"/>
      <c r="Z40" s="358" t="n"/>
      <c r="AA40" s="358" t="n"/>
      <c r="AB40" s="358" t="n"/>
      <c r="AC40" s="358" t="n"/>
      <c r="AD40" s="358" t="n"/>
      <c r="AE40" s="358" t="n"/>
      <c r="AF40" s="358" t="n"/>
      <c r="AG40" s="358" t="n"/>
      <c r="AH40" s="358" t="n"/>
      <c r="AI40" s="358" t="n"/>
      <c r="AJ40" s="358" t="n"/>
      <c r="AK40" s="358" t="n"/>
      <c r="AL40" s="358" t="n"/>
      <c r="AM40" s="358" t="n"/>
      <c r="AN40" s="358" t="n"/>
      <c r="AO40" s="358" t="n"/>
      <c r="AP40" s="358" t="n"/>
      <c r="AQ40" s="358" t="n"/>
      <c r="AR40" s="358" t="n"/>
      <c r="AS40" s="358" t="n"/>
      <c r="AT40" s="358" t="n"/>
      <c r="AU40" s="358" t="n"/>
    </row>
    <row r="41" ht="21" customHeight="1" s="192">
      <c r="A41" s="358" t="n"/>
      <c r="B41" s="358" t="n"/>
      <c r="C41" s="270" t="n"/>
      <c r="D41" s="409" t="n"/>
      <c r="E41" s="358" t="n"/>
      <c r="F41" s="358" t="n"/>
      <c r="G41" s="358" t="n"/>
      <c r="H41" s="358" t="n"/>
      <c r="I41" s="358" t="n"/>
      <c r="J41" s="358" t="n"/>
      <c r="K41" s="358" t="n"/>
      <c r="L41" s="358" t="n"/>
      <c r="M41" s="358" t="n"/>
      <c r="N41" s="358" t="n"/>
      <c r="O41" s="358" t="n"/>
      <c r="P41" s="358" t="n"/>
      <c r="Q41" s="358" t="n"/>
      <c r="R41" s="358" t="n"/>
      <c r="S41" s="358" t="n"/>
      <c r="T41" s="358" t="n"/>
      <c r="U41" s="358" t="n"/>
      <c r="V41" s="358" t="n"/>
      <c r="W41" s="358" t="n"/>
      <c r="X41" s="358" t="n"/>
      <c r="Y41" s="358" t="n"/>
      <c r="Z41" s="358" t="n"/>
      <c r="AA41" s="358" t="n"/>
      <c r="AB41" s="358" t="n"/>
      <c r="AC41" s="358" t="n"/>
      <c r="AD41" s="358" t="n"/>
      <c r="AE41" s="358" t="n"/>
      <c r="AF41" s="358" t="n"/>
      <c r="AG41" s="358" t="n"/>
      <c r="AH41" s="358" t="n"/>
      <c r="AI41" s="358" t="n"/>
      <c r="AJ41" s="358" t="n"/>
      <c r="AK41" s="358" t="n"/>
      <c r="AL41" s="358" t="n"/>
      <c r="AM41" s="358" t="n"/>
      <c r="AN41" s="358" t="n"/>
      <c r="AO41" s="358" t="n"/>
      <c r="AP41" s="358" t="n"/>
      <c r="AQ41" s="358" t="n"/>
      <c r="AR41" s="358" t="n"/>
      <c r="AS41" s="358" t="n"/>
      <c r="AT41" s="358" t="n"/>
      <c r="AU41" s="358" t="n"/>
    </row>
  </sheetData>
  <autoFilter ref="A2:AU39"/>
  <mergeCells count="7">
    <mergeCell ref="M21:N21"/>
    <mergeCell ref="D7:E7"/>
    <mergeCell ref="R20:S20"/>
    <mergeCell ref="L20:N20"/>
    <mergeCell ref="R21:S21"/>
    <mergeCell ref="B20:D20"/>
    <mergeCell ref="H17:I17"/>
  </mergeCells>
  <dataValidations count="2">
    <dataValidation sqref="C24" showDropDown="0" showInputMessage="1" showErrorMessage="1" allowBlank="1" type="list">
      <formula1>"通用业务,共享资源,信创POD,专属POD"</formula1>
    </dataValidation>
    <dataValidation sqref="D24" showDropDown="0" showInputMessage="1" showErrorMessage="1" allowBlank="1" type="list">
      <formula1>"POD01,POD02,POD03,POD04,POD05,POD06,POD07,POD08,POD09,POD10,POD11,POD12,POD13,POD14,POD15,POD16,POD17,POD18,POD19,POD20,POD21,POD22,POD23,POD24,POD25,POD26,POD27,POD28,POD29,POD30"</formula1>
    </dataValidation>
  </dataValidations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22"/>
  <sheetViews>
    <sheetView showGridLines="0" zoomScale="85" zoomScaleNormal="85" workbookViewId="0">
      <pane ySplit="2" topLeftCell="A3" activePane="bottomLeft" state="frozen"/>
      <selection pane="bottomLeft" activeCell="D17" sqref="D17"/>
    </sheetView>
  </sheetViews>
  <sheetFormatPr baseColWidth="8" defaultRowHeight="14.4"/>
  <cols>
    <col width="18.7" bestFit="1" customWidth="1" style="192" min="2" max="2"/>
    <col width="60" customWidth="1" style="192" min="3" max="9"/>
    <col width="60" customWidth="1" style="192" min="4" max="4"/>
    <col width="60" customWidth="1" style="192" min="5" max="5"/>
    <col width="60" customWidth="1" style="192" min="6" max="6"/>
    <col width="60" customWidth="1" style="192" min="7" max="7"/>
    <col width="45.1" customWidth="1" style="192" min="8" max="8"/>
    <col width="45.1" customWidth="1" style="192" min="9" max="9"/>
  </cols>
  <sheetData>
    <row r="1"/>
    <row r="2" ht="18" customHeight="1" s="192" thickBot="1">
      <c r="B2" s="384" t="inlineStr">
        <is>
          <t>非弹性装架</t>
        </is>
      </c>
      <c r="C2" s="384" t="n"/>
      <c r="D2" s="384" t="n"/>
      <c r="E2" s="384" t="n"/>
      <c r="F2" s="384" t="n"/>
      <c r="G2" s="385" t="n"/>
      <c r="H2" s="385" t="n"/>
      <c r="I2" s="385" t="n"/>
    </row>
    <row r="3" ht="18" customHeight="1" s="192">
      <c r="B3" s="410" t="inlineStr">
        <is>
          <t>部署区域</t>
        </is>
      </c>
      <c r="C3" s="410" t="inlineStr">
        <is>
          <t>5kw机柜安装数量</t>
        </is>
      </c>
      <c r="D3" s="410" t="inlineStr">
        <is>
          <t>7kw机柜安装数量</t>
        </is>
      </c>
      <c r="E3" s="410" t="inlineStr">
        <is>
          <t>10kw机柜安装数量</t>
        </is>
      </c>
      <c r="F3" s="410" t="inlineStr">
        <is>
          <t>15kw机柜安装数量</t>
        </is>
      </c>
      <c r="G3" s="411" t="inlineStr">
        <is>
          <t>20kw机柜数量</t>
        </is>
      </c>
      <c r="H3" s="411" t="inlineStr">
        <is>
          <t>23kw机柜数量</t>
        </is>
      </c>
      <c r="I3" s="411" t="inlineStr">
        <is>
          <t>46kw机柜数量</t>
        </is>
      </c>
    </row>
    <row r="4" ht="18" customHeight="1" s="192">
      <c r="B4" s="412" t="inlineStr">
        <is>
          <t>智算服务器</t>
        </is>
      </c>
      <c r="C4" s="412">
        <f>IF('1-建设需求标准字段'!C8="5kw",
     IF('1-建设需求标准字段'!C5="PCIE",
        CEILING('1-建设需求标准字段'!C14/2,1),
        '1-建设需求标准字段'!C14),
     0)</f>
        <v/>
      </c>
      <c r="D4" s="412">
        <f>IF('1-建设需求标准字段'!C8="7kw",
     IF('1-建设需求标准字段'!C5="PCIE",
        CEILING('1-建设需求标准字段'!C14/3,1),
        '1-建设需求标准字段'!C14),
     0)</f>
        <v/>
      </c>
      <c r="E4" s="412">
        <f>IF('1-建设需求标准字段'!C8="10kw",
     IF('1-建设需求标准字段'!C5="PCIE",
        CEILING('1-建设需求标准字段'!C14/4,1),
       CEILING('1-建设需求标准字段'!C14/2,1)),
     0)</f>
        <v/>
      </c>
      <c r="F4" s="412">
        <f>IF('1-建设需求标准字段'!C8="15kw",
     IF('1-建设需求标准字段'!C5="PCIE",
        CEILING('1-建设需求标准字段'!C14/6,1),
       CEILING('1-建设需求标准字段'!C14/3,1)),
     0)</f>
        <v/>
      </c>
      <c r="G4" s="413">
        <f>IF('1-建设需求标准字段'!C8="20kw",
     IF('1-建设需求标准字段'!C5="PCIE",
        CEILING('1-建设需求标准字段'!C14/8,1),
       CEILING('1-建设需求标准字段'!C14/4,1)),
     0)</f>
        <v/>
      </c>
      <c r="H4" s="413" t="n">
        <v>0</v>
      </c>
      <c r="I4" s="413" t="n">
        <v>0</v>
      </c>
    </row>
    <row r="5" ht="18" customHeight="1" s="192">
      <c r="B5" s="412" t="inlineStr">
        <is>
          <t>存储服务器</t>
        </is>
      </c>
      <c r="C5" s="412" t="n">
        <v>0</v>
      </c>
      <c r="D5" s="412" t="n">
        <v>0</v>
      </c>
      <c r="E5" s="412">
        <f>'1-建设需求标准字段'!C7</f>
        <v/>
      </c>
      <c r="F5" s="412" t="n">
        <v>0</v>
      </c>
      <c r="G5" s="413" t="n">
        <v>0</v>
      </c>
      <c r="H5" s="413" t="n">
        <v>0</v>
      </c>
      <c r="I5" s="413" t="n">
        <v>0</v>
      </c>
    </row>
    <row r="6" ht="18" customHeight="1" s="192">
      <c r="B6" s="412" t="inlineStr">
        <is>
          <t>通算服务器+其他网络设备</t>
        </is>
      </c>
      <c r="C6" s="412">
        <f>IF('1-建设需求标准字段'!C13="5kw",CEILING(('2-建设规模换算'!I10+'2-建设规模换算'!I13+'2-建设规模换算'!I14+'2-建设规模换算'!I16+'2-建设规模换算'!I18+'2-建设规模换算'!I19+'2-建设规模换算'!I23+'2-建设规模换算'!I24+'2-建设规模换算'!I25+'2-建设规模换算'!I26+IF('2-建设规模换算'!H15=1.717,'2-建设规模换算'!H15*'2-建设规模换算'!E15,0))/5,1),0)</f>
        <v/>
      </c>
      <c r="D6" s="412">
        <f>IF('1-建设需求标准字段'!C13="7kw",CEILING(('2-建设规模换算'!I10+'2-建设规模换算'!I13+'2-建设规模换算'!I14+'2-建设规模换算'!I16+'2-建设规模换算'!I18+'2-建设规模换算'!I19+'2-建设规模换算'!I23+'2-建设规模换算'!I24+'2-建设规模换算'!I25+'2-建设规模换算'!I26+IF('2-建设规模换算'!H15=1.717,'2-建设规模换算'!H15*'2-建设规模换算'!E15,0))/7,1),0)</f>
        <v/>
      </c>
      <c r="E6" s="412" t="n">
        <v>0</v>
      </c>
      <c r="F6" s="412" t="n">
        <v>0</v>
      </c>
      <c r="G6" s="413" t="n">
        <v>0</v>
      </c>
      <c r="H6" s="413" t="n">
        <v>0</v>
      </c>
      <c r="I6" s="413" t="n">
        <v>0</v>
      </c>
    </row>
    <row r="7" ht="18" customHeight="1" s="192">
      <c r="B7" s="412" t="inlineStr">
        <is>
          <t>POD核心框式设备机架功耗</t>
        </is>
      </c>
      <c r="C7" s="412" t="n">
        <v>0</v>
      </c>
      <c r="D7" s="412">
        <f>IF('2-建设规模换算'!H15=5,'2-建设规模换算'!E15,0)</f>
        <v/>
      </c>
      <c r="E7" s="412" t="n">
        <v>0</v>
      </c>
      <c r="F7" s="412">
        <f>IF('2-建设规模换算'!H15=10,'2-建设规模换算'!E15,0)</f>
        <v/>
      </c>
      <c r="G7" s="413" t="n">
        <v>0</v>
      </c>
      <c r="H7" s="413" t="n">
        <v>0</v>
      </c>
      <c r="I7" s="413" t="n">
        <v>0</v>
      </c>
    </row>
    <row r="8" ht="18" customHeight="1" s="192">
      <c r="B8" s="412" t="inlineStr">
        <is>
          <t>POD管理汇聚设备机架功耗</t>
        </is>
      </c>
      <c r="C8" s="412" t="n">
        <v>0</v>
      </c>
      <c r="D8" s="412">
        <f>IF('2-建设规模换算'!H22=5,'2-建设规模换算'!E22,0)</f>
        <v/>
      </c>
      <c r="E8" s="412" t="n">
        <v>0</v>
      </c>
      <c r="F8" s="412">
        <f>IF('2-建设规模换算'!H22=10,'2-建设规模换算'!E22,0)</f>
        <v/>
      </c>
      <c r="G8" s="413" t="n">
        <v>0</v>
      </c>
      <c r="H8" s="413" t="n">
        <v>0</v>
      </c>
      <c r="I8" s="413" t="n">
        <v>0</v>
      </c>
    </row>
    <row r="9" ht="18" customHeight="1" s="192">
      <c r="B9" s="412" t="inlineStr">
        <is>
          <t>参数面+数据面汇聚框式设备机架功耗</t>
        </is>
      </c>
      <c r="C9" s="412" t="n">
        <v>0</v>
      </c>
      <c r="D9" s="412" t="n">
        <v>0</v>
      </c>
      <c r="E9" s="412">
        <f>IF('2-建设规模换算'!H20=9.12,'2-建设规模换算'!E20,0)</f>
        <v/>
      </c>
      <c r="F9" s="412" t="n">
        <v>0</v>
      </c>
      <c r="G9" s="413" t="n">
        <v>0</v>
      </c>
      <c r="H9" s="413">
        <f>IF('2-建设规模换算'!H17=17.6,'2-建设规模换算'!E17,0)</f>
        <v/>
      </c>
      <c r="I9" s="413">
        <f>IF('2-建设规模换算'!H17=35.1,'2-建设规模换算'!E17,0)</f>
        <v/>
      </c>
    </row>
    <row r="10" ht="18" customHeight="1" s="192">
      <c r="B10" s="412" t="n"/>
      <c r="C10" s="379" t="n"/>
      <c r="D10" s="379" t="n"/>
      <c r="E10" s="379" t="n"/>
      <c r="F10" s="379" t="n"/>
      <c r="G10" s="414" t="n"/>
      <c r="H10" s="414" t="n"/>
      <c r="I10" s="414" t="n"/>
    </row>
    <row r="11" ht="18" customHeight="1" s="192">
      <c r="B11" s="379" t="n"/>
      <c r="C11" s="379" t="n"/>
      <c r="D11" s="379" t="n"/>
      <c r="E11" s="379" t="n"/>
      <c r="F11" s="379" t="n"/>
      <c r="G11" s="414" t="n"/>
      <c r="H11" s="414" t="n"/>
      <c r="I11" s="414" t="n"/>
    </row>
    <row r="12" ht="18" customHeight="1" s="192">
      <c r="B12" s="379" t="n"/>
      <c r="C12" s="379" t="n"/>
      <c r="D12" s="379" t="n"/>
      <c r="E12" s="379" t="n"/>
      <c r="F12" s="379" t="n"/>
      <c r="G12" s="414" t="n"/>
      <c r="H12" s="414" t="n"/>
      <c r="I12" s="414" t="n"/>
    </row>
    <row r="13" ht="18" customHeight="1" s="192">
      <c r="B13" s="379" t="n"/>
      <c r="C13" s="379" t="n"/>
      <c r="D13" s="379" t="n"/>
      <c r="E13" s="379" t="n"/>
      <c r="F13" s="379" t="n"/>
      <c r="G13" s="414" t="n"/>
      <c r="H13" s="414" t="n"/>
      <c r="I13" s="414" t="n"/>
    </row>
    <row r="14" ht="18" customHeight="1" s="192" thickBot="1">
      <c r="B14" s="379" t="n"/>
      <c r="C14" s="379" t="n"/>
      <c r="D14" s="379" t="n"/>
      <c r="E14" s="379" t="n"/>
      <c r="F14" s="379" t="n"/>
      <c r="G14" s="414" t="n"/>
      <c r="H14" s="414" t="n"/>
      <c r="I14" s="414" t="n"/>
    </row>
    <row r="15" ht="18" customHeight="1" s="192" thickBot="1">
      <c r="B15" s="410" t="inlineStr">
        <is>
          <t>弹性装架</t>
        </is>
      </c>
      <c r="C15" s="379" t="n"/>
      <c r="D15" s="379" t="n"/>
      <c r="E15" s="379" t="n"/>
      <c r="F15" s="379" t="n"/>
      <c r="G15" s="414" t="n"/>
      <c r="H15" s="414" t="n"/>
      <c r="I15" s="414" t="n"/>
    </row>
    <row r="16" ht="18" customHeight="1" s="192">
      <c r="B16" s="410" t="inlineStr">
        <is>
          <t>部署区域</t>
        </is>
      </c>
      <c r="C16" s="410" t="inlineStr">
        <is>
          <t>5kw机柜安装数量</t>
        </is>
      </c>
      <c r="D16" s="410" t="inlineStr">
        <is>
          <t>7kw机柜安装数量</t>
        </is>
      </c>
      <c r="E16" s="410" t="inlineStr">
        <is>
          <t>10kw机柜安装数量</t>
        </is>
      </c>
      <c r="F16" s="410" t="inlineStr">
        <is>
          <t>15kw机柜安装数量</t>
        </is>
      </c>
      <c r="G16" s="411" t="inlineStr">
        <is>
          <t>20kw机柜数量</t>
        </is>
      </c>
      <c r="H16" s="411" t="inlineStr">
        <is>
          <t>23kw机柜数量</t>
        </is>
      </c>
      <c r="I16" s="411" t="inlineStr">
        <is>
          <t>46kw机柜数量</t>
        </is>
      </c>
    </row>
    <row r="17" ht="18" customHeight="1" s="192">
      <c r="B17" s="412" t="inlineStr">
        <is>
          <t>智算服务器</t>
        </is>
      </c>
      <c r="C17" s="412" t="n">
        <v>0</v>
      </c>
      <c r="D17" s="412">
        <f>CEILING(('2-建设规模换算'!E4+'2-建设规模换算'!E3)/4,1)*3</f>
        <v/>
      </c>
      <c r="E17" s="412" t="n">
        <v>0</v>
      </c>
      <c r="F17" s="412" t="n">
        <v>0</v>
      </c>
      <c r="G17" s="413" t="n">
        <v>0</v>
      </c>
      <c r="H17" s="413" t="n">
        <v>0</v>
      </c>
      <c r="I17" s="413" t="n">
        <v>0</v>
      </c>
    </row>
    <row r="18" ht="18" customHeight="1" s="192">
      <c r="B18" s="412" t="inlineStr">
        <is>
          <t>存储服务器</t>
        </is>
      </c>
      <c r="C18" s="412" t="n">
        <v>0</v>
      </c>
      <c r="D18" s="412" t="n">
        <v>0</v>
      </c>
      <c r="E18" s="412">
        <f>'1-建设需求标准字段'!C7</f>
        <v/>
      </c>
      <c r="F18" s="412" t="n">
        <v>0</v>
      </c>
      <c r="G18" s="413" t="n">
        <v>0</v>
      </c>
      <c r="H18" s="413" t="n">
        <v>0</v>
      </c>
      <c r="I18" s="413" t="n">
        <v>0</v>
      </c>
    </row>
    <row r="19" ht="18" customHeight="1" s="192">
      <c r="B19" s="412" t="inlineStr">
        <is>
          <t>通算服务器+其他网络设备</t>
        </is>
      </c>
      <c r="C19" s="412" t="n">
        <v>0</v>
      </c>
      <c r="D19" s="412" t="n">
        <v>0</v>
      </c>
      <c r="E19" s="412" t="n">
        <v>0</v>
      </c>
      <c r="F19" s="412" t="n">
        <v>0</v>
      </c>
      <c r="G19" s="413" t="n">
        <v>0</v>
      </c>
      <c r="H19" s="413" t="n">
        <v>0</v>
      </c>
      <c r="I19" s="413" t="n">
        <v>0</v>
      </c>
    </row>
    <row r="20" ht="18" customHeight="1" s="192">
      <c r="B20" s="412" t="inlineStr">
        <is>
          <t>POD核心框式设备机架功耗</t>
        </is>
      </c>
      <c r="C20" s="412" t="n">
        <v>0</v>
      </c>
      <c r="D20" s="412">
        <f>IF('2-建设规模换算'!H15=5,'2-建设规模换算'!E15,0)</f>
        <v/>
      </c>
      <c r="E20" s="412" t="n">
        <v>0</v>
      </c>
      <c r="F20" s="412">
        <f>IF('2-建设规模换算'!H15=10,'2-建设规模换算'!E15,0)</f>
        <v/>
      </c>
      <c r="G20" s="413" t="n">
        <v>0</v>
      </c>
      <c r="H20" s="413" t="n">
        <v>0</v>
      </c>
      <c r="I20" s="413" t="n">
        <v>0</v>
      </c>
    </row>
    <row r="21" ht="18" customHeight="1" s="192">
      <c r="B21" s="412" t="inlineStr">
        <is>
          <t>POD管理汇聚设备机架功耗</t>
        </is>
      </c>
      <c r="C21" s="412" t="n">
        <v>0</v>
      </c>
      <c r="D21" s="412">
        <f>IF('2-建设规模换算'!H22=5,'2-建设规模换算'!E22,0)</f>
        <v/>
      </c>
      <c r="E21" s="412" t="n">
        <v>0</v>
      </c>
      <c r="F21" s="412">
        <f>IF('2-建设规模换算'!H22=10,'2-建设规模换算'!E22,0)</f>
        <v/>
      </c>
      <c r="G21" s="413" t="n">
        <v>0</v>
      </c>
      <c r="H21" s="413" t="n">
        <v>0</v>
      </c>
      <c r="I21" s="413" t="n">
        <v>0</v>
      </c>
    </row>
    <row r="22" ht="18" customHeight="1" s="192">
      <c r="B22" s="412" t="inlineStr">
        <is>
          <t>参数面+数据面汇聚框式设备机架功耗</t>
        </is>
      </c>
      <c r="C22" s="412" t="n">
        <v>0</v>
      </c>
      <c r="D22" s="412" t="n">
        <v>0</v>
      </c>
      <c r="E22" s="412">
        <f>IF('2-建设规模换算'!H20=9.12,'2-建设规模换算'!E20,0)</f>
        <v/>
      </c>
      <c r="F22" s="412" t="n">
        <v>0</v>
      </c>
      <c r="G22" s="413" t="n">
        <v>0</v>
      </c>
      <c r="H22" s="413">
        <f>IF('2-建设规模换算'!H17=17.6,'2-建设规模换算'!E17,0)</f>
        <v/>
      </c>
      <c r="I22" s="413">
        <f>IF('2-建设规模换算'!H17=35.1,'2-建设规模换算'!E17,0)</f>
        <v/>
      </c>
    </row>
  </sheetData>
  <autoFilter ref="B2:I22"/>
  <mergeCells count="2">
    <mergeCell ref="B2:I2"/>
    <mergeCell ref="B15:I15"/>
  </mergeCells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 codeName="Sheet4">
    <tabColor rgb="FFFF0000"/>
    <outlinePr summaryBelow="1" summaryRight="1"/>
    <pageSetUpPr/>
  </sheetPr>
  <dimension ref="A1:I10"/>
  <sheetViews>
    <sheetView zoomScale="85" zoomScaleNormal="85" workbookViewId="0">
      <pane ySplit="1" topLeftCell="A2" activePane="bottomLeft" state="frozen"/>
      <selection pane="bottomLeft" activeCell="D18" sqref="D18"/>
    </sheetView>
  </sheetViews>
  <sheetFormatPr baseColWidth="8" defaultColWidth="10.77734375" defaultRowHeight="21" customHeight="1"/>
  <cols>
    <col width="10" customWidth="1" style="235" min="1" max="1"/>
    <col width="26.4" customWidth="1" style="235" min="2" max="2"/>
    <col width="15.4" customWidth="1" style="235" min="3" max="3"/>
    <col width="60" customWidth="1" style="235" min="4" max="4"/>
    <col width="10" customWidth="1" style="283" min="5" max="5"/>
    <col width="11" customWidth="1" style="235" min="6" max="6"/>
    <col width="10" customWidth="1" style="235" min="7" max="7"/>
    <col width="12.1" customWidth="1" style="235" min="8" max="9"/>
    <col width="10" customWidth="1" style="192" min="9" max="9"/>
    <col width="10.77734375" customWidth="1" style="235" min="10" max="24"/>
    <col hidden="1" width="10.77734375" customWidth="1" style="235" min="25" max="58"/>
    <col width="3.88671875" customWidth="1" style="235" min="59" max="59"/>
    <col width="18.33203125" customWidth="1" style="235" min="60" max="60"/>
    <col width="22" customWidth="1" style="235" min="61" max="61"/>
    <col width="14.109375" customWidth="1" style="235" min="62" max="62"/>
    <col width="8.44140625" customWidth="1" style="235" min="63" max="65"/>
    <col width="146.33203125" customWidth="1" style="235" min="66" max="66"/>
    <col width="4.6640625" customWidth="1" style="235" min="67" max="67"/>
    <col width="10.33203125" customWidth="1" style="235" min="68" max="68"/>
    <col width="8.44140625" customWidth="1" style="235" min="69" max="70"/>
    <col width="14" customWidth="1" style="235" min="71" max="72"/>
    <col width="4.6640625" customWidth="1" style="235" min="73" max="73"/>
    <col width="10.77734375" customWidth="1" style="235" min="74" max="16364"/>
    <col width="10.77734375" customWidth="1" style="235" min="16365" max="16384"/>
  </cols>
  <sheetData>
    <row r="1" ht="18" customHeight="1" s="192">
      <c r="A1" s="354" t="inlineStr">
        <is>
          <t>序号</t>
        </is>
      </c>
      <c r="B1" s="354" t="inlineStr">
        <is>
          <t>产品名称</t>
        </is>
      </c>
      <c r="C1" s="354" t="inlineStr">
        <is>
          <t>服务器典配模型</t>
        </is>
      </c>
      <c r="D1" s="354" t="inlineStr">
        <is>
          <t>配置</t>
        </is>
      </c>
      <c r="E1" s="354" t="inlineStr">
        <is>
          <t>单位</t>
        </is>
      </c>
      <c r="F1" s="354" t="inlineStr">
        <is>
          <t>功耗
（kw）</t>
        </is>
      </c>
      <c r="G1" s="354" t="inlineStr">
        <is>
          <t>价格
（万元）</t>
        </is>
      </c>
      <c r="H1" s="354" t="inlineStr">
        <is>
          <t>单卡算力
（FP16）</t>
        </is>
      </c>
      <c r="I1" s="354" t="inlineStr">
        <is>
          <t>备注</t>
        </is>
      </c>
    </row>
    <row r="2" ht="18" customHeight="1" s="192">
      <c r="A2" s="415" t="n">
        <v>1</v>
      </c>
      <c r="B2" s="371" t="inlineStr">
        <is>
          <t>Atlas 800I A2 推理服务器（64G）</t>
        </is>
      </c>
      <c r="C2" s="373" t="inlineStr">
        <is>
          <t>扣卡(64G)</t>
        </is>
      </c>
      <c r="D2" s="371" t="inlineStr">
        <is>
          <t>4*Kunpeng920-5250(48core,2.6GHz)/32*32G/2*480GB/NVMe 2* 3.84TB/8*Ascend 910B4-64G-HCCS/2*GE+2*10GE+4*25GE+8*200G</t>
        </is>
      </c>
      <c r="E2" s="371" t="inlineStr">
        <is>
          <t>台</t>
        </is>
      </c>
      <c r="F2" s="415" t="n">
        <v>5.2</v>
      </c>
      <c r="G2" s="416" t="n">
        <v>70</v>
      </c>
      <c r="H2" s="371" t="inlineStr">
        <is>
          <t>280Tflos</t>
        </is>
      </c>
      <c r="I2" s="371" t="n"/>
    </row>
    <row r="3" ht="18" customHeight="1" s="192">
      <c r="A3" s="415" t="n">
        <v>2</v>
      </c>
      <c r="B3" s="371" t="inlineStr">
        <is>
          <t>Atlas 800I A2 推理服务器（32G）</t>
        </is>
      </c>
      <c r="C3" s="373" t="inlineStr">
        <is>
          <t>扣卡(32G)</t>
        </is>
      </c>
      <c r="D3" s="371" t="inlineStr">
        <is>
          <t>4*Kunpeng920-5250(48core,2.6GHz)/32*32G/2*480GB/NVMe 2* 3.84TB/8*Ascend 910B4-32G-HCCS/2*GE+2*10GE+4*25GE+8*200G</t>
        </is>
      </c>
      <c r="E3" s="371" t="inlineStr">
        <is>
          <t>台</t>
        </is>
      </c>
      <c r="F3" s="415" t="n">
        <v>5.2</v>
      </c>
      <c r="G3" s="416" t="n">
        <v>70</v>
      </c>
      <c r="H3" s="371" t="inlineStr">
        <is>
          <t>280Tflos</t>
        </is>
      </c>
      <c r="I3" s="371" t="n"/>
    </row>
    <row r="4" ht="18" customHeight="1" s="192">
      <c r="A4" s="415" t="n">
        <v>3</v>
      </c>
      <c r="B4" s="371" t="inlineStr">
        <is>
          <t>Atlas 300I Duo 推理服务器</t>
        </is>
      </c>
      <c r="C4" s="371" t="inlineStr">
        <is>
          <t>I3（4U8卡）</t>
        </is>
      </c>
      <c r="D4" s="371" t="inlineStr">
        <is>
          <t>2*Kunpeng920-5250(48core,2.6GHz)/32*32G/2*480GB/NVMe 2* 1.92TB/8*Atlas 300I Duo 推理卡-LPDDR4x 96GB/2*10GE+2*25GE+2*25GE</t>
        </is>
      </c>
      <c r="E4" s="371" t="inlineStr">
        <is>
          <t>台</t>
        </is>
      </c>
      <c r="F4" s="415" t="n">
        <v>2.3</v>
      </c>
      <c r="G4" s="416" t="n">
        <v>20</v>
      </c>
      <c r="H4" s="371" t="inlineStr">
        <is>
          <t>140Tflos</t>
        </is>
      </c>
      <c r="I4" s="371" t="n"/>
    </row>
    <row r="5" ht="18" customHeight="1" s="192">
      <c r="A5" s="415" t="n">
        <v>4</v>
      </c>
      <c r="B5" s="371" t="inlineStr">
        <is>
          <t>分布式文件存储</t>
        </is>
      </c>
      <c r="C5" s="371" t="inlineStr">
        <is>
          <t>分布式融合存储（高性能）</t>
        </is>
      </c>
      <c r="D5" s="371" t="inlineStr">
        <is>
          <t>分布式文件存储\华为\OceanStor\1PB\OceanStor Pacific 9950\18台存储节点</t>
        </is>
      </c>
      <c r="E5" s="371" t="inlineStr">
        <is>
          <t>PB</t>
        </is>
      </c>
      <c r="F5" s="415">
        <f>0.4375*18</f>
        <v/>
      </c>
      <c r="G5" s="416" t="n">
        <v>222</v>
      </c>
      <c r="H5" s="371" t="n"/>
      <c r="I5" s="371" t="n"/>
    </row>
    <row r="6" ht="18" customHeight="1" s="192">
      <c r="A6" s="415" t="n">
        <v>5</v>
      </c>
      <c r="B6" s="371" t="inlineStr">
        <is>
          <t>裸金属网关</t>
        </is>
      </c>
      <c r="C6" s="371" t="inlineStr">
        <is>
          <t>SY2401-CK3</t>
        </is>
      </c>
      <c r="D6" s="371" t="inlineStr">
        <is>
          <t>2*Kunpeng920-7260（64c,2.6GHz）\16*64G\2*480G SATA SSD\ 2*10GE+8*25GE（麦洛斯网卡）</t>
        </is>
      </c>
      <c r="E6" s="371" t="inlineStr">
        <is>
          <t>台</t>
        </is>
      </c>
      <c r="F6" s="415" t="n">
        <v>0.6</v>
      </c>
      <c r="G6" s="416" t="n">
        <v>8</v>
      </c>
      <c r="H6" s="371" t="n"/>
      <c r="I6" s="371" t="n"/>
    </row>
    <row r="7" ht="18" customHeight="1" s="192">
      <c r="A7" s="415" t="n">
        <v>6</v>
      </c>
      <c r="B7" s="371" t="inlineStr">
        <is>
          <t>智管平台</t>
        </is>
      </c>
      <c r="C7" s="371" t="inlineStr">
        <is>
          <t>模型7 SY2401-CH3</t>
        </is>
      </c>
      <c r="D7" s="371" t="inlineStr">
        <is>
          <t>2*Hygon 7390（32c,2.7GHz）/16*32G/2*480G SSD/2*1.92T SSD/2*GE +4*25GE</t>
        </is>
      </c>
      <c r="E7" s="371" t="inlineStr">
        <is>
          <t>台</t>
        </is>
      </c>
      <c r="F7" s="415" t="n">
        <v>0.6</v>
      </c>
      <c r="G7" s="416" t="n">
        <v>8</v>
      </c>
      <c r="H7" s="371" t="n"/>
      <c r="I7" s="371" t="n"/>
    </row>
    <row r="8" ht="21" customHeight="1" s="192">
      <c r="A8" s="417" t="n"/>
      <c r="B8" s="150" t="n"/>
      <c r="C8" s="150" t="n"/>
      <c r="D8" s="150" t="n"/>
      <c r="E8" s="150" t="n"/>
      <c r="F8" s="417" t="n"/>
      <c r="G8" s="418" t="n"/>
      <c r="H8" s="150" t="n"/>
      <c r="I8" s="150" t="n"/>
    </row>
    <row r="9" ht="21" customHeight="1" s="192">
      <c r="A9" s="417" t="n"/>
      <c r="B9" s="150" t="n"/>
      <c r="C9" s="150" t="n"/>
      <c r="D9" s="150" t="n"/>
      <c r="E9" s="150" t="n"/>
      <c r="F9" s="417" t="n"/>
      <c r="G9" s="418" t="n"/>
      <c r="H9" s="150" t="n"/>
      <c r="I9" s="150" t="n"/>
    </row>
    <row r="10" ht="15.6" customHeight="1" s="192">
      <c r="A10" s="417" t="n"/>
      <c r="B10" s="150" t="n"/>
      <c r="C10" s="150" t="n"/>
      <c r="D10" s="150" t="n"/>
      <c r="E10" s="150" t="n"/>
      <c r="F10" s="417" t="n"/>
      <c r="G10" s="418" t="n"/>
      <c r="H10" s="150" t="n"/>
      <c r="I10" s="150" t="n"/>
    </row>
  </sheetData>
  <autoFilter ref="A1:I7"/>
  <pageMargins left="0.75" right="0.75" top="1" bottom="1" header="0.5" footer="0.5"/>
  <legacyDrawing xmlns:r="http://schemas.openxmlformats.org/officeDocument/2006/relationships" r:id="anysvml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 codeName="Sheet13">
    <tabColor rgb="FFFF0000"/>
    <outlinePr summaryBelow="1" summaryRight="1"/>
    <pageSetUpPr/>
  </sheetPr>
  <dimension ref="A1:G17"/>
  <sheetViews>
    <sheetView workbookViewId="0">
      <pane ySplit="1" topLeftCell="A2" activePane="bottomLeft" state="frozen"/>
      <selection pane="bottomLeft" activeCell="A15" sqref="A15:XFD15"/>
    </sheetView>
  </sheetViews>
  <sheetFormatPr baseColWidth="8" defaultColWidth="8.77734375" defaultRowHeight="14.4"/>
  <cols>
    <col width="11" customWidth="1" style="192" min="1" max="1"/>
    <col width="27.5" customWidth="1" style="192" min="2" max="2"/>
    <col width="29.7" customWidth="1" style="192" min="3" max="3"/>
    <col width="10" customWidth="1" style="131" min="4" max="4"/>
    <col width="10" customWidth="1" style="131" min="5" max="5"/>
    <col width="10" customWidth="1" style="131" min="6" max="7"/>
    <col width="23.1" customWidth="1" style="192" min="7" max="7"/>
  </cols>
  <sheetData>
    <row r="1" ht="18" customHeight="1" s="192">
      <c r="A1" s="354" t="inlineStr">
        <is>
          <t>交换机</t>
        </is>
      </c>
      <c r="B1" s="354" t="inlineStr">
        <is>
          <t>典配</t>
        </is>
      </c>
      <c r="C1" s="354" t="inlineStr">
        <is>
          <t>网络设备配置</t>
        </is>
      </c>
      <c r="D1" s="354" t="inlineStr">
        <is>
          <t>功耗（kw）</t>
        </is>
      </c>
      <c r="E1" s="354" t="inlineStr">
        <is>
          <t>价格（万元）</t>
        </is>
      </c>
      <c r="F1" s="354" t="inlineStr">
        <is>
          <t>满配价格</t>
        </is>
      </c>
      <c r="G1" s="354" t="inlineStr">
        <is>
          <t>备注</t>
        </is>
      </c>
    </row>
    <row r="2" ht="18" customHeight="1" s="192">
      <c r="A2" s="386" t="inlineStr">
        <is>
          <t>POD业务核心交换机</t>
        </is>
      </c>
      <c r="B2" s="386" t="inlineStr">
        <is>
          <t>数据中心交换机典配1 3.6T核心交换机（8槽）</t>
        </is>
      </c>
      <c r="C2" s="386" t="inlineStr">
        <is>
          <t>按需配置</t>
        </is>
      </c>
      <c r="D2" s="419" t="n">
        <v>5</v>
      </c>
      <c r="E2" s="420" t="inlineStr">
        <is>
          <t>按需-参见价格计算</t>
        </is>
      </c>
      <c r="F2" s="420" t="n">
        <v>100</v>
      </c>
      <c r="G2" s="355" t="inlineStr">
        <is>
          <t>8槽位 ：满配5KW以上，使用7KW机柜</t>
        </is>
      </c>
    </row>
    <row r="3" ht="18" customHeight="1" s="192">
      <c r="A3" s="386" t="inlineStr">
        <is>
          <t>POD业务核心交换机</t>
        </is>
      </c>
      <c r="B3" s="386" t="inlineStr">
        <is>
          <t>数据中心交换机典配1 3.6T核心交换机（16槽）</t>
        </is>
      </c>
      <c r="C3" s="386" t="inlineStr">
        <is>
          <t>按需配置</t>
        </is>
      </c>
      <c r="D3" s="419" t="n">
        <v>10</v>
      </c>
      <c r="E3" s="420" t="inlineStr">
        <is>
          <t>按需-参见价格计算</t>
        </is>
      </c>
      <c r="F3" s="420" t="n">
        <v>200</v>
      </c>
      <c r="G3" s="355" t="inlineStr">
        <is>
          <t>16槽位：满配10K以上，使用15KW机柜</t>
        </is>
      </c>
    </row>
    <row r="4" ht="18" customHeight="1" s="192">
      <c r="A4" s="386" t="inlineStr">
        <is>
          <t>POD业务核心交换机</t>
        </is>
      </c>
      <c r="B4" s="393" t="inlineStr">
        <is>
          <t>数据中心交换机典配5 盒式核心</t>
        </is>
      </c>
      <c r="C4" s="386" t="inlineStr">
        <is>
          <t>按需配置</t>
        </is>
      </c>
      <c r="D4" s="419" t="n">
        <v>1.717</v>
      </c>
      <c r="E4" s="420" t="inlineStr">
        <is>
          <t>按需-参见价格计算</t>
        </is>
      </c>
      <c r="F4" s="420" t="n">
        <v>40</v>
      </c>
      <c r="G4" s="355" t="n">
        <v>1.717</v>
      </c>
    </row>
    <row r="5" ht="18" customHeight="1" s="192">
      <c r="A5" s="386" t="inlineStr">
        <is>
          <t>业务域管理汇聚交换机</t>
        </is>
      </c>
      <c r="B5" s="386" t="inlineStr">
        <is>
          <t>数据中心交换机典配2 1.8T核心交换机（8槽）</t>
        </is>
      </c>
      <c r="C5" s="386" t="inlineStr">
        <is>
          <t>按需配置</t>
        </is>
      </c>
      <c r="D5" s="419" t="n">
        <v>5</v>
      </c>
      <c r="E5" s="420" t="inlineStr">
        <is>
          <t>按需-参见价格计算</t>
        </is>
      </c>
      <c r="F5" s="420" t="n">
        <v>60</v>
      </c>
      <c r="G5" s="355" t="inlineStr">
        <is>
          <t>8槽位 ：满配5KW以上，使用7KW机柜</t>
        </is>
      </c>
    </row>
    <row r="6" ht="18" customHeight="1" s="192">
      <c r="A6" s="386" t="inlineStr">
        <is>
          <t>业务域管理汇聚交换机</t>
        </is>
      </c>
      <c r="B6" s="386" t="inlineStr">
        <is>
          <t>数据中心交换机典配2 1.8T核心交换机（16槽）</t>
        </is>
      </c>
      <c r="C6" s="386" t="inlineStr">
        <is>
          <t>按需配置</t>
        </is>
      </c>
      <c r="D6" s="419" t="n">
        <v>10</v>
      </c>
      <c r="E6" s="420" t="inlineStr">
        <is>
          <t>按需-参见价格计算</t>
        </is>
      </c>
      <c r="F6" s="420" t="n">
        <v>120</v>
      </c>
      <c r="G6" s="355" t="inlineStr">
        <is>
          <t>16槽位：满配10K以上，使用15KW机柜</t>
        </is>
      </c>
    </row>
    <row r="7" ht="18" customHeight="1" s="192">
      <c r="A7" s="386" t="inlineStr">
        <is>
          <t>25G接入交换机</t>
        </is>
      </c>
      <c r="B7" s="386" t="inlineStr">
        <is>
          <t>数据中心交换机典配4 25GE接入</t>
        </is>
      </c>
      <c r="C7" s="386" t="inlineStr">
        <is>
          <t>48*25GE多模+4*100GE单模</t>
        </is>
      </c>
      <c r="D7" s="421" t="n">
        <v>0.378</v>
      </c>
      <c r="E7" s="388" t="n">
        <v>5</v>
      </c>
      <c r="F7" s="388" t="n">
        <v>5</v>
      </c>
      <c r="G7" s="386" t="n">
        <v>0.378</v>
      </c>
    </row>
    <row r="8" ht="18" customHeight="1" s="192">
      <c r="A8" s="386" t="inlineStr">
        <is>
          <t>10G接入交换机</t>
        </is>
      </c>
      <c r="B8" s="386" t="inlineStr">
        <is>
          <t>数据中心交换机典配3 10GE接入</t>
        </is>
      </c>
      <c r="C8" s="386" t="inlineStr">
        <is>
          <t>48*10GE多模+4*40GE单模+2*40GE多模</t>
        </is>
      </c>
      <c r="D8" s="421" t="n">
        <v>0.318</v>
      </c>
      <c r="E8" s="388" t="n">
        <v>2</v>
      </c>
      <c r="F8" s="388" t="n">
        <v>2</v>
      </c>
      <c r="G8" s="386" t="n">
        <v>0.318</v>
      </c>
    </row>
    <row r="9" ht="18" customHeight="1" s="192">
      <c r="A9" s="386" t="inlineStr">
        <is>
          <t>GE接入交换机</t>
        </is>
      </c>
      <c r="B9" s="386" t="inlineStr">
        <is>
          <t>低端三层交换机</t>
        </is>
      </c>
      <c r="C9" s="386" t="inlineStr">
        <is>
          <t>48*GE电+4*10GE(单模）</t>
        </is>
      </c>
      <c r="D9" s="421" t="n">
        <v>0.18</v>
      </c>
      <c r="E9" s="388" t="n">
        <v>0.2</v>
      </c>
      <c r="F9" s="388" t="n">
        <v>0.2</v>
      </c>
      <c r="G9" s="386" t="n">
        <v>0.18</v>
      </c>
    </row>
    <row r="10" ht="18" customHeight="1" s="192">
      <c r="A10" s="386" t="inlineStr">
        <is>
          <t>Roce交换机</t>
        </is>
      </c>
      <c r="B10" s="386" t="inlineStr">
        <is>
          <t>参数面典配1 400G框式汇聚（8槽）</t>
        </is>
      </c>
      <c r="C10" s="386" t="inlineStr">
        <is>
          <t>按需配置</t>
        </is>
      </c>
      <c r="D10" s="421" t="n">
        <v>17.6</v>
      </c>
      <c r="E10" s="420" t="inlineStr">
        <is>
          <t>按需-参见价格计算</t>
        </is>
      </c>
      <c r="F10" s="420" t="n">
        <v>500</v>
      </c>
      <c r="G10" s="386" t="inlineStr">
        <is>
          <t>17.6，使用23KW机架</t>
        </is>
      </c>
    </row>
    <row r="11" ht="18" customHeight="1" s="192">
      <c r="A11" s="386" t="inlineStr">
        <is>
          <t>Roce交换机</t>
        </is>
      </c>
      <c r="B11" s="386" t="inlineStr">
        <is>
          <t>参数面典配2 200G盒式接入</t>
        </is>
      </c>
      <c r="C11" s="386" t="inlineStr">
        <is>
          <t>16*400GE单模+16*400GE多模</t>
        </is>
      </c>
      <c r="D11" s="421" t="n">
        <v>1.31</v>
      </c>
      <c r="E11" s="388" t="n">
        <v>46</v>
      </c>
      <c r="F11" s="388" t="n">
        <v>46</v>
      </c>
      <c r="G11" s="386" t="n">
        <v>1.31</v>
      </c>
    </row>
    <row r="12" ht="18" customHeight="1" s="192">
      <c r="A12" s="386" t="inlineStr">
        <is>
          <t>Roce交换机</t>
        </is>
      </c>
      <c r="B12" s="386" t="inlineStr">
        <is>
          <t>参数面典配3 400G框式汇聚（16槽）</t>
        </is>
      </c>
      <c r="C12" s="386" t="inlineStr">
        <is>
          <t>按需配置</t>
        </is>
      </c>
      <c r="D12" s="421" t="n">
        <v>35.1</v>
      </c>
      <c r="E12" s="420" t="inlineStr">
        <is>
          <t>按需-参见价格计算</t>
        </is>
      </c>
      <c r="F12" s="420" t="n">
        <v>1000</v>
      </c>
      <c r="G12" s="386" t="inlineStr">
        <is>
          <t>35.1，使用46KW机架</t>
        </is>
      </c>
    </row>
    <row r="13" ht="18" customHeight="1" s="192">
      <c r="A13" s="386" t="inlineStr">
        <is>
          <t>Roce交换机</t>
        </is>
      </c>
      <c r="B13" s="386" t="inlineStr">
        <is>
          <t>参数面典配4 400G盒式汇聚</t>
        </is>
      </c>
      <c r="C13" s="386" t="inlineStr">
        <is>
          <t>32*400GE多模</t>
        </is>
      </c>
      <c r="D13" s="421" t="n">
        <v>1.31</v>
      </c>
      <c r="E13" s="388" t="n">
        <v>40</v>
      </c>
      <c r="F13" s="388" t="n">
        <v>40</v>
      </c>
      <c r="G13" s="386" t="n">
        <v>1.31</v>
      </c>
    </row>
    <row r="14" ht="18" customHeight="1" s="192">
      <c r="A14" s="386" t="inlineStr">
        <is>
          <t>Roce交换机</t>
        </is>
      </c>
      <c r="B14" s="386" t="inlineStr">
        <is>
          <t>参数面典配5 200G-B盒式接入</t>
        </is>
      </c>
      <c r="C14" s="386" t="inlineStr">
        <is>
          <t>16*200GE多模+8*400GE多模</t>
        </is>
      </c>
      <c r="D14" s="421" t="n">
        <v>1.1</v>
      </c>
      <c r="E14" s="388" t="n">
        <v>20</v>
      </c>
      <c r="F14" s="388" t="n">
        <v>20</v>
      </c>
      <c r="G14" s="386" t="n">
        <v>1.1</v>
      </c>
    </row>
    <row r="15" ht="18" customHeight="1" s="192">
      <c r="A15" s="386" t="inlineStr">
        <is>
          <t>Roce交换机</t>
        </is>
      </c>
      <c r="B15" s="422" t="inlineStr">
        <is>
          <t>数据面典配1 100G框式汇聚（16槽）</t>
        </is>
      </c>
      <c r="C15" s="386" t="inlineStr">
        <is>
          <t>按需配置</t>
        </is>
      </c>
      <c r="D15" s="421" t="n">
        <v>9.119999999999999</v>
      </c>
      <c r="E15" s="420" t="inlineStr">
        <is>
          <t>按需-参见价格计算</t>
        </is>
      </c>
      <c r="F15" s="420" t="n">
        <v>250</v>
      </c>
      <c r="G15" s="386" t="n">
        <v>9.119999999999999</v>
      </c>
    </row>
    <row r="16" ht="18" customHeight="1" s="192">
      <c r="A16" s="386" t="inlineStr">
        <is>
          <t>Roce交换机</t>
        </is>
      </c>
      <c r="B16" s="422" t="inlineStr">
        <is>
          <t>数据面典配2 100G盒式汇聚&amp;接入</t>
        </is>
      </c>
      <c r="C16" s="386" t="inlineStr">
        <is>
          <t>128*100GE单模</t>
        </is>
      </c>
      <c r="D16" s="421" t="n">
        <v>1.91</v>
      </c>
      <c r="E16" s="388" t="n">
        <v>36</v>
      </c>
      <c r="F16" s="388" t="n">
        <v>36</v>
      </c>
      <c r="G16" s="386" t="n">
        <v>1.91</v>
      </c>
    </row>
    <row r="17" ht="18" customHeight="1" s="192">
      <c r="A17" s="386" t="inlineStr">
        <is>
          <t>Roce交换机</t>
        </is>
      </c>
      <c r="B17" s="386" t="inlineStr">
        <is>
          <t>数据面典配3 25G盒式接入</t>
        </is>
      </c>
      <c r="C17" s="386" t="inlineStr">
        <is>
          <t>32*25GE多模+8*100GE多模</t>
        </is>
      </c>
      <c r="D17" s="421" t="n">
        <v>0.25</v>
      </c>
      <c r="E17" s="388" t="n">
        <v>5</v>
      </c>
      <c r="F17" s="388" t="n">
        <v>5</v>
      </c>
      <c r="G17" s="386" t="n">
        <v>0.25</v>
      </c>
    </row>
  </sheetData>
  <autoFilter ref="A1:G17"/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D4"/>
  <sheetViews>
    <sheetView topLeftCell="A4" zoomScale="85" zoomScaleNormal="85" workbookViewId="0">
      <pane ySplit="1" topLeftCell="A2" activePane="bottomLeft" state="frozen"/>
      <selection pane="bottomLeft" activeCell="D4" sqref="D4"/>
    </sheetView>
  </sheetViews>
  <sheetFormatPr baseColWidth="8" defaultColWidth="8.77734375" defaultRowHeight="14.4"/>
  <cols>
    <col width="12.1" bestFit="1" customWidth="1" style="192" min="3" max="3"/>
    <col width="60" customWidth="1" style="192" min="4" max="4"/>
  </cols>
  <sheetData>
    <row r="1" ht="18" customHeight="1" s="192">
      <c r="C1" s="423" t="inlineStr">
        <is>
          <t>对象存储集群组件</t>
        </is>
      </c>
      <c r="D1" s="423" t="inlineStr">
        <is>
          <t>设计原则及装架要求</t>
        </is>
      </c>
    </row>
    <row r="2" ht="18" customHeight="1" s="192">
      <c r="C2" s="424" t="inlineStr">
        <is>
          <t>智算设备现网功耗现状</t>
        </is>
      </c>
      <c r="D2" s="425" t="inlineStr">
        <is>
          <t>现状一：智算三期哈尔滨万卡集群，昇腾910B2服务器满载功率5.1KW，现网最大运行功率4.86KW，约占满载功率的95.3%
现状二：智算一期呼池推理集群10，昇腾300V服务器满载功率1.575KW，现网最大运行功率1.44KW，约占满载功率的91.4%
方案建议：结合智算呼哈资源池长稳运行经验，推理服务器优先按照满载功率设计装架，最低不低于满载功率的95%，其他网络设备按照满负荷运行功耗设计装架。</t>
        </is>
      </c>
    </row>
    <row r="3" ht="18" customHeight="1" s="192">
      <c r="C3" s="424" t="inlineStr">
        <is>
          <t>机柜装架总原则</t>
        </is>
      </c>
      <c r="D3" s="425" t="inlineStr">
        <is>
          <t>一、基础设施集约化
1、机架选型：根据设备数量、组网、功率等情况，确定机架选型以及功率配比、布局
2、PDU布局：根据设备装架功耗确定机架内PDU类型以及排列方式，确保供电均衡、稳定
3、ODF摆放：合理规划光纤容量以及连接器类型，同时考虑扩展性与灵活性，规范布线、维护便捷
二、功耗使用最大化
1、最低功耗：机架电源标称功耗尽量使用，单机柜装架功耗不低于机架额定功耗的95%，个别机柜可按工程实际情况单独考虑
2、最高功耗：非弹性机柜装架功耗不宜超过机架额定功耗的100%，难以装架的特殊场景，可上浮5%；弹性机柜装架可达机架额定功耗的150%以上，但单列装架总功率不允许超过单列额定功率。
3、平均功耗：平均装架功耗最终不低于机架额定总功耗的95%
三、按功能定义机柜并合理布局
1、计算柜：主要放置AI推理服务器，并在顶部放置接入类交换机
2、交换柜：重点放置参数面Spine交换机及推理POD核心交换机，若计算柜功率、空间满足，也可和计算柜混装
3、机柜布局：计算柜外围布置、交换柜居中布置，就近布线，降低时延
四、空间使用紧凑化
1、机柜：底部预留4U（特殊情况可预留2U），顶部预留1U
2、接入交换机：管理、业务、存储类接入交换机下方预留1U
3、参数面交换机：下方预留2U
4、推理服务器：下方预留2U</t>
        </is>
      </c>
    </row>
    <row r="4" ht="18" customHeight="1" s="192">
      <c r="C4" s="424" t="inlineStr">
        <is>
          <t>机房布局规划及装架原则</t>
        </is>
      </c>
      <c r="D4" s="425" t="inlineStr">
        <is>
          <t>1、在满足机房空间布局及承重条件的前提下，建议将推理服务器机柜沿网络设备柜两侧对称均衡布设，以确保设备散热效能与线缆管理的优化配置
2、推理服务器和参数面接入交换机按需混布；在确保单机柜不超电、业务运行安全的情况下，为提升电力利用率、减少电力空闲，网络设备机柜可和通算服务器混部。
一、推理服务器机柜
1、非弹性装架建议使用20KW机柜，架内部署4台推理服务器，装架率可达97.75%
2、弹性装架7kW机柜，机架分组设计（1组3个7KW机架），混布4台推理服务器+1台Leaf交换机+2台通算服务器+2台接入交换机，总装架率可达99%以上
3、20KW非弹性机柜须严格遵循额定功率上限装架；弹性装架整柜装架率高，根据业务需求设置分组装架方案；弹性装架率的总原则为保障不超电的情况下尽量提高电力利用率
二、网络设备机柜
1、Spine交换机按需和通算服务器混部；POD核心设备板卡满配考虑机柜功耗（光模块按需扩容）
2、同组汇聚交换机分列部署，例4台Spine交换机，至少要部署在2列机柜内（偶数）</t>
        </is>
      </c>
    </row>
  </sheetData>
  <autoFilter ref="C1:D4"/>
  <pageMargins left="0.75" right="0.75" top="1" bottom="1" header="0.5" footer="0.5"/>
  <pageSetup orientation="portrait" paperSize="9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terms:created xsi:type="dcterms:W3CDTF">2023-01-17T20:31:00Z</dcterms:created>
  <dcterms:modified xsi:type="dcterms:W3CDTF">2025-08-20T02:38:28Z</dcterms:modified>
  <cp:lastModifiedBy>闫泽润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2052-12.1.0.22215</vt:lpwstr>
  </property>
  <property name="KSOReadingLayout" fmtid="{D5CDD505-2E9C-101B-9397-08002B2CF9AE}" pid="3">
    <vt:bool>1</vt:bool>
  </property>
  <property name="ICV" fmtid="{D5CDD505-2E9C-101B-9397-08002B2CF9AE}" pid="4">
    <vt:lpwstr>15A5C348C5B240B2A9EE212CD3F9F9BA_13</vt:lpwstr>
  </property>
</Properties>
</file>