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R:\01移动文件\2025年\02 在岗革新\总院\"/>
    </mc:Choice>
  </mc:AlternateContent>
  <xr:revisionPtr revIDLastSave="0" documentId="13_ncr:1_{D33155A5-C35A-49A6-8BBE-894324B963EC}" xr6:coauthVersionLast="47" xr6:coauthVersionMax="47" xr10:uidLastSave="{00000000-0000-0000-0000-000000000000}"/>
  <bookViews>
    <workbookView xWindow="-108" yWindow="-108" windowWidth="23256" windowHeight="12456" tabRatio="918" activeTab="1" xr2:uid="{00000000-000D-0000-FFFF-FFFF00000000}"/>
  </bookViews>
  <sheets>
    <sheet name="版本说明" sheetId="13" r:id="rId1"/>
    <sheet name="1-建设需求标准字段" sheetId="117" r:id="rId2"/>
    <sheet name="2-建设规模换算" sheetId="120" r:id="rId3"/>
    <sheet name="3-投资简表" sheetId="105" r:id="rId4"/>
    <sheet name="4-组网模型" sheetId="116" r:id="rId5"/>
    <sheet name="5-机柜装架" sheetId="125" r:id="rId6"/>
    <sheet name="服务器模型-勿动" sheetId="119" r:id="rId7"/>
    <sheet name="网络设备模型-勿动" sheetId="122" r:id="rId8"/>
    <sheet name="机柜装架规则-勿动" sheetId="124" r:id="rId9"/>
    <sheet name="价格计算" sheetId="121" r:id="rId10"/>
    <sheet name="Sheet1" sheetId="118" r:id="rId11"/>
    <sheet name="WpsReserved_CellImgList" sheetId="75" state="veryHidden" r:id="rId12"/>
  </sheets>
  <definedNames>
    <definedName name="本期对象存储规模">#REF!</definedName>
    <definedName name="对象存储规模">#REF!</definedName>
    <definedName name="设备第2年保修费率">#REF!</definedName>
    <definedName name="通用业务或共享资源POD流量带宽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9" i="120" l="1"/>
  <c r="G29" i="120"/>
  <c r="F7" i="105" s="1"/>
  <c r="F8" i="105" s="1"/>
  <c r="D17" i="125"/>
  <c r="D6" i="117"/>
  <c r="C7" i="117"/>
  <c r="D9" i="117" s="1"/>
  <c r="D16" i="120"/>
  <c r="M130" i="121"/>
  <c r="M84" i="121"/>
  <c r="C6" i="125"/>
  <c r="C14" i="117"/>
  <c r="D4" i="125" s="1"/>
  <c r="C4" i="125"/>
  <c r="G4" i="125"/>
  <c r="F4" i="125"/>
  <c r="D7" i="117" l="1"/>
  <c r="M115" i="121"/>
  <c r="E18" i="125" l="1"/>
  <c r="E5" i="125"/>
  <c r="E11" i="120"/>
  <c r="D25" i="118"/>
  <c r="F186" i="121"/>
  <c r="F185" i="121"/>
  <c r="F180" i="121"/>
  <c r="F178" i="121"/>
  <c r="J174" i="121"/>
  <c r="I174" i="121"/>
  <c r="J173" i="121"/>
  <c r="J172" i="121"/>
  <c r="J171" i="121"/>
  <c r="J170" i="121"/>
  <c r="J169" i="121"/>
  <c r="J168" i="121"/>
  <c r="J167" i="121"/>
  <c r="J166" i="121"/>
  <c r="J165" i="121"/>
  <c r="D165" i="121"/>
  <c r="C165" i="121"/>
  <c r="J159" i="121"/>
  <c r="I159" i="121"/>
  <c r="J158" i="121"/>
  <c r="J157" i="121"/>
  <c r="J156" i="121"/>
  <c r="J155" i="121"/>
  <c r="J154" i="121"/>
  <c r="J153" i="121"/>
  <c r="J152" i="121"/>
  <c r="J151" i="121"/>
  <c r="J150" i="121"/>
  <c r="D150" i="121"/>
  <c r="C150" i="121"/>
  <c r="J144" i="121"/>
  <c r="I144" i="121"/>
  <c r="J143" i="121"/>
  <c r="J142" i="121"/>
  <c r="J141" i="121"/>
  <c r="J140" i="121"/>
  <c r="J139" i="121"/>
  <c r="J138" i="121"/>
  <c r="J137" i="121"/>
  <c r="J136" i="121"/>
  <c r="J135" i="121"/>
  <c r="J134" i="121"/>
  <c r="D134" i="121"/>
  <c r="C134" i="121"/>
  <c r="J128" i="121"/>
  <c r="I128" i="121"/>
  <c r="J127" i="121"/>
  <c r="J126" i="121"/>
  <c r="J125" i="121"/>
  <c r="J124" i="121"/>
  <c r="J123" i="121"/>
  <c r="J122" i="121"/>
  <c r="J121" i="121"/>
  <c r="J120" i="121"/>
  <c r="J119" i="121"/>
  <c r="D119" i="121"/>
  <c r="C119" i="121"/>
  <c r="J113" i="121"/>
  <c r="I113" i="121"/>
  <c r="J112" i="121"/>
  <c r="J111" i="121"/>
  <c r="J110" i="121"/>
  <c r="J109" i="121"/>
  <c r="J108" i="121"/>
  <c r="J107" i="121"/>
  <c r="J106" i="121"/>
  <c r="J105" i="121"/>
  <c r="J104" i="121"/>
  <c r="D104" i="121"/>
  <c r="C104" i="121"/>
  <c r="J98" i="121"/>
  <c r="I98" i="121"/>
  <c r="J97" i="121"/>
  <c r="J96" i="121"/>
  <c r="J95" i="121"/>
  <c r="J94" i="121"/>
  <c r="J93" i="121"/>
  <c r="J92" i="121"/>
  <c r="J91" i="121"/>
  <c r="J90" i="121"/>
  <c r="J89" i="121"/>
  <c r="J88" i="121"/>
  <c r="D88" i="121"/>
  <c r="C88" i="121"/>
  <c r="J82" i="121"/>
  <c r="I82" i="121"/>
  <c r="J81" i="121"/>
  <c r="J80" i="121"/>
  <c r="J79" i="121"/>
  <c r="J78" i="121"/>
  <c r="J77" i="121"/>
  <c r="J76" i="121"/>
  <c r="J75" i="121"/>
  <c r="J74" i="121"/>
  <c r="J73" i="121"/>
  <c r="D73" i="121"/>
  <c r="C73" i="121"/>
  <c r="J67" i="121"/>
  <c r="I67" i="121"/>
  <c r="J66" i="121"/>
  <c r="J65" i="121"/>
  <c r="J64" i="121"/>
  <c r="J63" i="121"/>
  <c r="J62" i="121"/>
  <c r="J61" i="121"/>
  <c r="J60" i="121"/>
  <c r="J59" i="121"/>
  <c r="J58" i="121"/>
  <c r="J57" i="121"/>
  <c r="D57" i="121"/>
  <c r="C57" i="121"/>
  <c r="U50" i="121"/>
  <c r="M42" i="121" s="1"/>
  <c r="R49" i="121"/>
  <c r="Q49" i="121"/>
  <c r="P49" i="121"/>
  <c r="O49" i="121"/>
  <c r="N49" i="121"/>
  <c r="R47" i="121"/>
  <c r="Q47" i="121"/>
  <c r="P47" i="121"/>
  <c r="O47" i="121"/>
  <c r="N47" i="121"/>
  <c r="R45" i="121"/>
  <c r="Q45" i="121"/>
  <c r="P45" i="121"/>
  <c r="O45" i="121"/>
  <c r="N45" i="121"/>
  <c r="R44" i="121"/>
  <c r="Q44" i="121"/>
  <c r="P44" i="121"/>
  <c r="O44" i="121"/>
  <c r="N44" i="121"/>
  <c r="R43" i="121"/>
  <c r="Q43" i="121"/>
  <c r="P43" i="121"/>
  <c r="O43" i="121"/>
  <c r="N43" i="121"/>
  <c r="R41" i="121"/>
  <c r="Q41" i="121"/>
  <c r="P41" i="121"/>
  <c r="O41" i="121"/>
  <c r="N41" i="121"/>
  <c r="R36" i="121"/>
  <c r="Q36" i="121"/>
  <c r="P36" i="121"/>
  <c r="O36" i="121"/>
  <c r="N36" i="121"/>
  <c r="R32" i="121"/>
  <c r="Q32" i="121"/>
  <c r="P32" i="121"/>
  <c r="O32" i="121"/>
  <c r="N32" i="121"/>
  <c r="R24" i="121"/>
  <c r="Q24" i="121"/>
  <c r="P24" i="121"/>
  <c r="O24" i="121"/>
  <c r="N24" i="121"/>
  <c r="R23" i="121"/>
  <c r="Q23" i="121"/>
  <c r="P23" i="121"/>
  <c r="O23" i="121"/>
  <c r="N23" i="121"/>
  <c r="R22" i="121"/>
  <c r="Q22" i="121"/>
  <c r="P22" i="121"/>
  <c r="O22" i="121"/>
  <c r="N22" i="121"/>
  <c r="R20" i="121"/>
  <c r="Q20" i="121"/>
  <c r="P20" i="121"/>
  <c r="O20" i="121"/>
  <c r="N20" i="121"/>
  <c r="R19" i="121"/>
  <c r="Q19" i="121"/>
  <c r="P19" i="121"/>
  <c r="O19" i="121"/>
  <c r="N19" i="121"/>
  <c r="R18" i="121"/>
  <c r="Q18" i="121"/>
  <c r="P18" i="121"/>
  <c r="O18" i="121"/>
  <c r="N18" i="121"/>
  <c r="R16" i="121"/>
  <c r="Q16" i="121"/>
  <c r="P16" i="121"/>
  <c r="O16" i="121"/>
  <c r="N16" i="121"/>
  <c r="R15" i="121"/>
  <c r="Q15" i="121"/>
  <c r="P15" i="121"/>
  <c r="O15" i="121"/>
  <c r="N15" i="121"/>
  <c r="R11" i="121"/>
  <c r="Q11" i="121"/>
  <c r="P11" i="121"/>
  <c r="O11" i="121"/>
  <c r="N11" i="121"/>
  <c r="R7" i="121"/>
  <c r="Q7" i="121"/>
  <c r="P7" i="121"/>
  <c r="O7" i="121"/>
  <c r="N7" i="121"/>
  <c r="F5" i="119"/>
  <c r="AN20" i="116"/>
  <c r="AK20" i="116"/>
  <c r="T20" i="116"/>
  <c r="AF20" i="116" s="1"/>
  <c r="R20" i="116"/>
  <c r="AE20" i="116" s="1"/>
  <c r="E20" i="116"/>
  <c r="AD20" i="116" s="1"/>
  <c r="B17" i="116"/>
  <c r="Q16" i="116"/>
  <c r="B16" i="116"/>
  <c r="AS9" i="116"/>
  <c r="AH9" i="116"/>
  <c r="AA9" i="116"/>
  <c r="X2" i="116"/>
  <c r="AU20" i="116" s="1"/>
  <c r="S2" i="116"/>
  <c r="AR20" i="116" s="1"/>
  <c r="G31" i="120"/>
  <c r="E31" i="120"/>
  <c r="H7" i="105" s="1"/>
  <c r="H26" i="120"/>
  <c r="F26" i="120"/>
  <c r="D26" i="120"/>
  <c r="H25" i="120"/>
  <c r="F25" i="120"/>
  <c r="D25" i="120"/>
  <c r="F24" i="120"/>
  <c r="D24" i="120"/>
  <c r="C24" i="120"/>
  <c r="F23" i="120"/>
  <c r="G23" i="120" s="1"/>
  <c r="D23" i="120"/>
  <c r="C23" i="120"/>
  <c r="Q14" i="116" s="1"/>
  <c r="AH20" i="116" s="1"/>
  <c r="C22" i="120"/>
  <c r="W2" i="116" s="1"/>
  <c r="AT20" i="116" s="1"/>
  <c r="C15" i="120"/>
  <c r="R2" i="116" s="1"/>
  <c r="AQ20" i="116" s="1"/>
  <c r="H14" i="120"/>
  <c r="H24" i="120" s="1"/>
  <c r="F14" i="120"/>
  <c r="D14" i="120"/>
  <c r="C14" i="120"/>
  <c r="H13" i="120"/>
  <c r="H23" i="120" s="1"/>
  <c r="I23" i="120" s="1"/>
  <c r="F13" i="120"/>
  <c r="D13" i="120"/>
  <c r="C13" i="120"/>
  <c r="G14" i="116" s="1"/>
  <c r="H11" i="120"/>
  <c r="F11" i="120"/>
  <c r="D11" i="120"/>
  <c r="C11" i="120"/>
  <c r="R23" i="116" s="1"/>
  <c r="G9" i="120"/>
  <c r="H8" i="120"/>
  <c r="H9" i="120" s="1"/>
  <c r="I9" i="120" s="1"/>
  <c r="F8" i="120"/>
  <c r="G8" i="120" s="1"/>
  <c r="D8" i="120"/>
  <c r="C8" i="120"/>
  <c r="B20" i="116" s="1"/>
  <c r="AC20" i="116" s="1"/>
  <c r="H7" i="120"/>
  <c r="F7" i="120"/>
  <c r="D7" i="120"/>
  <c r="C7" i="120"/>
  <c r="L20" i="116" s="1"/>
  <c r="Z20" i="116" s="1"/>
  <c r="H5" i="120"/>
  <c r="F5" i="120"/>
  <c r="D5" i="120"/>
  <c r="C5" i="120"/>
  <c r="H4" i="120"/>
  <c r="F4" i="120"/>
  <c r="D4" i="120"/>
  <c r="C4" i="120"/>
  <c r="H3" i="120"/>
  <c r="F3" i="120"/>
  <c r="D3" i="120"/>
  <c r="C3" i="120"/>
  <c r="Q17" i="116" l="1"/>
  <c r="M38" i="121"/>
  <c r="R38" i="121" s="1"/>
  <c r="V50" i="121"/>
  <c r="N38" i="121"/>
  <c r="P38" i="121"/>
  <c r="N42" i="121"/>
  <c r="O42" i="121"/>
  <c r="P42" i="121"/>
  <c r="R42" i="121"/>
  <c r="Q42" i="121"/>
  <c r="O38" i="121"/>
  <c r="I8" i="120"/>
  <c r="Q38" i="121"/>
  <c r="E7" i="105"/>
  <c r="B14" i="116"/>
  <c r="L14" i="116"/>
  <c r="E4" i="125"/>
  <c r="M161" i="121"/>
  <c r="E19" i="120" s="1"/>
  <c r="E12" i="120"/>
  <c r="I11" i="120"/>
  <c r="I12" i="120" s="1"/>
  <c r="R24" i="116"/>
  <c r="G11" i="120"/>
  <c r="G12" i="120" s="1"/>
  <c r="E3" i="120" l="1"/>
  <c r="G3" i="120" s="1"/>
  <c r="E4" i="120"/>
  <c r="E5" i="120"/>
  <c r="C16" i="117"/>
  <c r="T33" i="116"/>
  <c r="G4" i="120" l="1"/>
  <c r="D8" i="117"/>
  <c r="I3" i="120"/>
  <c r="G5" i="120"/>
  <c r="G6" i="120" s="1"/>
  <c r="F3" i="105" s="1"/>
  <c r="K3" i="105" s="1"/>
  <c r="I5" i="120"/>
  <c r="E6" i="120"/>
  <c r="D18" i="120" s="1"/>
  <c r="H18" i="120" s="1"/>
  <c r="I4" i="120"/>
  <c r="M176" i="121"/>
  <c r="O161" i="121" s="1"/>
  <c r="M146" i="121" s="1"/>
  <c r="D20" i="120" s="1"/>
  <c r="H20" i="120" s="1"/>
  <c r="H16" i="120"/>
  <c r="D19" i="120"/>
  <c r="H19" i="120" s="1"/>
  <c r="I19" i="120" s="1"/>
  <c r="G21" i="116"/>
  <c r="G17" i="116" s="1"/>
  <c r="G15" i="116"/>
  <c r="G16" i="116" s="1"/>
  <c r="I6" i="120" l="1"/>
  <c r="E16" i="120"/>
  <c r="F25" i="116" s="1"/>
  <c r="F26" i="116" s="1"/>
  <c r="M100" i="121"/>
  <c r="F19" i="120"/>
  <c r="G19" i="120" s="1"/>
  <c r="H3" i="105"/>
  <c r="E20" i="120"/>
  <c r="F20" i="120" s="1"/>
  <c r="G20" i="120" s="1"/>
  <c r="E18" i="120"/>
  <c r="T32" i="116" s="1"/>
  <c r="T34" i="116" s="1"/>
  <c r="M89" i="121"/>
  <c r="M90" i="121" s="1"/>
  <c r="M69" i="121"/>
  <c r="E17" i="120" s="1"/>
  <c r="E7" i="120"/>
  <c r="E24" i="120" s="1"/>
  <c r="I24" i="120" s="1"/>
  <c r="M58" i="121"/>
  <c r="M59" i="121" s="1"/>
  <c r="E3" i="105"/>
  <c r="T35" i="116"/>
  <c r="T39" i="116" s="1"/>
  <c r="F18" i="120"/>
  <c r="G18" i="120" s="1"/>
  <c r="W20" i="116"/>
  <c r="E9" i="125" l="1"/>
  <c r="E22" i="125"/>
  <c r="D17" i="120"/>
  <c r="H17" i="120" s="1"/>
  <c r="F16" i="120"/>
  <c r="G16" i="120" s="1"/>
  <c r="I16" i="120"/>
  <c r="AL20" i="116"/>
  <c r="F27" i="116"/>
  <c r="F32" i="116" s="1"/>
  <c r="E14" i="120"/>
  <c r="I14" i="120" s="1"/>
  <c r="I20" i="120"/>
  <c r="T38" i="116"/>
  <c r="I7" i="120"/>
  <c r="I10" i="120" s="1"/>
  <c r="L15" i="116"/>
  <c r="AI20" i="116" s="1"/>
  <c r="AA10" i="116"/>
  <c r="AA11" i="116" s="1"/>
  <c r="W50" i="121"/>
  <c r="M39" i="121" s="1"/>
  <c r="G24" i="120"/>
  <c r="C17" i="117"/>
  <c r="I18" i="120"/>
  <c r="E10" i="120"/>
  <c r="E4" i="105" s="1"/>
  <c r="F31" i="116"/>
  <c r="AO20" i="116" s="1"/>
  <c r="O20" i="116"/>
  <c r="AA20" i="116" s="1"/>
  <c r="AA12" i="116" s="1"/>
  <c r="G7" i="120"/>
  <c r="G10" i="120" s="1"/>
  <c r="F4" i="105" s="1"/>
  <c r="K4" i="105" s="1"/>
  <c r="E13" i="120"/>
  <c r="W25" i="121" s="1"/>
  <c r="M14" i="121" s="1"/>
  <c r="H22" i="125" l="1"/>
  <c r="I9" i="125"/>
  <c r="H9" i="125"/>
  <c r="I22" i="125"/>
  <c r="I17" i="120"/>
  <c r="F17" i="120"/>
  <c r="G17" i="120" s="1"/>
  <c r="L16" i="116"/>
  <c r="AS12" i="116"/>
  <c r="G14" i="120"/>
  <c r="L17" i="116"/>
  <c r="C15" i="117"/>
  <c r="H4" i="105"/>
  <c r="AH12" i="116"/>
  <c r="E25" i="120"/>
  <c r="I25" i="120" s="1"/>
  <c r="R14" i="121"/>
  <c r="P14" i="121"/>
  <c r="N14" i="121"/>
  <c r="I13" i="120"/>
  <c r="D15" i="120"/>
  <c r="G13" i="120"/>
  <c r="E21" i="120"/>
  <c r="E5" i="105" s="1"/>
  <c r="U25" i="121"/>
  <c r="M17" i="121" s="1"/>
  <c r="O14" i="121"/>
  <c r="M21" i="121"/>
  <c r="Q21" i="121" s="1"/>
  <c r="Q14" i="121"/>
  <c r="M46" i="121"/>
  <c r="R39" i="121"/>
  <c r="Q39" i="121"/>
  <c r="P39" i="121"/>
  <c r="O39" i="121"/>
  <c r="N39" i="121"/>
  <c r="M5" i="121" l="1"/>
  <c r="R5" i="121" s="1"/>
  <c r="M13" i="121"/>
  <c r="P13" i="121" s="1"/>
  <c r="E26" i="120"/>
  <c r="X50" i="121" s="1"/>
  <c r="M35" i="121" s="1"/>
  <c r="R35" i="121" s="1"/>
  <c r="G25" i="120"/>
  <c r="N21" i="121"/>
  <c r="O21" i="121"/>
  <c r="R21" i="121"/>
  <c r="AH10" i="116"/>
  <c r="AH11" i="116" s="1"/>
  <c r="M8" i="121"/>
  <c r="Q8" i="121" s="1"/>
  <c r="R13" i="121"/>
  <c r="M10" i="121"/>
  <c r="R10" i="121" s="1"/>
  <c r="V25" i="121"/>
  <c r="M12" i="121"/>
  <c r="H15" i="120"/>
  <c r="F15" i="120"/>
  <c r="G15" i="120" s="1"/>
  <c r="G21" i="120" s="1"/>
  <c r="F5" i="105" s="1"/>
  <c r="H5" i="105" s="1"/>
  <c r="M9" i="121"/>
  <c r="O9" i="121" s="1"/>
  <c r="M6" i="121"/>
  <c r="O6" i="121" s="1"/>
  <c r="P21" i="121"/>
  <c r="Q17" i="121"/>
  <c r="R17" i="121"/>
  <c r="O17" i="121"/>
  <c r="N17" i="121"/>
  <c r="P17" i="121"/>
  <c r="P46" i="121"/>
  <c r="O46" i="121"/>
  <c r="N46" i="121"/>
  <c r="R46" i="121"/>
  <c r="Q46" i="121"/>
  <c r="F20" i="125" l="1"/>
  <c r="F7" i="125"/>
  <c r="D20" i="125"/>
  <c r="AS10" i="116"/>
  <c r="AS11" i="116" s="1"/>
  <c r="M33" i="121"/>
  <c r="O33" i="121" s="1"/>
  <c r="M40" i="121"/>
  <c r="R40" i="121" s="1"/>
  <c r="M48" i="121"/>
  <c r="N48" i="121" s="1"/>
  <c r="I15" i="120"/>
  <c r="I21" i="120" s="1"/>
  <c r="D7" i="125"/>
  <c r="I26" i="120"/>
  <c r="D6" i="125" s="1"/>
  <c r="D13" i="117" s="1"/>
  <c r="O13" i="121"/>
  <c r="Q13" i="121"/>
  <c r="N5" i="121"/>
  <c r="P5" i="121"/>
  <c r="O5" i="121"/>
  <c r="N8" i="121"/>
  <c r="R8" i="121"/>
  <c r="N13" i="121"/>
  <c r="Q5" i="121"/>
  <c r="E27" i="120"/>
  <c r="E28" i="120" s="1"/>
  <c r="G26" i="120"/>
  <c r="O8" i="121"/>
  <c r="M31" i="121"/>
  <c r="Q31" i="121" s="1"/>
  <c r="M34" i="121"/>
  <c r="R34" i="121" s="1"/>
  <c r="M37" i="121"/>
  <c r="R37" i="121" s="1"/>
  <c r="P35" i="121"/>
  <c r="O35" i="121"/>
  <c r="M30" i="121"/>
  <c r="P30" i="121" s="1"/>
  <c r="Q35" i="121"/>
  <c r="N35" i="121"/>
  <c r="P8" i="121"/>
  <c r="N10" i="121"/>
  <c r="Q10" i="121"/>
  <c r="P10" i="121"/>
  <c r="O10" i="121"/>
  <c r="N9" i="121"/>
  <c r="R9" i="121"/>
  <c r="Q9" i="121"/>
  <c r="Q6" i="121"/>
  <c r="M26" i="121"/>
  <c r="P6" i="121"/>
  <c r="Q12" i="121"/>
  <c r="N12" i="121"/>
  <c r="R12" i="121"/>
  <c r="P12" i="121"/>
  <c r="O12" i="121"/>
  <c r="N6" i="121"/>
  <c r="R6" i="121"/>
  <c r="P9" i="121"/>
  <c r="Q33" i="121" l="1"/>
  <c r="P33" i="121"/>
  <c r="N33" i="121"/>
  <c r="P40" i="121"/>
  <c r="Q40" i="121"/>
  <c r="R33" i="121"/>
  <c r="Q48" i="121"/>
  <c r="O40" i="121"/>
  <c r="N40" i="121"/>
  <c r="O48" i="121"/>
  <c r="R48" i="121"/>
  <c r="P48" i="121"/>
  <c r="N31" i="121"/>
  <c r="C18" i="117"/>
  <c r="E6" i="105"/>
  <c r="E8" i="105" s="1"/>
  <c r="P34" i="121"/>
  <c r="O34" i="121"/>
  <c r="Q30" i="121"/>
  <c r="O30" i="121"/>
  <c r="O31" i="121"/>
  <c r="R30" i="121"/>
  <c r="N30" i="121"/>
  <c r="N34" i="121"/>
  <c r="P37" i="121"/>
  <c r="Q34" i="121"/>
  <c r="Q37" i="121"/>
  <c r="N37" i="121"/>
  <c r="M51" i="121"/>
  <c r="O26" i="121"/>
  <c r="O37" i="121"/>
  <c r="D22" i="120"/>
  <c r="H22" i="120" s="1"/>
  <c r="R31" i="121"/>
  <c r="P31" i="121"/>
  <c r="Q26" i="121"/>
  <c r="R26" i="121"/>
  <c r="N26" i="121"/>
  <c r="P26" i="121"/>
  <c r="F21" i="125" l="1"/>
  <c r="D21" i="125"/>
  <c r="I22" i="120"/>
  <c r="I27" i="120" s="1"/>
  <c r="I28" i="120" s="1"/>
  <c r="C19" i="117" s="1"/>
  <c r="F8" i="125"/>
  <c r="D8" i="125"/>
  <c r="O51" i="121"/>
  <c r="F22" i="120" s="1"/>
  <c r="G22" i="120" s="1"/>
  <c r="G27" i="120" s="1"/>
  <c r="K5" i="105" s="1"/>
  <c r="P51" i="121"/>
  <c r="N51" i="121"/>
  <c r="R51" i="121"/>
  <c r="Q51" i="121"/>
  <c r="C5" i="121"/>
  <c r="D5" i="121"/>
  <c r="F6" i="105" l="1"/>
  <c r="H6" i="105" s="1"/>
  <c r="H8" i="105" s="1"/>
  <c r="G28" i="120"/>
  <c r="C30" i="121"/>
  <c r="D30" i="121"/>
  <c r="F9" i="105" l="1"/>
  <c r="F10" i="105" s="1"/>
  <c r="H10" i="105" l="1"/>
  <c r="F11" i="105"/>
  <c r="K6" i="105"/>
  <c r="K7" i="105" s="1"/>
  <c r="H9" i="105"/>
  <c r="H11" i="105" s="1"/>
  <c r="C20" i="117" l="1"/>
  <c r="D3" i="117"/>
  <c r="L6" i="105"/>
  <c r="L7" i="105"/>
  <c r="L3" i="105"/>
  <c r="L4" i="105"/>
  <c r="L5" i="105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salli</author>
  </authors>
  <commentList>
    <comment ref="B5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salli:</t>
        </r>
        <r>
          <rPr>
            <sz val="9"/>
            <rFont val="宋体"/>
            <family val="3"/>
            <charset val="134"/>
          </rPr>
          <t xml:space="preserve">
可以啥？没写完
已修改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salli</author>
  </authors>
  <commentList>
    <comment ref="B25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salli:</t>
        </r>
        <r>
          <rPr>
            <sz val="9"/>
            <rFont val="宋体"/>
            <family val="3"/>
            <charset val="134"/>
          </rPr>
          <t xml:space="preserve">
这些颜色好像和上面不一样，调整一下吧
已修改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salli</author>
  </authors>
  <commentList>
    <comment ref="B2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salli:</t>
        </r>
        <r>
          <rPr>
            <sz val="9"/>
            <rFont val="宋体"/>
            <family val="3"/>
            <charset val="134"/>
          </rPr>
          <t xml:space="preserve">
这里加了显存大小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liuxue (F)</author>
  </authors>
  <commentList>
    <comment ref="I179" authorId="0" shapeId="0" xr:uid="{00000000-0006-0000-0800-000001000000}">
      <text>
        <r>
          <rPr>
            <b/>
            <sz val="11"/>
            <rFont val="宋体"/>
            <family val="3"/>
            <charset val="134"/>
          </rPr>
          <t>liuxue (F):</t>
        </r>
        <r>
          <rPr>
            <sz val="11"/>
            <rFont val="宋体"/>
            <family val="3"/>
            <charset val="134"/>
          </rPr>
          <t xml:space="preserve">
1677数据来源：
(100%负载，32 * 400GE LC 2KM 光模块，室温30摄氏度)</t>
        </r>
      </text>
    </comment>
    <comment ref="J179" authorId="0" shapeId="0" xr:uid="{00000000-0006-0000-0800-000002000000}">
      <text>
        <r>
          <rPr>
            <b/>
            <sz val="11"/>
            <rFont val="宋体"/>
            <family val="3"/>
            <charset val="134"/>
          </rPr>
          <t>liuxue (F):</t>
        </r>
        <r>
          <rPr>
            <sz val="11"/>
            <rFont val="宋体"/>
            <family val="3"/>
            <charset val="134"/>
          </rPr>
          <t xml:space="preserve">
953：
(50%负载，16 * 400GE MPO 光模块，室温27摄氏度)</t>
        </r>
      </text>
    </comment>
    <comment ref="I181" authorId="0" shapeId="0" xr:uid="{00000000-0006-0000-0800-000003000000}">
      <text>
        <r>
          <rPr>
            <b/>
            <sz val="11"/>
            <rFont val="宋体"/>
            <family val="3"/>
            <charset val="134"/>
          </rPr>
          <t>liuxue (F):</t>
        </r>
        <r>
          <rPr>
            <sz val="11"/>
            <rFont val="宋体"/>
            <family val="3"/>
            <charset val="134"/>
          </rPr>
          <t xml:space="preserve">
1677数据来源：
(100%负载，32 * 400GE LC 2KM 光模块，室温30摄氏度)</t>
        </r>
      </text>
    </comment>
    <comment ref="J181" authorId="0" shapeId="0" xr:uid="{00000000-0006-0000-0800-000004000000}">
      <text>
        <r>
          <rPr>
            <b/>
            <sz val="11"/>
            <rFont val="宋体"/>
            <family val="3"/>
            <charset val="134"/>
          </rPr>
          <t>liuxue (F):</t>
        </r>
        <r>
          <rPr>
            <sz val="11"/>
            <rFont val="宋体"/>
            <family val="3"/>
            <charset val="134"/>
          </rPr>
          <t xml:space="preserve">
953：
(50%负载，16 * 400GE MPO 光模块，室温27摄氏度)</t>
        </r>
      </text>
    </comment>
    <comment ref="I186" authorId="0" shapeId="0" xr:uid="{00000000-0006-0000-0800-000005000000}">
      <text>
        <r>
          <rPr>
            <b/>
            <sz val="11"/>
            <rFont val="宋体"/>
            <family val="3"/>
            <charset val="134"/>
          </rPr>
          <t>liuxue (F):</t>
        </r>
        <r>
          <rPr>
            <sz val="11"/>
            <rFont val="宋体"/>
            <family val="3"/>
            <charset val="134"/>
          </rPr>
          <t xml:space="preserve">
2253：
(100%负载，128* 100GE LC 2KM光模块，室温30摄氏度)
</t>
        </r>
      </text>
    </comment>
    <comment ref="J186" authorId="0" shapeId="0" xr:uid="{00000000-0006-0000-0800-000006000000}">
      <text>
        <r>
          <rPr>
            <b/>
            <sz val="11"/>
            <rFont val="宋体"/>
            <family val="3"/>
            <charset val="134"/>
          </rPr>
          <t>liuxue (F):</t>
        </r>
        <r>
          <rPr>
            <sz val="11"/>
            <rFont val="宋体"/>
            <family val="3"/>
            <charset val="134"/>
          </rPr>
          <t xml:space="preserve">
1291：
(50%负载，64 * 100GE MPO 100m光模块，室温27摄氏度)</t>
        </r>
      </text>
    </comment>
  </commentList>
</comments>
</file>

<file path=xl/sharedStrings.xml><?xml version="1.0" encoding="utf-8"?>
<sst xmlns="http://schemas.openxmlformats.org/spreadsheetml/2006/main" count="928" uniqueCount="423">
  <si>
    <t>说明</t>
  </si>
  <si>
    <t>1、在"需求标准字段"sheet填写建设需求；</t>
  </si>
  <si>
    <t>2、"服务器模型"、"网络设备模型"为固化sheet，无需修改；</t>
  </si>
  <si>
    <t>3、"组网模型"sheet 可以根据产品组网模型，并结合填写的建设需求，自动输出POD内网络设备的建设规模；</t>
  </si>
  <si>
    <t>5、"装架原则"sheet为对象存储的装架原则，供设计参考</t>
  </si>
  <si>
    <t>7、其他部分自动输出。</t>
  </si>
  <si>
    <t>智算中心推理集群资源构建自动化工具</t>
  </si>
  <si>
    <t>输入参数</t>
  </si>
  <si>
    <t>手动输入/选择</t>
  </si>
  <si>
    <t>集群能力（描述）</t>
  </si>
  <si>
    <t>备注</t>
  </si>
  <si>
    <t>建设模式</t>
  </si>
  <si>
    <t>新建推理POD</t>
  </si>
  <si>
    <t>手动筛选</t>
  </si>
  <si>
    <t>推理场景</t>
  </si>
  <si>
    <t>GPU卡形态</t>
  </si>
  <si>
    <t>推理规模</t>
  </si>
  <si>
    <t>手动输入</t>
  </si>
  <si>
    <t>机房配套-智算服务器机架功耗</t>
  </si>
  <si>
    <t>机房配套-存储服务器机架功耗</t>
  </si>
  <si>
    <t>10kw</t>
  </si>
  <si>
    <t>机房配套-POD核心框式设备机架功耗</t>
  </si>
  <si>
    <t>7/15/23/46KW</t>
  </si>
  <si>
    <t>机房配套-POD管理汇聚设备机架功耗</t>
  </si>
  <si>
    <t>新建推理服务器</t>
  </si>
  <si>
    <t>新建通算服务器</t>
  </si>
  <si>
    <t>新建存储服务器</t>
  </si>
  <si>
    <t>新建ROCE网络设备</t>
  </si>
  <si>
    <t>新建网络设备</t>
  </si>
  <si>
    <t>机房新增功耗</t>
  </si>
  <si>
    <t>投资估算</t>
  </si>
  <si>
    <t>1、黄色区域为可编辑区域</t>
  </si>
  <si>
    <t>2、粉色区域为选择区域</t>
  </si>
  <si>
    <t>4、红色区域为自动生成区域</t>
  </si>
  <si>
    <t xml:space="preserve">类别  </t>
  </si>
  <si>
    <t>名称</t>
  </si>
  <si>
    <t>设备配置</t>
  </si>
  <si>
    <t>设备数量</t>
  </si>
  <si>
    <t>单价</t>
  </si>
  <si>
    <t>总价</t>
  </si>
  <si>
    <t>功耗</t>
  </si>
  <si>
    <t>总功耗</t>
  </si>
  <si>
    <t>智算服务器</t>
  </si>
  <si>
    <t>小计1 智算服务器</t>
  </si>
  <si>
    <t>通算服务器</t>
  </si>
  <si>
    <t>NCE</t>
  </si>
  <si>
    <t>2*Kunpeng920-7260（64c 2.6GHz）/16*32G/2*480G SATA SSD/6*1.92T SATA SSD（支持raid0、1 、5、10）/2*10GE+4*25GE</t>
  </si>
  <si>
    <t>小计2 通算服务器</t>
  </si>
  <si>
    <t>存储服务器</t>
  </si>
  <si>
    <t>算存比200:1</t>
  </si>
  <si>
    <t>小计3 存储服务器</t>
  </si>
  <si>
    <t>业务面网络设备</t>
  </si>
  <si>
    <t>推理服务器业务接入交换机</t>
  </si>
  <si>
    <t>裸金属网关接入交换机</t>
  </si>
  <si>
    <t>参数面leaf交换机</t>
  </si>
  <si>
    <t>参数面spine交换机</t>
  </si>
  <si>
    <t>数据面leaf交换机-计算侧</t>
  </si>
  <si>
    <t>数据面leaf交换机-存储侧</t>
  </si>
  <si>
    <t>数据面spine交换机</t>
  </si>
  <si>
    <t>小计4 业务面网络设备</t>
  </si>
  <si>
    <t>管理面网络设备</t>
  </si>
  <si>
    <t>智管平台接入交换机+NCE接入交换机</t>
  </si>
  <si>
    <t>IPMI接入交换机</t>
  </si>
  <si>
    <t>选型与GE接入交换机一致</t>
  </si>
  <si>
    <t>网络设备管理接入交换机</t>
  </si>
  <si>
    <t>小计5 管理面网络设备</t>
  </si>
  <si>
    <t>硬件设备总计</t>
  </si>
  <si>
    <t>软件</t>
  </si>
  <si>
    <t>小计6 软件</t>
  </si>
  <si>
    <t>智算中心</t>
  </si>
  <si>
    <t>类别</t>
  </si>
  <si>
    <t xml:space="preserve">单位  </t>
  </si>
  <si>
    <t xml:space="preserve">数量  </t>
  </si>
  <si>
    <t xml:space="preserve">不含税投资估算(万元)   </t>
  </si>
  <si>
    <t>增值税率</t>
  </si>
  <si>
    <t xml:space="preserve">含税投资估算(万元)   </t>
  </si>
  <si>
    <t>主设备</t>
  </si>
  <si>
    <t>台</t>
  </si>
  <si>
    <t>业务域网络设备</t>
  </si>
  <si>
    <t>网络及安全设备</t>
  </si>
  <si>
    <t>管理域网络设备</t>
  </si>
  <si>
    <t>其他费用</t>
  </si>
  <si>
    <t>套</t>
  </si>
  <si>
    <t>总计</t>
  </si>
  <si>
    <t>主设备费用</t>
  </si>
  <si>
    <t>硬件集成费</t>
  </si>
  <si>
    <t>安装工程费、工程建设其他费、预备费等(以上费用的7%)</t>
  </si>
  <si>
    <t>合计</t>
  </si>
  <si>
    <t>新增</t>
  </si>
  <si>
    <t>上行40G多模</t>
  </si>
  <si>
    <t>上行10G多模</t>
  </si>
  <si>
    <t>下行10G多模</t>
  </si>
  <si>
    <t>下行GE</t>
  </si>
  <si>
    <t>上行100G多模</t>
  </si>
  <si>
    <t>下行25GE多模</t>
  </si>
  <si>
    <t>GPU服务器(扣卡)</t>
  </si>
  <si>
    <t>参数面leaf接入交换机</t>
  </si>
  <si>
    <t>下行400G多模</t>
  </si>
  <si>
    <t>上行400G多模</t>
  </si>
  <si>
    <t>数据面leaf接入交换机</t>
  </si>
  <si>
    <t>下行100G多模</t>
  </si>
  <si>
    <t>下行25G多模</t>
  </si>
  <si>
    <t>对象存储集群组件</t>
  </si>
  <si>
    <t>智算设备现网功耗现状</t>
  </si>
  <si>
    <r>
      <rPr>
        <b/>
        <sz val="10"/>
        <rFont val="微软雅黑"/>
        <family val="2"/>
        <charset val="134"/>
      </rPr>
      <t>现状一：智算三期哈尔滨万卡集群，昇腾910B2服务器满载功率5.1KW，现网最大运行功率4.86KW，约占满载功率的95.3%
现状二：智算一期呼池推理集群10，昇腾300V服务器满载功率1.575KW，现网最大运行功率1.44KW，约占满载功率的91.4%
方案建议：结合智算呼哈资源池长稳运行经验，推理服务器优先按照满载功率设计装架，</t>
    </r>
    <r>
      <rPr>
        <b/>
        <sz val="10"/>
        <color rgb="FFFF0000"/>
        <rFont val="微软雅黑"/>
        <family val="2"/>
        <charset val="134"/>
      </rPr>
      <t>最低不低于满载功率的95%，其他网络设备按照满负荷运行功耗设计装架。</t>
    </r>
  </si>
  <si>
    <t>机柜装架总原则</t>
  </si>
  <si>
    <r>
      <rPr>
        <b/>
        <sz val="10"/>
        <rFont val="微软雅黑"/>
        <family val="2"/>
        <charset val="134"/>
      </rPr>
      <t>一、基础设施集约化
1、机架选型：根据设备数量、组网、功率等情况，确定机架选型以及功率配比、布局
2、PDU布局：根据设备装架功耗确定机架内PDU类型以及排列方式，确保供电均衡、稳定
3、ODF摆放：合理规划光纤容量以及连接器类型，同时考虑扩展性与灵活性，规范布线、维护便捷
二、功耗使用最大化
1、最低功耗：机架电源标称功耗尽量使用，单机柜装架功耗不低于机架额定功耗的95%，个别机柜可按工程实际情况单独考虑
2、最高功耗：非弹性机柜装架功耗不宜超过机架额定功耗的100%，难以装架的特殊场景，可上浮5%；</t>
    </r>
    <r>
      <rPr>
        <b/>
        <sz val="10"/>
        <color rgb="FFFF0000"/>
        <rFont val="微软雅黑"/>
        <family val="2"/>
        <charset val="134"/>
      </rPr>
      <t>弹性机柜装架可达机架额定功耗的150%以上，但单列装架总功率不允许超过单列额定功率。</t>
    </r>
    <r>
      <rPr>
        <b/>
        <sz val="10"/>
        <rFont val="微软雅黑"/>
        <family val="2"/>
        <charset val="134"/>
      </rPr>
      <t xml:space="preserve">
3、平均功耗：</t>
    </r>
    <r>
      <rPr>
        <b/>
        <sz val="10"/>
        <color rgb="FFFF0000"/>
        <rFont val="微软雅黑"/>
        <family val="2"/>
        <charset val="134"/>
      </rPr>
      <t>平均装架功耗最终不低于机架额定总功耗的95%</t>
    </r>
    <r>
      <rPr>
        <b/>
        <sz val="10"/>
        <rFont val="微软雅黑"/>
        <family val="2"/>
        <charset val="134"/>
      </rPr>
      <t xml:space="preserve">
三、按功能定义机柜并合理布局
1、计算柜：主要放置AI推理服务器，并在顶部放置接入类交换机
2、交换柜：重点放置参数面Spine交换机及推理POD核心交换机，若计算柜功率、空间满足，也可和计算柜混装
3、机柜布局：计算柜外围布置、交换柜居中布置，就近布线，降低时延
四、空间使用紧凑化
1、机柜：底部预留4U（特殊情况可预留2U），顶部预留1U
2、接入交换机：管理、业务、存储类接入交换机下方预留1U
3、参数面交换机：下方预留2U
4、推理服务器：下方预留2U</t>
    </r>
  </si>
  <si>
    <t>机房布局规划及装架原则</t>
  </si>
  <si>
    <t>序号</t>
  </si>
  <si>
    <t>产品名称</t>
  </si>
  <si>
    <t>服务器典配模型</t>
  </si>
  <si>
    <t>配置</t>
  </si>
  <si>
    <t>单位</t>
  </si>
  <si>
    <t>功耗
（kw）</t>
  </si>
  <si>
    <t>价格
（万元）</t>
  </si>
  <si>
    <t>单卡算力
（FP16）</t>
  </si>
  <si>
    <t>Atlas 800I A2 推理服务器（64G）</t>
  </si>
  <si>
    <t>4*Kunpeng920-5250(48core,2.6GHz)/32*32G/2*480GB/NVMe 2* 3.84TB/8*Ascend 910B4-64G-HCCS/2*GE+2*10GE+4*25GE+8*200G</t>
  </si>
  <si>
    <t>280Tflos</t>
  </si>
  <si>
    <t>Atlas 800I A2 推理服务器（32G）</t>
  </si>
  <si>
    <t>4*Kunpeng920-5250(48core,2.6GHz)/32*32G/2*480GB/NVMe 2* 3.84TB/8*Ascend 910B4-32G-HCCS/2*GE+2*10GE+4*25GE+8*200G</t>
  </si>
  <si>
    <t>Atlas 300I Duo 推理服务器</t>
  </si>
  <si>
    <t>I3（4U8卡）</t>
  </si>
  <si>
    <t>2*Kunpeng920-5250(48core,2.6GHz)/32*32G/2*480GB/NVMe 2* 1.92TB/8*Atlas 300I Duo 推理卡-LPDDR4x 96GB/2*10GE+2*25GE+2*25GE</t>
  </si>
  <si>
    <t>140Tflos</t>
  </si>
  <si>
    <t>分布式文件存储</t>
  </si>
  <si>
    <t>分布式融合存储（高性能）</t>
  </si>
  <si>
    <t>分布式文件存储\华为\OceanStor\1PB\OceanStor Pacific 9950\18台存储节点</t>
  </si>
  <si>
    <t>PB</t>
  </si>
  <si>
    <t>裸金属网关</t>
  </si>
  <si>
    <t>SY2401-CK3</t>
  </si>
  <si>
    <t>2*Kunpeng920-7260（64c,2.6GHz）\16*64G\2*480G SATA SSD\ 2*10GE+8*25GE（麦洛斯网卡）</t>
  </si>
  <si>
    <t>智管平台</t>
  </si>
  <si>
    <t>模型7 SY2401-CH3</t>
  </si>
  <si>
    <t>2*Hygon 7390（32c,2.7GHz）/16*32G/2*480G SSD/2*1.92T SSD/2*GE +4*25GE</t>
  </si>
  <si>
    <t>交换机</t>
  </si>
  <si>
    <t>典配</t>
  </si>
  <si>
    <t>网络设备配置</t>
  </si>
  <si>
    <t>功耗（kw）</t>
  </si>
  <si>
    <t>价格（万元）</t>
  </si>
  <si>
    <t>满配价格</t>
  </si>
  <si>
    <t>POD业务核心交换机</t>
  </si>
  <si>
    <t>数据中心交换机典配1 3.6T核心交换机（8槽）</t>
  </si>
  <si>
    <t>按需配置</t>
  </si>
  <si>
    <t>按需-参见价格计算</t>
  </si>
  <si>
    <t>8槽位 ：满配5KW以上，使用7KW机柜</t>
  </si>
  <si>
    <t>数据中心交换机典配1 3.6T核心交换机（16槽）</t>
  </si>
  <si>
    <t>16槽位：满配10K以上，使用15KW机柜</t>
  </si>
  <si>
    <t>数据中心交换机典配5 盒式核心</t>
  </si>
  <si>
    <t>业务域管理汇聚交换机</t>
  </si>
  <si>
    <t>数据中心交换机典配2 1.8T核心交换机（8槽）</t>
  </si>
  <si>
    <t>数据中心交换机典配2 1.8T核心交换机（16槽）</t>
  </si>
  <si>
    <t>25G接入交换机</t>
  </si>
  <si>
    <t>数据中心交换机典配4 25GE接入</t>
  </si>
  <si>
    <t>48*25GE多模+4*100GE单模</t>
  </si>
  <si>
    <t>10G接入交换机</t>
  </si>
  <si>
    <t>数据中心交换机典配3 10GE接入</t>
  </si>
  <si>
    <t>48*10GE多模+4*40GE单模+2*40GE多模</t>
  </si>
  <si>
    <t>GE接入交换机</t>
  </si>
  <si>
    <t>低端三层交换机</t>
  </si>
  <si>
    <t>48*GE电+4*10GE(单模）</t>
  </si>
  <si>
    <t>Roce交换机</t>
  </si>
  <si>
    <t>参数面典配1 400G框式汇聚（8槽）</t>
  </si>
  <si>
    <t>17.6，使用23KW机架</t>
  </si>
  <si>
    <t>参数面典配2 200G盒式接入</t>
  </si>
  <si>
    <t>16*400GE单模+16*400GE多模</t>
  </si>
  <si>
    <t>参数面典配3 400G框式汇聚（16槽）</t>
  </si>
  <si>
    <t>35.1，使用46KW机架</t>
  </si>
  <si>
    <t>参数面典配4 400G盒式汇聚</t>
  </si>
  <si>
    <t>32*400GE多模</t>
  </si>
  <si>
    <t>参数面典配5 200G-B盒式接入</t>
  </si>
  <si>
    <t>16*200GE多模+8*400GE多模</t>
  </si>
  <si>
    <t>数据面典配2 100G盒式汇聚&amp;接入</t>
  </si>
  <si>
    <t>128*100GE单模</t>
  </si>
  <si>
    <t>数据面典配3 25G盒式接入</t>
  </si>
  <si>
    <t>32*25GE多模+8*100GE多模</t>
  </si>
  <si>
    <t>中国移动2023年至2024年数据中心交换机集中采购（新建部分）</t>
  </si>
  <si>
    <t>数据中心交换机
典配1 3.6T核心交换机（8槽&amp;16槽）</t>
  </si>
  <si>
    <t>单台均值
（万元）</t>
  </si>
  <si>
    <t>单台峰值
（万元）</t>
  </si>
  <si>
    <t>部件分类</t>
  </si>
  <si>
    <t>配置详细描述及配置原则</t>
  </si>
  <si>
    <t>单价（元）</t>
  </si>
  <si>
    <t>数量（台）</t>
  </si>
  <si>
    <t>总价（元）</t>
  </si>
  <si>
    <t>烽火</t>
  </si>
  <si>
    <t>华为</t>
  </si>
  <si>
    <t>中兴</t>
  </si>
  <si>
    <t>新华三</t>
  </si>
  <si>
    <t>锐捷</t>
  </si>
  <si>
    <t>基本配置单元</t>
  </si>
  <si>
    <t>典配1、2-核心16槽位机框套件：交直流主机框</t>
  </si>
  <si>
    <t>配置1套S16800-16机箱，含总装机箱（含电源线、接地保护线、安装上架套件等辅材）,冗余并满配主控处理单元MPU30A*2,满配风扇(FMU30A*8,FMU30B*5),S16800系列交换机产品文档、全功能软件包等，不限许可数量</t>
  </si>
  <si>
    <t>必选</t>
  </si>
  <si>
    <t>典配1、2-核心16槽位机框交直流电源模块满配</t>
  </si>
  <si>
    <t>3000W交流/高压直流电源模块组合配置(PM-S16AC3000*10)/2200W双输入直流电源模块组合配置(PM-S16DC2200*10)</t>
  </si>
  <si>
    <t>典配1、2-核心16槽位机框交直流电源模块半配</t>
  </si>
  <si>
    <t>3000W交流/高压直流电源模块组合配置(PM-S16AC3000*6)/  2200W双输入直流电源模块组合配置(PM-S16DC2200*8)</t>
  </si>
  <si>
    <t>基本配置单元-交换网板</t>
  </si>
  <si>
    <t>16槽位单块独立交换网单元（3.6T）平均每100G能力</t>
  </si>
  <si>
    <t>S16800-16 A型3.6T平台交换网板</t>
  </si>
  <si>
    <t>典配1、2-核心8槽位机框套件：交直流主机框</t>
  </si>
  <si>
    <t>配置1套S16800-08机箱，含总装机箱（含电源线、接地保护线、安装上架套件等辅材）,冗余并满配主控处理单元MPU30A*2,满配风扇(FMU30A*4,FMU30B*5),S16800系列交换机产品文档、全功能软件包等，不限许可数量</t>
  </si>
  <si>
    <t>典配1、2-核心8槽位机框交直流电源模块满配</t>
  </si>
  <si>
    <t>3000W交流/高压直流电源模块组合配置(PM-S16AC3000*8)/2200W直流电源模块组合配置(PM-S16DC2200*8)</t>
  </si>
  <si>
    <t>典配1、2-核心8槽位机框交直流电源模块半配</t>
  </si>
  <si>
    <t>3000W交流/高压直流电源模块组合配置(PM-S16AC3000*4)/2200W直流电源模块组合配置(PM-S16DC2200*4)</t>
  </si>
  <si>
    <t>8槽位单块独立交换网单元（3.6T）平均每100G能力</t>
  </si>
  <si>
    <t>S16800-08 A型3.6T平台交换网板</t>
  </si>
  <si>
    <t>接口板单元</t>
  </si>
  <si>
    <t>3.6T平台100GE板卡平均单100GE端口（典配1）</t>
  </si>
  <si>
    <t>36端口100GE以太网光接口板(QSFP28)</t>
  </si>
  <si>
    <t>可选</t>
  </si>
  <si>
    <t>1.8T平台40GE板卡平均单40GE端口（典配1、2）</t>
  </si>
  <si>
    <t>36端口40GE以太网光接口板(QSFP+)</t>
  </si>
  <si>
    <t>1.8T平台10GE板卡平均单10GE端口（典配1、2）</t>
  </si>
  <si>
    <t>48端口10GE以太网光接口板(SFP+)</t>
  </si>
  <si>
    <t>接口模块单元</t>
  </si>
  <si>
    <t>光模块，100GE，MPO多模，100m</t>
  </si>
  <si>
    <t>100GE多模光模块(850nm,0.1km,MPO)</t>
  </si>
  <si>
    <t>光模块，100GE，（LC多模，100m/LC单模，2km）</t>
  </si>
  <si>
    <t>100GE多模光模块(850nm,0.1km,LC)/100GE单模光模块(1310nm,2km,LC)</t>
  </si>
  <si>
    <t>光模块，100GE，LC单模，10km</t>
  </si>
  <si>
    <t>100GE单模光模块(1310nm,10km,LC)</t>
  </si>
  <si>
    <t>光模块，40GE，LC多模，100m</t>
  </si>
  <si>
    <t>40GE多模光模块(850nm,0.1km,LC)</t>
  </si>
  <si>
    <t>光模块，40GE，MPO多模，300m</t>
  </si>
  <si>
    <t>40GE多模光模块(850nm,0.3km,MPO)</t>
  </si>
  <si>
    <t>光模块，40GE，LC单模，2km</t>
  </si>
  <si>
    <t>40GE单模光模块(1310nm,2km,LC)</t>
  </si>
  <si>
    <t>光模块，40GE，LC单模，10km</t>
  </si>
  <si>
    <t>40GE单模光模块(1310nm,10km,LC)</t>
  </si>
  <si>
    <t>光模块，10GE，LC单模，10km</t>
  </si>
  <si>
    <t>10GE单模光模块(1310nm,10km,LC)</t>
  </si>
  <si>
    <t>光模块，10GE，LC多模，300m</t>
  </si>
  <si>
    <t>10GE多模光模块(850nm,0.3km,LC)</t>
  </si>
  <si>
    <t>100板卡数量</t>
  </si>
  <si>
    <t>40板卡数量</t>
  </si>
  <si>
    <t>高度</t>
  </si>
  <si>
    <r>
      <rPr>
        <b/>
        <sz val="10"/>
        <rFont val="宋体"/>
        <family val="3"/>
        <charset val="134"/>
      </rPr>
      <t>16</t>
    </r>
    <r>
      <rPr>
        <sz val="12"/>
        <color indexed="8"/>
        <rFont val="宋体"/>
        <family val="3"/>
        <charset val="134"/>
      </rPr>
      <t>槽位：</t>
    </r>
    <r>
      <rPr>
        <sz val="12"/>
        <color indexed="8"/>
        <rFont val="Times New Roman"/>
        <family val="1"/>
      </rPr>
      <t>33U
8</t>
    </r>
    <r>
      <rPr>
        <sz val="12"/>
        <color indexed="8"/>
        <rFont val="宋体"/>
        <family val="3"/>
        <charset val="134"/>
      </rPr>
      <t>槽位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Times New Roman"/>
        <family val="1"/>
      </rPr>
      <t>17U</t>
    </r>
  </si>
  <si>
    <t>16槽位：33U
8槽位 ：17U</t>
  </si>
  <si>
    <t>单台功耗：</t>
  </si>
  <si>
    <t>16槽位：满配11K以上
8槽位 ：满配5KW以上</t>
  </si>
  <si>
    <t>注：设备机框/主机和电源模块须满足典配配置要求表中电源类型的相关要求，按照机房电源要求，由用户确定供货电源类型并适配。</t>
  </si>
  <si>
    <t>数据中心交换机
典配2 1.8T核心交换机（8槽&amp;16槽）</t>
  </si>
  <si>
    <t>16槽位单块独立交换网单元（1.8T）平均每100G能力</t>
  </si>
  <si>
    <t>S16800-16 B型1.8T平台交换网板</t>
  </si>
  <si>
    <t>8槽位单块独立交换网单元（1.8T）平均每100G能力</t>
  </si>
  <si>
    <t>S16800-08 B型1.8T平台交换网板</t>
  </si>
  <si>
    <t>1.8T平台100GE板卡平均单100GE端口（典配2）</t>
  </si>
  <si>
    <t>18端口100GE以太网光接口板(QSFP28)</t>
  </si>
  <si>
    <t>10板卡数量</t>
  </si>
  <si>
    <t>16槽位：满配10K以上
8槽位 ：满配5KW以上</t>
  </si>
  <si>
    <t>中国移动2024年至2025年新型智算中心项目设备配置框架清单</t>
  </si>
  <si>
    <t>每个典配实配数量</t>
  </si>
  <si>
    <t>数量</t>
  </si>
  <si>
    <t>价格</t>
  </si>
  <si>
    <t>CE16880-X8</t>
  </si>
  <si>
    <t>8槽位框式设备（8*交换网板）</t>
  </si>
  <si>
    <t>8槽位交流、高压直流机框套件/
8槽位直流机框套件</t>
  </si>
  <si>
    <t>36*400GE 单板</t>
  </si>
  <si>
    <t>1*CEX8-L36DQ2CQJ2：36端口400GE，2端口100GE以太网光接口板(X8L-J2,QSFP-DD,QSFP28)(CM)
3*CE168-RTU-U6DQ：CloudEngine 16800 6*100G升级到6*400G容量升级RTU</t>
  </si>
  <si>
    <t>光模块，400GE，单模QSFP-DD FR4（2km，LC）</t>
  </si>
  <si>
    <t>400GBase-FR4光模块-QSFP-DD-400G-单模模块(1310nm,2km,LC)</t>
  </si>
  <si>
    <t>接口模块单元-可选</t>
  </si>
  <si>
    <t>光模块，400GE，LC单模，10km</t>
  </si>
  <si>
    <t>400GBase-LR8光模块-QSFP-DD-400G-单模模块(1310nm,10km,LC)</t>
  </si>
  <si>
    <t>光模块，400GE，多模QSFP-DD SR8（100m，MPO）</t>
  </si>
  <si>
    <t>400GBase-SR8光模块-QSFP-DD-400G-多模模块(850nm,0.1km,MPO 1x16,APC)</t>
  </si>
  <si>
    <t>光模块，200GE，多模QSFP56 SR4（100m，MPO）</t>
  </si>
  <si>
    <t>200GBase-SR4光模块-QSFP56-200G-多模模块(850nm,0.1km,MPO)</t>
  </si>
  <si>
    <t>光模块，200GE，LC单模，2km</t>
  </si>
  <si>
    <t>不涉及</t>
  </si>
  <si>
    <t>光模块，100GE，LC单模，2km</t>
  </si>
  <si>
    <t>100GBase-CWDM4光模块-QSFP28-100G-单模模块(1310nm,2km,LC)</t>
  </si>
  <si>
    <t>100GBase-SR4光模块-QSFP28-100G-多模模块(850nm,0.1km,MPO)</t>
  </si>
  <si>
    <t>光模块，25GE，LC多模，100m</t>
  </si>
  <si>
    <t>25GBase-SR光模块-SFP28-25G多模模块(850nm,0.1km,LC)</t>
  </si>
  <si>
    <t>2024-2025框架单台功耗：</t>
  </si>
  <si>
    <t>40度满负载：23948w
27度满负载：17600w</t>
  </si>
  <si>
    <t>32*200G+16*400G 插卡盒式交换机</t>
  </si>
  <si>
    <t>CE9860-4C-EI-A交流/高压直流/直流主机</t>
  </si>
  <si>
    <t>40度满负载：1720w
27度满负载：1310w</t>
  </si>
  <si>
    <t>16槽位框式设备（8*交换网板）</t>
  </si>
  <si>
    <t>16槽位交流、高压直流机框套件/
16槽位直流机框套件</t>
  </si>
  <si>
    <t>40度满负载：47468w
27度满负载：35100w</t>
  </si>
  <si>
    <t>32*400GE 插卡盒式交换机</t>
  </si>
  <si>
    <t>16*200G+8*400G 插卡盒式交换机</t>
  </si>
  <si>
    <t>CE8875-24BQ8DQ 交流/高压直流/直流主机</t>
  </si>
  <si>
    <t>770-1152w</t>
  </si>
  <si>
    <t>16槽位框式设备（4*交换网板）</t>
  </si>
  <si>
    <t>36*100GE 单板</t>
  </si>
  <si>
    <t>36端口100GE以太网光接口板(X8L-J,QSFP28)</t>
  </si>
  <si>
    <t>40度满负载：12348w/6352w
27度满负载：9120w/4710w</t>
  </si>
  <si>
    <t>128*100GE 插卡盒式交换机</t>
  </si>
  <si>
    <t>40度满负载：2330w
27度满负载：1910w</t>
  </si>
  <si>
    <t>48*25GE 盒式交换机</t>
  </si>
  <si>
    <t>CE6865E-48S8CQ交流/高压直流/直流主机</t>
  </si>
  <si>
    <t>40度满负载：378w
27度满负载：232w</t>
  </si>
  <si>
    <t>参数面ROCE交换机</t>
  </si>
  <si>
    <t>CE16880-X8(含华为CE TOR交换机软件V1.0)</t>
  </si>
  <si>
    <r>
      <rPr>
        <b/>
        <sz val="10"/>
        <rFont val="宋体"/>
        <family val="3"/>
        <charset val="134"/>
        <scheme val="minor"/>
      </rPr>
      <t xml:space="preserve">单台配置：8*36*400G
</t>
    </r>
    <r>
      <rPr>
        <sz val="10"/>
        <color theme="1"/>
        <rFont val="宋体"/>
        <family val="3"/>
        <charset val="134"/>
      </rPr>
      <t>8槽位框式设备（8*交换网板）+8块36*400GE 单板+288个光模块，400GE，单模QSFP-DD FR4（2km，LC）</t>
    </r>
  </si>
  <si>
    <t>23948
(100%负载，288 * 400GE LC 2KM 光模块，室温40摄氏度)</t>
  </si>
  <si>
    <t>17600
(100%负载，288 * 400GE LC 2KM 光模块，室温27摄氏度)</t>
  </si>
  <si>
    <t>CE9860-4C-EI-A(含华为CE TOR交换机软件V1.0)</t>
  </si>
  <si>
    <r>
      <rPr>
        <b/>
        <sz val="10"/>
        <rFont val="宋体"/>
        <family val="3"/>
        <charset val="134"/>
        <scheme val="minor"/>
      </rPr>
      <t xml:space="preserve">单台配置：32*400G(下行16*400G一分二为32*200G)
</t>
    </r>
    <r>
      <rPr>
        <sz val="10"/>
        <color theme="1"/>
        <rFont val="宋体"/>
        <family val="3"/>
        <charset val="134"/>
      </rPr>
      <t>CE9860-4C-EI-A交流/高压直流/直流主机+16个400GBase-FR4光模块-QSFP-DD-400G-单模模块(1310nm,2km,LC+32个200GBase-SR4光模块-QSFP56-200G-多模模块(850nm,0.1km,MPO)</t>
    </r>
  </si>
  <si>
    <t>1720
(100%负载，32 * 400GE LC 2KM 光模块，室温40摄氏度)</t>
  </si>
  <si>
    <t>1310
(100%负载，32 * 400GE LC 2KM 光模块，室温27摄氏度)</t>
  </si>
  <si>
    <t>CE16880-X16(含华为CE TOR交换机软件V1.0)</t>
  </si>
  <si>
    <r>
      <rPr>
        <b/>
        <sz val="10"/>
        <rFont val="宋体"/>
        <family val="3"/>
        <charset val="134"/>
        <scheme val="minor"/>
      </rPr>
      <t>单台配置：16*36*400G
16</t>
    </r>
    <r>
      <rPr>
        <sz val="10"/>
        <color theme="1"/>
        <rFont val="宋体"/>
        <family val="3"/>
        <charset val="134"/>
      </rPr>
      <t>槽位框式设备（16*交换网板）+16块36*400GE 单板+576个光模块，400GE，单模QSFP-DD FR4（2km，LC）</t>
    </r>
  </si>
  <si>
    <t>47468
(100%负载，576 * 400GE LC 2KM 光模块，室温40摄氏度)</t>
  </si>
  <si>
    <t>35100
(100%负载，576 * 400GE LC 2KM 光模块，室温27摄氏度)</t>
  </si>
  <si>
    <r>
      <rPr>
        <b/>
        <sz val="10"/>
        <rFont val="宋体"/>
        <family val="3"/>
        <charset val="134"/>
        <scheme val="minor"/>
      </rPr>
      <t xml:space="preserve">单台配置：32*400G
</t>
    </r>
    <r>
      <rPr>
        <sz val="10"/>
        <color theme="1"/>
        <rFont val="宋体"/>
        <family val="3"/>
        <charset val="134"/>
      </rPr>
      <t>CE9860-4C-EI-A交流/高压直流/直流主机+32个400GBase-FR4光模块-QSFP-DD-400G-单模模块(1310nm,2km,LC</t>
    </r>
  </si>
  <si>
    <t>CE8875-24BQ8DQ(含华为CE TOR交换机软件V1.0)</t>
  </si>
  <si>
    <r>
      <rPr>
        <b/>
        <sz val="10"/>
        <rFont val="宋体"/>
        <family val="3"/>
        <charset val="134"/>
        <scheme val="minor"/>
      </rPr>
      <t xml:space="preserve">单台配置：16*200G+8*400GE
</t>
    </r>
    <r>
      <rPr>
        <sz val="10"/>
        <color theme="1"/>
        <rFont val="宋体"/>
        <family val="3"/>
        <charset val="134"/>
      </rPr>
      <t>CE8875-24BQ8DQ 交流/高压直流/直流主机+32个400GBase-FR4光模块-QSFP-DD-400G-单模模块(1310nm,2km,LC+8个400GBase-FR4光模块-QSFP-DD-400G-单模模块(1310nm,2km,LC)</t>
    </r>
  </si>
  <si>
    <t>非集采
128*200G</t>
  </si>
  <si>
    <t>参数面200G</t>
  </si>
  <si>
    <t>功耗：在室温27度情况下，满配：2800；半配：1600</t>
  </si>
  <si>
    <t>非集采
128*400G</t>
  </si>
  <si>
    <t>参数面400G</t>
  </si>
  <si>
    <t>数据面ROCE交换机</t>
  </si>
  <si>
    <r>
      <rPr>
        <b/>
        <sz val="10"/>
        <rFont val="宋体"/>
        <family val="3"/>
        <charset val="134"/>
        <scheme val="minor"/>
      </rPr>
      <t xml:space="preserve">单台配置：16*36*100G
</t>
    </r>
    <r>
      <rPr>
        <sz val="10"/>
        <color theme="1"/>
        <rFont val="宋体"/>
        <family val="3"/>
        <charset val="134"/>
      </rPr>
      <t>16槽位框式设备（4*交换网板）+16块36*100GE 单板+576个光模块，100GE，LC单模，2km</t>
    </r>
  </si>
  <si>
    <t>12348
(100%负载，576 * 100GE LC 2KM 光模块，室温40摄氏度)</t>
  </si>
  <si>
    <t>9120
(100%负载，576 * 100GE LC 2KM 光模块，室温27摄氏度)</t>
  </si>
  <si>
    <r>
      <rPr>
        <b/>
        <sz val="10"/>
        <rFont val="宋体"/>
        <family val="3"/>
        <charset val="134"/>
        <scheme val="minor"/>
      </rPr>
      <t xml:space="preserve">单台：128*100G单模
</t>
    </r>
    <r>
      <rPr>
        <sz val="10"/>
        <color theme="1"/>
        <rFont val="宋体"/>
        <family val="3"/>
        <charset val="134"/>
      </rPr>
      <t>CE9860-4C-EI-A交流/高压直流/直流主机+128个100GBase-CWDM4光模块-QSFP28-100G-单模模块(1310nm,2km,LC)</t>
    </r>
  </si>
  <si>
    <t>2330
(100%负载，128* 100GE LC 2KM光模块，室温40摄氏度)</t>
  </si>
  <si>
    <t>1910
(100%负载，128*100GE MPO 100m光模块，室温27摄氏度)</t>
  </si>
  <si>
    <t>CE6865E-48S8CQ(含华为CE TOR交换机软件V1.0)</t>
  </si>
  <si>
    <r>
      <rPr>
        <b/>
        <sz val="10"/>
        <rFont val="宋体"/>
        <family val="3"/>
        <charset val="134"/>
        <scheme val="minor"/>
      </rPr>
      <t xml:space="preserve">单台配置：48*25G+8*100G
</t>
    </r>
    <r>
      <rPr>
        <sz val="10"/>
        <color theme="1"/>
        <rFont val="宋体"/>
        <family val="3"/>
        <charset val="134"/>
      </rPr>
      <t>48*（光模块，25GE，LC多模，100m）+8*（光模块，100GE，LC单模，2km）</t>
    </r>
  </si>
  <si>
    <t>378
(100%负载，48*25GE LC 300m + 8* 100GE 2KM ，室温40摄氏度)</t>
  </si>
  <si>
    <t>232
(100%负载，48*25GE LC 300m + 8* 100GE MPO 100m ，室温27摄氏度)</t>
  </si>
  <si>
    <r>
      <rPr>
        <b/>
        <sz val="10"/>
        <color rgb="FFFF0000"/>
        <rFont val="宋体"/>
        <family val="3"/>
        <charset val="134"/>
      </rPr>
      <t>非集采</t>
    </r>
    <r>
      <rPr>
        <b/>
        <sz val="10"/>
        <rFont val="宋体"/>
        <family val="3"/>
        <charset val="134"/>
      </rPr>
      <t>8*36*100GE</t>
    </r>
  </si>
  <si>
    <t>8槽位框式设备（4*交换网板）</t>
  </si>
  <si>
    <r>
      <rPr>
        <b/>
        <sz val="10"/>
        <rFont val="宋体"/>
        <family val="3"/>
        <charset val="134"/>
        <scheme val="minor"/>
      </rPr>
      <t xml:space="preserve">单台配置：8*36*100G
</t>
    </r>
    <r>
      <rPr>
        <sz val="10"/>
        <color theme="1"/>
        <rFont val="宋体"/>
        <family val="3"/>
        <charset val="134"/>
      </rPr>
      <t>8槽位框式设备（4*交换网板）+8块36*100GE 单板+288个光模块，100GE，LC单模，2km</t>
    </r>
  </si>
  <si>
    <t>6352
(100%负载，288 * 100GE LC 2KM 光模块，室温40摄氏度)</t>
  </si>
  <si>
    <t>4710
(100%负载，288 * 100GE LC 2KM 光模块，室温27摄氏度)</t>
  </si>
  <si>
    <t>模型基础参数 → KV Cache 每秒数据量（O） → HBM 容纳 KV Cache 时长（P） → 存存比（外置存储容量 / 总 HBM 容量） → 外置存储容量</t>
  </si>
  <si>
    <t>每秒产生KV Cache数据：O=N* I* (J*(1-K)+L) （九天当前吞吐量较低，产生KV Cache数据较少）</t>
  </si>
  <si>
    <t>HBM容纳KV Cache时长: P=G*1024*1024/O/3600（业界KV Cache通常保存24小时）</t>
  </si>
  <si>
    <t>模型名称</t>
  </si>
  <si>
    <t>字母表示</t>
  </si>
  <si>
    <t>Qwen2.5-7B</t>
  </si>
  <si>
    <t>llama3-8B</t>
  </si>
  <si>
    <t>Qwen3-32B</t>
  </si>
  <si>
    <t>Qwen2.5-72B</t>
  </si>
  <si>
    <t>llama3-70B</t>
  </si>
  <si>
    <t>九天模型-75B</t>
  </si>
  <si>
    <t>DeepSeek-R1-大EP</t>
  </si>
  <si>
    <t>DeepSeek-R1-一体机</t>
  </si>
  <si>
    <t>模型参数量(B)</t>
  </si>
  <si>
    <t>A</t>
  </si>
  <si>
    <t>模型权重精度(Byte)</t>
  </si>
  <si>
    <t>B</t>
  </si>
  <si>
    <t>推理卡数(张)</t>
  </si>
  <si>
    <t>C</t>
  </si>
  <si>
    <t>模型加载份数(份)</t>
  </si>
  <si>
    <t>D</t>
  </si>
  <si>
    <t>单卡HBM容量(GB)</t>
  </si>
  <si>
    <t>E</t>
  </si>
  <si>
    <t>总HBM容量(GB)</t>
  </si>
  <si>
    <t>F</t>
  </si>
  <si>
    <t>加载模型后的HBM空闲容量(GB)</t>
  </si>
  <si>
    <t>G</t>
  </si>
  <si>
    <t>单卡吞吐量(Token/s)</t>
  </si>
  <si>
    <t>H</t>
  </si>
  <si>
    <t>总吞吐量(Token/s)</t>
  </si>
  <si>
    <t>I</t>
  </si>
  <si>
    <t>输入百分比</t>
  </si>
  <si>
    <t>J</t>
  </si>
  <si>
    <t>外置存储输入命中率</t>
  </si>
  <si>
    <t>K</t>
  </si>
  <si>
    <t>输出百分比</t>
  </si>
  <si>
    <t>L</t>
  </si>
  <si>
    <t>注意力优化技术</t>
  </si>
  <si>
    <t>M</t>
  </si>
  <si>
    <t>GQA</t>
  </si>
  <si>
    <t>MLA</t>
  </si>
  <si>
    <t>每Token的KV Cache数据(KB)</t>
  </si>
  <si>
    <t>N</t>
  </si>
  <si>
    <t>每秒产生KV Cache数据(KB)</t>
  </si>
  <si>
    <t>O</t>
  </si>
  <si>
    <t>HBM容纳KV Cache时长(小时)</t>
  </si>
  <si>
    <t>P</t>
  </si>
  <si>
    <t>存存比(外置存储容量/总HBM容量)</t>
  </si>
  <si>
    <t>算存比(总算力/外置存储容量)</t>
  </si>
  <si>
    <t>a</t>
  </si>
  <si>
    <t>每秒产生KV Cache数据：O</t>
  </si>
  <si>
    <t>场景2（百~千亿参数模型场景）</t>
  </si>
  <si>
    <t>存储规模需求</t>
    <phoneticPr fontId="54" type="noConversion"/>
  </si>
  <si>
    <t>3、蓝色区域为自动生成区域</t>
    <phoneticPr fontId="54" type="noConversion"/>
  </si>
  <si>
    <t>全闪需求
场景1无全全存需求
场景2（按常用模型最小值估算，算存比200：1）</t>
    <phoneticPr fontId="54" type="noConversion"/>
  </si>
  <si>
    <t>4、"需求和建设规模换算"sheet 可相互关联</t>
    <phoneticPr fontId="54" type="noConversion"/>
  </si>
  <si>
    <t>9、天池sdn除了裸金属的接入交换机和管理域的接入交换机（包括业务域服务器的管理接入交换机和ipmi），都要求做arp双发，设备间无互连线</t>
    <phoneticPr fontId="54" type="noConversion"/>
  </si>
  <si>
    <r>
      <t>10、</t>
    </r>
    <r>
      <rPr>
        <b/>
        <sz val="11"/>
        <color rgb="FFFF0000"/>
        <rFont val="宋体"/>
        <family val="3"/>
        <charset val="134"/>
        <scheme val="minor"/>
      </rPr>
      <t>裸金属网关2.0结构
1)一对VTEP交换机下接入40台裸金属;一对BMGW接入交换机，综合考虑上下行带宽，建议接入4台BMGW，可提供600G总带宽；
2)BMGW双活成对部署，一对约提供300G总带宽，若单台裸金属平均流量为5G，一对BMGW最多可纳管60台裸金属，一组裸金属网关集群最大可纳管120台BM;若单台裸金属平均流量为10G，一对BMGW最多可纳管30台裸金属，一组裸金属网关集群最大可纳管60台裸金属； 
3)建议在裸金属网关单集群的带宽容量规划中预留冗余空间，如当单集群实时带宽使用率超过总带宽的60%时，系统应自动触发流量调度机制将业务负载迁移至其他可用集群，或启动裸金属网关集群的横向扩容，以保障服务性能及资源弹性。</t>
    </r>
    <phoneticPr fontId="54" type="noConversion"/>
  </si>
  <si>
    <t>8、若单台服务器满足DS满血版高参数量应用场景，则不需要参数面
若单台服务器不满足DS满血版高参数量应用场景，则需要新建参数面实现跨机互通
推理场景下，考虑长记忆KVcache的情况需要数据面和高性能文件存储。</t>
    <phoneticPr fontId="54" type="noConversion"/>
  </si>
  <si>
    <t>扣卡(64G)</t>
    <phoneticPr fontId="54" type="noConversion"/>
  </si>
  <si>
    <t>扣卡(32G)</t>
    <phoneticPr fontId="54" type="noConversion"/>
  </si>
  <si>
    <t xml:space="preserve">PCIE 2.3KW，扣卡5.2KW  </t>
    <phoneticPr fontId="54" type="noConversion"/>
  </si>
  <si>
    <t>部署区域</t>
  </si>
  <si>
    <t>5kw机柜安装数量</t>
    <phoneticPr fontId="54" type="noConversion"/>
  </si>
  <si>
    <t>20kw机柜数量</t>
    <phoneticPr fontId="54" type="noConversion"/>
  </si>
  <si>
    <t>7kw机柜安装数量</t>
    <phoneticPr fontId="54" type="noConversion"/>
  </si>
  <si>
    <t>10kw机柜安装数量</t>
    <phoneticPr fontId="54" type="noConversion"/>
  </si>
  <si>
    <t>15kw机柜安装数量</t>
    <phoneticPr fontId="54" type="noConversion"/>
  </si>
  <si>
    <t>存储服务器</t>
    <phoneticPr fontId="54" type="noConversion"/>
  </si>
  <si>
    <t>设计原则及装架要求</t>
    <phoneticPr fontId="54" type="noConversion"/>
  </si>
  <si>
    <t>46kw机柜数量</t>
    <phoneticPr fontId="54" type="noConversion"/>
  </si>
  <si>
    <t>23kw机柜数量</t>
    <phoneticPr fontId="54" type="noConversion"/>
  </si>
  <si>
    <t>数据面典配1 100G框式汇聚（16槽）</t>
    <phoneticPr fontId="54" type="noConversion"/>
  </si>
  <si>
    <t>数据面典配2 100G盒式汇聚&amp;接入</t>
    <phoneticPr fontId="54" type="noConversion"/>
  </si>
  <si>
    <t>机房配套-通算服务器+其他网络设备机架功耗</t>
    <phoneticPr fontId="54" type="noConversion"/>
  </si>
  <si>
    <t>通算服务器+其他网络设备</t>
    <phoneticPr fontId="54" type="noConversion"/>
  </si>
  <si>
    <t>机房配套-参数面+数据面汇聚框式设备机架功耗</t>
    <phoneticPr fontId="54" type="noConversion"/>
  </si>
  <si>
    <t>POD核心框式设备机架功耗</t>
    <phoneticPr fontId="54" type="noConversion"/>
  </si>
  <si>
    <t>POD管理汇聚设备机架功耗</t>
    <phoneticPr fontId="54" type="noConversion"/>
  </si>
  <si>
    <t>参数面+数据面汇聚框式设备机架功耗</t>
    <phoneticPr fontId="54" type="noConversion"/>
  </si>
  <si>
    <r>
      <t>1、在满足机房空间布局及承重条件的前提下，</t>
    </r>
    <r>
      <rPr>
        <b/>
        <sz val="10"/>
        <color rgb="FFFF0000"/>
        <rFont val="微软雅黑"/>
        <family val="2"/>
        <charset val="134"/>
      </rPr>
      <t>建议将推理服务器机柜沿网络设备柜两侧对称均衡布设</t>
    </r>
    <r>
      <rPr>
        <b/>
        <sz val="10"/>
        <rFont val="微软雅黑"/>
        <family val="2"/>
        <charset val="134"/>
      </rPr>
      <t>，以确保设备散热效能与线缆管理的优化配置
2、推理服务器和参数面接入交换机按需混布；在确保单机柜不超电、业务运行安全的情况下，为提升电力利用率、减少电力空闲，</t>
    </r>
    <r>
      <rPr>
        <b/>
        <sz val="10"/>
        <color rgb="FFFF0000"/>
        <rFont val="微软雅黑"/>
        <family val="2"/>
        <charset val="134"/>
      </rPr>
      <t>网络设备机柜可和通算服务器混部</t>
    </r>
    <r>
      <rPr>
        <b/>
        <sz val="10"/>
        <rFont val="微软雅黑"/>
        <family val="2"/>
        <charset val="134"/>
      </rPr>
      <t>。
一、推理服务器机柜
1、非弹性装架建议使用20KW机柜，架内部署4台推理服务器，</t>
    </r>
    <r>
      <rPr>
        <b/>
        <sz val="10"/>
        <color rgb="FFFF0000"/>
        <rFont val="微软雅黑"/>
        <family val="2"/>
        <charset val="134"/>
      </rPr>
      <t>装架率可达97.75%</t>
    </r>
    <r>
      <rPr>
        <b/>
        <sz val="10"/>
        <rFont val="微软雅黑"/>
        <family val="2"/>
        <charset val="134"/>
      </rPr>
      <t xml:space="preserve">
2、弹性装架7kW机柜，机架分组设计（1组3个7KW机架），混布4台推理服务器+1台Leaf交换机+2台通算服务器+2台接入交换机，</t>
    </r>
    <r>
      <rPr>
        <b/>
        <sz val="10"/>
        <color rgb="FFFF0000"/>
        <rFont val="微软雅黑"/>
        <family val="2"/>
        <charset val="134"/>
      </rPr>
      <t>总装架率可达99%以上</t>
    </r>
    <r>
      <rPr>
        <b/>
        <sz val="10"/>
        <rFont val="微软雅黑"/>
        <family val="2"/>
        <charset val="134"/>
      </rPr>
      <t xml:space="preserve">
3、20KW非弹性机柜须严格遵循额定功率上限装架；弹性装架整柜装架率高，根据业务需求设置分组装架方案；弹性装架率的总原则为保障不超电的情况下尽量提高电力利用率
二、网络设备机柜
1、Spine交换机按需和通算服务器混部；POD核心设备板卡满配考虑机柜功耗（光模块按需扩容）
2、同组汇聚交换机分列部署，例4台Spine交换机，至少要部署在2列机柜内（偶数）</t>
    </r>
    <phoneticPr fontId="54" type="noConversion"/>
  </si>
  <si>
    <t>非弹性装架</t>
    <phoneticPr fontId="54" type="noConversion"/>
  </si>
  <si>
    <t>弹性装架</t>
    <phoneticPr fontId="54" type="noConversion"/>
  </si>
  <si>
    <t>7kw</t>
  </si>
  <si>
    <t>场景1（百亿及以下参数模型场景）：无参数面、数据面网络 PCIE
场景2（百~千亿参数模型场景）：无参数面、有数据面网络  扣卡
场景3（千亿长序列~万亿参数模型应用场景）：模型参数量超大，有参数面和数据面网络  扣卡</t>
    <phoneticPr fontId="54" type="noConversion"/>
  </si>
  <si>
    <t>扣卡(64G)</t>
  </si>
  <si>
    <t>主机防病毒</t>
    <phoneticPr fontId="5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</si>
</sst>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 * #,##0.00_ ;_ * \-#,##0.00_ ;_ * &quot;-&quot;??_ ;_ @_ "/>
    <numFmt numFmtId="176" formatCode="[$$-409]#,##0.000_);[Red]\([$$-409]#,##0.000\)"/>
    <numFmt numFmtId="177" formatCode="[$-409]d\-mmm\-yy;@"/>
    <numFmt numFmtId="178" formatCode="0.00_ "/>
    <numFmt numFmtId="179" formatCode="\(0\)"/>
    <numFmt numFmtId="180" formatCode="#,##0.00_ ;[Red]\-#,##0.00\ "/>
    <numFmt numFmtId="181" formatCode="#,##0_ ;[Red]\-#,##0\ "/>
    <numFmt numFmtId="182" formatCode="0_ "/>
    <numFmt numFmtId="183" formatCode="#,##0.00&quot;W&quot;"/>
    <numFmt numFmtId="184" formatCode="#,##0.00_ "/>
    <numFmt numFmtId="185" formatCode="General&quot;×100Gbps&quot;"/>
    <numFmt numFmtId="186" formatCode="General&quot;台&quot;"/>
    <numFmt numFmtId="187" formatCode="General&quot;个&quot;"/>
    <numFmt numFmtId="188" formatCode="&quot;×&quot;General&quot;台&quot;"/>
    <numFmt numFmtId="189" formatCode="General&quot;块&quot;"/>
    <numFmt numFmtId="190" formatCode="#,##0_ "/>
    <numFmt numFmtId="191" formatCode="&quot;集群业务带宽&quot;General&quot;Gbps&quot;"/>
    <numFmt numFmtId="192" formatCode="General&quot;机架&quot;"/>
  </numFmts>
  <fonts count="66" x14ac:knownFonts="1">
    <font>
      <sz val="11"/>
      <color theme="1"/>
      <name val="宋体"/>
      <charset val="134"/>
      <scheme val="minor"/>
    </font>
    <font>
      <b/>
      <sz val="10"/>
      <color rgb="FFFFFFFF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.5"/>
      <color theme="0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name val="宋体"/>
      <family val="3"/>
      <charset val="134"/>
    </font>
    <font>
      <sz val="10"/>
      <color rgb="FF7030A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Helv"/>
      <family val="2"/>
    </font>
    <font>
      <sz val="12"/>
      <color theme="1"/>
      <name val="宋体"/>
      <family val="3"/>
      <charset val="134"/>
      <scheme val="minor"/>
    </font>
    <font>
      <sz val="12"/>
      <name val="Times New Roman"/>
      <family val="1"/>
    </font>
    <font>
      <b/>
      <sz val="10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7030A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.5"/>
      <color theme="0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CDB"/>
        <bgColor indexed="64"/>
      </patternFill>
    </fill>
  </fills>
  <borders count="5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0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0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indexed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43" fontId="42" fillId="0" borderId="0" applyFont="0" applyFill="0" applyBorder="0" applyAlignment="0" applyProtection="0">
      <alignment vertical="center"/>
    </xf>
    <xf numFmtId="0" fontId="43" fillId="0" borderId="0"/>
    <xf numFmtId="0" fontId="43" fillId="0" borderId="0"/>
    <xf numFmtId="176" fontId="44" fillId="0" borderId="0"/>
    <xf numFmtId="9" fontId="42" fillId="0" borderId="0" applyFont="0" applyFill="0" applyBorder="0" applyAlignment="0" applyProtection="0">
      <alignment vertical="center"/>
    </xf>
    <xf numFmtId="177" fontId="42" fillId="0" borderId="0"/>
    <xf numFmtId="177" fontId="42" fillId="0" borderId="0"/>
    <xf numFmtId="0" fontId="43" fillId="0" borderId="0"/>
    <xf numFmtId="0" fontId="42" fillId="0" borderId="0"/>
    <xf numFmtId="0" fontId="42" fillId="0" borderId="0">
      <alignment vertical="center"/>
    </xf>
    <xf numFmtId="0" fontId="45" fillId="0" borderId="0">
      <alignment vertical="center"/>
    </xf>
    <xf numFmtId="0" fontId="43" fillId="0" borderId="0">
      <alignment vertical="center"/>
    </xf>
    <xf numFmtId="0" fontId="4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6" fillId="0" borderId="0"/>
  </cellStyleXfs>
  <cellXfs count="3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 wrapText="1"/>
    </xf>
    <xf numFmtId="0" fontId="6" fillId="8" borderId="6" xfId="3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center" vertical="center"/>
    </xf>
    <xf numFmtId="179" fontId="6" fillId="7" borderId="7" xfId="2" applyNumberFormat="1" applyFont="1" applyFill="1" applyBorder="1" applyAlignment="1">
      <alignment vertical="center" wrapText="1"/>
    </xf>
    <xf numFmtId="179" fontId="6" fillId="7" borderId="7" xfId="2" applyNumberFormat="1" applyFont="1" applyFill="1" applyBorder="1" applyAlignment="1">
      <alignment horizontal="center" vertical="center" wrapText="1"/>
    </xf>
    <xf numFmtId="0" fontId="6" fillId="8" borderId="6" xfId="2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178" fontId="5" fillId="9" borderId="12" xfId="0" applyNumberFormat="1" applyFont="1" applyFill="1" applyBorder="1" applyAlignment="1">
      <alignment horizontal="center" vertical="center"/>
    </xf>
    <xf numFmtId="178" fontId="5" fillId="9" borderId="12" xfId="0" applyNumberFormat="1" applyFont="1" applyFill="1" applyBorder="1" applyAlignment="1">
      <alignment horizontal="center" vertical="center" wrapText="1"/>
    </xf>
    <xf numFmtId="179" fontId="6" fillId="9" borderId="11" xfId="2" applyNumberFormat="1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vertical="center" wrapText="1"/>
    </xf>
    <xf numFmtId="0" fontId="6" fillId="9" borderId="9" xfId="2" applyFont="1" applyFill="1" applyBorder="1" applyAlignment="1">
      <alignment horizontal="left" vertical="center" wrapText="1"/>
    </xf>
    <xf numFmtId="178" fontId="5" fillId="9" borderId="6" xfId="0" applyNumberFormat="1" applyFont="1" applyFill="1" applyBorder="1" applyAlignment="1">
      <alignment horizontal="left" vertical="center" wrapText="1"/>
    </xf>
    <xf numFmtId="178" fontId="5" fillId="6" borderId="6" xfId="0" applyNumberFormat="1" applyFont="1" applyFill="1" applyBorder="1" applyAlignment="1">
      <alignment horizontal="center" vertical="center"/>
    </xf>
    <xf numFmtId="178" fontId="5" fillId="6" borderId="6" xfId="0" applyNumberFormat="1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179" fontId="6" fillId="7" borderId="9" xfId="2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left" vertical="center" wrapText="1"/>
    </xf>
    <xf numFmtId="179" fontId="6" fillId="0" borderId="10" xfId="2" applyNumberFormat="1" applyFont="1" applyFill="1" applyBorder="1" applyAlignment="1">
      <alignment horizontal="center" vertical="center" wrapText="1"/>
    </xf>
    <xf numFmtId="179" fontId="6" fillId="0" borderId="6" xfId="2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9" fontId="6" fillId="9" borderId="9" xfId="2" applyNumberFormat="1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left" vertical="center" wrapText="1"/>
    </xf>
    <xf numFmtId="178" fontId="5" fillId="5" borderId="16" xfId="0" applyNumberFormat="1" applyFont="1" applyFill="1" applyBorder="1" applyAlignment="1">
      <alignment horizontal="center" vertical="center"/>
    </xf>
    <xf numFmtId="178" fontId="5" fillId="5" borderId="6" xfId="0" applyNumberFormat="1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6" fillId="10" borderId="6" xfId="2" applyFont="1" applyFill="1" applyBorder="1" applyAlignment="1">
      <alignment horizontal="justify" vertical="center" wrapText="1"/>
    </xf>
    <xf numFmtId="178" fontId="6" fillId="10" borderId="6" xfId="2" applyNumberFormat="1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180" fontId="6" fillId="7" borderId="6" xfId="1" applyNumberFormat="1" applyFont="1" applyFill="1" applyBorder="1" applyAlignment="1" applyProtection="1">
      <alignment horizontal="right" vertical="center" wrapText="1"/>
      <protection locked="0"/>
    </xf>
    <xf numFmtId="0" fontId="9" fillId="9" borderId="6" xfId="0" applyFont="1" applyFill="1" applyBorder="1" applyAlignment="1">
      <alignment horizontal="center" vertical="center"/>
    </xf>
    <xf numFmtId="180" fontId="6" fillId="7" borderId="6" xfId="1" applyNumberFormat="1" applyFont="1" applyFill="1" applyBorder="1" applyAlignment="1" applyProtection="1">
      <alignment horizontal="center" vertical="center" wrapText="1"/>
      <protection locked="0"/>
    </xf>
    <xf numFmtId="180" fontId="6" fillId="7" borderId="9" xfId="1" applyNumberFormat="1" applyFont="1" applyFill="1" applyBorder="1" applyAlignment="1" applyProtection="1">
      <alignment horizontal="center" vertical="center" wrapText="1"/>
      <protection locked="0"/>
    </xf>
    <xf numFmtId="180" fontId="6" fillId="7" borderId="9" xfId="1" applyNumberFormat="1" applyFont="1" applyFill="1" applyBorder="1" applyAlignment="1" applyProtection="1">
      <alignment horizontal="right" vertical="center" wrapText="1"/>
      <protection locked="0"/>
    </xf>
    <xf numFmtId="0" fontId="9" fillId="0" borderId="23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178" fontId="5" fillId="6" borderId="16" xfId="0" applyNumberFormat="1" applyFont="1" applyFill="1" applyBorder="1" applyAlignment="1">
      <alignment horizontal="center" vertical="center" wrapText="1"/>
    </xf>
    <xf numFmtId="0" fontId="13" fillId="6" borderId="9" xfId="17" applyFont="1" applyFill="1" applyBorder="1" applyAlignment="1">
      <alignment horizontal="center" vertical="center" wrapText="1"/>
    </xf>
    <xf numFmtId="0" fontId="13" fillId="6" borderId="6" xfId="17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vertical="center"/>
    </xf>
    <xf numFmtId="181" fontId="12" fillId="6" borderId="6" xfId="17" applyNumberFormat="1" applyFont="1" applyFill="1" applyBorder="1" applyAlignment="1">
      <alignment horizontal="center" vertical="center" wrapText="1"/>
    </xf>
    <xf numFmtId="181" fontId="13" fillId="0" borderId="6" xfId="17" applyNumberFormat="1" applyFont="1" applyBorder="1" applyAlignment="1">
      <alignment horizontal="center" vertical="center" wrapText="1"/>
    </xf>
    <xf numFmtId="181" fontId="13" fillId="0" borderId="2" xfId="17" applyNumberFormat="1" applyFont="1" applyBorder="1" applyAlignment="1">
      <alignment vertical="center" wrapText="1"/>
    </xf>
    <xf numFmtId="0" fontId="14" fillId="0" borderId="6" xfId="13" applyFont="1" applyFill="1" applyBorder="1" applyAlignment="1">
      <alignment horizontal="left" vertical="center" wrapText="1"/>
    </xf>
    <xf numFmtId="178" fontId="6" fillId="0" borderId="6" xfId="2" applyNumberFormat="1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vertical="center"/>
    </xf>
    <xf numFmtId="181" fontId="12" fillId="6" borderId="9" xfId="17" applyNumberFormat="1" applyFont="1" applyFill="1" applyBorder="1" applyAlignment="1">
      <alignment horizontal="center" vertical="center" wrapText="1"/>
    </xf>
    <xf numFmtId="181" fontId="13" fillId="0" borderId="9" xfId="17" applyNumberFormat="1" applyFont="1" applyBorder="1" applyAlignment="1">
      <alignment horizontal="center" vertical="center" wrapText="1"/>
    </xf>
    <xf numFmtId="181" fontId="13" fillId="0" borderId="29" xfId="17" applyNumberFormat="1" applyFont="1" applyBorder="1" applyAlignment="1">
      <alignment vertical="center" wrapText="1"/>
    </xf>
    <xf numFmtId="0" fontId="14" fillId="0" borderId="6" xfId="13" applyFont="1" applyFill="1" applyBorder="1" applyAlignment="1">
      <alignment vertical="center" wrapText="1"/>
    </xf>
    <xf numFmtId="178" fontId="5" fillId="9" borderId="6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178" fontId="5" fillId="6" borderId="6" xfId="0" applyNumberFormat="1" applyFont="1" applyFill="1" applyBorder="1" applyAlignment="1">
      <alignment horizontal="center" vertical="center" wrapText="1"/>
    </xf>
    <xf numFmtId="0" fontId="13" fillId="6" borderId="10" xfId="17" applyFont="1" applyFill="1" applyBorder="1" applyAlignment="1">
      <alignment horizontal="center" vertical="center" wrapText="1"/>
    </xf>
    <xf numFmtId="0" fontId="13" fillId="6" borderId="12" xfId="17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vertical="center"/>
    </xf>
    <xf numFmtId="181" fontId="12" fillId="6" borderId="12" xfId="17" applyNumberFormat="1" applyFont="1" applyFill="1" applyBorder="1" applyAlignment="1">
      <alignment horizontal="center" vertical="center" wrapText="1"/>
    </xf>
    <xf numFmtId="181" fontId="13" fillId="0" borderId="12" xfId="17" applyNumberFormat="1" applyFont="1" applyBorder="1" applyAlignment="1">
      <alignment horizontal="center" vertical="center" wrapText="1"/>
    </xf>
    <xf numFmtId="181" fontId="13" fillId="0" borderId="12" xfId="17" applyNumberFormat="1" applyFont="1" applyBorder="1" applyAlignment="1">
      <alignment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5" fillId="6" borderId="6" xfId="6" applyNumberFormat="1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vertical="center" wrapText="1"/>
    </xf>
    <xf numFmtId="49" fontId="5" fillId="6" borderId="6" xfId="6" applyNumberFormat="1" applyFont="1" applyFill="1" applyBorder="1" applyAlignment="1">
      <alignment horizontal="center" vertical="center" wrapText="1"/>
    </xf>
    <xf numFmtId="178" fontId="7" fillId="6" borderId="6" xfId="6" applyNumberFormat="1" applyFont="1" applyFill="1" applyBorder="1" applyAlignment="1">
      <alignment horizontal="center" vertical="center" wrapText="1"/>
    </xf>
    <xf numFmtId="182" fontId="16" fillId="10" borderId="6" xfId="6" applyNumberFormat="1" applyFont="1" applyFill="1" applyBorder="1" applyAlignment="1">
      <alignment horizontal="center" vertical="center" wrapText="1"/>
    </xf>
    <xf numFmtId="0" fontId="7" fillId="6" borderId="6" xfId="6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/>
    </xf>
    <xf numFmtId="0" fontId="17" fillId="7" borderId="6" xfId="8" applyFont="1" applyFill="1" applyBorder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/>
    </xf>
    <xf numFmtId="49" fontId="18" fillId="10" borderId="6" xfId="12" applyNumberFormat="1" applyFont="1" applyFill="1" applyBorder="1" applyAlignment="1">
      <alignment horizontal="center" vertical="center" wrapText="1"/>
    </xf>
    <xf numFmtId="0" fontId="19" fillId="7" borderId="6" xfId="8" applyFont="1" applyFill="1" applyBorder="1" applyAlignment="1">
      <alignment horizontal="center" vertical="center" wrapText="1"/>
    </xf>
    <xf numFmtId="0" fontId="19" fillId="12" borderId="6" xfId="8" applyFont="1" applyFill="1" applyBorder="1" applyAlignment="1">
      <alignment horizontal="center" vertical="center" wrapText="1"/>
    </xf>
    <xf numFmtId="183" fontId="18" fillId="10" borderId="6" xfId="12" applyNumberFormat="1" applyFont="1" applyFill="1" applyBorder="1" applyAlignment="1">
      <alignment horizontal="center" vertical="center" wrapText="1"/>
    </xf>
    <xf numFmtId="0" fontId="6" fillId="10" borderId="6" xfId="3" applyFont="1" applyFill="1" applyBorder="1" applyAlignment="1" applyProtection="1">
      <alignment horizontal="center" vertical="center" wrapText="1"/>
      <protection locked="0"/>
    </xf>
    <xf numFmtId="0" fontId="5" fillId="7" borderId="16" xfId="3" applyFont="1" applyFill="1" applyBorder="1" applyAlignment="1" applyProtection="1">
      <alignment horizontal="center" vertical="center" wrapText="1"/>
      <protection locked="0"/>
    </xf>
    <xf numFmtId="178" fontId="16" fillId="9" borderId="9" xfId="6" applyNumberFormat="1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181" fontId="5" fillId="7" borderId="9" xfId="3" applyNumberFormat="1" applyFont="1" applyFill="1" applyBorder="1" applyAlignment="1" applyProtection="1">
      <alignment horizontal="center" vertical="center" wrapText="1"/>
      <protection locked="0"/>
    </xf>
    <xf numFmtId="0" fontId="18" fillId="13" borderId="19" xfId="0" applyFont="1" applyFill="1" applyBorder="1" applyAlignment="1">
      <alignment horizontal="center" vertical="center" wrapText="1"/>
    </xf>
    <xf numFmtId="184" fontId="18" fillId="0" borderId="6" xfId="12" applyNumberFormat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vertical="center"/>
    </xf>
    <xf numFmtId="184" fontId="18" fillId="0" borderId="30" xfId="12" applyNumberFormat="1" applyFont="1" applyFill="1" applyBorder="1" applyAlignment="1">
      <alignment horizontal="center" vertical="center" wrapText="1"/>
    </xf>
    <xf numFmtId="0" fontId="17" fillId="7" borderId="6" xfId="6" applyNumberFormat="1" applyFont="1" applyFill="1" applyBorder="1" applyAlignment="1">
      <alignment horizontal="center" vertical="center" wrapText="1"/>
    </xf>
    <xf numFmtId="0" fontId="19" fillId="7" borderId="6" xfId="6" applyNumberFormat="1" applyFont="1" applyFill="1" applyBorder="1" applyAlignment="1">
      <alignment horizontal="center" vertical="center" wrapText="1"/>
    </xf>
    <xf numFmtId="0" fontId="19" fillId="12" borderId="6" xfId="6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3" fontId="17" fillId="7" borderId="6" xfId="8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14" borderId="32" xfId="0" applyFont="1" applyFill="1" applyBorder="1" applyAlignment="1" applyProtection="1">
      <alignment vertical="center"/>
    </xf>
    <xf numFmtId="0" fontId="20" fillId="14" borderId="33" xfId="0" applyFont="1" applyFill="1" applyBorder="1" applyAlignment="1" applyProtection="1">
      <alignment horizontal="center" vertical="center"/>
    </xf>
    <xf numFmtId="0" fontId="20" fillId="14" borderId="34" xfId="0" applyFont="1" applyFill="1" applyBorder="1" applyAlignment="1" applyProtection="1">
      <alignment horizontal="center" vertical="center"/>
    </xf>
    <xf numFmtId="0" fontId="21" fillId="14" borderId="35" xfId="0" applyFont="1" applyFill="1" applyBorder="1" applyAlignment="1" applyProtection="1">
      <alignment horizontal="center" vertical="center"/>
    </xf>
    <xf numFmtId="0" fontId="22" fillId="14" borderId="35" xfId="0" applyFont="1" applyFill="1" applyBorder="1" applyAlignment="1" applyProtection="1">
      <alignment horizontal="center" vertical="center"/>
    </xf>
    <xf numFmtId="0" fontId="23" fillId="0" borderId="6" xfId="0" applyFont="1" applyBorder="1" applyAlignment="1" applyProtection="1">
      <alignment vertical="center"/>
    </xf>
    <xf numFmtId="0" fontId="23" fillId="0" borderId="6" xfId="0" applyFont="1" applyBorder="1" applyAlignment="1" applyProtection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24" fillId="0" borderId="6" xfId="0" applyFont="1" applyBorder="1" applyAlignment="1" applyProtection="1">
      <alignment vertical="center"/>
    </xf>
    <xf numFmtId="0" fontId="23" fillId="0" borderId="6" xfId="0" applyFont="1" applyBorder="1" applyAlignment="1" applyProtection="1">
      <alignment horizontal="left" vertical="center"/>
    </xf>
    <xf numFmtId="0" fontId="4" fillId="0" borderId="0" xfId="0" applyFont="1" applyAlignment="1">
      <alignment horizontal="center" vertical="center"/>
    </xf>
    <xf numFmtId="0" fontId="25" fillId="14" borderId="6" xfId="0" applyFont="1" applyFill="1" applyBorder="1" applyAlignment="1" applyProtection="1">
      <alignment horizontal="center" vertical="center"/>
    </xf>
    <xf numFmtId="0" fontId="25" fillId="14" borderId="6" xfId="0" applyFont="1" applyFill="1" applyBorder="1" applyAlignment="1" applyProtection="1">
      <alignment horizontal="center" vertical="center" wrapText="1"/>
    </xf>
    <xf numFmtId="0" fontId="17" fillId="0" borderId="6" xfId="0" applyFont="1" applyFill="1" applyBorder="1" applyAlignment="1" applyProtection="1">
      <alignment horizontal="center" vertical="center"/>
    </xf>
    <xf numFmtId="0" fontId="17" fillId="0" borderId="6" xfId="0" applyFont="1" applyFill="1" applyBorder="1" applyAlignment="1" applyProtection="1">
      <alignment horizontal="left" vertical="center" wrapText="1"/>
    </xf>
    <xf numFmtId="0" fontId="17" fillId="0" borderId="6" xfId="0" applyFont="1" applyFill="1" applyBorder="1" applyAlignment="1" applyProtection="1">
      <alignment horizontal="center" vertical="center" wrapText="1"/>
    </xf>
    <xf numFmtId="0" fontId="17" fillId="0" borderId="6" xfId="0" applyFont="1" applyBorder="1" applyAlignment="1" applyProtection="1">
      <alignment horizontal="center" vertical="center"/>
    </xf>
    <xf numFmtId="0" fontId="17" fillId="0" borderId="6" xfId="0" applyFont="1" applyFill="1" applyBorder="1" applyAlignment="1" applyProtection="1">
      <alignment horizontal="left" vertical="center"/>
    </xf>
    <xf numFmtId="178" fontId="26" fillId="14" borderId="32" xfId="0" applyNumberFormat="1" applyFont="1" applyFill="1" applyBorder="1" applyAlignment="1" applyProtection="1">
      <alignment horizontal="center" vertical="center"/>
    </xf>
    <xf numFmtId="178" fontId="15" fillId="0" borderId="36" xfId="0" applyNumberFormat="1" applyFont="1" applyFill="1" applyBorder="1" applyAlignment="1" applyProtection="1">
      <alignment horizontal="center" vertical="center" wrapText="1"/>
    </xf>
    <xf numFmtId="178" fontId="15" fillId="0" borderId="6" xfId="0" applyNumberFormat="1" applyFont="1" applyFill="1" applyBorder="1" applyAlignment="1" applyProtection="1">
      <alignment horizontal="left" vertical="center" wrapText="1"/>
    </xf>
    <xf numFmtId="0" fontId="4" fillId="0" borderId="0" xfId="0" applyFont="1" applyAlignment="1">
      <alignment horizontal="right" vertical="center"/>
    </xf>
    <xf numFmtId="0" fontId="28" fillId="0" borderId="0" xfId="0" applyFont="1" applyAlignment="1">
      <alignment horizontal="center" vertical="center" textRotation="90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 textRotation="90"/>
    </xf>
    <xf numFmtId="0" fontId="4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186" fontId="27" fillId="15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 vertical="center"/>
    </xf>
    <xf numFmtId="187" fontId="27" fillId="15" borderId="0" xfId="0" applyNumberFormat="1" applyFont="1" applyFill="1" applyAlignment="1">
      <alignment horizontal="center" vertical="center"/>
    </xf>
    <xf numFmtId="188" fontId="4" fillId="0" borderId="0" xfId="0" applyNumberFormat="1" applyFont="1" applyAlignment="1">
      <alignment horizontal="left" vertical="center"/>
    </xf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4" fillId="0" borderId="0" xfId="0" applyFont="1" applyProtection="1">
      <alignment vertical="center"/>
      <protection locked="0"/>
    </xf>
    <xf numFmtId="189" fontId="33" fillId="0" borderId="0" xfId="0" applyNumberFormat="1" applyFont="1" applyAlignment="1">
      <alignment horizontal="right" vertical="center"/>
    </xf>
    <xf numFmtId="187" fontId="33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186" fontId="4" fillId="0" borderId="0" xfId="0" applyNumberFormat="1" applyFont="1" applyAlignment="1">
      <alignment horizontal="center" vertical="center"/>
    </xf>
    <xf numFmtId="187" fontId="27" fillId="0" borderId="0" xfId="0" applyNumberFormat="1" applyFont="1" applyAlignment="1">
      <alignment horizontal="center" vertical="center"/>
    </xf>
    <xf numFmtId="188" fontId="4" fillId="0" borderId="0" xfId="0" applyNumberFormat="1" applyFont="1">
      <alignment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/>
    <xf numFmtId="0" fontId="34" fillId="14" borderId="32" xfId="0" applyFont="1" applyFill="1" applyBorder="1" applyAlignment="1">
      <alignment horizontal="center" vertical="center" wrapText="1"/>
    </xf>
    <xf numFmtId="0" fontId="34" fillId="14" borderId="34" xfId="0" applyFont="1" applyFill="1" applyBorder="1" applyAlignment="1">
      <alignment horizontal="center" vertical="center" wrapText="1"/>
    </xf>
    <xf numFmtId="0" fontId="34" fillId="14" borderId="35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9" fontId="35" fillId="0" borderId="6" xfId="0" applyNumberFormat="1" applyFont="1" applyBorder="1" applyAlignment="1">
      <alignment horizontal="center" vertical="center" wrapText="1"/>
    </xf>
    <xf numFmtId="184" fontId="35" fillId="0" borderId="6" xfId="0" applyNumberFormat="1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190" fontId="35" fillId="0" borderId="6" xfId="0" applyNumberFormat="1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184" fontId="36" fillId="0" borderId="39" xfId="0" applyNumberFormat="1" applyFont="1" applyBorder="1" applyAlignment="1">
      <alignment horizontal="center" vertical="center" wrapText="1"/>
    </xf>
    <xf numFmtId="184" fontId="36" fillId="0" borderId="41" xfId="0" applyNumberFormat="1" applyFont="1" applyBorder="1" applyAlignment="1">
      <alignment horizontal="center" vertical="center" wrapText="1"/>
    </xf>
    <xf numFmtId="184" fontId="0" fillId="0" borderId="0" xfId="0" applyNumberFormat="1" applyAlignment="1"/>
    <xf numFmtId="9" fontId="0" fillId="0" borderId="0" xfId="0" applyNumberFormat="1" applyAlignment="1"/>
    <xf numFmtId="190" fontId="0" fillId="0" borderId="0" xfId="0" applyNumberFormat="1" applyAlignment="1"/>
    <xf numFmtId="0" fontId="0" fillId="0" borderId="0" xfId="0" applyFont="1" applyAlignment="1"/>
    <xf numFmtId="0" fontId="9" fillId="0" borderId="0" xfId="0" applyFont="1" applyFill="1" applyAlignment="1"/>
    <xf numFmtId="0" fontId="9" fillId="0" borderId="0" xfId="0" applyFont="1" applyFill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21" fillId="14" borderId="32" xfId="0" applyFont="1" applyFill="1" applyBorder="1" applyAlignment="1" applyProtection="1">
      <alignment horizontal="center" vertical="center"/>
    </xf>
    <xf numFmtId="0" fontId="22" fillId="14" borderId="32" xfId="0" applyFont="1" applyFill="1" applyBorder="1" applyAlignment="1" applyProtection="1">
      <alignment horizontal="center" vertical="center"/>
    </xf>
    <xf numFmtId="0" fontId="23" fillId="0" borderId="36" xfId="0" applyFont="1" applyBorder="1" applyAlignment="1" applyProtection="1">
      <alignment horizontal="center" vertical="center"/>
    </xf>
    <xf numFmtId="0" fontId="37" fillId="16" borderId="38" xfId="0" applyFont="1" applyFill="1" applyBorder="1" applyAlignment="1" applyProtection="1">
      <alignment horizontal="center" vertical="center"/>
    </xf>
    <xf numFmtId="0" fontId="23" fillId="0" borderId="37" xfId="0" applyFont="1" applyBorder="1" applyAlignment="1" applyProtection="1">
      <alignment horizontal="center" vertical="center"/>
    </xf>
    <xf numFmtId="0" fontId="24" fillId="0" borderId="36" xfId="0" applyFont="1" applyBorder="1" applyAlignment="1" applyProtection="1">
      <alignment horizontal="center" vertical="center"/>
    </xf>
    <xf numFmtId="0" fontId="37" fillId="16" borderId="4" xfId="0" applyFont="1" applyFill="1" applyBorder="1" applyAlignment="1" applyProtection="1">
      <alignment horizontal="center" vertical="center"/>
    </xf>
    <xf numFmtId="0" fontId="23" fillId="0" borderId="36" xfId="0" applyFont="1" applyBorder="1" applyAlignment="1" applyProtection="1">
      <alignment horizontal="center" vertical="center" wrapText="1"/>
    </xf>
    <xf numFmtId="2" fontId="23" fillId="0" borderId="36" xfId="0" applyNumberFormat="1" applyFont="1" applyBorder="1" applyAlignment="1" applyProtection="1">
      <alignment horizontal="center" vertical="center" wrapText="1"/>
    </xf>
    <xf numFmtId="2" fontId="37" fillId="16" borderId="38" xfId="0" applyNumberFormat="1" applyFont="1" applyFill="1" applyBorder="1" applyAlignment="1" applyProtection="1">
      <alignment horizontal="center" vertical="center"/>
    </xf>
    <xf numFmtId="0" fontId="37" fillId="16" borderId="37" xfId="0" applyFont="1" applyFill="1" applyBorder="1" applyAlignment="1" applyProtection="1">
      <alignment horizontal="center" vertical="center"/>
    </xf>
    <xf numFmtId="0" fontId="23" fillId="0" borderId="36" xfId="0" applyFont="1" applyBorder="1" applyAlignment="1" applyProtection="1">
      <alignment horizontal="left" vertical="center"/>
    </xf>
    <xf numFmtId="0" fontId="37" fillId="0" borderId="38" xfId="0" applyFont="1" applyFill="1" applyBorder="1" applyAlignment="1" applyProtection="1">
      <alignment horizontal="center" vertical="center"/>
    </xf>
    <xf numFmtId="0" fontId="23" fillId="0" borderId="36" xfId="0" applyFont="1" applyBorder="1" applyAlignment="1" applyProtection="1">
      <alignment vertical="center"/>
    </xf>
    <xf numFmtId="0" fontId="23" fillId="0" borderId="36" xfId="0" applyFont="1" applyBorder="1" applyAlignment="1" applyProtection="1">
      <alignment vertical="center" wrapText="1"/>
    </xf>
    <xf numFmtId="0" fontId="38" fillId="0" borderId="6" xfId="0" applyFont="1" applyBorder="1" applyAlignment="1">
      <alignment horizontal="center" vertical="center"/>
    </xf>
    <xf numFmtId="0" fontId="23" fillId="0" borderId="36" xfId="0" applyFont="1" applyBorder="1" applyAlignment="1" applyProtection="1">
      <alignment horizontal="left" vertical="center" wrapText="1"/>
    </xf>
    <xf numFmtId="0" fontId="24" fillId="0" borderId="36" xfId="0" applyFont="1" applyBorder="1" applyAlignment="1" applyProtection="1">
      <alignment horizontal="left" vertical="center" wrapText="1"/>
    </xf>
    <xf numFmtId="2" fontId="37" fillId="16" borderId="37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vertical="center" wrapText="1"/>
    </xf>
    <xf numFmtId="0" fontId="33" fillId="0" borderId="6" xfId="0" applyFont="1" applyFill="1" applyBorder="1" applyAlignment="1" applyProtection="1">
      <alignment vertical="center" wrapText="1"/>
    </xf>
    <xf numFmtId="0" fontId="17" fillId="17" borderId="6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 wrapText="1"/>
    </xf>
    <xf numFmtId="0" fontId="4" fillId="6" borderId="6" xfId="0" applyFont="1" applyFill="1" applyBorder="1" applyAlignment="1">
      <alignment vertical="center" wrapText="1"/>
    </xf>
    <xf numFmtId="191" fontId="39" fillId="18" borderId="6" xfId="0" applyNumberFormat="1" applyFont="1" applyFill="1" applyBorder="1" applyAlignment="1" applyProtection="1">
      <alignment horizontal="left" vertical="center" wrapText="1"/>
      <protection hidden="1"/>
    </xf>
    <xf numFmtId="0" fontId="17" fillId="17" borderId="6" xfId="0" applyFont="1" applyFill="1" applyBorder="1" applyAlignment="1" applyProtection="1">
      <alignment horizontal="center" vertical="center"/>
      <protection locked="0"/>
    </xf>
    <xf numFmtId="192" fontId="17" fillId="17" borderId="6" xfId="0" applyNumberFormat="1" applyFont="1" applyFill="1" applyBorder="1" applyAlignment="1" applyProtection="1">
      <alignment horizontal="left" vertical="center"/>
      <protection hidden="1"/>
    </xf>
    <xf numFmtId="0" fontId="17" fillId="0" borderId="6" xfId="0" applyFont="1" applyBorder="1" applyProtection="1">
      <alignment vertical="center"/>
    </xf>
    <xf numFmtId="0" fontId="17" fillId="0" borderId="9" xfId="0" applyFont="1" applyBorder="1" applyAlignment="1" applyProtection="1">
      <alignment vertical="center"/>
    </xf>
    <xf numFmtId="0" fontId="40" fillId="0" borderId="6" xfId="0" applyFont="1" applyBorder="1" applyProtection="1">
      <alignment vertical="center"/>
    </xf>
    <xf numFmtId="0" fontId="17" fillId="19" borderId="6" xfId="0" applyFont="1" applyFill="1" applyBorder="1" applyAlignment="1" applyProtection="1">
      <alignment horizontal="left" vertical="center"/>
      <protection hidden="1"/>
    </xf>
    <xf numFmtId="0" fontId="41" fillId="0" borderId="0" xfId="0" applyFont="1">
      <alignment vertical="center"/>
    </xf>
    <xf numFmtId="0" fontId="4" fillId="0" borderId="0" xfId="0" applyFont="1" applyProtection="1">
      <alignment vertical="center"/>
    </xf>
    <xf numFmtId="0" fontId="4" fillId="6" borderId="0" xfId="0" applyFont="1" applyFill="1" applyAlignment="1" applyProtection="1">
      <alignment vertical="center"/>
    </xf>
    <xf numFmtId="0" fontId="4" fillId="2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 wrapText="1"/>
    </xf>
    <xf numFmtId="0" fontId="0" fillId="21" borderId="0" xfId="0" applyFont="1" applyFill="1" applyAlignment="1"/>
    <xf numFmtId="0" fontId="4" fillId="0" borderId="0" xfId="0" applyFont="1" applyAlignment="1" applyProtection="1">
      <alignment vertical="center"/>
    </xf>
    <xf numFmtId="191" fontId="55" fillId="18" borderId="6" xfId="0" applyNumberFormat="1" applyFont="1" applyFill="1" applyBorder="1" applyAlignment="1" applyProtection="1">
      <alignment horizontal="left" vertical="center" wrapText="1"/>
      <protection hidden="1"/>
    </xf>
    <xf numFmtId="0" fontId="56" fillId="0" borderId="6" xfId="0" applyFont="1" applyFill="1" applyBorder="1" applyAlignment="1" applyProtection="1">
      <alignment vertical="center" wrapText="1"/>
    </xf>
    <xf numFmtId="0" fontId="57" fillId="17" borderId="6" xfId="0" applyFont="1" applyFill="1" applyBorder="1" applyAlignment="1" applyProtection="1">
      <alignment horizontal="center" vertical="center"/>
      <protection locked="0"/>
    </xf>
    <xf numFmtId="0" fontId="58" fillId="22" borderId="0" xfId="0" applyFont="1" applyFill="1" applyBorder="1" applyAlignment="1" applyProtection="1">
      <alignment horizontal="left" vertical="center"/>
      <protection hidden="1"/>
    </xf>
    <xf numFmtId="0" fontId="40" fillId="22" borderId="6" xfId="0" applyFont="1" applyFill="1" applyBorder="1" applyAlignment="1" applyProtection="1">
      <alignment horizontal="center" vertical="center"/>
      <protection locked="0"/>
    </xf>
    <xf numFmtId="0" fontId="17" fillId="22" borderId="6" xfId="0" applyFont="1" applyFill="1" applyBorder="1" applyAlignment="1" applyProtection="1">
      <alignment horizontal="center" vertical="center"/>
      <protection locked="0"/>
    </xf>
    <xf numFmtId="0" fontId="58" fillId="0" borderId="0" xfId="0" applyFont="1" applyAlignment="1">
      <alignment vertical="center" wrapText="1"/>
    </xf>
    <xf numFmtId="0" fontId="58" fillId="6" borderId="6" xfId="0" applyFont="1" applyFill="1" applyBorder="1" applyAlignment="1">
      <alignment vertical="center" wrapText="1"/>
    </xf>
    <xf numFmtId="192" fontId="57" fillId="17" borderId="6" xfId="0" applyNumberFormat="1" applyFont="1" applyFill="1" applyBorder="1" applyAlignment="1" applyProtection="1">
      <alignment horizontal="left" vertical="center"/>
      <protection hidden="1"/>
    </xf>
    <xf numFmtId="0" fontId="17" fillId="22" borderId="6" xfId="0" applyFont="1" applyFill="1" applyBorder="1" applyAlignment="1" applyProtection="1">
      <alignment horizontal="left" vertical="center"/>
      <protection hidden="1"/>
    </xf>
    <xf numFmtId="0" fontId="17" fillId="22" borderId="6" xfId="0" applyFont="1" applyFill="1" applyBorder="1" applyAlignment="1" applyProtection="1">
      <alignment horizontal="center" vertical="center"/>
      <protection hidden="1"/>
    </xf>
    <xf numFmtId="0" fontId="17" fillId="22" borderId="0" xfId="0" applyFont="1" applyFill="1" applyAlignment="1" applyProtection="1">
      <alignment horizontal="center" vertical="center"/>
      <protection hidden="1"/>
    </xf>
    <xf numFmtId="0" fontId="58" fillId="0" borderId="0" xfId="0" applyFont="1" applyAlignment="1">
      <alignment horizontal="left" vertical="center" wrapText="1"/>
    </xf>
    <xf numFmtId="0" fontId="17" fillId="23" borderId="6" xfId="0" applyFont="1" applyFill="1" applyBorder="1" applyAlignment="1" applyProtection="1">
      <alignment horizontal="center" vertical="center" wrapText="1"/>
      <protection locked="0"/>
    </xf>
    <xf numFmtId="0" fontId="17" fillId="23" borderId="6" xfId="0" applyFont="1" applyFill="1" applyBorder="1" applyAlignment="1" applyProtection="1">
      <alignment horizontal="left" vertical="center" wrapText="1"/>
      <protection hidden="1"/>
    </xf>
    <xf numFmtId="0" fontId="58" fillId="0" borderId="0" xfId="0" applyFont="1" applyProtection="1">
      <alignment vertical="center"/>
    </xf>
    <xf numFmtId="0" fontId="59" fillId="0" borderId="0" xfId="0" applyFont="1" applyAlignment="1">
      <alignment vertical="center" wrapText="1"/>
    </xf>
    <xf numFmtId="0" fontId="58" fillId="0" borderId="0" xfId="0" applyFont="1" applyAlignment="1" applyProtection="1">
      <alignment vertical="center" wrapText="1"/>
    </xf>
    <xf numFmtId="0" fontId="4" fillId="0" borderId="0" xfId="0" applyFont="1" applyAlignment="1">
      <alignment horizontal="left" vertical="center"/>
    </xf>
    <xf numFmtId="0" fontId="57" fillId="0" borderId="6" xfId="0" applyFont="1" applyFill="1" applyBorder="1" applyAlignment="1" applyProtection="1">
      <alignment horizontal="left" vertical="center" wrapText="1"/>
    </xf>
    <xf numFmtId="0" fontId="33" fillId="0" borderId="9" xfId="0" applyFont="1" applyFill="1" applyBorder="1" applyAlignment="1" applyProtection="1">
      <alignment horizontal="left" vertical="center" wrapText="1"/>
    </xf>
    <xf numFmtId="0" fontId="60" fillId="14" borderId="32" xfId="0" applyFont="1" applyFill="1" applyBorder="1" applyAlignment="1">
      <alignment horizontal="center" vertical="center" wrapText="1"/>
    </xf>
    <xf numFmtId="0" fontId="60" fillId="14" borderId="33" xfId="0" applyFont="1" applyFill="1" applyBorder="1" applyAlignment="1">
      <alignment horizontal="center" vertical="center" wrapText="1"/>
    </xf>
    <xf numFmtId="0" fontId="60" fillId="14" borderId="34" xfId="0" applyFont="1" applyFill="1" applyBorder="1" applyAlignment="1">
      <alignment horizontal="center" vertical="center" wrapText="1"/>
    </xf>
    <xf numFmtId="0" fontId="61" fillId="0" borderId="6" xfId="0" applyFont="1" applyBorder="1" applyAlignment="1">
      <alignment horizontal="center" vertical="center" wrapText="1"/>
    </xf>
    <xf numFmtId="178" fontId="62" fillId="14" borderId="32" xfId="0" applyNumberFormat="1" applyFont="1" applyFill="1" applyBorder="1" applyAlignment="1" applyProtection="1">
      <alignment horizontal="center" vertical="center"/>
    </xf>
    <xf numFmtId="0" fontId="64" fillId="0" borderId="6" xfId="0" applyFont="1" applyBorder="1" applyAlignment="1" applyProtection="1">
      <alignment vertical="center"/>
    </xf>
    <xf numFmtId="0" fontId="65" fillId="6" borderId="6" xfId="6" applyNumberFormat="1" applyFont="1" applyFill="1" applyBorder="1" applyAlignment="1">
      <alignment horizontal="center" vertical="center" wrapText="1"/>
    </xf>
    <xf numFmtId="0" fontId="57" fillId="0" borderId="6" xfId="0" applyFont="1" applyBorder="1" applyProtection="1">
      <alignment vertical="center"/>
    </xf>
    <xf numFmtId="0" fontId="57" fillId="0" borderId="9" xfId="0" applyFont="1" applyBorder="1" applyAlignment="1" applyProtection="1">
      <alignment vertical="center"/>
    </xf>
    <xf numFmtId="0" fontId="61" fillId="0" borderId="0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5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3" fillId="0" borderId="46" xfId="0" applyFont="1" applyBorder="1" applyAlignment="1" applyProtection="1">
      <alignment horizontal="center" vertical="center"/>
    </xf>
    <xf numFmtId="0" fontId="23" fillId="0" borderId="43" xfId="0" applyFont="1" applyBorder="1" applyAlignment="1" applyProtection="1">
      <alignment horizontal="center" vertical="center"/>
    </xf>
    <xf numFmtId="0" fontId="23" fillId="0" borderId="42" xfId="0" applyFont="1" applyBorder="1" applyAlignment="1" applyProtection="1">
      <alignment horizontal="center" vertical="center"/>
    </xf>
    <xf numFmtId="0" fontId="23" fillId="0" borderId="44" xfId="0" applyFont="1" applyBorder="1" applyAlignment="1" applyProtection="1">
      <alignment horizontal="center" vertical="center"/>
    </xf>
    <xf numFmtId="0" fontId="23" fillId="0" borderId="37" xfId="0" applyFont="1" applyBorder="1" applyAlignment="1" applyProtection="1">
      <alignment horizontal="center" vertical="center"/>
    </xf>
    <xf numFmtId="0" fontId="23" fillId="0" borderId="45" xfId="0" applyFont="1" applyBorder="1" applyAlignment="1" applyProtection="1">
      <alignment horizontal="center" vertical="center"/>
    </xf>
    <xf numFmtId="0" fontId="35" fillId="0" borderId="40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188" fontId="4" fillId="0" borderId="0" xfId="0" applyNumberFormat="1" applyFont="1" applyAlignment="1">
      <alignment horizontal="right" vertical="center"/>
    </xf>
    <xf numFmtId="185" fontId="2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0" fillId="14" borderId="49" xfId="0" applyFont="1" applyFill="1" applyBorder="1" applyAlignment="1">
      <alignment horizontal="center" vertical="center" wrapText="1"/>
    </xf>
    <xf numFmtId="0" fontId="60" fillId="14" borderId="50" xfId="0" applyFont="1" applyFill="1" applyBorder="1" applyAlignment="1">
      <alignment horizontal="center" vertical="center" wrapText="1"/>
    </xf>
    <xf numFmtId="0" fontId="60" fillId="14" borderId="51" xfId="0" applyFont="1" applyFill="1" applyBorder="1" applyAlignment="1">
      <alignment horizontal="center" vertical="center" wrapText="1"/>
    </xf>
    <xf numFmtId="0" fontId="60" fillId="14" borderId="52" xfId="0" applyFont="1" applyFill="1" applyBorder="1" applyAlignment="1">
      <alignment horizontal="center" vertical="center" wrapText="1"/>
    </xf>
    <xf numFmtId="0" fontId="60" fillId="14" borderId="48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179" fontId="6" fillId="0" borderId="9" xfId="2" applyNumberFormat="1" applyFont="1" applyFill="1" applyBorder="1" applyAlignment="1">
      <alignment horizontal="center" vertical="center" wrapText="1"/>
    </xf>
    <xf numFmtId="179" fontId="6" fillId="0" borderId="10" xfId="2" applyNumberFormat="1" applyFont="1" applyFill="1" applyBorder="1" applyAlignment="1">
      <alignment horizontal="center" vertical="center" wrapText="1"/>
    </xf>
    <xf numFmtId="179" fontId="6" fillId="0" borderId="12" xfId="2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78" fontId="5" fillId="6" borderId="10" xfId="0" applyNumberFormat="1" applyFont="1" applyFill="1" applyBorder="1" applyAlignment="1">
      <alignment horizontal="center" vertical="center"/>
    </xf>
    <xf numFmtId="178" fontId="5" fillId="6" borderId="15" xfId="0" applyNumberFormat="1" applyFont="1" applyFill="1" applyBorder="1" applyAlignment="1">
      <alignment horizontal="center" vertical="center"/>
    </xf>
    <xf numFmtId="179" fontId="6" fillId="7" borderId="4" xfId="2" applyNumberFormat="1" applyFont="1" applyFill="1" applyBorder="1" applyAlignment="1">
      <alignment horizontal="center" vertical="center" wrapText="1"/>
    </xf>
    <xf numFmtId="179" fontId="6" fillId="7" borderId="8" xfId="2" applyNumberFormat="1" applyFont="1" applyFill="1" applyBorder="1" applyAlignment="1">
      <alignment horizontal="center" vertical="center" wrapText="1"/>
    </xf>
    <xf numFmtId="179" fontId="6" fillId="7" borderId="11" xfId="2" applyNumberFormat="1" applyFont="1" applyFill="1" applyBorder="1" applyAlignment="1">
      <alignment horizontal="center" vertical="center" wrapText="1"/>
    </xf>
    <xf numFmtId="179" fontId="6" fillId="7" borderId="7" xfId="2" applyNumberFormat="1" applyFont="1" applyFill="1" applyBorder="1" applyAlignment="1">
      <alignment horizontal="center" vertical="center" wrapText="1"/>
    </xf>
    <xf numFmtId="179" fontId="6" fillId="0" borderId="7" xfId="2" applyNumberFormat="1" applyFont="1" applyFill="1" applyBorder="1" applyAlignment="1">
      <alignment horizontal="center" vertical="center" wrapText="1"/>
    </xf>
    <xf numFmtId="179" fontId="6" fillId="7" borderId="9" xfId="2" applyNumberFormat="1" applyFont="1" applyFill="1" applyBorder="1" applyAlignment="1">
      <alignment horizontal="center" vertical="center" wrapText="1"/>
    </xf>
    <xf numFmtId="179" fontId="6" fillId="7" borderId="10" xfId="2" applyNumberFormat="1" applyFont="1" applyFill="1" applyBorder="1" applyAlignment="1">
      <alignment horizontal="center" vertical="center" wrapText="1"/>
    </xf>
    <xf numFmtId="179" fontId="6" fillId="0" borderId="6" xfId="2" applyNumberFormat="1" applyFont="1" applyFill="1" applyBorder="1" applyAlignment="1">
      <alignment horizontal="center" vertical="center" wrapText="1"/>
    </xf>
    <xf numFmtId="178" fontId="5" fillId="6" borderId="6" xfId="0" applyNumberFormat="1" applyFont="1" applyFill="1" applyBorder="1" applyAlignment="1">
      <alignment horizontal="center" vertical="center"/>
    </xf>
    <xf numFmtId="0" fontId="5" fillId="6" borderId="19" xfId="17" applyFont="1" applyFill="1" applyBorder="1" applyAlignment="1">
      <alignment horizontal="center" vertical="center" wrapText="1"/>
    </xf>
    <xf numFmtId="0" fontId="5" fillId="6" borderId="21" xfId="17" applyFont="1" applyFill="1" applyBorder="1" applyAlignment="1">
      <alignment horizontal="center" vertical="center" wrapText="1"/>
    </xf>
    <xf numFmtId="178" fontId="5" fillId="6" borderId="9" xfId="0" applyNumberFormat="1" applyFont="1" applyFill="1" applyBorder="1" applyAlignment="1">
      <alignment horizontal="center" vertical="center"/>
    </xf>
    <xf numFmtId="178" fontId="5" fillId="6" borderId="1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178" fontId="5" fillId="5" borderId="6" xfId="0" applyNumberFormat="1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63" fillId="6" borderId="17" xfId="0" applyFont="1" applyFill="1" applyBorder="1" applyAlignment="1">
      <alignment horizontal="center" vertical="center" wrapText="1"/>
    </xf>
    <xf numFmtId="0" fontId="5" fillId="6" borderId="9" xfId="17" applyFont="1" applyFill="1" applyBorder="1" applyAlignment="1">
      <alignment horizontal="center" vertical="center" wrapText="1"/>
    </xf>
    <xf numFmtId="0" fontId="5" fillId="6" borderId="10" xfId="17" applyFont="1" applyFill="1" applyBorder="1" applyAlignment="1">
      <alignment horizontal="center" vertical="center" wrapText="1"/>
    </xf>
    <xf numFmtId="0" fontId="5" fillId="6" borderId="12" xfId="17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178" fontId="5" fillId="6" borderId="9" xfId="0" applyNumberFormat="1" applyFont="1" applyFill="1" applyBorder="1" applyAlignment="1">
      <alignment horizontal="center" vertical="center" wrapText="1"/>
    </xf>
    <xf numFmtId="178" fontId="5" fillId="6" borderId="10" xfId="0" applyNumberFormat="1" applyFont="1" applyFill="1" applyBorder="1" applyAlignment="1">
      <alignment horizontal="center" vertical="center" wrapText="1"/>
    </xf>
    <xf numFmtId="178" fontId="5" fillId="6" borderId="12" xfId="0" applyNumberFormat="1" applyFont="1" applyFill="1" applyBorder="1" applyAlignment="1">
      <alignment horizontal="center" vertical="center" wrapText="1"/>
    </xf>
    <xf numFmtId="178" fontId="5" fillId="5" borderId="9" xfId="0" applyNumberFormat="1" applyFont="1" applyFill="1" applyBorder="1" applyAlignment="1">
      <alignment horizontal="center" vertical="center"/>
    </xf>
    <xf numFmtId="178" fontId="5" fillId="5" borderId="10" xfId="0" applyNumberFormat="1" applyFont="1" applyFill="1" applyBorder="1" applyAlignment="1">
      <alignment horizontal="center" vertical="center"/>
    </xf>
    <xf numFmtId="178" fontId="5" fillId="5" borderId="12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8">
    <cellStyle name="0,0_x000d__x000a_NA_x000d__x000a_" xfId="2" xr:uid="{00000000-0005-0000-0000-000031000000}"/>
    <cellStyle name="0,0_x000d__x000a_NA_x000d__x000a_ 2" xfId="3" xr:uid="{00000000-0005-0000-0000-000032000000}"/>
    <cellStyle name="Normal_表4甲" xfId="4" xr:uid="{00000000-0005-0000-0000-000033000000}"/>
    <cellStyle name="百分比 2" xfId="5" xr:uid="{00000000-0005-0000-0000-000034000000}"/>
    <cellStyle name="常规" xfId="0" builtinId="0"/>
    <cellStyle name="常规 2" xfId="6" xr:uid="{00000000-0005-0000-0000-000035000000}"/>
    <cellStyle name="常规 2 2" xfId="7" xr:uid="{00000000-0005-0000-0000-000036000000}"/>
    <cellStyle name="常规 2 2 2" xfId="8" xr:uid="{00000000-0005-0000-0000-000037000000}"/>
    <cellStyle name="常规 2 2 2 2" xfId="9" xr:uid="{00000000-0005-0000-0000-000038000000}"/>
    <cellStyle name="常规 2 3 2" xfId="10" xr:uid="{00000000-0005-0000-0000-000039000000}"/>
    <cellStyle name="常规 3" xfId="11" xr:uid="{00000000-0005-0000-0000-00003A000000}"/>
    <cellStyle name="常规 4" xfId="12" xr:uid="{00000000-0005-0000-0000-00003B000000}"/>
    <cellStyle name="常规 4 2" xfId="13" xr:uid="{00000000-0005-0000-0000-00003C000000}"/>
    <cellStyle name="常规 5" xfId="14" xr:uid="{00000000-0005-0000-0000-00003D000000}"/>
    <cellStyle name="常规 9 2" xfId="15" xr:uid="{00000000-0005-0000-0000-00003E000000}"/>
    <cellStyle name="常规 9 2 2" xfId="16" xr:uid="{00000000-0005-0000-0000-00003F000000}"/>
    <cellStyle name="常规_附件一  合同设备及价格清单" xfId="17" xr:uid="{00000000-0005-0000-0000-000040000000}"/>
    <cellStyle name="千位分隔" xfId="1" builtinId="3"/>
  </cellStyles>
  <dxfs count="1">
    <dxf>
      <font>
        <color theme="0" tint="-0.24994659260841701"/>
      </font>
    </dxf>
  </dxfs>
  <tableStyles count="0" defaultTableStyle="TableStyleMedium2" defaultPivotStyle="PivotStyleLight16"/>
  <colors>
    <mruColors>
      <color rgb="FFFF0000"/>
      <color rgb="FFF2DCDB"/>
      <color rgb="FFC5D9F1"/>
      <color rgb="FFFF674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www.wps.cn/officeDocument/2020/cellImage" Target="cellimag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20-477D-BB5E-A508585C4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20-477D-BB5E-A508585C4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20-477D-BB5E-A508585C4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20-477D-BB5E-A508585C41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'3-投资简表'!$J$3:$J$6</c:f>
              <c:strCache>
                <c:ptCount val="4"/>
                <c:pt idx="0">
                  <c:v>智算服务器</c:v>
                </c:pt>
                <c:pt idx="1">
                  <c:v>通算服务器</c:v>
                </c:pt>
                <c:pt idx="2">
                  <c:v>网络及安全设备</c:v>
                </c:pt>
                <c:pt idx="3">
                  <c:v>其他费用</c:v>
                </c:pt>
              </c:strCache>
            </c:strRef>
          </c:cat>
          <c:val>
            <c:numRef>
              <c:f>'3-投资简表'!$L$3:$L$6</c:f>
              <c:numCache>
                <c:formatCode>0%</c:formatCode>
                <c:ptCount val="4"/>
                <c:pt idx="0">
                  <c:v>0.79142761942942708</c:v>
                </c:pt>
                <c:pt idx="1">
                  <c:v>5.2922211633578712E-3</c:v>
                </c:pt>
                <c:pt idx="2">
                  <c:v>0.11950845142660042</c:v>
                </c:pt>
                <c:pt idx="3">
                  <c:v>8.3771707980614493E-2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20-477D-BB5E-A508585C41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9823a1-742c-482f-b9fb-5b678743dd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26505</xdr:colOff>
      <xdr:row>7</xdr:row>
      <xdr:rowOff>205410</xdr:rowOff>
    </xdr:from>
    <xdr:to>
      <xdr:col>14</xdr:col>
      <xdr:colOff>377688</xdr:colOff>
      <xdr:row>16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572131</xdr:colOff>
      <xdr:row>29</xdr:row>
      <xdr:rowOff>126589</xdr:rowOff>
    </xdr:from>
    <xdr:to>
      <xdr:col>10</xdr:col>
      <xdr:colOff>671350</xdr:colOff>
      <xdr:row>32</xdr:row>
      <xdr:rowOff>214564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7180749" y="7677316"/>
          <a:ext cx="833510" cy="877684"/>
          <a:chOff x="40516" y="1441"/>
          <a:chExt cx="1326" cy="1312"/>
        </a:xfrm>
      </xdr:grpSpPr>
      <xdr:pic>
        <xdr:nvPicPr>
          <xdr:cNvPr id="11" name="图片 10" descr="汇聚交换机.png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40516" y="1441"/>
            <a:ext cx="1327" cy="1312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grpSp>
        <xdr:nvGrpSpPr>
          <xdr:cNvPr id="12" name="组合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GrpSpPr/>
        </xdr:nvGrpSpPr>
        <xdr:grpSpPr>
          <a:xfrm>
            <a:off x="40584" y="1508"/>
            <a:ext cx="1187" cy="984"/>
            <a:chOff x="40584" y="1509"/>
            <a:chExt cx="1188" cy="983"/>
          </a:xfrm>
        </xdr:grpSpPr>
        <xdr:sp macro="" textlink="">
          <xdr:nvSpPr>
            <xdr:cNvPr id="13" name="圆角矩形 7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/>
          </xdr:nvSpPr>
          <xdr:spPr>
            <a:xfrm>
              <a:off x="40584" y="1509"/>
              <a:ext cx="1189" cy="591"/>
            </a:xfrm>
            <a:prstGeom prst="roundRect">
              <a:avLst/>
            </a:prstGeom>
            <a:noFill/>
            <a:ln w="0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1262AA"/>
                  </a:solidFill>
                </a14:hiddenFill>
              </a:ext>
            </a:extLst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 macro="" textlink="">
          <xdr:nvSpPr>
            <xdr:cNvPr id="14" name="圆角矩形 8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/>
          </xdr:nvSpPr>
          <xdr:spPr>
            <a:xfrm>
              <a:off x="40584" y="2096"/>
              <a:ext cx="1184" cy="397"/>
            </a:xfrm>
            <a:prstGeom prst="roundRect">
              <a:avLst/>
            </a:prstGeom>
            <a:noFill/>
            <a:ln w="0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1262AA"/>
                  </a:solidFill>
                </a14:hiddenFill>
              </a:ext>
            </a:extLst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6</xdr:col>
      <xdr:colOff>273206</xdr:colOff>
      <xdr:row>29</xdr:row>
      <xdr:rowOff>126589</xdr:rowOff>
    </xdr:from>
    <xdr:to>
      <xdr:col>7</xdr:col>
      <xdr:colOff>372425</xdr:colOff>
      <xdr:row>32</xdr:row>
      <xdr:rowOff>214564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4678951" y="7677316"/>
          <a:ext cx="833510" cy="877684"/>
          <a:chOff x="36539" y="1441"/>
          <a:chExt cx="1326" cy="1312"/>
        </a:xfrm>
      </xdr:grpSpPr>
      <xdr:pic>
        <xdr:nvPicPr>
          <xdr:cNvPr id="7" name="图片 6" descr="汇聚交换机.png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36539" y="1441"/>
            <a:ext cx="1326" cy="1312"/>
          </a:xfrm>
          <a:prstGeom prst="rect">
            <a:avLst/>
          </a:prstGeom>
        </xdr:spPr>
      </xdr:pic>
      <xdr:grpSp>
        <xdr:nvGrpSpPr>
          <xdr:cNvPr id="8" name="组合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GrpSpPr/>
        </xdr:nvGrpSpPr>
        <xdr:grpSpPr>
          <a:xfrm>
            <a:off x="36607" y="1505"/>
            <a:ext cx="1187" cy="985"/>
            <a:chOff x="36607" y="1506"/>
            <a:chExt cx="1188" cy="984"/>
          </a:xfrm>
        </xdr:grpSpPr>
        <xdr:sp macro="" textlink="">
          <xdr:nvSpPr>
            <xdr:cNvPr id="9" name="圆角矩形 12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/>
          </xdr:nvSpPr>
          <xdr:spPr>
            <a:xfrm>
              <a:off x="36607" y="1506"/>
              <a:ext cx="1188" cy="591"/>
            </a:xfrm>
            <a:prstGeom prst="roundRect">
              <a:avLst/>
            </a:prstGeom>
            <a:noFill/>
            <a:ln w="0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1262AA"/>
                  </a:solidFill>
                </a14:hiddenFill>
              </a:ext>
            </a:extLst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 macro="" textlink="">
          <xdr:nvSpPr>
            <xdr:cNvPr id="10" name="圆角矩形 13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/>
          </xdr:nvSpPr>
          <xdr:spPr>
            <a:xfrm>
              <a:off x="36607" y="2094"/>
              <a:ext cx="1183" cy="397"/>
            </a:xfrm>
            <a:prstGeom prst="roundRect">
              <a:avLst/>
            </a:prstGeom>
            <a:noFill/>
            <a:ln w="0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1262AA"/>
                  </a:solidFill>
                </a14:hiddenFill>
              </a:ext>
            </a:extLst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5</xdr:col>
      <xdr:colOff>188595</xdr:colOff>
      <xdr:row>1</xdr:row>
      <xdr:rowOff>0</xdr:rowOff>
    </xdr:from>
    <xdr:to>
      <xdr:col>6</xdr:col>
      <xdr:colOff>290195</xdr:colOff>
      <xdr:row>4</xdr:row>
      <xdr:rowOff>38735</xdr:rowOff>
    </xdr:to>
    <xdr:pic>
      <xdr:nvPicPr>
        <xdr:cNvPr id="15" name="图片 14" descr="汇聚交换机.png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54145" y="177800"/>
          <a:ext cx="854710" cy="838835"/>
        </a:xfrm>
        <a:prstGeom prst="rect">
          <a:avLst/>
        </a:prstGeom>
      </xdr:spPr>
    </xdr:pic>
    <xdr:clientData/>
  </xdr:twoCellAnchor>
  <xdr:twoCellAnchor>
    <xdr:from>
      <xdr:col>8</xdr:col>
      <xdr:colOff>342900</xdr:colOff>
      <xdr:row>1</xdr:row>
      <xdr:rowOff>0</xdr:rowOff>
    </xdr:from>
    <xdr:to>
      <xdr:col>9</xdr:col>
      <xdr:colOff>443865</xdr:colOff>
      <xdr:row>4</xdr:row>
      <xdr:rowOff>38735</xdr:rowOff>
    </xdr:to>
    <xdr:pic>
      <xdr:nvPicPr>
        <xdr:cNvPr id="16" name="图片 15" descr="汇聚交换机.pn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67780" y="177800"/>
          <a:ext cx="854075" cy="838835"/>
        </a:xfrm>
        <a:prstGeom prst="rect">
          <a:avLst/>
        </a:prstGeom>
      </xdr:spPr>
    </xdr:pic>
    <xdr:clientData/>
  </xdr:twoCellAnchor>
  <xdr:twoCellAnchor>
    <xdr:from>
      <xdr:col>11</xdr:col>
      <xdr:colOff>496570</xdr:colOff>
      <xdr:row>1</xdr:row>
      <xdr:rowOff>0</xdr:rowOff>
    </xdr:from>
    <xdr:to>
      <xdr:col>12</xdr:col>
      <xdr:colOff>598805</xdr:colOff>
      <xdr:row>4</xdr:row>
      <xdr:rowOff>38735</xdr:rowOff>
    </xdr:to>
    <xdr:pic>
      <xdr:nvPicPr>
        <xdr:cNvPr id="17" name="图片 16" descr="汇聚交换机.png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80780" y="177800"/>
          <a:ext cx="855345" cy="838835"/>
        </a:xfrm>
        <a:prstGeom prst="rect">
          <a:avLst/>
        </a:prstGeom>
      </xdr:spPr>
    </xdr:pic>
    <xdr:clientData/>
  </xdr:twoCellAnchor>
  <xdr:twoCellAnchor>
    <xdr:from>
      <xdr:col>14</xdr:col>
      <xdr:colOff>652145</xdr:colOff>
      <xdr:row>1</xdr:row>
      <xdr:rowOff>0</xdr:rowOff>
    </xdr:from>
    <xdr:to>
      <xdr:col>15</xdr:col>
      <xdr:colOff>753110</xdr:colOff>
      <xdr:row>4</xdr:row>
      <xdr:rowOff>38735</xdr:rowOff>
    </xdr:to>
    <xdr:pic>
      <xdr:nvPicPr>
        <xdr:cNvPr id="18" name="图片 17" descr="汇聚交换机.png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95685" y="177800"/>
          <a:ext cx="854075" cy="838835"/>
        </a:xfrm>
        <a:prstGeom prst="rect">
          <a:avLst/>
        </a:prstGeom>
      </xdr:spPr>
    </xdr:pic>
    <xdr:clientData/>
  </xdr:twoCellAnchor>
  <xdr:twoCellAnchor>
    <xdr:from>
      <xdr:col>2</xdr:col>
      <xdr:colOff>19685</xdr:colOff>
      <xdr:row>12</xdr:row>
      <xdr:rowOff>75565</xdr:rowOff>
    </xdr:from>
    <xdr:to>
      <xdr:col>3</xdr:col>
      <xdr:colOff>0</xdr:colOff>
      <xdr:row>13</xdr:row>
      <xdr:rowOff>205105</xdr:rowOff>
    </xdr:to>
    <xdr:pic>
      <xdr:nvPicPr>
        <xdr:cNvPr id="19" name="图片 18" descr="接入交换机.png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5905" y="3187065"/>
          <a:ext cx="733425" cy="396240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12</xdr:row>
      <xdr:rowOff>75565</xdr:rowOff>
    </xdr:from>
    <xdr:to>
      <xdr:col>5</xdr:col>
      <xdr:colOff>0</xdr:colOff>
      <xdr:row>13</xdr:row>
      <xdr:rowOff>205105</xdr:rowOff>
    </xdr:to>
    <xdr:pic>
      <xdr:nvPicPr>
        <xdr:cNvPr id="20" name="图片 19" descr="接入交换机.png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31490" y="3187065"/>
          <a:ext cx="734060" cy="396240"/>
        </a:xfrm>
        <a:prstGeom prst="rect">
          <a:avLst/>
        </a:prstGeom>
      </xdr:spPr>
    </xdr:pic>
    <xdr:clientData/>
  </xdr:twoCellAnchor>
  <xdr:twoCellAnchor>
    <xdr:from>
      <xdr:col>7</xdr:col>
      <xdr:colOff>17780</xdr:colOff>
      <xdr:row>12</xdr:row>
      <xdr:rowOff>75565</xdr:rowOff>
    </xdr:from>
    <xdr:to>
      <xdr:col>8</xdr:col>
      <xdr:colOff>0</xdr:colOff>
      <xdr:row>13</xdr:row>
      <xdr:rowOff>205105</xdr:rowOff>
    </xdr:to>
    <xdr:pic>
      <xdr:nvPicPr>
        <xdr:cNvPr id="21" name="图片 20" descr="接入交换机.png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89550" y="3187065"/>
          <a:ext cx="735330" cy="396240"/>
        </a:xfrm>
        <a:prstGeom prst="rect">
          <a:avLst/>
        </a:prstGeom>
      </xdr:spPr>
    </xdr:pic>
    <xdr:clientData/>
  </xdr:twoCellAnchor>
  <xdr:twoCellAnchor>
    <xdr:from>
      <xdr:col>9</xdr:col>
      <xdr:colOff>15875</xdr:colOff>
      <xdr:row>12</xdr:row>
      <xdr:rowOff>75565</xdr:rowOff>
    </xdr:from>
    <xdr:to>
      <xdr:col>9</xdr:col>
      <xdr:colOff>735965</xdr:colOff>
      <xdr:row>13</xdr:row>
      <xdr:rowOff>205105</xdr:rowOff>
    </xdr:to>
    <xdr:pic>
      <xdr:nvPicPr>
        <xdr:cNvPr id="22" name="图片 21" descr="接入交换机.png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93865" y="3187065"/>
          <a:ext cx="720090" cy="396240"/>
        </a:xfrm>
        <a:prstGeom prst="rect">
          <a:avLst/>
        </a:prstGeom>
      </xdr:spPr>
    </xdr:pic>
    <xdr:clientData/>
  </xdr:twoCellAnchor>
  <xdr:twoCellAnchor>
    <xdr:from>
      <xdr:col>12</xdr:col>
      <xdr:colOff>29210</xdr:colOff>
      <xdr:row>12</xdr:row>
      <xdr:rowOff>75565</xdr:rowOff>
    </xdr:from>
    <xdr:to>
      <xdr:col>13</xdr:col>
      <xdr:colOff>10160</xdr:colOff>
      <xdr:row>13</xdr:row>
      <xdr:rowOff>205105</xdr:rowOff>
    </xdr:to>
    <xdr:pic>
      <xdr:nvPicPr>
        <xdr:cNvPr id="23" name="图片 22" descr="接入交换机.png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66530" y="3187065"/>
          <a:ext cx="734060" cy="396240"/>
        </a:xfrm>
        <a:prstGeom prst="rect">
          <a:avLst/>
        </a:prstGeom>
      </xdr:spPr>
    </xdr:pic>
    <xdr:clientData/>
  </xdr:twoCellAnchor>
  <xdr:twoCellAnchor>
    <xdr:from>
      <xdr:col>14</xdr:col>
      <xdr:colOff>29210</xdr:colOff>
      <xdr:row>12</xdr:row>
      <xdr:rowOff>75565</xdr:rowOff>
    </xdr:from>
    <xdr:to>
      <xdr:col>15</xdr:col>
      <xdr:colOff>10160</xdr:colOff>
      <xdr:row>13</xdr:row>
      <xdr:rowOff>205105</xdr:rowOff>
    </xdr:to>
    <xdr:pic>
      <xdr:nvPicPr>
        <xdr:cNvPr id="24" name="图片 23" descr="接入交换机.png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72750" y="3187065"/>
          <a:ext cx="734060" cy="396240"/>
        </a:xfrm>
        <a:prstGeom prst="rect">
          <a:avLst/>
        </a:prstGeom>
      </xdr:spPr>
    </xdr:pic>
    <xdr:clientData/>
  </xdr:twoCellAnchor>
  <xdr:twoCellAnchor>
    <xdr:from>
      <xdr:col>17</xdr:col>
      <xdr:colOff>24765</xdr:colOff>
      <xdr:row>12</xdr:row>
      <xdr:rowOff>75565</xdr:rowOff>
    </xdr:from>
    <xdr:to>
      <xdr:col>18</xdr:col>
      <xdr:colOff>3175</xdr:colOff>
      <xdr:row>13</xdr:row>
      <xdr:rowOff>204470</xdr:rowOff>
    </xdr:to>
    <xdr:pic>
      <xdr:nvPicPr>
        <xdr:cNvPr id="25" name="图片 24" descr="接入交换机.png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827635" y="3187065"/>
          <a:ext cx="731520" cy="395605"/>
        </a:xfrm>
        <a:prstGeom prst="rect">
          <a:avLst/>
        </a:prstGeom>
      </xdr:spPr>
    </xdr:pic>
    <xdr:clientData/>
  </xdr:twoCellAnchor>
  <xdr:twoCellAnchor>
    <xdr:from>
      <xdr:col>2</xdr:col>
      <xdr:colOff>212725</xdr:colOff>
      <xdr:row>15</xdr:row>
      <xdr:rowOff>219075</xdr:rowOff>
    </xdr:from>
    <xdr:to>
      <xdr:col>2</xdr:col>
      <xdr:colOff>537210</xdr:colOff>
      <xdr:row>18</xdr:row>
      <xdr:rowOff>132715</xdr:rowOff>
    </xdr:to>
    <xdr:pic>
      <xdr:nvPicPr>
        <xdr:cNvPr id="26" name="图片 25" descr="交换机.png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1718945" y="4130675"/>
          <a:ext cx="324485" cy="713740"/>
        </a:xfrm>
        <a:prstGeom prst="rect">
          <a:avLst/>
        </a:prstGeom>
        <a:solidFill>
          <a:schemeClr val="accent6"/>
        </a:solidFill>
      </xdr:spPr>
    </xdr:pic>
    <xdr:clientData/>
  </xdr:twoCellAnchor>
  <xdr:twoCellAnchor>
    <xdr:from>
      <xdr:col>3</xdr:col>
      <xdr:colOff>213995</xdr:colOff>
      <xdr:row>15</xdr:row>
      <xdr:rowOff>219075</xdr:rowOff>
    </xdr:from>
    <xdr:to>
      <xdr:col>3</xdr:col>
      <xdr:colOff>537845</xdr:colOff>
      <xdr:row>18</xdr:row>
      <xdr:rowOff>132715</xdr:rowOff>
    </xdr:to>
    <xdr:pic>
      <xdr:nvPicPr>
        <xdr:cNvPr id="27" name="图片 26" descr="交换机.png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2473325" y="4130675"/>
          <a:ext cx="323850" cy="713740"/>
        </a:xfrm>
        <a:prstGeom prst="rect">
          <a:avLst/>
        </a:prstGeom>
      </xdr:spPr>
    </xdr:pic>
    <xdr:clientData/>
  </xdr:twoCellAnchor>
  <xdr:twoCellAnchor>
    <xdr:from>
      <xdr:col>8</xdr:col>
      <xdr:colOff>227420</xdr:colOff>
      <xdr:row>15</xdr:row>
      <xdr:rowOff>240847</xdr:rowOff>
    </xdr:from>
    <xdr:to>
      <xdr:col>8</xdr:col>
      <xdr:colOff>551270</xdr:colOff>
      <xdr:row>18</xdr:row>
      <xdr:rowOff>154487</xdr:rowOff>
    </xdr:to>
    <xdr:pic>
      <xdr:nvPicPr>
        <xdr:cNvPr id="29" name="图片 28" descr="交换机.png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6252210" y="4152265"/>
          <a:ext cx="323850" cy="713740"/>
        </a:xfrm>
        <a:prstGeom prst="rect">
          <a:avLst/>
        </a:prstGeom>
      </xdr:spPr>
    </xdr:pic>
    <xdr:clientData/>
  </xdr:twoCellAnchor>
  <xdr:twoCellAnchor>
    <xdr:from>
      <xdr:col>8</xdr:col>
      <xdr:colOff>630192</xdr:colOff>
      <xdr:row>15</xdr:row>
      <xdr:rowOff>229961</xdr:rowOff>
    </xdr:from>
    <xdr:to>
      <xdr:col>9</xdr:col>
      <xdr:colOff>213814</xdr:colOff>
      <xdr:row>18</xdr:row>
      <xdr:rowOff>144236</xdr:rowOff>
    </xdr:to>
    <xdr:pic>
      <xdr:nvPicPr>
        <xdr:cNvPr id="30" name="图片 29" descr="交换机.png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6654800" y="4141470"/>
          <a:ext cx="336550" cy="714375"/>
        </a:xfrm>
        <a:prstGeom prst="rect">
          <a:avLst/>
        </a:prstGeom>
      </xdr:spPr>
    </xdr:pic>
    <xdr:clientData/>
  </xdr:twoCellAnchor>
  <xdr:twoCellAnchor>
    <xdr:from>
      <xdr:col>9</xdr:col>
      <xdr:colOff>304255</xdr:colOff>
      <xdr:row>15</xdr:row>
      <xdr:rowOff>219075</xdr:rowOff>
    </xdr:from>
    <xdr:to>
      <xdr:col>9</xdr:col>
      <xdr:colOff>628105</xdr:colOff>
      <xdr:row>18</xdr:row>
      <xdr:rowOff>132715</xdr:rowOff>
    </xdr:to>
    <xdr:pic>
      <xdr:nvPicPr>
        <xdr:cNvPr id="31" name="图片 30" descr="交换机.png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7082155" y="4130675"/>
          <a:ext cx="323850" cy="713740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15</xdr:row>
      <xdr:rowOff>219075</xdr:rowOff>
    </xdr:from>
    <xdr:to>
      <xdr:col>12</xdr:col>
      <xdr:colOff>542925</xdr:colOff>
      <xdr:row>18</xdr:row>
      <xdr:rowOff>133350</xdr:rowOff>
    </xdr:to>
    <xdr:pic>
      <xdr:nvPicPr>
        <xdr:cNvPr id="32" name="图片 31" descr="交换机.png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9256395" y="4130675"/>
          <a:ext cx="323850" cy="714375"/>
        </a:xfrm>
        <a:prstGeom prst="rect">
          <a:avLst/>
        </a:prstGeom>
      </xdr:spPr>
    </xdr:pic>
    <xdr:clientData/>
  </xdr:twoCellAnchor>
  <xdr:twoCellAnchor>
    <xdr:from>
      <xdr:col>13</xdr:col>
      <xdr:colOff>219075</xdr:colOff>
      <xdr:row>15</xdr:row>
      <xdr:rowOff>219075</xdr:rowOff>
    </xdr:from>
    <xdr:to>
      <xdr:col>13</xdr:col>
      <xdr:colOff>542925</xdr:colOff>
      <xdr:row>18</xdr:row>
      <xdr:rowOff>132715</xdr:rowOff>
    </xdr:to>
    <xdr:pic>
      <xdr:nvPicPr>
        <xdr:cNvPr id="33" name="图片 32" descr="交换机.png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10009505" y="4130675"/>
          <a:ext cx="323850" cy="713740"/>
        </a:xfrm>
        <a:prstGeom prst="rect">
          <a:avLst/>
        </a:prstGeom>
      </xdr:spPr>
    </xdr:pic>
    <xdr:clientData/>
  </xdr:twoCellAnchor>
  <xdr:twoCellAnchor>
    <xdr:from>
      <xdr:col>14</xdr:col>
      <xdr:colOff>219710</xdr:colOff>
      <xdr:row>15</xdr:row>
      <xdr:rowOff>219075</xdr:rowOff>
    </xdr:from>
    <xdr:to>
      <xdr:col>14</xdr:col>
      <xdr:colOff>544195</xdr:colOff>
      <xdr:row>18</xdr:row>
      <xdr:rowOff>132715</xdr:rowOff>
    </xdr:to>
    <xdr:pic>
      <xdr:nvPicPr>
        <xdr:cNvPr id="34" name="图片 33" descr="交换机.png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10763250" y="4130675"/>
          <a:ext cx="324485" cy="713740"/>
        </a:xfrm>
        <a:prstGeom prst="rect">
          <a:avLst/>
        </a:prstGeom>
        <a:solidFill>
          <a:schemeClr val="accent6"/>
        </a:solidFill>
      </xdr:spPr>
    </xdr:pic>
    <xdr:clientData/>
  </xdr:twoCellAnchor>
  <xdr:twoCellAnchor>
    <xdr:from>
      <xdr:col>17</xdr:col>
      <xdr:colOff>221615</xdr:colOff>
      <xdr:row>15</xdr:row>
      <xdr:rowOff>219075</xdr:rowOff>
    </xdr:from>
    <xdr:to>
      <xdr:col>17</xdr:col>
      <xdr:colOff>545465</xdr:colOff>
      <xdr:row>18</xdr:row>
      <xdr:rowOff>132715</xdr:rowOff>
    </xdr:to>
    <xdr:pic>
      <xdr:nvPicPr>
        <xdr:cNvPr id="35" name="图片 34" descr="交换机.png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13024485" y="4130675"/>
          <a:ext cx="323850" cy="713740"/>
        </a:xfrm>
        <a:prstGeom prst="rect">
          <a:avLst/>
        </a:prstGeom>
      </xdr:spPr>
    </xdr:pic>
    <xdr:clientData/>
  </xdr:twoCellAnchor>
  <xdr:twoCellAnchor>
    <xdr:from>
      <xdr:col>18</xdr:col>
      <xdr:colOff>222250</xdr:colOff>
      <xdr:row>15</xdr:row>
      <xdr:rowOff>219075</xdr:rowOff>
    </xdr:from>
    <xdr:to>
      <xdr:col>18</xdr:col>
      <xdr:colOff>546735</xdr:colOff>
      <xdr:row>18</xdr:row>
      <xdr:rowOff>132715</xdr:rowOff>
    </xdr:to>
    <xdr:pic>
      <xdr:nvPicPr>
        <xdr:cNvPr id="36" name="图片 35" descr="交换机.png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13778230" y="4130675"/>
          <a:ext cx="324485" cy="713740"/>
        </a:xfrm>
        <a:prstGeom prst="rect">
          <a:avLst/>
        </a:prstGeom>
        <a:solidFill>
          <a:schemeClr val="accent6"/>
        </a:solidFill>
      </xdr:spPr>
    </xdr:pic>
    <xdr:clientData/>
  </xdr:twoCellAnchor>
  <xdr:twoCellAnchor>
    <xdr:from>
      <xdr:col>19</xdr:col>
      <xdr:colOff>222885</xdr:colOff>
      <xdr:row>15</xdr:row>
      <xdr:rowOff>219075</xdr:rowOff>
    </xdr:from>
    <xdr:to>
      <xdr:col>19</xdr:col>
      <xdr:colOff>546735</xdr:colOff>
      <xdr:row>18</xdr:row>
      <xdr:rowOff>132715</xdr:rowOff>
    </xdr:to>
    <xdr:pic>
      <xdr:nvPicPr>
        <xdr:cNvPr id="37" name="图片 36" descr="交换机.png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14531975" y="4130675"/>
          <a:ext cx="323850" cy="713740"/>
        </a:xfrm>
        <a:prstGeom prst="rect">
          <a:avLst/>
        </a:prstGeom>
      </xdr:spPr>
    </xdr:pic>
    <xdr:clientData/>
  </xdr:twoCellAnchor>
  <xdr:twoCellAnchor>
    <xdr:from>
      <xdr:col>2</xdr:col>
      <xdr:colOff>379730</xdr:colOff>
      <xdr:row>4</xdr:row>
      <xdr:rowOff>38735</xdr:rowOff>
    </xdr:from>
    <xdr:to>
      <xdr:col>5</xdr:col>
      <xdr:colOff>608965</xdr:colOff>
      <xdr:row>12</xdr:row>
      <xdr:rowOff>75565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1885950" y="1016635"/>
          <a:ext cx="248856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379730</xdr:colOff>
      <xdr:row>4</xdr:row>
      <xdr:rowOff>38735</xdr:rowOff>
    </xdr:from>
    <xdr:to>
      <xdr:col>9</xdr:col>
      <xdr:colOff>24130</xdr:colOff>
      <xdr:row>12</xdr:row>
      <xdr:rowOff>75565</xdr:rowOff>
    </xdr:to>
    <xdr:cxnSp macro="">
      <xdr:nvCxnSpPr>
        <xdr:cNvPr id="39" name="直接连接符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CxnSpPr>
          <a:stCxn id="16" idx="2"/>
          <a:endCxn id="19" idx="0"/>
        </xdr:cNvCxnSpPr>
      </xdr:nvCxnSpPr>
      <xdr:spPr>
        <a:xfrm flipH="1">
          <a:off x="1885950" y="1016635"/>
          <a:ext cx="491617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379730</xdr:colOff>
      <xdr:row>4</xdr:row>
      <xdr:rowOff>38735</xdr:rowOff>
    </xdr:from>
    <xdr:to>
      <xdr:col>12</xdr:col>
      <xdr:colOff>178435</xdr:colOff>
      <xdr:row>12</xdr:row>
      <xdr:rowOff>75565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CxnSpPr>
          <a:stCxn id="17" idx="2"/>
          <a:endCxn id="19" idx="0"/>
        </xdr:cNvCxnSpPr>
      </xdr:nvCxnSpPr>
      <xdr:spPr>
        <a:xfrm flipH="1">
          <a:off x="1885950" y="1016635"/>
          <a:ext cx="732980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379730</xdr:colOff>
      <xdr:row>4</xdr:row>
      <xdr:rowOff>38735</xdr:rowOff>
    </xdr:from>
    <xdr:to>
      <xdr:col>15</xdr:col>
      <xdr:colOff>326390</xdr:colOff>
      <xdr:row>12</xdr:row>
      <xdr:rowOff>75565</xdr:rowOff>
    </xdr:to>
    <xdr:cxnSp macro="">
      <xdr:nvCxnSpPr>
        <xdr:cNvPr id="41" name="直接连接符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>
          <a:stCxn id="18" idx="2"/>
          <a:endCxn id="19" idx="0"/>
        </xdr:cNvCxnSpPr>
      </xdr:nvCxnSpPr>
      <xdr:spPr>
        <a:xfrm flipH="1">
          <a:off x="1885950" y="1016635"/>
          <a:ext cx="973709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379095</xdr:colOff>
      <xdr:row>4</xdr:row>
      <xdr:rowOff>38735</xdr:rowOff>
    </xdr:from>
    <xdr:to>
      <xdr:col>5</xdr:col>
      <xdr:colOff>608965</xdr:colOff>
      <xdr:row>12</xdr:row>
      <xdr:rowOff>75565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stCxn id="15" idx="2"/>
          <a:endCxn id="20" idx="0"/>
        </xdr:cNvCxnSpPr>
      </xdr:nvCxnSpPr>
      <xdr:spPr>
        <a:xfrm flipH="1">
          <a:off x="3391535" y="1016635"/>
          <a:ext cx="98298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608965</xdr:colOff>
      <xdr:row>4</xdr:row>
      <xdr:rowOff>38735</xdr:rowOff>
    </xdr:from>
    <xdr:to>
      <xdr:col>7</xdr:col>
      <xdr:colOff>378460</xdr:colOff>
      <xdr:row>12</xdr:row>
      <xdr:rowOff>75565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CxnSpPr>
          <a:stCxn id="15" idx="2"/>
          <a:endCxn id="21" idx="0"/>
        </xdr:cNvCxnSpPr>
      </xdr:nvCxnSpPr>
      <xdr:spPr>
        <a:xfrm>
          <a:off x="4374515" y="1016635"/>
          <a:ext cx="127571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608965</xdr:colOff>
      <xdr:row>4</xdr:row>
      <xdr:rowOff>38735</xdr:rowOff>
    </xdr:from>
    <xdr:to>
      <xdr:col>9</xdr:col>
      <xdr:colOff>375920</xdr:colOff>
      <xdr:row>12</xdr:row>
      <xdr:rowOff>75565</xdr:rowOff>
    </xdr:to>
    <xdr:cxnSp macro="">
      <xdr:nvCxnSpPr>
        <xdr:cNvPr id="44" name="直接连接符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CxnSpPr>
          <a:stCxn id="15" idx="2"/>
          <a:endCxn id="22" idx="0"/>
        </xdr:cNvCxnSpPr>
      </xdr:nvCxnSpPr>
      <xdr:spPr>
        <a:xfrm>
          <a:off x="4374515" y="1016635"/>
          <a:ext cx="277939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608965</xdr:colOff>
      <xdr:row>4</xdr:row>
      <xdr:rowOff>38735</xdr:rowOff>
    </xdr:from>
    <xdr:to>
      <xdr:col>12</xdr:col>
      <xdr:colOff>389255</xdr:colOff>
      <xdr:row>12</xdr:row>
      <xdr:rowOff>75565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>
          <a:stCxn id="15" idx="2"/>
          <a:endCxn id="23" idx="0"/>
        </xdr:cNvCxnSpPr>
      </xdr:nvCxnSpPr>
      <xdr:spPr>
        <a:xfrm>
          <a:off x="4374515" y="1016635"/>
          <a:ext cx="505206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608965</xdr:colOff>
      <xdr:row>4</xdr:row>
      <xdr:rowOff>38735</xdr:rowOff>
    </xdr:from>
    <xdr:to>
      <xdr:col>14</xdr:col>
      <xdr:colOff>389255</xdr:colOff>
      <xdr:row>12</xdr:row>
      <xdr:rowOff>75565</xdr:rowOff>
    </xdr:to>
    <xdr:cxnSp macro="">
      <xdr:nvCxnSpPr>
        <xdr:cNvPr id="46" name="直接连接符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stCxn id="15" idx="2"/>
          <a:endCxn id="24" idx="0"/>
        </xdr:cNvCxnSpPr>
      </xdr:nvCxnSpPr>
      <xdr:spPr>
        <a:xfrm>
          <a:off x="4374515" y="1016635"/>
          <a:ext cx="655828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608965</xdr:colOff>
      <xdr:row>4</xdr:row>
      <xdr:rowOff>38735</xdr:rowOff>
    </xdr:from>
    <xdr:to>
      <xdr:col>17</xdr:col>
      <xdr:colOff>383540</xdr:colOff>
      <xdr:row>12</xdr:row>
      <xdr:rowOff>75565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stCxn id="15" idx="2"/>
          <a:endCxn id="25" idx="0"/>
        </xdr:cNvCxnSpPr>
      </xdr:nvCxnSpPr>
      <xdr:spPr>
        <a:xfrm>
          <a:off x="4374515" y="1016635"/>
          <a:ext cx="881189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378460</xdr:colOff>
      <xdr:row>4</xdr:row>
      <xdr:rowOff>38735</xdr:rowOff>
    </xdr:from>
    <xdr:to>
      <xdr:col>9</xdr:col>
      <xdr:colOff>24130</xdr:colOff>
      <xdr:row>12</xdr:row>
      <xdr:rowOff>75565</xdr:rowOff>
    </xdr:to>
    <xdr:cxnSp macro="">
      <xdr:nvCxnSpPr>
        <xdr:cNvPr id="48" name="直接连接符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stCxn id="16" idx="2"/>
          <a:endCxn id="21" idx="0"/>
        </xdr:cNvCxnSpPr>
      </xdr:nvCxnSpPr>
      <xdr:spPr>
        <a:xfrm flipH="1">
          <a:off x="5650230" y="1016635"/>
          <a:ext cx="115189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24130</xdr:colOff>
      <xdr:row>4</xdr:row>
      <xdr:rowOff>38735</xdr:rowOff>
    </xdr:from>
    <xdr:to>
      <xdr:col>9</xdr:col>
      <xdr:colOff>375920</xdr:colOff>
      <xdr:row>12</xdr:row>
      <xdr:rowOff>75565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>
          <a:stCxn id="16" idx="2"/>
          <a:endCxn id="22" idx="0"/>
        </xdr:cNvCxnSpPr>
      </xdr:nvCxnSpPr>
      <xdr:spPr>
        <a:xfrm>
          <a:off x="6802120" y="1016635"/>
          <a:ext cx="35179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379095</xdr:colOff>
      <xdr:row>4</xdr:row>
      <xdr:rowOff>38735</xdr:rowOff>
    </xdr:from>
    <xdr:to>
      <xdr:col>9</xdr:col>
      <xdr:colOff>24130</xdr:colOff>
      <xdr:row>12</xdr:row>
      <xdr:rowOff>75565</xdr:rowOff>
    </xdr:to>
    <xdr:cxnSp macro="">
      <xdr:nvCxnSpPr>
        <xdr:cNvPr id="50" name="直接连接符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CxnSpPr>
          <a:stCxn id="16" idx="2"/>
          <a:endCxn id="20" idx="0"/>
        </xdr:cNvCxnSpPr>
      </xdr:nvCxnSpPr>
      <xdr:spPr>
        <a:xfrm flipH="1">
          <a:off x="3391535" y="1016635"/>
          <a:ext cx="341058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379095</xdr:colOff>
      <xdr:row>4</xdr:row>
      <xdr:rowOff>38735</xdr:rowOff>
    </xdr:from>
    <xdr:to>
      <xdr:col>12</xdr:col>
      <xdr:colOff>178435</xdr:colOff>
      <xdr:row>12</xdr:row>
      <xdr:rowOff>75565</xdr:rowOff>
    </xdr:to>
    <xdr:cxnSp macro="">
      <xdr:nvCxnSpPr>
        <xdr:cNvPr id="51" name="直接连接符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>
          <a:stCxn id="17" idx="2"/>
          <a:endCxn id="20" idx="0"/>
        </xdr:cNvCxnSpPr>
      </xdr:nvCxnSpPr>
      <xdr:spPr>
        <a:xfrm flipH="1">
          <a:off x="3391535" y="1016635"/>
          <a:ext cx="582422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378460</xdr:colOff>
      <xdr:row>4</xdr:row>
      <xdr:rowOff>38735</xdr:rowOff>
    </xdr:from>
    <xdr:to>
      <xdr:col>15</xdr:col>
      <xdr:colOff>326390</xdr:colOff>
      <xdr:row>12</xdr:row>
      <xdr:rowOff>75565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>
          <a:stCxn id="18" idx="2"/>
          <a:endCxn id="21" idx="0"/>
        </xdr:cNvCxnSpPr>
      </xdr:nvCxnSpPr>
      <xdr:spPr>
        <a:xfrm flipH="1">
          <a:off x="5650230" y="1016635"/>
          <a:ext cx="597281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378460</xdr:colOff>
      <xdr:row>4</xdr:row>
      <xdr:rowOff>38735</xdr:rowOff>
    </xdr:from>
    <xdr:to>
      <xdr:col>12</xdr:col>
      <xdr:colOff>178435</xdr:colOff>
      <xdr:row>12</xdr:row>
      <xdr:rowOff>75565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stCxn id="17" idx="2"/>
          <a:endCxn id="21" idx="0"/>
        </xdr:cNvCxnSpPr>
      </xdr:nvCxnSpPr>
      <xdr:spPr>
        <a:xfrm flipH="1">
          <a:off x="5650230" y="1016635"/>
          <a:ext cx="356552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379095</xdr:colOff>
      <xdr:row>4</xdr:row>
      <xdr:rowOff>38735</xdr:rowOff>
    </xdr:from>
    <xdr:to>
      <xdr:col>15</xdr:col>
      <xdr:colOff>326390</xdr:colOff>
      <xdr:row>12</xdr:row>
      <xdr:rowOff>75565</xdr:rowOff>
    </xdr:to>
    <xdr:cxnSp macro="">
      <xdr:nvCxnSpPr>
        <xdr:cNvPr id="54" name="直接连接符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stCxn id="18" idx="2"/>
          <a:endCxn id="20" idx="0"/>
        </xdr:cNvCxnSpPr>
      </xdr:nvCxnSpPr>
      <xdr:spPr>
        <a:xfrm flipH="1">
          <a:off x="3391535" y="1016635"/>
          <a:ext cx="823150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375920</xdr:colOff>
      <xdr:row>4</xdr:row>
      <xdr:rowOff>38735</xdr:rowOff>
    </xdr:from>
    <xdr:to>
      <xdr:col>15</xdr:col>
      <xdr:colOff>326390</xdr:colOff>
      <xdr:row>12</xdr:row>
      <xdr:rowOff>75565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>
          <a:stCxn id="18" idx="2"/>
          <a:endCxn id="22" idx="0"/>
        </xdr:cNvCxnSpPr>
      </xdr:nvCxnSpPr>
      <xdr:spPr>
        <a:xfrm flipH="1">
          <a:off x="7153910" y="1016635"/>
          <a:ext cx="446913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375920</xdr:colOff>
      <xdr:row>4</xdr:row>
      <xdr:rowOff>38735</xdr:rowOff>
    </xdr:from>
    <xdr:to>
      <xdr:col>12</xdr:col>
      <xdr:colOff>178435</xdr:colOff>
      <xdr:row>12</xdr:row>
      <xdr:rowOff>75565</xdr:rowOff>
    </xdr:to>
    <xdr:cxnSp macro="">
      <xdr:nvCxnSpPr>
        <xdr:cNvPr id="56" name="直接连接符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CxnSpPr>
          <a:stCxn id="17" idx="2"/>
          <a:endCxn id="22" idx="0"/>
        </xdr:cNvCxnSpPr>
      </xdr:nvCxnSpPr>
      <xdr:spPr>
        <a:xfrm flipH="1">
          <a:off x="7153910" y="1016635"/>
          <a:ext cx="206184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178435</xdr:colOff>
      <xdr:row>4</xdr:row>
      <xdr:rowOff>38735</xdr:rowOff>
    </xdr:from>
    <xdr:to>
      <xdr:col>12</xdr:col>
      <xdr:colOff>389255</xdr:colOff>
      <xdr:row>12</xdr:row>
      <xdr:rowOff>75565</xdr:rowOff>
    </xdr:to>
    <xdr:cxnSp macro="">
      <xdr:nvCxnSpPr>
        <xdr:cNvPr id="57" name="直接连接符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>
          <a:stCxn id="17" idx="2"/>
          <a:endCxn id="23" idx="0"/>
        </xdr:cNvCxnSpPr>
      </xdr:nvCxnSpPr>
      <xdr:spPr>
        <a:xfrm>
          <a:off x="9215755" y="1016635"/>
          <a:ext cx="21082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389255</xdr:colOff>
      <xdr:row>4</xdr:row>
      <xdr:rowOff>38735</xdr:rowOff>
    </xdr:from>
    <xdr:to>
      <xdr:col>15</xdr:col>
      <xdr:colOff>326390</xdr:colOff>
      <xdr:row>12</xdr:row>
      <xdr:rowOff>75565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>
          <a:stCxn id="18" idx="2"/>
          <a:endCxn id="23" idx="0"/>
        </xdr:cNvCxnSpPr>
      </xdr:nvCxnSpPr>
      <xdr:spPr>
        <a:xfrm flipH="1">
          <a:off x="9426575" y="1016635"/>
          <a:ext cx="219646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389255</xdr:colOff>
      <xdr:row>4</xdr:row>
      <xdr:rowOff>38735</xdr:rowOff>
    </xdr:from>
    <xdr:to>
      <xdr:col>15</xdr:col>
      <xdr:colOff>326390</xdr:colOff>
      <xdr:row>12</xdr:row>
      <xdr:rowOff>75565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CxnSpPr>
          <a:stCxn id="18" idx="2"/>
          <a:endCxn id="24" idx="0"/>
        </xdr:cNvCxnSpPr>
      </xdr:nvCxnSpPr>
      <xdr:spPr>
        <a:xfrm flipH="1">
          <a:off x="10932795" y="1016635"/>
          <a:ext cx="69024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24130</xdr:colOff>
      <xdr:row>4</xdr:row>
      <xdr:rowOff>38735</xdr:rowOff>
    </xdr:from>
    <xdr:to>
      <xdr:col>12</xdr:col>
      <xdr:colOff>389255</xdr:colOff>
      <xdr:row>12</xdr:row>
      <xdr:rowOff>75565</xdr:rowOff>
    </xdr:to>
    <xdr:cxnSp macro="">
      <xdr:nvCxnSpPr>
        <xdr:cNvPr id="60" name="直接连接符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CxnSpPr>
          <a:stCxn id="16" idx="2"/>
          <a:endCxn id="23" idx="0"/>
        </xdr:cNvCxnSpPr>
      </xdr:nvCxnSpPr>
      <xdr:spPr>
        <a:xfrm>
          <a:off x="6802120" y="1016635"/>
          <a:ext cx="262445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24130</xdr:colOff>
      <xdr:row>4</xdr:row>
      <xdr:rowOff>38735</xdr:rowOff>
    </xdr:from>
    <xdr:to>
      <xdr:col>14</xdr:col>
      <xdr:colOff>389255</xdr:colOff>
      <xdr:row>12</xdr:row>
      <xdr:rowOff>75565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stCxn id="16" idx="2"/>
          <a:endCxn id="24" idx="0"/>
        </xdr:cNvCxnSpPr>
      </xdr:nvCxnSpPr>
      <xdr:spPr>
        <a:xfrm>
          <a:off x="6802120" y="1016635"/>
          <a:ext cx="413067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178435</xdr:colOff>
      <xdr:row>4</xdr:row>
      <xdr:rowOff>38735</xdr:rowOff>
    </xdr:from>
    <xdr:to>
      <xdr:col>14</xdr:col>
      <xdr:colOff>389255</xdr:colOff>
      <xdr:row>12</xdr:row>
      <xdr:rowOff>75565</xdr:rowOff>
    </xdr:to>
    <xdr:cxnSp macro="">
      <xdr:nvCxnSpPr>
        <xdr:cNvPr id="62" name="直接连接符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CxnSpPr>
          <a:stCxn id="17" idx="2"/>
          <a:endCxn id="24" idx="0"/>
        </xdr:cNvCxnSpPr>
      </xdr:nvCxnSpPr>
      <xdr:spPr>
        <a:xfrm>
          <a:off x="9215755" y="1016635"/>
          <a:ext cx="171704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326390</xdr:colOff>
      <xdr:row>4</xdr:row>
      <xdr:rowOff>38735</xdr:rowOff>
    </xdr:from>
    <xdr:to>
      <xdr:col>17</xdr:col>
      <xdr:colOff>383540</xdr:colOff>
      <xdr:row>12</xdr:row>
      <xdr:rowOff>75565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CxnSpPr>
          <a:stCxn id="18" idx="2"/>
          <a:endCxn id="25" idx="0"/>
        </xdr:cNvCxnSpPr>
      </xdr:nvCxnSpPr>
      <xdr:spPr>
        <a:xfrm>
          <a:off x="11623040" y="1016635"/>
          <a:ext cx="156337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178435</xdr:colOff>
      <xdr:row>4</xdr:row>
      <xdr:rowOff>38735</xdr:rowOff>
    </xdr:from>
    <xdr:to>
      <xdr:col>17</xdr:col>
      <xdr:colOff>383540</xdr:colOff>
      <xdr:row>12</xdr:row>
      <xdr:rowOff>75565</xdr:rowOff>
    </xdr:to>
    <xdr:cxnSp macro="">
      <xdr:nvCxnSpPr>
        <xdr:cNvPr id="64" name="直接连接符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>
          <a:stCxn id="17" idx="2"/>
          <a:endCxn id="25" idx="0"/>
        </xdr:cNvCxnSpPr>
      </xdr:nvCxnSpPr>
      <xdr:spPr>
        <a:xfrm>
          <a:off x="9215755" y="1016635"/>
          <a:ext cx="397065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24130</xdr:colOff>
      <xdr:row>4</xdr:row>
      <xdr:rowOff>38735</xdr:rowOff>
    </xdr:from>
    <xdr:to>
      <xdr:col>17</xdr:col>
      <xdr:colOff>383540</xdr:colOff>
      <xdr:row>12</xdr:row>
      <xdr:rowOff>75565</xdr:rowOff>
    </xdr:to>
    <xdr:cxnSp macro="">
      <xdr:nvCxnSpPr>
        <xdr:cNvPr id="65" name="直接连接符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>
          <a:stCxn id="16" idx="2"/>
          <a:endCxn id="25" idx="0"/>
        </xdr:cNvCxnSpPr>
      </xdr:nvCxnSpPr>
      <xdr:spPr>
        <a:xfrm>
          <a:off x="6802120" y="1016635"/>
          <a:ext cx="638429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294310</xdr:colOff>
      <xdr:row>23</xdr:row>
      <xdr:rowOff>196792</xdr:rowOff>
    </xdr:from>
    <xdr:to>
      <xdr:col>7</xdr:col>
      <xdr:colOff>280109</xdr:colOff>
      <xdr:row>25</xdr:row>
      <xdr:rowOff>59632</xdr:rowOff>
    </xdr:to>
    <xdr:pic>
      <xdr:nvPicPr>
        <xdr:cNvPr id="66" name="图片 65" descr="接入交换机.png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12665" y="6205855"/>
          <a:ext cx="739140" cy="396240"/>
        </a:xfrm>
        <a:prstGeom prst="rect">
          <a:avLst/>
        </a:prstGeom>
      </xdr:spPr>
    </xdr:pic>
    <xdr:clientData/>
  </xdr:twoCellAnchor>
  <xdr:twoCellAnchor>
    <xdr:from>
      <xdr:col>7</xdr:col>
      <xdr:colOff>729103</xdr:colOff>
      <xdr:row>23</xdr:row>
      <xdr:rowOff>164135</xdr:rowOff>
    </xdr:from>
    <xdr:to>
      <xdr:col>8</xdr:col>
      <xdr:colOff>714902</xdr:colOff>
      <xdr:row>25</xdr:row>
      <xdr:rowOff>26975</xdr:rowOff>
    </xdr:to>
    <xdr:pic>
      <xdr:nvPicPr>
        <xdr:cNvPr id="67" name="图片 66" descr="接入交换机.png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00750" y="6173470"/>
          <a:ext cx="738505" cy="396240"/>
        </a:xfrm>
        <a:prstGeom prst="rect">
          <a:avLst/>
        </a:prstGeom>
      </xdr:spPr>
    </xdr:pic>
    <xdr:clientData/>
  </xdr:twoCellAnchor>
  <xdr:twoCellAnchor>
    <xdr:from>
      <xdr:col>9</xdr:col>
      <xdr:colOff>438397</xdr:colOff>
      <xdr:row>23</xdr:row>
      <xdr:rowOff>156219</xdr:rowOff>
    </xdr:from>
    <xdr:to>
      <xdr:col>10</xdr:col>
      <xdr:colOff>424195</xdr:colOff>
      <xdr:row>25</xdr:row>
      <xdr:rowOff>19059</xdr:rowOff>
    </xdr:to>
    <xdr:pic>
      <xdr:nvPicPr>
        <xdr:cNvPr id="68" name="图片 67" descr="接入交换机.png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16140" y="6165850"/>
          <a:ext cx="739140" cy="396240"/>
        </a:xfrm>
        <a:prstGeom prst="rect">
          <a:avLst/>
        </a:prstGeom>
      </xdr:spPr>
    </xdr:pic>
    <xdr:clientData/>
  </xdr:twoCellAnchor>
  <xdr:twoCellAnchor>
    <xdr:from>
      <xdr:col>18</xdr:col>
      <xdr:colOff>598170</xdr:colOff>
      <xdr:row>12</xdr:row>
      <xdr:rowOff>75565</xdr:rowOff>
    </xdr:from>
    <xdr:to>
      <xdr:col>19</xdr:col>
      <xdr:colOff>582930</xdr:colOff>
      <xdr:row>13</xdr:row>
      <xdr:rowOff>204470</xdr:rowOff>
    </xdr:to>
    <xdr:pic>
      <xdr:nvPicPr>
        <xdr:cNvPr id="86" name="图片 85" descr="接入交换机.png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154150" y="3187065"/>
          <a:ext cx="737870" cy="395605"/>
        </a:xfrm>
        <a:prstGeom prst="rect">
          <a:avLst/>
        </a:prstGeom>
      </xdr:spPr>
    </xdr:pic>
    <xdr:clientData/>
  </xdr:twoCellAnchor>
  <xdr:twoCellAnchor>
    <xdr:from>
      <xdr:col>15</xdr:col>
      <xdr:colOff>315595</xdr:colOff>
      <xdr:row>4</xdr:row>
      <xdr:rowOff>38735</xdr:rowOff>
    </xdr:from>
    <xdr:to>
      <xdr:col>19</xdr:col>
      <xdr:colOff>203835</xdr:colOff>
      <xdr:row>12</xdr:row>
      <xdr:rowOff>75565</xdr:rowOff>
    </xdr:to>
    <xdr:cxnSp macro="">
      <xdr:nvCxnSpPr>
        <xdr:cNvPr id="87" name="直接连接符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CxnSpPr>
          <a:stCxn id="18" idx="2"/>
          <a:endCxn id="86" idx="0"/>
        </xdr:cNvCxnSpPr>
      </xdr:nvCxnSpPr>
      <xdr:spPr>
        <a:xfrm>
          <a:off x="11612245" y="1016635"/>
          <a:ext cx="290068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160655</xdr:colOff>
      <xdr:row>4</xdr:row>
      <xdr:rowOff>38735</xdr:rowOff>
    </xdr:from>
    <xdr:to>
      <xdr:col>19</xdr:col>
      <xdr:colOff>203835</xdr:colOff>
      <xdr:row>12</xdr:row>
      <xdr:rowOff>75565</xdr:rowOff>
    </xdr:to>
    <xdr:cxnSp macro="">
      <xdr:nvCxnSpPr>
        <xdr:cNvPr id="88" name="直接连接符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CxnSpPr>
          <a:stCxn id="17" idx="2"/>
          <a:endCxn id="86" idx="0"/>
        </xdr:cNvCxnSpPr>
      </xdr:nvCxnSpPr>
      <xdr:spPr>
        <a:xfrm>
          <a:off x="9197975" y="1016635"/>
          <a:ext cx="5314950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4</xdr:row>
      <xdr:rowOff>38735</xdr:rowOff>
    </xdr:from>
    <xdr:to>
      <xdr:col>19</xdr:col>
      <xdr:colOff>203835</xdr:colOff>
      <xdr:row>12</xdr:row>
      <xdr:rowOff>75565</xdr:rowOff>
    </xdr:to>
    <xdr:cxnSp macro="">
      <xdr:nvCxnSpPr>
        <xdr:cNvPr id="89" name="直接连接符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CxnSpPr>
          <a:stCxn id="16" idx="2"/>
          <a:endCxn id="86" idx="0"/>
        </xdr:cNvCxnSpPr>
      </xdr:nvCxnSpPr>
      <xdr:spPr>
        <a:xfrm>
          <a:off x="6784340" y="1016635"/>
          <a:ext cx="772858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626110</xdr:colOff>
      <xdr:row>4</xdr:row>
      <xdr:rowOff>38735</xdr:rowOff>
    </xdr:from>
    <xdr:to>
      <xdr:col>19</xdr:col>
      <xdr:colOff>203835</xdr:colOff>
      <xdr:row>12</xdr:row>
      <xdr:rowOff>75565</xdr:rowOff>
    </xdr:to>
    <xdr:cxnSp macro="">
      <xdr:nvCxnSpPr>
        <xdr:cNvPr id="90" name="直接连接符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CxnSpPr>
          <a:stCxn id="15" idx="2"/>
          <a:endCxn id="86" idx="0"/>
        </xdr:cNvCxnSpPr>
      </xdr:nvCxnSpPr>
      <xdr:spPr>
        <a:xfrm>
          <a:off x="4391660" y="1016635"/>
          <a:ext cx="10121265" cy="2170430"/>
        </a:xfrm>
        <a:prstGeom prst="line">
          <a:avLst/>
        </a:prstGeom>
        <a:ln>
          <a:prstDash val="dash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379005</xdr:colOff>
      <xdr:row>13</xdr:row>
      <xdr:rowOff>205105</xdr:rowOff>
    </xdr:from>
    <xdr:to>
      <xdr:col>9</xdr:col>
      <xdr:colOff>466180</xdr:colOff>
      <xdr:row>15</xdr:row>
      <xdr:rowOff>219075</xdr:rowOff>
    </xdr:to>
    <xdr:cxnSp macro="">
      <xdr:nvCxnSpPr>
        <xdr:cNvPr id="91" name="直接连接符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CxnSpPr>
          <a:stCxn id="21" idx="2"/>
          <a:endCxn id="31" idx="0"/>
        </xdr:cNvCxnSpPr>
      </xdr:nvCxnSpPr>
      <xdr:spPr>
        <a:xfrm>
          <a:off x="5650230" y="3583305"/>
          <a:ext cx="1593850" cy="547370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379005</xdr:colOff>
      <xdr:row>13</xdr:row>
      <xdr:rowOff>205105</xdr:rowOff>
    </xdr:from>
    <xdr:to>
      <xdr:col>9</xdr:col>
      <xdr:colOff>51889</xdr:colOff>
      <xdr:row>15</xdr:row>
      <xdr:rowOff>229961</xdr:rowOff>
    </xdr:to>
    <xdr:cxnSp macro="">
      <xdr:nvCxnSpPr>
        <xdr:cNvPr id="92" name="直接连接符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CxnSpPr>
          <a:stCxn id="21" idx="2"/>
          <a:endCxn id="30" idx="0"/>
        </xdr:cNvCxnSpPr>
      </xdr:nvCxnSpPr>
      <xdr:spPr>
        <a:xfrm>
          <a:off x="5650230" y="3583305"/>
          <a:ext cx="1179195" cy="55816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379005</xdr:colOff>
      <xdr:row>13</xdr:row>
      <xdr:rowOff>205105</xdr:rowOff>
    </xdr:from>
    <xdr:to>
      <xdr:col>8</xdr:col>
      <xdr:colOff>389345</xdr:colOff>
      <xdr:row>15</xdr:row>
      <xdr:rowOff>240847</xdr:rowOff>
    </xdr:to>
    <xdr:cxnSp macro="">
      <xdr:nvCxnSpPr>
        <xdr:cNvPr id="93" name="直接连接符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CxnSpPr>
          <a:stCxn id="21" idx="2"/>
          <a:endCxn id="29" idx="0"/>
        </xdr:cNvCxnSpPr>
      </xdr:nvCxnSpPr>
      <xdr:spPr>
        <a:xfrm>
          <a:off x="5650230" y="3583305"/>
          <a:ext cx="763905" cy="568960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389345</xdr:colOff>
      <xdr:row>13</xdr:row>
      <xdr:rowOff>205105</xdr:rowOff>
    </xdr:from>
    <xdr:to>
      <xdr:col>9</xdr:col>
      <xdr:colOff>375920</xdr:colOff>
      <xdr:row>15</xdr:row>
      <xdr:rowOff>240847</xdr:rowOff>
    </xdr:to>
    <xdr:cxnSp macro="">
      <xdr:nvCxnSpPr>
        <xdr:cNvPr id="94" name="直接连接符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CxnSpPr>
          <a:stCxn id="22" idx="2"/>
          <a:endCxn id="29" idx="0"/>
        </xdr:cNvCxnSpPr>
      </xdr:nvCxnSpPr>
      <xdr:spPr>
        <a:xfrm flipH="1">
          <a:off x="6414135" y="3583305"/>
          <a:ext cx="739775" cy="568960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375920</xdr:colOff>
      <xdr:row>13</xdr:row>
      <xdr:rowOff>205105</xdr:rowOff>
    </xdr:from>
    <xdr:to>
      <xdr:col>9</xdr:col>
      <xdr:colOff>466180</xdr:colOff>
      <xdr:row>15</xdr:row>
      <xdr:rowOff>219075</xdr:rowOff>
    </xdr:to>
    <xdr:cxnSp macro="">
      <xdr:nvCxnSpPr>
        <xdr:cNvPr id="95" name="直接连接符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CxnSpPr>
          <a:stCxn id="22" idx="2"/>
          <a:endCxn id="31" idx="0"/>
        </xdr:cNvCxnSpPr>
      </xdr:nvCxnSpPr>
      <xdr:spPr>
        <a:xfrm>
          <a:off x="7153910" y="3583305"/>
          <a:ext cx="90170" cy="547370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51889</xdr:colOff>
      <xdr:row>13</xdr:row>
      <xdr:rowOff>205105</xdr:rowOff>
    </xdr:from>
    <xdr:to>
      <xdr:col>9</xdr:col>
      <xdr:colOff>375920</xdr:colOff>
      <xdr:row>15</xdr:row>
      <xdr:rowOff>229961</xdr:rowOff>
    </xdr:to>
    <xdr:cxnSp macro="">
      <xdr:nvCxnSpPr>
        <xdr:cNvPr id="96" name="直接连接符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CxnSpPr>
          <a:stCxn id="22" idx="2"/>
          <a:endCxn id="30" idx="0"/>
        </xdr:cNvCxnSpPr>
      </xdr:nvCxnSpPr>
      <xdr:spPr>
        <a:xfrm flipH="1">
          <a:off x="6829425" y="3583305"/>
          <a:ext cx="324485" cy="55816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379730</xdr:colOff>
      <xdr:row>13</xdr:row>
      <xdr:rowOff>205105</xdr:rowOff>
    </xdr:from>
    <xdr:to>
      <xdr:col>3</xdr:col>
      <xdr:colOff>375285</xdr:colOff>
      <xdr:row>15</xdr:row>
      <xdr:rowOff>218440</xdr:rowOff>
    </xdr:to>
    <xdr:cxnSp macro="">
      <xdr:nvCxnSpPr>
        <xdr:cNvPr id="98" name="直接连接符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CxnSpPr>
          <a:stCxn id="19" idx="2"/>
          <a:endCxn id="27" idx="0"/>
        </xdr:cNvCxnSpPr>
      </xdr:nvCxnSpPr>
      <xdr:spPr>
        <a:xfrm>
          <a:off x="1885950" y="3583305"/>
          <a:ext cx="748665" cy="54673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375285</xdr:colOff>
      <xdr:row>13</xdr:row>
      <xdr:rowOff>205105</xdr:rowOff>
    </xdr:from>
    <xdr:to>
      <xdr:col>2</xdr:col>
      <xdr:colOff>379730</xdr:colOff>
      <xdr:row>15</xdr:row>
      <xdr:rowOff>218440</xdr:rowOff>
    </xdr:to>
    <xdr:cxnSp macro="">
      <xdr:nvCxnSpPr>
        <xdr:cNvPr id="99" name="直接连接符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CxnSpPr>
          <a:stCxn id="19" idx="2"/>
          <a:endCxn id="26" idx="0"/>
        </xdr:cNvCxnSpPr>
      </xdr:nvCxnSpPr>
      <xdr:spPr>
        <a:xfrm flipH="1">
          <a:off x="1881505" y="3583305"/>
          <a:ext cx="4445" cy="54673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375285</xdr:colOff>
      <xdr:row>13</xdr:row>
      <xdr:rowOff>205105</xdr:rowOff>
    </xdr:from>
    <xdr:to>
      <xdr:col>4</xdr:col>
      <xdr:colOff>379095</xdr:colOff>
      <xdr:row>15</xdr:row>
      <xdr:rowOff>218440</xdr:rowOff>
    </xdr:to>
    <xdr:cxnSp macro="">
      <xdr:nvCxnSpPr>
        <xdr:cNvPr id="100" name="直接连接符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CxnSpPr>
          <a:stCxn id="20" idx="2"/>
          <a:endCxn id="26" idx="0"/>
        </xdr:cNvCxnSpPr>
      </xdr:nvCxnSpPr>
      <xdr:spPr>
        <a:xfrm flipH="1">
          <a:off x="1881505" y="3583305"/>
          <a:ext cx="1510030" cy="54673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375285</xdr:colOff>
      <xdr:row>13</xdr:row>
      <xdr:rowOff>205105</xdr:rowOff>
    </xdr:from>
    <xdr:to>
      <xdr:col>4</xdr:col>
      <xdr:colOff>379095</xdr:colOff>
      <xdr:row>15</xdr:row>
      <xdr:rowOff>218440</xdr:rowOff>
    </xdr:to>
    <xdr:cxnSp macro="">
      <xdr:nvCxnSpPr>
        <xdr:cNvPr id="102" name="直接连接符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CxnSpPr>
          <a:stCxn id="20" idx="2"/>
          <a:endCxn id="27" idx="0"/>
        </xdr:cNvCxnSpPr>
      </xdr:nvCxnSpPr>
      <xdr:spPr>
        <a:xfrm flipH="1">
          <a:off x="2634615" y="3583305"/>
          <a:ext cx="756920" cy="54673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389890</xdr:colOff>
      <xdr:row>13</xdr:row>
      <xdr:rowOff>205105</xdr:rowOff>
    </xdr:from>
    <xdr:to>
      <xdr:col>14</xdr:col>
      <xdr:colOff>385445</xdr:colOff>
      <xdr:row>15</xdr:row>
      <xdr:rowOff>215265</xdr:rowOff>
    </xdr:to>
    <xdr:cxnSp macro="">
      <xdr:nvCxnSpPr>
        <xdr:cNvPr id="103" name="直接连接符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CxnSpPr>
          <a:stCxn id="23" idx="2"/>
        </xdr:cNvCxnSpPr>
      </xdr:nvCxnSpPr>
      <xdr:spPr>
        <a:xfrm>
          <a:off x="9427210" y="3583305"/>
          <a:ext cx="1501775" cy="543560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389890</xdr:colOff>
      <xdr:row>13</xdr:row>
      <xdr:rowOff>205105</xdr:rowOff>
    </xdr:from>
    <xdr:to>
      <xdr:col>13</xdr:col>
      <xdr:colOff>380365</xdr:colOff>
      <xdr:row>15</xdr:row>
      <xdr:rowOff>218440</xdr:rowOff>
    </xdr:to>
    <xdr:cxnSp macro="">
      <xdr:nvCxnSpPr>
        <xdr:cNvPr id="104" name="直接连接符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stCxn id="23" idx="2"/>
          <a:endCxn id="33" idx="0"/>
        </xdr:cNvCxnSpPr>
      </xdr:nvCxnSpPr>
      <xdr:spPr>
        <a:xfrm>
          <a:off x="9427210" y="3583305"/>
          <a:ext cx="743585" cy="54673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13</xdr:row>
      <xdr:rowOff>205105</xdr:rowOff>
    </xdr:from>
    <xdr:to>
      <xdr:col>12</xdr:col>
      <xdr:colOff>389890</xdr:colOff>
      <xdr:row>15</xdr:row>
      <xdr:rowOff>218440</xdr:rowOff>
    </xdr:to>
    <xdr:cxnSp macro="">
      <xdr:nvCxnSpPr>
        <xdr:cNvPr id="105" name="直接连接符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CxnSpPr>
          <a:stCxn id="23" idx="2"/>
          <a:endCxn id="32" idx="0"/>
        </xdr:cNvCxnSpPr>
      </xdr:nvCxnSpPr>
      <xdr:spPr>
        <a:xfrm flipH="1">
          <a:off x="9418320" y="3583305"/>
          <a:ext cx="8890" cy="54673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13</xdr:row>
      <xdr:rowOff>205105</xdr:rowOff>
    </xdr:from>
    <xdr:to>
      <xdr:col>14</xdr:col>
      <xdr:colOff>389255</xdr:colOff>
      <xdr:row>15</xdr:row>
      <xdr:rowOff>218440</xdr:rowOff>
    </xdr:to>
    <xdr:cxnSp macro="">
      <xdr:nvCxnSpPr>
        <xdr:cNvPr id="106" name="直接连接符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CxnSpPr>
          <a:stCxn id="24" idx="2"/>
          <a:endCxn id="32" idx="0"/>
        </xdr:cNvCxnSpPr>
      </xdr:nvCxnSpPr>
      <xdr:spPr>
        <a:xfrm flipH="1">
          <a:off x="9418320" y="3583305"/>
          <a:ext cx="1514475" cy="54673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381635</xdr:colOff>
      <xdr:row>13</xdr:row>
      <xdr:rowOff>205105</xdr:rowOff>
    </xdr:from>
    <xdr:to>
      <xdr:col>14</xdr:col>
      <xdr:colOff>389255</xdr:colOff>
      <xdr:row>15</xdr:row>
      <xdr:rowOff>218440</xdr:rowOff>
    </xdr:to>
    <xdr:cxnSp macro="">
      <xdr:nvCxnSpPr>
        <xdr:cNvPr id="107" name="直接连接符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CxnSpPr>
          <a:stCxn id="24" idx="2"/>
          <a:endCxn id="34" idx="0"/>
        </xdr:cNvCxnSpPr>
      </xdr:nvCxnSpPr>
      <xdr:spPr>
        <a:xfrm flipH="1">
          <a:off x="10925175" y="3583305"/>
          <a:ext cx="7620" cy="54673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380365</xdr:colOff>
      <xdr:row>13</xdr:row>
      <xdr:rowOff>205105</xdr:rowOff>
    </xdr:from>
    <xdr:to>
      <xdr:col>14</xdr:col>
      <xdr:colOff>389255</xdr:colOff>
      <xdr:row>15</xdr:row>
      <xdr:rowOff>218440</xdr:rowOff>
    </xdr:to>
    <xdr:cxnSp macro="">
      <xdr:nvCxnSpPr>
        <xdr:cNvPr id="108" name="直接连接符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CxnSpPr>
          <a:stCxn id="24" idx="2"/>
          <a:endCxn id="33" idx="0"/>
        </xdr:cNvCxnSpPr>
      </xdr:nvCxnSpPr>
      <xdr:spPr>
        <a:xfrm flipH="1">
          <a:off x="10170795" y="3583305"/>
          <a:ext cx="762000" cy="54673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382905</xdr:colOff>
      <xdr:row>13</xdr:row>
      <xdr:rowOff>204470</xdr:rowOff>
    </xdr:from>
    <xdr:to>
      <xdr:col>19</xdr:col>
      <xdr:colOff>384810</xdr:colOff>
      <xdr:row>15</xdr:row>
      <xdr:rowOff>218440</xdr:rowOff>
    </xdr:to>
    <xdr:cxnSp macro="">
      <xdr:nvCxnSpPr>
        <xdr:cNvPr id="109" name="直接连接符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CxnSpPr>
          <a:stCxn id="25" idx="2"/>
          <a:endCxn id="37" idx="0"/>
        </xdr:cNvCxnSpPr>
      </xdr:nvCxnSpPr>
      <xdr:spPr>
        <a:xfrm>
          <a:off x="13185775" y="3582670"/>
          <a:ext cx="1508125" cy="547370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382905</xdr:colOff>
      <xdr:row>13</xdr:row>
      <xdr:rowOff>204470</xdr:rowOff>
    </xdr:from>
    <xdr:to>
      <xdr:col>18</xdr:col>
      <xdr:colOff>384175</xdr:colOff>
      <xdr:row>15</xdr:row>
      <xdr:rowOff>218440</xdr:rowOff>
    </xdr:to>
    <xdr:cxnSp macro="">
      <xdr:nvCxnSpPr>
        <xdr:cNvPr id="110" name="直接连接符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CxnSpPr>
          <a:stCxn id="25" idx="2"/>
          <a:endCxn id="36" idx="0"/>
        </xdr:cNvCxnSpPr>
      </xdr:nvCxnSpPr>
      <xdr:spPr>
        <a:xfrm>
          <a:off x="13185775" y="3582670"/>
          <a:ext cx="754380" cy="547370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382905</xdr:colOff>
      <xdr:row>13</xdr:row>
      <xdr:rowOff>204470</xdr:rowOff>
    </xdr:from>
    <xdr:to>
      <xdr:col>17</xdr:col>
      <xdr:colOff>382905</xdr:colOff>
      <xdr:row>15</xdr:row>
      <xdr:rowOff>218440</xdr:rowOff>
    </xdr:to>
    <xdr:cxnSp macro="">
      <xdr:nvCxnSpPr>
        <xdr:cNvPr id="111" name="直接连接符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CxnSpPr>
          <a:stCxn id="25" idx="2"/>
          <a:endCxn id="35" idx="0"/>
        </xdr:cNvCxnSpPr>
      </xdr:nvCxnSpPr>
      <xdr:spPr>
        <a:xfrm>
          <a:off x="13185775" y="3582670"/>
          <a:ext cx="0" cy="547370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382905</xdr:colOff>
      <xdr:row>13</xdr:row>
      <xdr:rowOff>203835</xdr:rowOff>
    </xdr:from>
    <xdr:to>
      <xdr:col>19</xdr:col>
      <xdr:colOff>203835</xdr:colOff>
      <xdr:row>15</xdr:row>
      <xdr:rowOff>219075</xdr:rowOff>
    </xdr:to>
    <xdr:cxnSp macro="">
      <xdr:nvCxnSpPr>
        <xdr:cNvPr id="112" name="直接连接符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CxnSpPr>
          <a:stCxn id="86" idx="2"/>
          <a:endCxn id="35" idx="0"/>
        </xdr:cNvCxnSpPr>
      </xdr:nvCxnSpPr>
      <xdr:spPr>
        <a:xfrm flipH="1">
          <a:off x="13185775" y="3582035"/>
          <a:ext cx="1327150" cy="548640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203835</xdr:colOff>
      <xdr:row>13</xdr:row>
      <xdr:rowOff>203835</xdr:rowOff>
    </xdr:from>
    <xdr:to>
      <xdr:col>19</xdr:col>
      <xdr:colOff>384810</xdr:colOff>
      <xdr:row>15</xdr:row>
      <xdr:rowOff>219075</xdr:rowOff>
    </xdr:to>
    <xdr:cxnSp macro="">
      <xdr:nvCxnSpPr>
        <xdr:cNvPr id="113" name="直接连接符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CxnSpPr>
          <a:stCxn id="86" idx="2"/>
          <a:endCxn id="37" idx="0"/>
        </xdr:cNvCxnSpPr>
      </xdr:nvCxnSpPr>
      <xdr:spPr>
        <a:xfrm>
          <a:off x="14512925" y="3582035"/>
          <a:ext cx="180975" cy="548640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384175</xdr:colOff>
      <xdr:row>13</xdr:row>
      <xdr:rowOff>203835</xdr:rowOff>
    </xdr:from>
    <xdr:to>
      <xdr:col>19</xdr:col>
      <xdr:colOff>203835</xdr:colOff>
      <xdr:row>15</xdr:row>
      <xdr:rowOff>219075</xdr:rowOff>
    </xdr:to>
    <xdr:cxnSp macro="">
      <xdr:nvCxnSpPr>
        <xdr:cNvPr id="114" name="直接连接符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CxnSpPr>
          <a:stCxn id="86" idx="2"/>
          <a:endCxn id="36" idx="0"/>
        </xdr:cNvCxnSpPr>
      </xdr:nvCxnSpPr>
      <xdr:spPr>
        <a:xfrm flipH="1">
          <a:off x="13940155" y="3582035"/>
          <a:ext cx="572770" cy="548640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657324</xdr:colOff>
      <xdr:row>18</xdr:row>
      <xdr:rowOff>154487</xdr:rowOff>
    </xdr:from>
    <xdr:to>
      <xdr:col>8</xdr:col>
      <xdr:colOff>389345</xdr:colOff>
      <xdr:row>23</xdr:row>
      <xdr:rowOff>196792</xdr:rowOff>
    </xdr:to>
    <xdr:cxnSp macro="">
      <xdr:nvCxnSpPr>
        <xdr:cNvPr id="117" name="直接连接符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CxnSpPr>
          <a:stCxn id="29" idx="2"/>
          <a:endCxn id="66" idx="0"/>
        </xdr:cNvCxnSpPr>
      </xdr:nvCxnSpPr>
      <xdr:spPr>
        <a:xfrm flipH="1">
          <a:off x="5175885" y="4866005"/>
          <a:ext cx="1238250" cy="133985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351888</xdr:colOff>
      <xdr:row>18</xdr:row>
      <xdr:rowOff>144236</xdr:rowOff>
    </xdr:from>
    <xdr:to>
      <xdr:col>9</xdr:col>
      <xdr:colOff>51889</xdr:colOff>
      <xdr:row>23</xdr:row>
      <xdr:rowOff>164135</xdr:rowOff>
    </xdr:to>
    <xdr:cxnSp macro="">
      <xdr:nvCxnSpPr>
        <xdr:cNvPr id="119" name="直接连接符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CxnSpPr>
          <a:stCxn id="30" idx="2"/>
          <a:endCxn id="67" idx="0"/>
        </xdr:cNvCxnSpPr>
      </xdr:nvCxnSpPr>
      <xdr:spPr>
        <a:xfrm flipH="1">
          <a:off x="6376670" y="4855845"/>
          <a:ext cx="452755" cy="1317625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466180</xdr:colOff>
      <xdr:row>18</xdr:row>
      <xdr:rowOff>132715</xdr:rowOff>
    </xdr:from>
    <xdr:to>
      <xdr:col>10</xdr:col>
      <xdr:colOff>61182</xdr:colOff>
      <xdr:row>23</xdr:row>
      <xdr:rowOff>156219</xdr:rowOff>
    </xdr:to>
    <xdr:cxnSp macro="">
      <xdr:nvCxnSpPr>
        <xdr:cNvPr id="122" name="直接连接符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CxnSpPr>
          <a:stCxn id="31" idx="2"/>
          <a:endCxn id="68" idx="0"/>
        </xdr:cNvCxnSpPr>
      </xdr:nvCxnSpPr>
      <xdr:spPr>
        <a:xfrm>
          <a:off x="7244080" y="4844415"/>
          <a:ext cx="347980" cy="1321435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657324</xdr:colOff>
      <xdr:row>25</xdr:row>
      <xdr:rowOff>59632</xdr:rowOff>
    </xdr:from>
    <xdr:to>
      <xdr:col>6</xdr:col>
      <xdr:colOff>691981</xdr:colOff>
      <xdr:row>29</xdr:row>
      <xdr:rowOff>170706</xdr:rowOff>
    </xdr:to>
    <xdr:cxnSp macro="">
      <xdr:nvCxnSpPr>
        <xdr:cNvPr id="128" name="直接连接符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CxnSpPr>
          <a:stCxn id="66" idx="2"/>
          <a:endCxn id="9" idx="0"/>
        </xdr:cNvCxnSpPr>
      </xdr:nvCxnSpPr>
      <xdr:spPr>
        <a:xfrm>
          <a:off x="5175885" y="6602095"/>
          <a:ext cx="34290" cy="1177925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692930</xdr:colOff>
      <xdr:row>25</xdr:row>
      <xdr:rowOff>26975</xdr:rowOff>
    </xdr:from>
    <xdr:to>
      <xdr:col>8</xdr:col>
      <xdr:colOff>351888</xdr:colOff>
      <xdr:row>29</xdr:row>
      <xdr:rowOff>126589</xdr:rowOff>
    </xdr:to>
    <xdr:cxnSp macro="">
      <xdr:nvCxnSpPr>
        <xdr:cNvPr id="131" name="直接连接符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CxnSpPr>
          <a:stCxn id="67" idx="2"/>
          <a:endCxn id="7" idx="0"/>
        </xdr:cNvCxnSpPr>
      </xdr:nvCxnSpPr>
      <xdr:spPr>
        <a:xfrm flipH="1">
          <a:off x="5211445" y="6569710"/>
          <a:ext cx="1165225" cy="1166495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692930</xdr:colOff>
      <xdr:row>25</xdr:row>
      <xdr:rowOff>19059</xdr:rowOff>
    </xdr:from>
    <xdr:to>
      <xdr:col>10</xdr:col>
      <xdr:colOff>61182</xdr:colOff>
      <xdr:row>29</xdr:row>
      <xdr:rowOff>126589</xdr:rowOff>
    </xdr:to>
    <xdr:cxnSp macro="">
      <xdr:nvCxnSpPr>
        <xdr:cNvPr id="134" name="直接连接符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CxnSpPr>
          <a:stCxn id="68" idx="2"/>
          <a:endCxn id="7" idx="0"/>
        </xdr:cNvCxnSpPr>
      </xdr:nvCxnSpPr>
      <xdr:spPr>
        <a:xfrm flipH="1">
          <a:off x="5211445" y="6562090"/>
          <a:ext cx="2380615" cy="1174115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657324</xdr:colOff>
      <xdr:row>25</xdr:row>
      <xdr:rowOff>59632</xdr:rowOff>
    </xdr:from>
    <xdr:to>
      <xdr:col>10</xdr:col>
      <xdr:colOff>251943</xdr:colOff>
      <xdr:row>29</xdr:row>
      <xdr:rowOff>126589</xdr:rowOff>
    </xdr:to>
    <xdr:cxnSp macro="">
      <xdr:nvCxnSpPr>
        <xdr:cNvPr id="138" name="直接连接符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CxnSpPr>
          <a:stCxn id="66" idx="2"/>
          <a:endCxn id="11" idx="0"/>
        </xdr:cNvCxnSpPr>
      </xdr:nvCxnSpPr>
      <xdr:spPr>
        <a:xfrm>
          <a:off x="5175885" y="6602095"/>
          <a:ext cx="2606675" cy="113411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351888</xdr:colOff>
      <xdr:row>25</xdr:row>
      <xdr:rowOff>26975</xdr:rowOff>
    </xdr:from>
    <xdr:to>
      <xdr:col>10</xdr:col>
      <xdr:colOff>251943</xdr:colOff>
      <xdr:row>29</xdr:row>
      <xdr:rowOff>126589</xdr:rowOff>
    </xdr:to>
    <xdr:cxnSp macro="">
      <xdr:nvCxnSpPr>
        <xdr:cNvPr id="141" name="直接连接符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CxnSpPr>
          <a:stCxn id="67" idx="2"/>
          <a:endCxn id="11" idx="0"/>
        </xdr:cNvCxnSpPr>
      </xdr:nvCxnSpPr>
      <xdr:spPr>
        <a:xfrm>
          <a:off x="6376670" y="6569710"/>
          <a:ext cx="1405890" cy="1166495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61182</xdr:colOff>
      <xdr:row>25</xdr:row>
      <xdr:rowOff>19059</xdr:rowOff>
    </xdr:from>
    <xdr:to>
      <xdr:col>10</xdr:col>
      <xdr:colOff>251943</xdr:colOff>
      <xdr:row>29</xdr:row>
      <xdr:rowOff>126589</xdr:rowOff>
    </xdr:to>
    <xdr:cxnSp macro="">
      <xdr:nvCxnSpPr>
        <xdr:cNvPr id="144" name="直接连接符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CxnSpPr>
          <a:stCxn id="68" idx="2"/>
          <a:endCxn id="11" idx="0"/>
        </xdr:cNvCxnSpPr>
      </xdr:nvCxnSpPr>
      <xdr:spPr>
        <a:xfrm>
          <a:off x="7592060" y="6562090"/>
          <a:ext cx="190500" cy="1174115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493567</xdr:colOff>
      <xdr:row>1</xdr:row>
      <xdr:rowOff>55418</xdr:rowOff>
    </xdr:from>
    <xdr:to>
      <xdr:col>32</xdr:col>
      <xdr:colOff>595802</xdr:colOff>
      <xdr:row>4</xdr:row>
      <xdr:rowOff>94153</xdr:rowOff>
    </xdr:to>
    <xdr:pic>
      <xdr:nvPicPr>
        <xdr:cNvPr id="154" name="图片 153" descr="汇聚交换机.png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39805" y="233045"/>
          <a:ext cx="855345" cy="838835"/>
        </a:xfrm>
        <a:prstGeom prst="rect">
          <a:avLst/>
        </a:prstGeom>
      </xdr:spPr>
    </xdr:pic>
    <xdr:clientData/>
  </xdr:twoCellAnchor>
  <xdr:twoCellAnchor>
    <xdr:from>
      <xdr:col>34</xdr:col>
      <xdr:colOff>649143</xdr:colOff>
      <xdr:row>1</xdr:row>
      <xdr:rowOff>55418</xdr:rowOff>
    </xdr:from>
    <xdr:to>
      <xdr:col>35</xdr:col>
      <xdr:colOff>734868</xdr:colOff>
      <xdr:row>4</xdr:row>
      <xdr:rowOff>94153</xdr:rowOff>
    </xdr:to>
    <xdr:pic>
      <xdr:nvPicPr>
        <xdr:cNvPr id="155" name="图片 154" descr="汇聚交换机.png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254710" y="233045"/>
          <a:ext cx="838835" cy="838835"/>
        </a:xfrm>
        <a:prstGeom prst="rect">
          <a:avLst/>
        </a:prstGeom>
      </xdr:spPr>
    </xdr:pic>
    <xdr:clientData/>
  </xdr:twoCellAnchor>
  <xdr:twoCellAnchor>
    <xdr:from>
      <xdr:col>27</xdr:col>
      <xdr:colOff>111183</xdr:colOff>
      <xdr:row>10</xdr:row>
      <xdr:rowOff>12815</xdr:rowOff>
    </xdr:from>
    <xdr:to>
      <xdr:col>28</xdr:col>
      <xdr:colOff>92132</xdr:colOff>
      <xdr:row>11</xdr:row>
      <xdr:rowOff>142355</xdr:rowOff>
    </xdr:to>
    <xdr:pic>
      <xdr:nvPicPr>
        <xdr:cNvPr id="156" name="图片 155" descr="接入交换机.png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45095" y="2590800"/>
          <a:ext cx="734060" cy="396240"/>
        </a:xfrm>
        <a:prstGeom prst="rect">
          <a:avLst/>
        </a:prstGeom>
      </xdr:spPr>
    </xdr:pic>
    <xdr:clientData/>
  </xdr:twoCellAnchor>
  <xdr:twoCellAnchor>
    <xdr:from>
      <xdr:col>21</xdr:col>
      <xdr:colOff>484910</xdr:colOff>
      <xdr:row>16</xdr:row>
      <xdr:rowOff>41564</xdr:rowOff>
    </xdr:from>
    <xdr:to>
      <xdr:col>22</xdr:col>
      <xdr:colOff>74469</xdr:colOff>
      <xdr:row>18</xdr:row>
      <xdr:rowOff>229466</xdr:rowOff>
    </xdr:to>
    <xdr:pic>
      <xdr:nvPicPr>
        <xdr:cNvPr id="219" name="图片 218" descr="交换机.png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16299815" y="4219575"/>
          <a:ext cx="342900" cy="721360"/>
        </a:xfrm>
        <a:prstGeom prst="rect">
          <a:avLst/>
        </a:prstGeom>
      </xdr:spPr>
    </xdr:pic>
    <xdr:clientData/>
  </xdr:twoCellAnchor>
  <xdr:twoCellAnchor>
    <xdr:from>
      <xdr:col>24</xdr:col>
      <xdr:colOff>554183</xdr:colOff>
      <xdr:row>16</xdr:row>
      <xdr:rowOff>41565</xdr:rowOff>
    </xdr:from>
    <xdr:to>
      <xdr:col>25</xdr:col>
      <xdr:colOff>143742</xdr:colOff>
      <xdr:row>18</xdr:row>
      <xdr:rowOff>219076</xdr:rowOff>
    </xdr:to>
    <xdr:pic>
      <xdr:nvPicPr>
        <xdr:cNvPr id="221" name="图片 220" descr="交换机.png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18628360" y="4219575"/>
          <a:ext cx="342900" cy="711200"/>
        </a:xfrm>
        <a:prstGeom prst="rect">
          <a:avLst/>
        </a:prstGeom>
      </xdr:spPr>
    </xdr:pic>
    <xdr:clientData/>
  </xdr:twoCellAnchor>
  <xdr:twoCellAnchor>
    <xdr:from>
      <xdr:col>28</xdr:col>
      <xdr:colOff>152401</xdr:colOff>
      <xdr:row>16</xdr:row>
      <xdr:rowOff>27709</xdr:rowOff>
    </xdr:from>
    <xdr:to>
      <xdr:col>28</xdr:col>
      <xdr:colOff>476251</xdr:colOff>
      <xdr:row>18</xdr:row>
      <xdr:rowOff>205220</xdr:rowOff>
    </xdr:to>
    <xdr:pic>
      <xdr:nvPicPr>
        <xdr:cNvPr id="225" name="图片 224" descr="交换机.png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21239480" y="4205605"/>
          <a:ext cx="323850" cy="711200"/>
        </a:xfrm>
        <a:prstGeom prst="rect">
          <a:avLst/>
        </a:prstGeom>
      </xdr:spPr>
    </xdr:pic>
    <xdr:clientData/>
  </xdr:twoCellAnchor>
  <xdr:twoCellAnchor>
    <xdr:from>
      <xdr:col>30</xdr:col>
      <xdr:colOff>651164</xdr:colOff>
      <xdr:row>16</xdr:row>
      <xdr:rowOff>41563</xdr:rowOff>
    </xdr:from>
    <xdr:to>
      <xdr:col>31</xdr:col>
      <xdr:colOff>240723</xdr:colOff>
      <xdr:row>18</xdr:row>
      <xdr:rowOff>219074</xdr:rowOff>
    </xdr:to>
    <xdr:pic>
      <xdr:nvPicPr>
        <xdr:cNvPr id="226" name="图片 225" descr="交换机.png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23244175" y="4219575"/>
          <a:ext cx="342900" cy="710565"/>
        </a:xfrm>
        <a:prstGeom prst="rect">
          <a:avLst/>
        </a:prstGeom>
      </xdr:spPr>
    </xdr:pic>
    <xdr:clientData/>
  </xdr:twoCellAnchor>
  <xdr:twoCellAnchor>
    <xdr:from>
      <xdr:col>32</xdr:col>
      <xdr:colOff>708314</xdr:colOff>
      <xdr:row>16</xdr:row>
      <xdr:rowOff>256308</xdr:rowOff>
    </xdr:from>
    <xdr:to>
      <xdr:col>33</xdr:col>
      <xdr:colOff>694113</xdr:colOff>
      <xdr:row>18</xdr:row>
      <xdr:rowOff>119148</xdr:rowOff>
    </xdr:to>
    <xdr:pic>
      <xdr:nvPicPr>
        <xdr:cNvPr id="227" name="图片 226" descr="接入交换机.png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07545" y="4434205"/>
          <a:ext cx="739140" cy="396240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17</xdr:row>
      <xdr:rowOff>0</xdr:rowOff>
    </xdr:from>
    <xdr:to>
      <xdr:col>36</xdr:col>
      <xdr:colOff>728749</xdr:colOff>
      <xdr:row>18</xdr:row>
      <xdr:rowOff>129540</xdr:rowOff>
    </xdr:to>
    <xdr:pic>
      <xdr:nvPicPr>
        <xdr:cNvPr id="228" name="图片 227" descr="接入交换机.png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11960" y="4445000"/>
          <a:ext cx="728345" cy="396240"/>
        </a:xfrm>
        <a:prstGeom prst="rect">
          <a:avLst/>
        </a:prstGeom>
      </xdr:spPr>
    </xdr:pic>
    <xdr:clientData/>
  </xdr:twoCellAnchor>
  <xdr:twoCellAnchor>
    <xdr:from>
      <xdr:col>38</xdr:col>
      <xdr:colOff>533400</xdr:colOff>
      <xdr:row>17</xdr:row>
      <xdr:rowOff>19050</xdr:rowOff>
    </xdr:from>
    <xdr:to>
      <xdr:col>39</xdr:col>
      <xdr:colOff>519199</xdr:colOff>
      <xdr:row>18</xdr:row>
      <xdr:rowOff>148590</xdr:rowOff>
    </xdr:to>
    <xdr:pic>
      <xdr:nvPicPr>
        <xdr:cNvPr id="229" name="图片 228" descr="接入交换机.png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151580" y="4464050"/>
          <a:ext cx="738505" cy="396240"/>
        </a:xfrm>
        <a:prstGeom prst="rect">
          <a:avLst/>
        </a:prstGeom>
      </xdr:spPr>
    </xdr:pic>
    <xdr:clientData/>
  </xdr:twoCellAnchor>
  <xdr:twoCellAnchor>
    <xdr:from>
      <xdr:col>41</xdr:col>
      <xdr:colOff>342900</xdr:colOff>
      <xdr:row>15</xdr:row>
      <xdr:rowOff>171450</xdr:rowOff>
    </xdr:from>
    <xdr:to>
      <xdr:col>42</xdr:col>
      <xdr:colOff>428625</xdr:colOff>
      <xdr:row>18</xdr:row>
      <xdr:rowOff>210185</xdr:rowOff>
    </xdr:to>
    <xdr:pic>
      <xdr:nvPicPr>
        <xdr:cNvPr id="230" name="图片 229" descr="汇聚交换机.png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220410" y="4083050"/>
          <a:ext cx="838835" cy="838835"/>
        </a:xfrm>
        <a:prstGeom prst="rect">
          <a:avLst/>
        </a:prstGeom>
      </xdr:spPr>
    </xdr:pic>
    <xdr:clientData/>
  </xdr:twoCellAnchor>
  <xdr:twoCellAnchor>
    <xdr:from>
      <xdr:col>44</xdr:col>
      <xdr:colOff>285750</xdr:colOff>
      <xdr:row>15</xdr:row>
      <xdr:rowOff>133350</xdr:rowOff>
    </xdr:from>
    <xdr:to>
      <xdr:col>45</xdr:col>
      <xdr:colOff>371475</xdr:colOff>
      <xdr:row>18</xdr:row>
      <xdr:rowOff>172085</xdr:rowOff>
    </xdr:to>
    <xdr:pic>
      <xdr:nvPicPr>
        <xdr:cNvPr id="231" name="图片 230" descr="汇聚交换机.png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422590" y="4044950"/>
          <a:ext cx="838835" cy="838835"/>
        </a:xfrm>
        <a:prstGeom prst="rect">
          <a:avLst/>
        </a:prstGeom>
      </xdr:spPr>
    </xdr:pic>
    <xdr:clientData/>
  </xdr:twoCellAnchor>
  <xdr:twoCellAnchor>
    <xdr:from>
      <xdr:col>41</xdr:col>
      <xdr:colOff>164523</xdr:colOff>
      <xdr:row>10</xdr:row>
      <xdr:rowOff>131109</xdr:rowOff>
    </xdr:from>
    <xdr:to>
      <xdr:col>42</xdr:col>
      <xdr:colOff>136814</xdr:colOff>
      <xdr:row>11</xdr:row>
      <xdr:rowOff>266353</xdr:rowOff>
    </xdr:to>
    <xdr:pic>
      <xdr:nvPicPr>
        <xdr:cNvPr id="232" name="图片 231" descr="接入交换机.png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041975" y="2708910"/>
          <a:ext cx="725170" cy="401955"/>
        </a:xfrm>
        <a:prstGeom prst="rect">
          <a:avLst/>
        </a:prstGeom>
      </xdr:spPr>
    </xdr:pic>
    <xdr:clientData/>
  </xdr:twoCellAnchor>
  <xdr:twoCellAnchor>
    <xdr:from>
      <xdr:col>34</xdr:col>
      <xdr:colOff>171450</xdr:colOff>
      <xdr:row>10</xdr:row>
      <xdr:rowOff>133350</xdr:rowOff>
    </xdr:from>
    <xdr:to>
      <xdr:col>35</xdr:col>
      <xdr:colOff>152401</xdr:colOff>
      <xdr:row>12</xdr:row>
      <xdr:rowOff>3117</xdr:rowOff>
    </xdr:to>
    <xdr:pic>
      <xdr:nvPicPr>
        <xdr:cNvPr id="233" name="图片 232" descr="接入交换机.png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777190" y="2711450"/>
          <a:ext cx="734060" cy="402590"/>
        </a:xfrm>
        <a:prstGeom prst="rect">
          <a:avLst/>
        </a:prstGeom>
      </xdr:spPr>
    </xdr:pic>
    <xdr:clientData/>
  </xdr:twoCellAnchor>
  <xdr:twoCellAnchor>
    <xdr:from>
      <xdr:col>20</xdr:col>
      <xdr:colOff>679269</xdr:colOff>
      <xdr:row>0</xdr:row>
      <xdr:rowOff>197575</xdr:rowOff>
    </xdr:from>
    <xdr:to>
      <xdr:col>20</xdr:col>
      <xdr:colOff>679269</xdr:colOff>
      <xdr:row>33</xdr:row>
      <xdr:rowOff>23948</xdr:rowOff>
    </xdr:to>
    <xdr:cxnSp macro="">
      <xdr:nvCxnSpPr>
        <xdr:cNvPr id="235" name="直接连接符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CxnSpPr/>
      </xdr:nvCxnSpPr>
      <xdr:spPr>
        <a:xfrm>
          <a:off x="15741015" y="177800"/>
          <a:ext cx="0" cy="852233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163286</xdr:colOff>
      <xdr:row>3</xdr:row>
      <xdr:rowOff>144235</xdr:rowOff>
    </xdr:from>
    <xdr:to>
      <xdr:col>19</xdr:col>
      <xdr:colOff>503464</xdr:colOff>
      <xdr:row>6</xdr:row>
      <xdr:rowOff>239486</xdr:rowOff>
    </xdr:to>
    <xdr:sp macro="" textlink="">
      <xdr:nvSpPr>
        <xdr:cNvPr id="236" name="矩形: 圆角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/>
      </xdr:nvSpPr>
      <xdr:spPr>
        <a:xfrm>
          <a:off x="12966065" y="855345"/>
          <a:ext cx="1845945" cy="895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4000"/>
            <a:t>业务面</a:t>
          </a:r>
        </a:p>
      </xdr:txBody>
    </xdr:sp>
    <xdr:clientData/>
  </xdr:twoCellAnchor>
  <xdr:twoCellAnchor>
    <xdr:from>
      <xdr:col>21</xdr:col>
      <xdr:colOff>465365</xdr:colOff>
      <xdr:row>3</xdr:row>
      <xdr:rowOff>163285</xdr:rowOff>
    </xdr:from>
    <xdr:to>
      <xdr:col>24</xdr:col>
      <xdr:colOff>68036</xdr:colOff>
      <xdr:row>6</xdr:row>
      <xdr:rowOff>258536</xdr:rowOff>
    </xdr:to>
    <xdr:sp macro="" textlink="">
      <xdr:nvSpPr>
        <xdr:cNvPr id="237" name="矩形: 圆角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/>
      </xdr:nvSpPr>
      <xdr:spPr>
        <a:xfrm>
          <a:off x="16280130" y="874395"/>
          <a:ext cx="1862455" cy="895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4000"/>
            <a:t>管理面</a:t>
          </a:r>
        </a:p>
      </xdr:txBody>
    </xdr:sp>
    <xdr:clientData/>
  </xdr:twoCellAnchor>
  <xdr:twoCellAnchor>
    <xdr:from>
      <xdr:col>21</xdr:col>
      <xdr:colOff>649260</xdr:colOff>
      <xdr:row>11</xdr:row>
      <xdr:rowOff>142355</xdr:rowOff>
    </xdr:from>
    <xdr:to>
      <xdr:col>27</xdr:col>
      <xdr:colOff>471228</xdr:colOff>
      <xdr:row>16</xdr:row>
      <xdr:rowOff>41564</xdr:rowOff>
    </xdr:to>
    <xdr:cxnSp macro="">
      <xdr:nvCxnSpPr>
        <xdr:cNvPr id="239" name="直接连接符 238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CxnSpPr>
          <a:stCxn id="156" idx="2"/>
          <a:endCxn id="219" idx="0"/>
        </xdr:cNvCxnSpPr>
      </xdr:nvCxnSpPr>
      <xdr:spPr>
        <a:xfrm flipH="1">
          <a:off x="16464280" y="2987040"/>
          <a:ext cx="4340860" cy="123253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718533</xdr:colOff>
      <xdr:row>11</xdr:row>
      <xdr:rowOff>142355</xdr:rowOff>
    </xdr:from>
    <xdr:to>
      <xdr:col>27</xdr:col>
      <xdr:colOff>471228</xdr:colOff>
      <xdr:row>16</xdr:row>
      <xdr:rowOff>41565</xdr:rowOff>
    </xdr:to>
    <xdr:cxnSp macro="">
      <xdr:nvCxnSpPr>
        <xdr:cNvPr id="242" name="直接连接符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CxnSpPr>
          <a:stCxn id="221" idx="0"/>
          <a:endCxn id="156" idx="2"/>
        </xdr:cNvCxnSpPr>
      </xdr:nvCxnSpPr>
      <xdr:spPr>
        <a:xfrm flipV="1">
          <a:off x="18792825" y="2987040"/>
          <a:ext cx="2012315" cy="123253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314326</xdr:colOff>
      <xdr:row>16</xdr:row>
      <xdr:rowOff>27709</xdr:rowOff>
    </xdr:from>
    <xdr:to>
      <xdr:col>28</xdr:col>
      <xdr:colOff>314326</xdr:colOff>
      <xdr:row>16</xdr:row>
      <xdr:rowOff>27709</xdr:rowOff>
    </xdr:to>
    <xdr:cxnSp macro="">
      <xdr:nvCxnSpPr>
        <xdr:cNvPr id="244" name="直接连接符 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CxnSpPr>
          <a:stCxn id="225" idx="0"/>
          <a:endCxn id="225" idx="0"/>
        </xdr:cNvCxnSpPr>
      </xdr:nvCxnSpPr>
      <xdr:spPr>
        <a:xfrm>
          <a:off x="21401405" y="420560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646835</xdr:colOff>
      <xdr:row>12</xdr:row>
      <xdr:rowOff>3117</xdr:rowOff>
    </xdr:from>
    <xdr:to>
      <xdr:col>34</xdr:col>
      <xdr:colOff>529071</xdr:colOff>
      <xdr:row>16</xdr:row>
      <xdr:rowOff>41564</xdr:rowOff>
    </xdr:to>
    <xdr:cxnSp macro="">
      <xdr:nvCxnSpPr>
        <xdr:cNvPr id="248" name="直接连接符 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CxnSpPr>
          <a:stCxn id="219" idx="0"/>
          <a:endCxn id="233" idx="2"/>
        </xdr:cNvCxnSpPr>
      </xdr:nvCxnSpPr>
      <xdr:spPr>
        <a:xfrm flipV="1">
          <a:off x="16461740" y="3114040"/>
          <a:ext cx="9672955" cy="1105535"/>
        </a:xfrm>
        <a:prstGeom prst="line">
          <a:avLst/>
        </a:prstGeom>
        <a:ln w="2540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716108</xdr:colOff>
      <xdr:row>12</xdr:row>
      <xdr:rowOff>3117</xdr:rowOff>
    </xdr:from>
    <xdr:to>
      <xdr:col>34</xdr:col>
      <xdr:colOff>529071</xdr:colOff>
      <xdr:row>16</xdr:row>
      <xdr:rowOff>41565</xdr:rowOff>
    </xdr:to>
    <xdr:cxnSp macro="">
      <xdr:nvCxnSpPr>
        <xdr:cNvPr id="250" name="直接连接符 249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CxnSpPr>
          <a:stCxn id="221" idx="0"/>
          <a:endCxn id="233" idx="2"/>
        </xdr:cNvCxnSpPr>
      </xdr:nvCxnSpPr>
      <xdr:spPr>
        <a:xfrm flipV="1">
          <a:off x="18790285" y="3114040"/>
          <a:ext cx="7344410" cy="1105535"/>
        </a:xfrm>
        <a:prstGeom prst="line">
          <a:avLst/>
        </a:prstGeom>
        <a:ln w="2540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314326</xdr:colOff>
      <xdr:row>12</xdr:row>
      <xdr:rowOff>3117</xdr:rowOff>
    </xdr:from>
    <xdr:to>
      <xdr:col>34</xdr:col>
      <xdr:colOff>529071</xdr:colOff>
      <xdr:row>16</xdr:row>
      <xdr:rowOff>27709</xdr:rowOff>
    </xdr:to>
    <xdr:cxnSp macro="">
      <xdr:nvCxnSpPr>
        <xdr:cNvPr id="252" name="直接连接符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CxnSpPr>
          <a:stCxn id="225" idx="0"/>
          <a:endCxn id="233" idx="2"/>
        </xdr:cNvCxnSpPr>
      </xdr:nvCxnSpPr>
      <xdr:spPr>
        <a:xfrm flipV="1">
          <a:off x="21401405" y="3114040"/>
          <a:ext cx="4733290" cy="1091565"/>
        </a:xfrm>
        <a:prstGeom prst="line">
          <a:avLst/>
        </a:prstGeom>
        <a:ln w="2540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78798</xdr:colOff>
      <xdr:row>12</xdr:row>
      <xdr:rowOff>3117</xdr:rowOff>
    </xdr:from>
    <xdr:to>
      <xdr:col>34</xdr:col>
      <xdr:colOff>529071</xdr:colOff>
      <xdr:row>16</xdr:row>
      <xdr:rowOff>41563</xdr:rowOff>
    </xdr:to>
    <xdr:cxnSp macro="">
      <xdr:nvCxnSpPr>
        <xdr:cNvPr id="254" name="直接连接符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CxnSpPr>
          <a:stCxn id="226" idx="0"/>
          <a:endCxn id="233" idx="2"/>
        </xdr:cNvCxnSpPr>
      </xdr:nvCxnSpPr>
      <xdr:spPr>
        <a:xfrm flipV="1">
          <a:off x="23425150" y="3114040"/>
          <a:ext cx="2709545" cy="1105535"/>
        </a:xfrm>
        <a:prstGeom prst="line">
          <a:avLst/>
        </a:prstGeom>
        <a:ln w="2540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333661</xdr:colOff>
      <xdr:row>11</xdr:row>
      <xdr:rowOff>266353</xdr:rowOff>
    </xdr:from>
    <xdr:to>
      <xdr:col>41</xdr:col>
      <xdr:colOff>518222</xdr:colOff>
      <xdr:row>16</xdr:row>
      <xdr:rowOff>256308</xdr:rowOff>
    </xdr:to>
    <xdr:cxnSp macro="">
      <xdr:nvCxnSpPr>
        <xdr:cNvPr id="255" name="直接连接符 254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CxnSpPr>
          <a:stCxn id="227" idx="0"/>
          <a:endCxn id="232" idx="2"/>
        </xdr:cNvCxnSpPr>
      </xdr:nvCxnSpPr>
      <xdr:spPr>
        <a:xfrm flipV="1">
          <a:off x="25186005" y="3110865"/>
          <a:ext cx="6209665" cy="1323340"/>
        </a:xfrm>
        <a:prstGeom prst="line">
          <a:avLst/>
        </a:prstGeom>
        <a:ln w="2540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364375</xdr:colOff>
      <xdr:row>11</xdr:row>
      <xdr:rowOff>266353</xdr:rowOff>
    </xdr:from>
    <xdr:to>
      <xdr:col>41</xdr:col>
      <xdr:colOff>518222</xdr:colOff>
      <xdr:row>17</xdr:row>
      <xdr:rowOff>0</xdr:rowOff>
    </xdr:to>
    <xdr:cxnSp macro="">
      <xdr:nvCxnSpPr>
        <xdr:cNvPr id="258" name="直接连接符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CxnSpPr>
          <a:stCxn id="228" idx="0"/>
          <a:endCxn id="232" idx="2"/>
        </xdr:cNvCxnSpPr>
      </xdr:nvCxnSpPr>
      <xdr:spPr>
        <a:xfrm flipV="1">
          <a:off x="27475815" y="3110865"/>
          <a:ext cx="3919855" cy="1334135"/>
        </a:xfrm>
        <a:prstGeom prst="line">
          <a:avLst/>
        </a:prstGeom>
        <a:ln w="2540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158747</xdr:colOff>
      <xdr:row>11</xdr:row>
      <xdr:rowOff>266353</xdr:rowOff>
    </xdr:from>
    <xdr:to>
      <xdr:col>41</xdr:col>
      <xdr:colOff>518222</xdr:colOff>
      <xdr:row>17</xdr:row>
      <xdr:rowOff>19050</xdr:rowOff>
    </xdr:to>
    <xdr:cxnSp macro="">
      <xdr:nvCxnSpPr>
        <xdr:cNvPr id="261" name="直接连接符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CxnSpPr>
          <a:stCxn id="229" idx="0"/>
          <a:endCxn id="232" idx="2"/>
        </xdr:cNvCxnSpPr>
      </xdr:nvCxnSpPr>
      <xdr:spPr>
        <a:xfrm flipV="1">
          <a:off x="29529405" y="3110865"/>
          <a:ext cx="1866265" cy="1353185"/>
        </a:xfrm>
        <a:prstGeom prst="line">
          <a:avLst/>
        </a:prstGeom>
        <a:ln w="2540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518222</xdr:colOff>
      <xdr:row>11</xdr:row>
      <xdr:rowOff>266353</xdr:rowOff>
    </xdr:from>
    <xdr:to>
      <xdr:col>42</xdr:col>
      <xdr:colOff>18210</xdr:colOff>
      <xdr:row>15</xdr:row>
      <xdr:rowOff>171450</xdr:rowOff>
    </xdr:to>
    <xdr:cxnSp macro="">
      <xdr:nvCxnSpPr>
        <xdr:cNvPr id="264" name="直接连接符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CxnSpPr>
          <a:stCxn id="230" idx="0"/>
          <a:endCxn id="232" idx="2"/>
        </xdr:cNvCxnSpPr>
      </xdr:nvCxnSpPr>
      <xdr:spPr>
        <a:xfrm flipH="1" flipV="1">
          <a:off x="31395670" y="3110865"/>
          <a:ext cx="252730" cy="972185"/>
        </a:xfrm>
        <a:prstGeom prst="line">
          <a:avLst/>
        </a:prstGeom>
        <a:ln w="2540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518222</xdr:colOff>
      <xdr:row>11</xdr:row>
      <xdr:rowOff>266353</xdr:rowOff>
    </xdr:from>
    <xdr:to>
      <xdr:col>44</xdr:col>
      <xdr:colOff>696166</xdr:colOff>
      <xdr:row>15</xdr:row>
      <xdr:rowOff>133350</xdr:rowOff>
    </xdr:to>
    <xdr:cxnSp macro="">
      <xdr:nvCxnSpPr>
        <xdr:cNvPr id="267" name="直接连接符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CxnSpPr>
          <a:stCxn id="231" idx="0"/>
          <a:endCxn id="232" idx="2"/>
        </xdr:cNvCxnSpPr>
      </xdr:nvCxnSpPr>
      <xdr:spPr>
        <a:xfrm flipH="1" flipV="1">
          <a:off x="31395670" y="3110865"/>
          <a:ext cx="2437130" cy="934085"/>
        </a:xfrm>
        <a:prstGeom prst="line">
          <a:avLst/>
        </a:prstGeom>
        <a:ln w="25400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471772</xdr:colOff>
      <xdr:row>4</xdr:row>
      <xdr:rowOff>94153</xdr:rowOff>
    </xdr:from>
    <xdr:to>
      <xdr:col>32</xdr:col>
      <xdr:colOff>174571</xdr:colOff>
      <xdr:row>10</xdr:row>
      <xdr:rowOff>12815</xdr:rowOff>
    </xdr:to>
    <xdr:cxnSp macro="">
      <xdr:nvCxnSpPr>
        <xdr:cNvPr id="277" name="直接连接符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CxnSpPr>
          <a:stCxn id="154" idx="2"/>
          <a:endCxn id="156" idx="0"/>
        </xdr:cNvCxnSpPr>
      </xdr:nvCxnSpPr>
      <xdr:spPr>
        <a:xfrm flipH="1">
          <a:off x="20805140" y="1071880"/>
          <a:ext cx="3468370" cy="1518920"/>
        </a:xfrm>
        <a:prstGeom prst="line">
          <a:avLst/>
        </a:prstGeom>
        <a:ln w="2540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471772</xdr:colOff>
      <xdr:row>4</xdr:row>
      <xdr:rowOff>94153</xdr:rowOff>
    </xdr:from>
    <xdr:to>
      <xdr:col>35</xdr:col>
      <xdr:colOff>321891</xdr:colOff>
      <xdr:row>10</xdr:row>
      <xdr:rowOff>12815</xdr:rowOff>
    </xdr:to>
    <xdr:cxnSp macro="">
      <xdr:nvCxnSpPr>
        <xdr:cNvPr id="281" name="直接连接符 280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CxnSpPr>
          <a:stCxn id="155" idx="2"/>
          <a:endCxn id="156" idx="0"/>
        </xdr:cNvCxnSpPr>
      </xdr:nvCxnSpPr>
      <xdr:spPr>
        <a:xfrm flipH="1">
          <a:off x="20805140" y="1071880"/>
          <a:ext cx="5875020" cy="1518920"/>
        </a:xfrm>
        <a:prstGeom prst="line">
          <a:avLst/>
        </a:prstGeom>
        <a:ln w="2540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174571</xdr:colOff>
      <xdr:row>4</xdr:row>
      <xdr:rowOff>94153</xdr:rowOff>
    </xdr:from>
    <xdr:to>
      <xdr:col>34</xdr:col>
      <xdr:colOff>532040</xdr:colOff>
      <xdr:row>10</xdr:row>
      <xdr:rowOff>133350</xdr:rowOff>
    </xdr:to>
    <xdr:cxnSp macro="">
      <xdr:nvCxnSpPr>
        <xdr:cNvPr id="284" name="直接连接符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CxnSpPr>
          <a:stCxn id="233" idx="0"/>
          <a:endCxn id="154" idx="2"/>
        </xdr:cNvCxnSpPr>
      </xdr:nvCxnSpPr>
      <xdr:spPr>
        <a:xfrm flipH="1" flipV="1">
          <a:off x="24273510" y="1071880"/>
          <a:ext cx="1863725" cy="163957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532040</xdr:colOff>
      <xdr:row>4</xdr:row>
      <xdr:rowOff>94153</xdr:rowOff>
    </xdr:from>
    <xdr:to>
      <xdr:col>35</xdr:col>
      <xdr:colOff>321891</xdr:colOff>
      <xdr:row>10</xdr:row>
      <xdr:rowOff>133350</xdr:rowOff>
    </xdr:to>
    <xdr:cxnSp macro="">
      <xdr:nvCxnSpPr>
        <xdr:cNvPr id="287" name="直接连接符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CxnSpPr>
          <a:stCxn id="233" idx="0"/>
          <a:endCxn id="155" idx="2"/>
        </xdr:cNvCxnSpPr>
      </xdr:nvCxnSpPr>
      <xdr:spPr>
        <a:xfrm flipV="1">
          <a:off x="26137235" y="1071880"/>
          <a:ext cx="542925" cy="163957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177539</xdr:colOff>
      <xdr:row>4</xdr:row>
      <xdr:rowOff>94153</xdr:rowOff>
    </xdr:from>
    <xdr:to>
      <xdr:col>41</xdr:col>
      <xdr:colOff>517814</xdr:colOff>
      <xdr:row>10</xdr:row>
      <xdr:rowOff>131109</xdr:rowOff>
    </xdr:to>
    <xdr:cxnSp macro="">
      <xdr:nvCxnSpPr>
        <xdr:cNvPr id="290" name="直接连接符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CxnSpPr>
          <a:stCxn id="232" idx="0"/>
          <a:endCxn id="154" idx="2"/>
        </xdr:cNvCxnSpPr>
      </xdr:nvCxnSpPr>
      <xdr:spPr>
        <a:xfrm flipH="1" flipV="1">
          <a:off x="24276685" y="1071880"/>
          <a:ext cx="7118350" cy="163703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324860</xdr:colOff>
      <xdr:row>4</xdr:row>
      <xdr:rowOff>94153</xdr:rowOff>
    </xdr:from>
    <xdr:to>
      <xdr:col>41</xdr:col>
      <xdr:colOff>517814</xdr:colOff>
      <xdr:row>10</xdr:row>
      <xdr:rowOff>131109</xdr:rowOff>
    </xdr:to>
    <xdr:cxnSp macro="">
      <xdr:nvCxnSpPr>
        <xdr:cNvPr id="294" name="直接连接符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CxnSpPr>
          <a:stCxn id="232" idx="0"/>
          <a:endCxn id="155" idx="2"/>
        </xdr:cNvCxnSpPr>
      </xdr:nvCxnSpPr>
      <xdr:spPr>
        <a:xfrm flipH="1" flipV="1">
          <a:off x="26683335" y="1071880"/>
          <a:ext cx="4711700" cy="163703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293915</xdr:colOff>
      <xdr:row>10</xdr:row>
      <xdr:rowOff>32656</xdr:rowOff>
    </xdr:from>
    <xdr:to>
      <xdr:col>29</xdr:col>
      <xdr:colOff>274864</xdr:colOff>
      <xdr:row>11</xdr:row>
      <xdr:rowOff>162196</xdr:rowOff>
    </xdr:to>
    <xdr:pic>
      <xdr:nvPicPr>
        <xdr:cNvPr id="297" name="图片 296" descr="接入交换机.png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380450" y="2610485"/>
          <a:ext cx="734060" cy="396240"/>
        </a:xfrm>
        <a:prstGeom prst="rect">
          <a:avLst/>
        </a:prstGeom>
      </xdr:spPr>
    </xdr:pic>
    <xdr:clientData/>
  </xdr:twoCellAnchor>
  <xdr:twoCellAnchor>
    <xdr:from>
      <xdr:col>28</xdr:col>
      <xdr:colOff>654504</xdr:colOff>
      <xdr:row>4</xdr:row>
      <xdr:rowOff>94153</xdr:rowOff>
    </xdr:from>
    <xdr:to>
      <xdr:col>35</xdr:col>
      <xdr:colOff>321891</xdr:colOff>
      <xdr:row>10</xdr:row>
      <xdr:rowOff>32656</xdr:rowOff>
    </xdr:to>
    <xdr:cxnSp macro="">
      <xdr:nvCxnSpPr>
        <xdr:cNvPr id="298" name="直接连接符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CxnSpPr>
          <a:stCxn id="155" idx="2"/>
          <a:endCxn id="297" idx="0"/>
        </xdr:cNvCxnSpPr>
      </xdr:nvCxnSpPr>
      <xdr:spPr>
        <a:xfrm flipH="1">
          <a:off x="21741130" y="1071880"/>
          <a:ext cx="4939030" cy="1538605"/>
        </a:xfrm>
        <a:prstGeom prst="line">
          <a:avLst/>
        </a:prstGeom>
        <a:ln w="2540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654504</xdr:colOff>
      <xdr:row>4</xdr:row>
      <xdr:rowOff>94153</xdr:rowOff>
    </xdr:from>
    <xdr:to>
      <xdr:col>32</xdr:col>
      <xdr:colOff>174571</xdr:colOff>
      <xdr:row>10</xdr:row>
      <xdr:rowOff>32656</xdr:rowOff>
    </xdr:to>
    <xdr:cxnSp macro="">
      <xdr:nvCxnSpPr>
        <xdr:cNvPr id="301" name="直接连接符 300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CxnSpPr>
          <a:stCxn id="154" idx="2"/>
          <a:endCxn id="297" idx="0"/>
        </xdr:cNvCxnSpPr>
      </xdr:nvCxnSpPr>
      <xdr:spPr>
        <a:xfrm flipH="1">
          <a:off x="21741130" y="1071880"/>
          <a:ext cx="2532380" cy="1538605"/>
        </a:xfrm>
        <a:prstGeom prst="line">
          <a:avLst/>
        </a:prstGeom>
        <a:ln w="2540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649804</xdr:colOff>
      <xdr:row>11</xdr:row>
      <xdr:rowOff>162196</xdr:rowOff>
    </xdr:from>
    <xdr:to>
      <xdr:col>28</xdr:col>
      <xdr:colOff>654504</xdr:colOff>
      <xdr:row>16</xdr:row>
      <xdr:rowOff>41564</xdr:rowOff>
    </xdr:to>
    <xdr:cxnSp macro="">
      <xdr:nvCxnSpPr>
        <xdr:cNvPr id="304" name="直接连接符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CxnSpPr>
          <a:stCxn id="297" idx="2"/>
          <a:endCxn id="219" idx="0"/>
        </xdr:cNvCxnSpPr>
      </xdr:nvCxnSpPr>
      <xdr:spPr>
        <a:xfrm flipH="1">
          <a:off x="16464915" y="3006725"/>
          <a:ext cx="5276215" cy="12128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719077</xdr:colOff>
      <xdr:row>11</xdr:row>
      <xdr:rowOff>162196</xdr:rowOff>
    </xdr:from>
    <xdr:to>
      <xdr:col>28</xdr:col>
      <xdr:colOff>654504</xdr:colOff>
      <xdr:row>16</xdr:row>
      <xdr:rowOff>41565</xdr:rowOff>
    </xdr:to>
    <xdr:cxnSp macro="">
      <xdr:nvCxnSpPr>
        <xdr:cNvPr id="307" name="直接连接符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CxnSpPr>
          <a:stCxn id="221" idx="0"/>
          <a:endCxn id="297" idx="2"/>
        </xdr:cNvCxnSpPr>
      </xdr:nvCxnSpPr>
      <xdr:spPr>
        <a:xfrm flipV="1">
          <a:off x="18793460" y="3006725"/>
          <a:ext cx="2947670" cy="12128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548640</xdr:colOff>
      <xdr:row>15</xdr:row>
      <xdr:rowOff>232956</xdr:rowOff>
    </xdr:from>
    <xdr:to>
      <xdr:col>8</xdr:col>
      <xdr:colOff>133350</xdr:colOff>
      <xdr:row>18</xdr:row>
      <xdr:rowOff>146596</xdr:rowOff>
    </xdr:to>
    <xdr:pic>
      <xdr:nvPicPr>
        <xdr:cNvPr id="165" name="图片 164" descr="交换机.png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5820410" y="4144010"/>
          <a:ext cx="337820" cy="713740"/>
        </a:xfrm>
        <a:prstGeom prst="rect">
          <a:avLst/>
        </a:prstGeom>
      </xdr:spPr>
    </xdr:pic>
    <xdr:clientData/>
  </xdr:twoCellAnchor>
  <xdr:twoCellAnchor>
    <xdr:from>
      <xdr:col>7</xdr:col>
      <xdr:colOff>378460</xdr:colOff>
      <xdr:row>13</xdr:row>
      <xdr:rowOff>205105</xdr:rowOff>
    </xdr:from>
    <xdr:to>
      <xdr:col>7</xdr:col>
      <xdr:colOff>710565</xdr:colOff>
      <xdr:row>15</xdr:row>
      <xdr:rowOff>232956</xdr:rowOff>
    </xdr:to>
    <xdr:cxnSp macro="">
      <xdr:nvCxnSpPr>
        <xdr:cNvPr id="166" name="直接连接符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CxnSpPr>
          <a:stCxn id="21" idx="2"/>
          <a:endCxn id="165" idx="0"/>
        </xdr:cNvCxnSpPr>
      </xdr:nvCxnSpPr>
      <xdr:spPr>
        <a:xfrm>
          <a:off x="5650230" y="3583305"/>
          <a:ext cx="332105" cy="56070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710565</xdr:colOff>
      <xdr:row>13</xdr:row>
      <xdr:rowOff>205105</xdr:rowOff>
    </xdr:from>
    <xdr:to>
      <xdr:col>9</xdr:col>
      <xdr:colOff>375920</xdr:colOff>
      <xdr:row>15</xdr:row>
      <xdr:rowOff>232956</xdr:rowOff>
    </xdr:to>
    <xdr:cxnSp macro="">
      <xdr:nvCxnSpPr>
        <xdr:cNvPr id="169" name="直接连接符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CxnSpPr>
          <a:stCxn id="22" idx="2"/>
          <a:endCxn id="165" idx="0"/>
        </xdr:cNvCxnSpPr>
      </xdr:nvCxnSpPr>
      <xdr:spPr>
        <a:xfrm flipH="1">
          <a:off x="5982335" y="3583305"/>
          <a:ext cx="1171575" cy="560705"/>
        </a:xfrm>
        <a:prstGeom prst="line">
          <a:avLst/>
        </a:prstGeom>
        <a:ln>
          <a:prstDash val="lgDashDotDot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124754</xdr:colOff>
      <xdr:row>36</xdr:row>
      <xdr:rowOff>3027</xdr:rowOff>
    </xdr:from>
    <xdr:to>
      <xdr:col>17</xdr:col>
      <xdr:colOff>223973</xdr:colOff>
      <xdr:row>39</xdr:row>
      <xdr:rowOff>91002</xdr:rowOff>
    </xdr:to>
    <xdr:grpSp>
      <xdr:nvGrpSpPr>
        <xdr:cNvPr id="145" name="组合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GrpSpPr/>
      </xdr:nvGrpSpPr>
      <xdr:grpSpPr>
        <a:xfrm>
          <a:off x="11873409" y="9396409"/>
          <a:ext cx="833509" cy="877684"/>
          <a:chOff x="40516" y="1441"/>
          <a:chExt cx="1326" cy="1312"/>
        </a:xfrm>
      </xdr:grpSpPr>
      <xdr:pic>
        <xdr:nvPicPr>
          <xdr:cNvPr id="146" name="图片 145" descr="汇聚交换机.png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40516" y="1441"/>
            <a:ext cx="1327" cy="1312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grpSp>
        <xdr:nvGrpSpPr>
          <xdr:cNvPr id="147" name="组合 146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GrpSpPr/>
        </xdr:nvGrpSpPr>
        <xdr:grpSpPr>
          <a:xfrm>
            <a:off x="40584" y="1508"/>
            <a:ext cx="1187" cy="984"/>
            <a:chOff x="40584" y="1509"/>
            <a:chExt cx="1188" cy="983"/>
          </a:xfrm>
        </xdr:grpSpPr>
        <xdr:sp macro="" textlink="">
          <xdr:nvSpPr>
            <xdr:cNvPr id="148" name="圆角矩形 7">
              <a:extLst>
                <a:ext uri="{FF2B5EF4-FFF2-40B4-BE49-F238E27FC236}">
                  <a16:creationId xmlns:a16="http://schemas.microsoft.com/office/drawing/2014/main" id="{00000000-0008-0000-0400-000094000000}"/>
                </a:ext>
              </a:extLst>
            </xdr:cNvPr>
            <xdr:cNvSpPr/>
          </xdr:nvSpPr>
          <xdr:spPr>
            <a:xfrm>
              <a:off x="40584" y="1509"/>
              <a:ext cx="1189" cy="591"/>
            </a:xfrm>
            <a:prstGeom prst="roundRect">
              <a:avLst/>
            </a:prstGeom>
            <a:noFill/>
            <a:ln w="0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1262AA"/>
                  </a:solidFill>
                </a14:hiddenFill>
              </a:ext>
            </a:extLst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圆角矩形 8">
              <a:extLst>
                <a:ext uri="{FF2B5EF4-FFF2-40B4-BE49-F238E27FC236}">
                  <a16:creationId xmlns:a16="http://schemas.microsoft.com/office/drawing/2014/main" id="{00000000-0008-0000-0400-000095000000}"/>
                </a:ext>
              </a:extLst>
            </xdr:cNvPr>
            <xdr:cNvSpPr/>
          </xdr:nvSpPr>
          <xdr:spPr>
            <a:xfrm>
              <a:off x="40584" y="2096"/>
              <a:ext cx="1184" cy="397"/>
            </a:xfrm>
            <a:prstGeom prst="roundRect">
              <a:avLst/>
            </a:prstGeom>
            <a:noFill/>
            <a:ln w="0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1262AA"/>
                  </a:solidFill>
                </a14:hiddenFill>
              </a:ext>
            </a:extLst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12</xdr:col>
      <xdr:colOff>566057</xdr:colOff>
      <xdr:row>36</xdr:row>
      <xdr:rowOff>3027</xdr:rowOff>
    </xdr:from>
    <xdr:to>
      <xdr:col>13</xdr:col>
      <xdr:colOff>665277</xdr:colOff>
      <xdr:row>39</xdr:row>
      <xdr:rowOff>91002</xdr:rowOff>
    </xdr:to>
    <xdr:grpSp>
      <xdr:nvGrpSpPr>
        <xdr:cNvPr id="150" name="组合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GrpSpPr/>
      </xdr:nvGrpSpPr>
      <xdr:grpSpPr>
        <a:xfrm>
          <a:off x="9377548" y="9396409"/>
          <a:ext cx="833511" cy="877684"/>
          <a:chOff x="36539" y="1441"/>
          <a:chExt cx="1326" cy="1312"/>
        </a:xfrm>
      </xdr:grpSpPr>
      <xdr:pic>
        <xdr:nvPicPr>
          <xdr:cNvPr id="151" name="图片 150" descr="汇聚交换机.png">
            <a:extLst>
              <a:ext uri="{FF2B5EF4-FFF2-40B4-BE49-F238E27FC236}">
                <a16:creationId xmlns:a16="http://schemas.microsoft.com/office/drawing/2014/main" id="{00000000-0008-0000-0400-000097000000}"/>
              </a:ext>
            </a:extLst>
          </xdr:cNvPr>
          <xdr:cNvPicPr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36539" y="1441"/>
            <a:ext cx="1326" cy="1312"/>
          </a:xfrm>
          <a:prstGeom prst="rect">
            <a:avLst/>
          </a:prstGeom>
        </xdr:spPr>
      </xdr:pic>
      <xdr:grpSp>
        <xdr:nvGrpSpPr>
          <xdr:cNvPr id="152" name="组合 151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GrpSpPr/>
        </xdr:nvGrpSpPr>
        <xdr:grpSpPr>
          <a:xfrm>
            <a:off x="36607" y="1505"/>
            <a:ext cx="1187" cy="985"/>
            <a:chOff x="36607" y="1506"/>
            <a:chExt cx="1188" cy="984"/>
          </a:xfrm>
        </xdr:grpSpPr>
        <xdr:sp macro="" textlink="">
          <xdr:nvSpPr>
            <xdr:cNvPr id="153" name="圆角矩形 12">
              <a:extLst>
                <a:ext uri="{FF2B5EF4-FFF2-40B4-BE49-F238E27FC236}">
                  <a16:creationId xmlns:a16="http://schemas.microsoft.com/office/drawing/2014/main" id="{00000000-0008-0000-0400-000099000000}"/>
                </a:ext>
              </a:extLst>
            </xdr:cNvPr>
            <xdr:cNvSpPr/>
          </xdr:nvSpPr>
          <xdr:spPr>
            <a:xfrm>
              <a:off x="36607" y="1506"/>
              <a:ext cx="1188" cy="591"/>
            </a:xfrm>
            <a:prstGeom prst="roundRect">
              <a:avLst/>
            </a:prstGeom>
            <a:noFill/>
            <a:ln w="0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1262AA"/>
                  </a:solidFill>
                </a14:hiddenFill>
              </a:ext>
            </a:extLst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  <xdr:sp macro="" textlink="">
          <xdr:nvSpPr>
            <xdr:cNvPr id="157" name="圆角矩形 13">
              <a:extLst>
                <a:ext uri="{FF2B5EF4-FFF2-40B4-BE49-F238E27FC236}">
                  <a16:creationId xmlns:a16="http://schemas.microsoft.com/office/drawing/2014/main" id="{00000000-0008-0000-0400-00009D000000}"/>
                </a:ext>
              </a:extLst>
            </xdr:cNvPr>
            <xdr:cNvSpPr/>
          </xdr:nvSpPr>
          <xdr:spPr>
            <a:xfrm>
              <a:off x="36607" y="2094"/>
              <a:ext cx="1183" cy="397"/>
            </a:xfrm>
            <a:prstGeom prst="roundRect">
              <a:avLst/>
            </a:prstGeom>
            <a:noFill/>
            <a:ln w="0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1262AA"/>
                  </a:solidFill>
                </a14:hiddenFill>
              </a:ext>
            </a:extLst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12</xdr:col>
      <xdr:colOff>587161</xdr:colOff>
      <xdr:row>30</xdr:row>
      <xdr:rowOff>73230</xdr:rowOff>
    </xdr:from>
    <xdr:to>
      <xdr:col>13</xdr:col>
      <xdr:colOff>572961</xdr:colOff>
      <xdr:row>31</xdr:row>
      <xdr:rowOff>208213</xdr:rowOff>
    </xdr:to>
    <xdr:pic>
      <xdr:nvPicPr>
        <xdr:cNvPr id="158" name="图片 157" descr="接入交换机.png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624060" y="7949565"/>
          <a:ext cx="739140" cy="401320"/>
        </a:xfrm>
        <a:prstGeom prst="rect">
          <a:avLst/>
        </a:prstGeom>
      </xdr:spPr>
    </xdr:pic>
    <xdr:clientData/>
  </xdr:twoCellAnchor>
  <xdr:twoCellAnchor>
    <xdr:from>
      <xdr:col>14</xdr:col>
      <xdr:colOff>281726</xdr:colOff>
      <xdr:row>30</xdr:row>
      <xdr:rowOff>40573</xdr:rowOff>
    </xdr:from>
    <xdr:to>
      <xdr:col>15</xdr:col>
      <xdr:colOff>267525</xdr:colOff>
      <xdr:row>31</xdr:row>
      <xdr:rowOff>175556</xdr:rowOff>
    </xdr:to>
    <xdr:pic>
      <xdr:nvPicPr>
        <xdr:cNvPr id="159" name="图片 158" descr="接入交换机.png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24845" y="7916545"/>
          <a:ext cx="739140" cy="401955"/>
        </a:xfrm>
        <a:prstGeom prst="rect">
          <a:avLst/>
        </a:prstGeom>
      </xdr:spPr>
    </xdr:pic>
    <xdr:clientData/>
  </xdr:twoCellAnchor>
  <xdr:twoCellAnchor>
    <xdr:from>
      <xdr:col>15</xdr:col>
      <xdr:colOff>731248</xdr:colOff>
      <xdr:row>30</xdr:row>
      <xdr:rowOff>32657</xdr:rowOff>
    </xdr:from>
    <xdr:to>
      <xdr:col>16</xdr:col>
      <xdr:colOff>717047</xdr:colOff>
      <xdr:row>31</xdr:row>
      <xdr:rowOff>167640</xdr:rowOff>
    </xdr:to>
    <xdr:pic>
      <xdr:nvPicPr>
        <xdr:cNvPr id="160" name="图片 159" descr="接入交换机.png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027535" y="7908925"/>
          <a:ext cx="739140" cy="401955"/>
        </a:xfrm>
        <a:prstGeom prst="rect">
          <a:avLst/>
        </a:prstGeom>
      </xdr:spPr>
    </xdr:pic>
    <xdr:clientData/>
  </xdr:twoCellAnchor>
  <xdr:twoCellAnchor>
    <xdr:from>
      <xdr:col>13</xdr:col>
      <xdr:colOff>209947</xdr:colOff>
      <xdr:row>31</xdr:row>
      <xdr:rowOff>208213</xdr:rowOff>
    </xdr:from>
    <xdr:to>
      <xdr:col>13</xdr:col>
      <xdr:colOff>244604</xdr:colOff>
      <xdr:row>36</xdr:row>
      <xdr:rowOff>47144</xdr:rowOff>
    </xdr:to>
    <xdr:cxnSp macro="">
      <xdr:nvCxnSpPr>
        <xdr:cNvPr id="161" name="直接连接符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CxnSpPr>
          <a:stCxn id="158" idx="2"/>
          <a:endCxn id="153" idx="0"/>
        </xdr:cNvCxnSpPr>
      </xdr:nvCxnSpPr>
      <xdr:spPr>
        <a:xfrm>
          <a:off x="9999980" y="8350885"/>
          <a:ext cx="34925" cy="1172845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245553</xdr:colOff>
      <xdr:row>31</xdr:row>
      <xdr:rowOff>175556</xdr:rowOff>
    </xdr:from>
    <xdr:to>
      <xdr:col>14</xdr:col>
      <xdr:colOff>644740</xdr:colOff>
      <xdr:row>36</xdr:row>
      <xdr:rowOff>3027</xdr:rowOff>
    </xdr:to>
    <xdr:cxnSp macro="">
      <xdr:nvCxnSpPr>
        <xdr:cNvPr id="162" name="直接连接符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CxnSpPr>
          <a:stCxn id="159" idx="2"/>
          <a:endCxn id="151" idx="0"/>
        </xdr:cNvCxnSpPr>
      </xdr:nvCxnSpPr>
      <xdr:spPr>
        <a:xfrm flipH="1">
          <a:off x="10035540" y="8318500"/>
          <a:ext cx="1152525" cy="116078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245553</xdr:colOff>
      <xdr:row>31</xdr:row>
      <xdr:rowOff>167640</xdr:rowOff>
    </xdr:from>
    <xdr:to>
      <xdr:col>16</xdr:col>
      <xdr:colOff>354034</xdr:colOff>
      <xdr:row>36</xdr:row>
      <xdr:rowOff>3027</xdr:rowOff>
    </xdr:to>
    <xdr:cxnSp macro="">
      <xdr:nvCxnSpPr>
        <xdr:cNvPr id="163" name="直接连接符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CxnSpPr>
          <a:stCxn id="160" idx="2"/>
          <a:endCxn id="151" idx="0"/>
        </xdr:cNvCxnSpPr>
      </xdr:nvCxnSpPr>
      <xdr:spPr>
        <a:xfrm flipH="1">
          <a:off x="10035540" y="8310880"/>
          <a:ext cx="2367915" cy="116840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209947</xdr:colOff>
      <xdr:row>31</xdr:row>
      <xdr:rowOff>208213</xdr:rowOff>
    </xdr:from>
    <xdr:to>
      <xdr:col>16</xdr:col>
      <xdr:colOff>544795</xdr:colOff>
      <xdr:row>36</xdr:row>
      <xdr:rowOff>3027</xdr:rowOff>
    </xdr:to>
    <xdr:cxnSp macro="">
      <xdr:nvCxnSpPr>
        <xdr:cNvPr id="164" name="直接连接符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CxnSpPr>
          <a:stCxn id="158" idx="2"/>
          <a:endCxn id="146" idx="0"/>
        </xdr:cNvCxnSpPr>
      </xdr:nvCxnSpPr>
      <xdr:spPr>
        <a:xfrm>
          <a:off x="9999980" y="8350885"/>
          <a:ext cx="2593975" cy="1128395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644740</xdr:colOff>
      <xdr:row>31</xdr:row>
      <xdr:rowOff>175556</xdr:rowOff>
    </xdr:from>
    <xdr:to>
      <xdr:col>16</xdr:col>
      <xdr:colOff>544795</xdr:colOff>
      <xdr:row>36</xdr:row>
      <xdr:rowOff>3027</xdr:rowOff>
    </xdr:to>
    <xdr:cxnSp macro="">
      <xdr:nvCxnSpPr>
        <xdr:cNvPr id="167" name="直接连接符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CxnSpPr>
          <a:stCxn id="159" idx="2"/>
          <a:endCxn id="146" idx="0"/>
        </xdr:cNvCxnSpPr>
      </xdr:nvCxnSpPr>
      <xdr:spPr>
        <a:xfrm>
          <a:off x="11188065" y="8318500"/>
          <a:ext cx="1405890" cy="116078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354034</xdr:colOff>
      <xdr:row>31</xdr:row>
      <xdr:rowOff>167640</xdr:rowOff>
    </xdr:from>
    <xdr:to>
      <xdr:col>16</xdr:col>
      <xdr:colOff>544795</xdr:colOff>
      <xdr:row>36</xdr:row>
      <xdr:rowOff>3027</xdr:rowOff>
    </xdr:to>
    <xdr:cxnSp macro="">
      <xdr:nvCxnSpPr>
        <xdr:cNvPr id="168" name="直接连接符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CxnSpPr>
          <a:stCxn id="160" idx="2"/>
          <a:endCxn id="146" idx="0"/>
        </xdr:cNvCxnSpPr>
      </xdr:nvCxnSpPr>
      <xdr:spPr>
        <a:xfrm>
          <a:off x="12403455" y="8310880"/>
          <a:ext cx="190500" cy="116840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389345</xdr:colOff>
      <xdr:row>18</xdr:row>
      <xdr:rowOff>154487</xdr:rowOff>
    </xdr:from>
    <xdr:to>
      <xdr:col>13</xdr:col>
      <xdr:colOff>209947</xdr:colOff>
      <xdr:row>30</xdr:row>
      <xdr:rowOff>73230</xdr:rowOff>
    </xdr:to>
    <xdr:cxnSp macro="">
      <xdr:nvCxnSpPr>
        <xdr:cNvPr id="170" name="直接连接符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stCxn id="29" idx="2"/>
          <a:endCxn id="158" idx="0"/>
        </xdr:cNvCxnSpPr>
      </xdr:nvCxnSpPr>
      <xdr:spPr>
        <a:xfrm>
          <a:off x="6414135" y="4866005"/>
          <a:ext cx="3585845" cy="308356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51889</xdr:colOff>
      <xdr:row>18</xdr:row>
      <xdr:rowOff>144236</xdr:rowOff>
    </xdr:from>
    <xdr:to>
      <xdr:col>14</xdr:col>
      <xdr:colOff>644740</xdr:colOff>
      <xdr:row>30</xdr:row>
      <xdr:rowOff>40573</xdr:rowOff>
    </xdr:to>
    <xdr:cxnSp macro="">
      <xdr:nvCxnSpPr>
        <xdr:cNvPr id="171" name="直接连接符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CxnSpPr>
          <a:stCxn id="30" idx="2"/>
          <a:endCxn id="159" idx="0"/>
        </xdr:cNvCxnSpPr>
      </xdr:nvCxnSpPr>
      <xdr:spPr>
        <a:xfrm>
          <a:off x="6829425" y="4855845"/>
          <a:ext cx="4358640" cy="306070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466180</xdr:colOff>
      <xdr:row>18</xdr:row>
      <xdr:rowOff>132715</xdr:rowOff>
    </xdr:from>
    <xdr:to>
      <xdr:col>16</xdr:col>
      <xdr:colOff>354034</xdr:colOff>
      <xdr:row>30</xdr:row>
      <xdr:rowOff>32657</xdr:rowOff>
    </xdr:to>
    <xdr:cxnSp macro="">
      <xdr:nvCxnSpPr>
        <xdr:cNvPr id="172" name="直接连接符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CxnSpPr>
          <a:stCxn id="31" idx="2"/>
          <a:endCxn id="160" idx="0"/>
        </xdr:cNvCxnSpPr>
      </xdr:nvCxnSpPr>
      <xdr:spPr>
        <a:xfrm>
          <a:off x="7244080" y="4844415"/>
          <a:ext cx="5159375" cy="306451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272143</xdr:colOff>
      <xdr:row>22</xdr:row>
      <xdr:rowOff>43543</xdr:rowOff>
    </xdr:from>
    <xdr:to>
      <xdr:col>14</xdr:col>
      <xdr:colOff>595993</xdr:colOff>
      <xdr:row>24</xdr:row>
      <xdr:rowOff>186418</xdr:rowOff>
    </xdr:to>
    <xdr:pic>
      <xdr:nvPicPr>
        <xdr:cNvPr id="182" name="图片 181" descr="交换机.png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10815320" y="5732780"/>
          <a:ext cx="323850" cy="729615"/>
        </a:xfrm>
        <a:prstGeom prst="rect">
          <a:avLst/>
        </a:prstGeom>
      </xdr:spPr>
    </xdr:pic>
    <xdr:clientData/>
  </xdr:twoCellAnchor>
  <xdr:twoCellAnchor>
    <xdr:from>
      <xdr:col>15</xdr:col>
      <xdr:colOff>87084</xdr:colOff>
      <xdr:row>22</xdr:row>
      <xdr:rowOff>32658</xdr:rowOff>
    </xdr:from>
    <xdr:to>
      <xdr:col>15</xdr:col>
      <xdr:colOff>410934</xdr:colOff>
      <xdr:row>24</xdr:row>
      <xdr:rowOff>174898</xdr:rowOff>
    </xdr:to>
    <xdr:pic>
      <xdr:nvPicPr>
        <xdr:cNvPr id="183" name="图片 182" descr="交换机.png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11383645" y="5721985"/>
          <a:ext cx="323850" cy="728980"/>
        </a:xfrm>
        <a:prstGeom prst="rect">
          <a:avLst/>
        </a:prstGeom>
      </xdr:spPr>
    </xdr:pic>
    <xdr:clientData/>
  </xdr:twoCellAnchor>
  <xdr:twoCellAnchor>
    <xdr:from>
      <xdr:col>15</xdr:col>
      <xdr:colOff>632007</xdr:colOff>
      <xdr:row>22</xdr:row>
      <xdr:rowOff>10887</xdr:rowOff>
    </xdr:from>
    <xdr:to>
      <xdr:col>16</xdr:col>
      <xdr:colOff>216264</xdr:colOff>
      <xdr:row>24</xdr:row>
      <xdr:rowOff>153127</xdr:rowOff>
    </xdr:to>
    <xdr:pic>
      <xdr:nvPicPr>
        <xdr:cNvPr id="184" name="图片 183" descr="交换机.png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73" r="27184"/>
        <a:stretch>
          <a:fillRect/>
        </a:stretch>
      </xdr:blipFill>
      <xdr:spPr>
        <a:xfrm>
          <a:off x="11928475" y="5700395"/>
          <a:ext cx="337185" cy="728980"/>
        </a:xfrm>
        <a:prstGeom prst="rect">
          <a:avLst/>
        </a:prstGeom>
        <a:solidFill>
          <a:schemeClr val="accent6"/>
        </a:solidFill>
      </xdr:spPr>
    </xdr:pic>
    <xdr:clientData/>
  </xdr:twoCellAnchor>
  <xdr:twoCellAnchor>
    <xdr:from>
      <xdr:col>13</xdr:col>
      <xdr:colOff>209947</xdr:colOff>
      <xdr:row>24</xdr:row>
      <xdr:rowOff>186418</xdr:rowOff>
    </xdr:from>
    <xdr:to>
      <xdr:col>14</xdr:col>
      <xdr:colOff>434068</xdr:colOff>
      <xdr:row>30</xdr:row>
      <xdr:rowOff>73230</xdr:rowOff>
    </xdr:to>
    <xdr:cxnSp macro="">
      <xdr:nvCxnSpPr>
        <xdr:cNvPr id="185" name="直接连接符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CxnSpPr>
          <a:stCxn id="182" idx="2"/>
          <a:endCxn id="158" idx="0"/>
        </xdr:cNvCxnSpPr>
      </xdr:nvCxnSpPr>
      <xdr:spPr>
        <a:xfrm flipH="1">
          <a:off x="9999980" y="6462395"/>
          <a:ext cx="977265" cy="148717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644740</xdr:colOff>
      <xdr:row>24</xdr:row>
      <xdr:rowOff>174898</xdr:rowOff>
    </xdr:from>
    <xdr:to>
      <xdr:col>15</xdr:col>
      <xdr:colOff>249009</xdr:colOff>
      <xdr:row>30</xdr:row>
      <xdr:rowOff>40573</xdr:rowOff>
    </xdr:to>
    <xdr:cxnSp macro="">
      <xdr:nvCxnSpPr>
        <xdr:cNvPr id="188" name="直接连接符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CxnSpPr>
          <a:stCxn id="183" idx="2"/>
          <a:endCxn id="159" idx="0"/>
        </xdr:cNvCxnSpPr>
      </xdr:nvCxnSpPr>
      <xdr:spPr>
        <a:xfrm flipH="1">
          <a:off x="11188065" y="6450965"/>
          <a:ext cx="357505" cy="146558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54022</xdr:colOff>
      <xdr:row>24</xdr:row>
      <xdr:rowOff>153127</xdr:rowOff>
    </xdr:from>
    <xdr:to>
      <xdr:col>16</xdr:col>
      <xdr:colOff>354034</xdr:colOff>
      <xdr:row>30</xdr:row>
      <xdr:rowOff>32657</xdr:rowOff>
    </xdr:to>
    <xdr:cxnSp macro="">
      <xdr:nvCxnSpPr>
        <xdr:cNvPr id="191" name="直接连接符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CxnSpPr>
          <a:stCxn id="184" idx="2"/>
          <a:endCxn id="160" idx="0"/>
        </xdr:cNvCxnSpPr>
      </xdr:nvCxnSpPr>
      <xdr:spPr>
        <a:xfrm>
          <a:off x="12103735" y="6429375"/>
          <a:ext cx="299720" cy="1479550"/>
        </a:xfrm>
        <a:prstGeom prst="line">
          <a:avLst/>
        </a:prstGeom>
        <a:ln w="254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11"/>
  <sheetViews>
    <sheetView workbookViewId="0">
      <selection activeCell="B8" sqref="B8"/>
    </sheetView>
  </sheetViews>
  <sheetFormatPr defaultColWidth="8.77734375" defaultRowHeight="14.4" x14ac:dyDescent="0.25"/>
  <cols>
    <col min="2" max="2" width="115.88671875" customWidth="1"/>
  </cols>
  <sheetData>
    <row r="1" spans="2:3" ht="15.6" x14ac:dyDescent="0.25">
      <c r="B1" s="230" t="s">
        <v>0</v>
      </c>
      <c r="C1" s="230"/>
    </row>
    <row r="2" spans="2:3" ht="15.6" x14ac:dyDescent="0.25">
      <c r="B2" s="235" t="s">
        <v>1</v>
      </c>
      <c r="C2" s="230"/>
    </row>
    <row r="3" spans="2:3" ht="15.6" x14ac:dyDescent="0.25">
      <c r="B3" s="230" t="s">
        <v>2</v>
      </c>
      <c r="C3" s="230"/>
    </row>
    <row r="4" spans="2:3" ht="15.6" x14ac:dyDescent="0.25">
      <c r="B4" s="230" t="s">
        <v>3</v>
      </c>
      <c r="C4" s="230"/>
    </row>
    <row r="5" spans="2:3" ht="15.6" x14ac:dyDescent="0.25">
      <c r="B5" s="251" t="s">
        <v>391</v>
      </c>
      <c r="C5" s="230"/>
    </row>
    <row r="6" spans="2:3" ht="15.6" x14ac:dyDescent="0.25">
      <c r="B6" s="230" t="s">
        <v>4</v>
      </c>
      <c r="C6" s="230"/>
    </row>
    <row r="7" spans="2:3" ht="15.6" x14ac:dyDescent="0.25">
      <c r="B7" s="230" t="s">
        <v>5</v>
      </c>
      <c r="C7" s="230"/>
    </row>
    <row r="8" spans="2:3" ht="46.8" x14ac:dyDescent="0.25">
      <c r="B8" s="253" t="s">
        <v>394</v>
      </c>
      <c r="C8" s="230"/>
    </row>
    <row r="9" spans="2:3" ht="28.8" x14ac:dyDescent="0.25">
      <c r="B9" s="252" t="s">
        <v>392</v>
      </c>
    </row>
    <row r="10" spans="2:3" ht="115.2" x14ac:dyDescent="0.25">
      <c r="B10" s="252" t="s">
        <v>393</v>
      </c>
    </row>
    <row r="11" spans="2:3" x14ac:dyDescent="0.25">
      <c r="B11" s="131"/>
    </row>
  </sheetData>
  <sheetProtection formatCells="0" insertHyperlinks="0" autoFilter="0"/>
  <phoneticPr fontId="54" type="noConversion"/>
  <pageMargins left="0.75" right="0.75" top="1" bottom="1" header="0.5" footer="0.5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tabColor rgb="FFFF0000"/>
  </sheetPr>
  <dimension ref="B2:X188"/>
  <sheetViews>
    <sheetView topLeftCell="E148" workbookViewId="0">
      <selection activeCell="M161" sqref="M161"/>
    </sheetView>
  </sheetViews>
  <sheetFormatPr defaultColWidth="9.77734375" defaultRowHeight="12" x14ac:dyDescent="0.25"/>
  <cols>
    <col min="1" max="1" width="9.77734375" style="12"/>
    <col min="2" max="2" width="11.109375" style="12" customWidth="1"/>
    <col min="3" max="3" width="20.44140625" style="12" customWidth="1"/>
    <col min="4" max="4" width="29.77734375" style="12" customWidth="1"/>
    <col min="5" max="5" width="16.6640625" style="12"/>
    <col min="6" max="6" width="47.109375" style="12" customWidth="1"/>
    <col min="7" max="7" width="43.21875" style="12" customWidth="1"/>
    <col min="8" max="8" width="34.109375" style="12" hidden="1" customWidth="1"/>
    <col min="9" max="9" width="34.109375" style="12" customWidth="1"/>
    <col min="10" max="10" width="38.6640625" style="12" hidden="1" customWidth="1"/>
    <col min="11" max="12" width="34.109375" style="12" hidden="1" customWidth="1"/>
    <col min="13" max="13" width="34.109375" style="12" customWidth="1"/>
    <col min="14" max="14" width="34.109375" style="12" hidden="1" customWidth="1"/>
    <col min="15" max="15" width="34.109375" style="12" customWidth="1"/>
    <col min="16" max="18" width="34.109375" style="12" hidden="1" customWidth="1"/>
    <col min="19" max="19" width="34.109375" style="12" customWidth="1"/>
    <col min="20" max="20" width="9.77734375" style="12"/>
    <col min="21" max="21" width="17" style="12" customWidth="1"/>
    <col min="22" max="23" width="16.6640625" style="12"/>
    <col min="24" max="24" width="18.44140625" style="12" customWidth="1"/>
    <col min="25" max="30" width="34.109375" style="12" customWidth="1"/>
    <col min="31" max="16384" width="9.77734375" style="12"/>
  </cols>
  <sheetData>
    <row r="2" spans="2:19" x14ac:dyDescent="0.25">
      <c r="B2" s="334" t="s">
        <v>176</v>
      </c>
      <c r="C2" s="334"/>
      <c r="D2" s="334"/>
      <c r="E2" s="334"/>
      <c r="F2" s="334"/>
      <c r="G2" s="334"/>
    </row>
    <row r="3" spans="2:19" s="11" customFormat="1" x14ac:dyDescent="0.25">
      <c r="B3" s="341" t="s">
        <v>177</v>
      </c>
      <c r="C3" s="306" t="s">
        <v>178</v>
      </c>
      <c r="D3" s="306" t="s">
        <v>179</v>
      </c>
      <c r="E3" s="291" t="s">
        <v>180</v>
      </c>
      <c r="F3" s="292"/>
      <c r="G3" s="304" t="s">
        <v>181</v>
      </c>
      <c r="H3" s="335" t="s">
        <v>182</v>
      </c>
      <c r="I3" s="336"/>
      <c r="J3" s="336"/>
      <c r="K3" s="336"/>
      <c r="L3" s="336"/>
      <c r="M3" s="294" t="s">
        <v>183</v>
      </c>
      <c r="N3" s="336" t="s">
        <v>184</v>
      </c>
      <c r="O3" s="336"/>
      <c r="P3" s="336"/>
      <c r="Q3" s="336"/>
      <c r="R3" s="293"/>
      <c r="S3" s="289" t="s">
        <v>10</v>
      </c>
    </row>
    <row r="4" spans="2:19" s="11" customFormat="1" x14ac:dyDescent="0.25">
      <c r="B4" s="341"/>
      <c r="C4" s="307"/>
      <c r="D4" s="307"/>
      <c r="E4" s="293"/>
      <c r="F4" s="294"/>
      <c r="G4" s="305"/>
      <c r="H4" s="14" t="s">
        <v>185</v>
      </c>
      <c r="I4" s="14" t="s">
        <v>186</v>
      </c>
      <c r="J4" s="14" t="s">
        <v>187</v>
      </c>
      <c r="K4" s="14" t="s">
        <v>188</v>
      </c>
      <c r="L4" s="13" t="s">
        <v>189</v>
      </c>
      <c r="M4" s="294"/>
      <c r="N4" s="53" t="s">
        <v>185</v>
      </c>
      <c r="O4" s="54" t="s">
        <v>186</v>
      </c>
      <c r="P4" s="54" t="s">
        <v>187</v>
      </c>
      <c r="Q4" s="14" t="s">
        <v>188</v>
      </c>
      <c r="R4" s="14" t="s">
        <v>189</v>
      </c>
      <c r="S4" s="289"/>
    </row>
    <row r="5" spans="2:19" ht="60" x14ac:dyDescent="0.25">
      <c r="B5" s="341"/>
      <c r="C5" s="321">
        <f>AVERAGE(N26:R26)/10000</f>
        <v>0</v>
      </c>
      <c r="D5" s="346">
        <f>MAX(N26:R26)/10000</f>
        <v>0</v>
      </c>
      <c r="E5" s="310" t="s">
        <v>190</v>
      </c>
      <c r="F5" s="15" t="s">
        <v>191</v>
      </c>
      <c r="G5" s="16" t="s">
        <v>192</v>
      </c>
      <c r="H5" s="17">
        <v>13563.88</v>
      </c>
      <c r="I5" s="17">
        <v>14727.7</v>
      </c>
      <c r="J5" s="17">
        <v>15087.52</v>
      </c>
      <c r="K5" s="55">
        <v>15566.45</v>
      </c>
      <c r="L5" s="55">
        <v>14680.55</v>
      </c>
      <c r="M5" s="56">
        <f>IF(U25+W25&gt;8,1,0)</f>
        <v>0</v>
      </c>
      <c r="N5" s="17">
        <f t="shared" ref="N5:R5" si="0">H5*$M$5</f>
        <v>0</v>
      </c>
      <c r="O5" s="17">
        <f t="shared" si="0"/>
        <v>0</v>
      </c>
      <c r="P5" s="17">
        <f t="shared" si="0"/>
        <v>0</v>
      </c>
      <c r="Q5" s="17">
        <f t="shared" si="0"/>
        <v>0</v>
      </c>
      <c r="R5" s="17">
        <f t="shared" si="0"/>
        <v>0</v>
      </c>
      <c r="S5" s="56" t="s">
        <v>193</v>
      </c>
    </row>
    <row r="6" spans="2:19" ht="36" x14ac:dyDescent="0.25">
      <c r="B6" s="341"/>
      <c r="C6" s="308"/>
      <c r="D6" s="347"/>
      <c r="E6" s="311"/>
      <c r="F6" s="15" t="s">
        <v>194</v>
      </c>
      <c r="G6" s="16" t="s">
        <v>195</v>
      </c>
      <c r="H6" s="17">
        <v>5643.65</v>
      </c>
      <c r="I6" s="17">
        <v>6127.89</v>
      </c>
      <c r="J6" s="17">
        <v>6277.6</v>
      </c>
      <c r="K6" s="55">
        <v>6476.87</v>
      </c>
      <c r="L6" s="55">
        <v>6108.27</v>
      </c>
      <c r="M6" s="56">
        <f>IF(U25+W25&gt;8,1,0)</f>
        <v>0</v>
      </c>
      <c r="N6" s="17">
        <f t="shared" ref="N6:R6" si="1">H6*$M$6</f>
        <v>0</v>
      </c>
      <c r="O6" s="17">
        <f t="shared" si="1"/>
        <v>0</v>
      </c>
      <c r="P6" s="17">
        <f t="shared" si="1"/>
        <v>0</v>
      </c>
      <c r="Q6" s="17">
        <f t="shared" si="1"/>
        <v>0</v>
      </c>
      <c r="R6" s="17">
        <f t="shared" si="1"/>
        <v>0</v>
      </c>
      <c r="S6" s="56" t="s">
        <v>193</v>
      </c>
    </row>
    <row r="7" spans="2:19" ht="36" x14ac:dyDescent="0.25">
      <c r="B7" s="341"/>
      <c r="C7" s="308"/>
      <c r="D7" s="347"/>
      <c r="E7" s="312"/>
      <c r="F7" s="15" t="s">
        <v>196</v>
      </c>
      <c r="G7" s="16" t="s">
        <v>197</v>
      </c>
      <c r="H7" s="17">
        <v>4280.97</v>
      </c>
      <c r="I7" s="17">
        <v>4648.29</v>
      </c>
      <c r="J7" s="17">
        <v>4761.8599999999997</v>
      </c>
      <c r="K7" s="55">
        <v>4913.01</v>
      </c>
      <c r="L7" s="55">
        <v>4633.41</v>
      </c>
      <c r="M7" s="17"/>
      <c r="N7" s="17">
        <f t="shared" ref="N7:R7" si="2">H7*$M$7</f>
        <v>0</v>
      </c>
      <c r="O7" s="17">
        <f t="shared" si="2"/>
        <v>0</v>
      </c>
      <c r="P7" s="17">
        <f t="shared" si="2"/>
        <v>0</v>
      </c>
      <c r="Q7" s="17">
        <f t="shared" si="2"/>
        <v>0</v>
      </c>
      <c r="R7" s="17">
        <f t="shared" si="2"/>
        <v>0</v>
      </c>
      <c r="S7" s="17"/>
    </row>
    <row r="8" spans="2:19" ht="24" x14ac:dyDescent="0.25">
      <c r="B8" s="341"/>
      <c r="C8" s="308"/>
      <c r="D8" s="347"/>
      <c r="E8" s="18" t="s">
        <v>198</v>
      </c>
      <c r="F8" s="15" t="s">
        <v>199</v>
      </c>
      <c r="G8" s="16" t="s">
        <v>200</v>
      </c>
      <c r="H8" s="17">
        <v>16745.64</v>
      </c>
      <c r="I8" s="17">
        <v>18182.47</v>
      </c>
      <c r="J8" s="17">
        <v>18626.689999999999</v>
      </c>
      <c r="K8" s="55">
        <v>19217.96</v>
      </c>
      <c r="L8" s="55">
        <v>18124.259999999998</v>
      </c>
      <c r="M8" s="56">
        <f>IF(U25+W25&gt;8,6,0)</f>
        <v>0</v>
      </c>
      <c r="N8" s="17">
        <f t="shared" ref="N8:R8" si="3">H8*$M$8</f>
        <v>0</v>
      </c>
      <c r="O8" s="17">
        <f t="shared" si="3"/>
        <v>0</v>
      </c>
      <c r="P8" s="17">
        <f t="shared" si="3"/>
        <v>0</v>
      </c>
      <c r="Q8" s="17">
        <f t="shared" si="3"/>
        <v>0</v>
      </c>
      <c r="R8" s="17">
        <f t="shared" si="3"/>
        <v>0</v>
      </c>
      <c r="S8" s="56" t="s">
        <v>193</v>
      </c>
    </row>
    <row r="9" spans="2:19" ht="60" x14ac:dyDescent="0.25">
      <c r="B9" s="341"/>
      <c r="C9" s="308"/>
      <c r="D9" s="347"/>
      <c r="E9" s="313" t="s">
        <v>190</v>
      </c>
      <c r="F9" s="15" t="s">
        <v>201</v>
      </c>
      <c r="G9" s="16" t="s">
        <v>202</v>
      </c>
      <c r="H9" s="17">
        <v>9941.01</v>
      </c>
      <c r="I9" s="17">
        <v>10793.98</v>
      </c>
      <c r="J9" s="17">
        <v>11057.7</v>
      </c>
      <c r="K9" s="55">
        <v>11408.71</v>
      </c>
      <c r="L9" s="55">
        <v>10759.43</v>
      </c>
      <c r="M9" s="17">
        <f>IF(U25+W25&gt;0,IF(U25+W25&lt;=8,1,0),0)</f>
        <v>0</v>
      </c>
      <c r="N9" s="17">
        <f t="shared" ref="N9:R9" si="4">H9*$M$9</f>
        <v>0</v>
      </c>
      <c r="O9" s="17">
        <f t="shared" si="4"/>
        <v>0</v>
      </c>
      <c r="P9" s="17">
        <f t="shared" si="4"/>
        <v>0</v>
      </c>
      <c r="Q9" s="17">
        <f t="shared" si="4"/>
        <v>0</v>
      </c>
      <c r="R9" s="17">
        <f t="shared" si="4"/>
        <v>0</v>
      </c>
      <c r="S9" s="56" t="s">
        <v>193</v>
      </c>
    </row>
    <row r="10" spans="2:19" ht="36" x14ac:dyDescent="0.25">
      <c r="B10" s="341"/>
      <c r="C10" s="308"/>
      <c r="D10" s="347"/>
      <c r="E10" s="313"/>
      <c r="F10" s="15" t="s">
        <v>203</v>
      </c>
      <c r="G10" s="16" t="s">
        <v>204</v>
      </c>
      <c r="H10" s="17">
        <v>3434.29</v>
      </c>
      <c r="I10" s="17">
        <v>3728.96</v>
      </c>
      <c r="J10" s="17">
        <v>3820.06</v>
      </c>
      <c r="K10" s="55">
        <v>3941.33</v>
      </c>
      <c r="L10" s="55">
        <v>3717.02</v>
      </c>
      <c r="M10" s="17">
        <f>IF(U25+W25&gt;0,IF(U25+W25&lt;=8,1,0),0)</f>
        <v>0</v>
      </c>
      <c r="N10" s="17">
        <f t="shared" ref="N10:R10" si="5">H10*$M$10</f>
        <v>0</v>
      </c>
      <c r="O10" s="17">
        <f t="shared" si="5"/>
        <v>0</v>
      </c>
      <c r="P10" s="17">
        <f t="shared" si="5"/>
        <v>0</v>
      </c>
      <c r="Q10" s="17">
        <f t="shared" si="5"/>
        <v>0</v>
      </c>
      <c r="R10" s="17">
        <f t="shared" si="5"/>
        <v>0</v>
      </c>
      <c r="S10" s="56" t="s">
        <v>193</v>
      </c>
    </row>
    <row r="11" spans="2:19" ht="36" x14ac:dyDescent="0.25">
      <c r="B11" s="341"/>
      <c r="C11" s="308"/>
      <c r="D11" s="347"/>
      <c r="E11" s="313"/>
      <c r="F11" s="15" t="s">
        <v>205</v>
      </c>
      <c r="G11" s="16" t="s">
        <v>206</v>
      </c>
      <c r="H11" s="17">
        <v>2637.35</v>
      </c>
      <c r="I11" s="17">
        <v>2863.64</v>
      </c>
      <c r="J11" s="17">
        <v>2933.6</v>
      </c>
      <c r="K11" s="55">
        <v>3026.72</v>
      </c>
      <c r="L11" s="55">
        <v>2854.47</v>
      </c>
      <c r="M11" s="17"/>
      <c r="N11" s="17">
        <f t="shared" ref="N11:R11" si="6">H11*$M$11</f>
        <v>0</v>
      </c>
      <c r="O11" s="17">
        <f t="shared" si="6"/>
        <v>0</v>
      </c>
      <c r="P11" s="17">
        <f t="shared" si="6"/>
        <v>0</v>
      </c>
      <c r="Q11" s="17">
        <f t="shared" si="6"/>
        <v>0</v>
      </c>
      <c r="R11" s="17">
        <f t="shared" si="6"/>
        <v>0</v>
      </c>
      <c r="S11" s="17"/>
    </row>
    <row r="12" spans="2:19" ht="24" x14ac:dyDescent="0.25">
      <c r="B12" s="341"/>
      <c r="C12" s="308"/>
      <c r="D12" s="347"/>
      <c r="E12" s="19" t="s">
        <v>198</v>
      </c>
      <c r="F12" s="15" t="s">
        <v>207</v>
      </c>
      <c r="G12" s="16" t="s">
        <v>208</v>
      </c>
      <c r="H12" s="17">
        <v>7634.91</v>
      </c>
      <c r="I12" s="17">
        <v>8290.01</v>
      </c>
      <c r="J12" s="17">
        <v>8492.5400000000009</v>
      </c>
      <c r="K12" s="55">
        <v>8762.1299999999992</v>
      </c>
      <c r="L12" s="55">
        <v>8263.4699999999993</v>
      </c>
      <c r="M12" s="17">
        <f>IF(U25+W25&gt;0,IF(U25+W25&lt;=8,6,0),0)</f>
        <v>0</v>
      </c>
      <c r="N12" s="17">
        <f t="shared" ref="N12:R12" si="7">H12*$M$12</f>
        <v>0</v>
      </c>
      <c r="O12" s="17">
        <f t="shared" si="7"/>
        <v>0</v>
      </c>
      <c r="P12" s="17">
        <f t="shared" si="7"/>
        <v>0</v>
      </c>
      <c r="Q12" s="17">
        <f t="shared" si="7"/>
        <v>0</v>
      </c>
      <c r="R12" s="17">
        <f t="shared" si="7"/>
        <v>0</v>
      </c>
      <c r="S12" s="56" t="s">
        <v>193</v>
      </c>
    </row>
    <row r="13" spans="2:19" x14ac:dyDescent="0.25">
      <c r="B13" s="341"/>
      <c r="C13" s="308"/>
      <c r="D13" s="347"/>
      <c r="E13" s="314" t="s">
        <v>209</v>
      </c>
      <c r="F13" s="15" t="s">
        <v>210</v>
      </c>
      <c r="G13" s="20" t="s">
        <v>211</v>
      </c>
      <c r="H13" s="17">
        <v>41185.22</v>
      </c>
      <c r="I13" s="17">
        <v>44719.040000000001</v>
      </c>
      <c r="J13" s="17">
        <v>45811.58</v>
      </c>
      <c r="K13" s="55">
        <v>47265.8</v>
      </c>
      <c r="L13" s="55">
        <v>44575.88</v>
      </c>
      <c r="M13" s="17">
        <f>U25</f>
        <v>0</v>
      </c>
      <c r="N13" s="17">
        <f t="shared" ref="N13:R13" si="8">H13*$M$13</f>
        <v>0</v>
      </c>
      <c r="O13" s="17">
        <f t="shared" si="8"/>
        <v>0</v>
      </c>
      <c r="P13" s="17">
        <f t="shared" si="8"/>
        <v>0</v>
      </c>
      <c r="Q13" s="17">
        <f t="shared" si="8"/>
        <v>0</v>
      </c>
      <c r="R13" s="17">
        <f t="shared" si="8"/>
        <v>0</v>
      </c>
      <c r="S13" s="17" t="s">
        <v>212</v>
      </c>
    </row>
    <row r="14" spans="2:19" x14ac:dyDescent="0.25">
      <c r="B14" s="341"/>
      <c r="C14" s="308"/>
      <c r="D14" s="347"/>
      <c r="E14" s="314"/>
      <c r="F14" s="15" t="s">
        <v>213</v>
      </c>
      <c r="G14" s="20" t="s">
        <v>214</v>
      </c>
      <c r="H14" s="17">
        <v>25049.58</v>
      </c>
      <c r="I14" s="17">
        <v>27198.92</v>
      </c>
      <c r="J14" s="17">
        <v>27863.42</v>
      </c>
      <c r="K14" s="55">
        <v>33539.22</v>
      </c>
      <c r="L14" s="55">
        <v>27111.84</v>
      </c>
      <c r="M14" s="17">
        <f>W25</f>
        <v>0</v>
      </c>
      <c r="N14" s="17">
        <f t="shared" ref="N14:R14" si="9">H14*$M$14</f>
        <v>0</v>
      </c>
      <c r="O14" s="17">
        <f t="shared" si="9"/>
        <v>0</v>
      </c>
      <c r="P14" s="17">
        <f t="shared" si="9"/>
        <v>0</v>
      </c>
      <c r="Q14" s="17">
        <f t="shared" si="9"/>
        <v>0</v>
      </c>
      <c r="R14" s="17">
        <f t="shared" si="9"/>
        <v>0</v>
      </c>
      <c r="S14" s="17" t="s">
        <v>212</v>
      </c>
    </row>
    <row r="15" spans="2:19" x14ac:dyDescent="0.25">
      <c r="B15" s="341"/>
      <c r="C15" s="308"/>
      <c r="D15" s="347"/>
      <c r="E15" s="314"/>
      <c r="F15" s="15" t="s">
        <v>215</v>
      </c>
      <c r="G15" s="20" t="s">
        <v>216</v>
      </c>
      <c r="H15" s="17">
        <v>13695.61</v>
      </c>
      <c r="I15" s="17">
        <v>14870.74</v>
      </c>
      <c r="J15" s="17">
        <v>22851.07</v>
      </c>
      <c r="K15" s="55">
        <v>15717.63</v>
      </c>
      <c r="L15" s="55">
        <v>14823.13</v>
      </c>
      <c r="M15" s="17">
        <v>0</v>
      </c>
      <c r="N15" s="17">
        <f t="shared" ref="N15:R15" si="10">H15*$M$15</f>
        <v>0</v>
      </c>
      <c r="O15" s="17">
        <f t="shared" si="10"/>
        <v>0</v>
      </c>
      <c r="P15" s="17">
        <f t="shared" si="10"/>
        <v>0</v>
      </c>
      <c r="Q15" s="17">
        <f t="shared" si="10"/>
        <v>0</v>
      </c>
      <c r="R15" s="17">
        <f t="shared" si="10"/>
        <v>0</v>
      </c>
      <c r="S15" s="17" t="s">
        <v>212</v>
      </c>
    </row>
    <row r="16" spans="2:19" x14ac:dyDescent="0.25">
      <c r="B16" s="341"/>
      <c r="C16" s="308"/>
      <c r="D16" s="347"/>
      <c r="E16" s="314" t="s">
        <v>217</v>
      </c>
      <c r="F16" s="15" t="s">
        <v>218</v>
      </c>
      <c r="G16" s="20" t="s">
        <v>219</v>
      </c>
      <c r="H16" s="17">
        <v>1230.94</v>
      </c>
      <c r="I16" s="57">
        <v>1336.56</v>
      </c>
      <c r="J16" s="55">
        <v>1369.22</v>
      </c>
      <c r="K16" s="55">
        <v>1412.68</v>
      </c>
      <c r="L16" s="55">
        <v>1332.28</v>
      </c>
      <c r="M16" s="17"/>
      <c r="N16" s="17">
        <f t="shared" ref="N16:R16" si="11">H16*$M$16</f>
        <v>0</v>
      </c>
      <c r="O16" s="17">
        <f t="shared" si="11"/>
        <v>0</v>
      </c>
      <c r="P16" s="17">
        <f t="shared" si="11"/>
        <v>0</v>
      </c>
      <c r="Q16" s="17">
        <f t="shared" si="11"/>
        <v>0</v>
      </c>
      <c r="R16" s="17">
        <f t="shared" si="11"/>
        <v>0</v>
      </c>
      <c r="S16" s="17" t="s">
        <v>212</v>
      </c>
    </row>
    <row r="17" spans="2:23" ht="24" x14ac:dyDescent="0.25">
      <c r="B17" s="341"/>
      <c r="C17" s="308"/>
      <c r="D17" s="347"/>
      <c r="E17" s="314"/>
      <c r="F17" s="15" t="s">
        <v>220</v>
      </c>
      <c r="G17" s="20" t="s">
        <v>221</v>
      </c>
      <c r="H17" s="17">
        <v>1684.07</v>
      </c>
      <c r="I17" s="57">
        <v>1828.57</v>
      </c>
      <c r="J17" s="55">
        <v>1873.25</v>
      </c>
      <c r="K17" s="55">
        <v>1932.71</v>
      </c>
      <c r="L17" s="55">
        <v>1822.72</v>
      </c>
      <c r="M17" s="17">
        <f>36*U25</f>
        <v>0</v>
      </c>
      <c r="N17" s="17">
        <f t="shared" ref="N17:R17" si="12">H17*$M$17</f>
        <v>0</v>
      </c>
      <c r="O17" s="17">
        <f t="shared" si="12"/>
        <v>0</v>
      </c>
      <c r="P17" s="17">
        <f t="shared" si="12"/>
        <v>0</v>
      </c>
      <c r="Q17" s="17">
        <f t="shared" si="12"/>
        <v>0</v>
      </c>
      <c r="R17" s="17">
        <f t="shared" si="12"/>
        <v>0</v>
      </c>
      <c r="S17" s="17" t="s">
        <v>212</v>
      </c>
    </row>
    <row r="18" spans="2:23" x14ac:dyDescent="0.25">
      <c r="B18" s="341"/>
      <c r="C18" s="308"/>
      <c r="D18" s="347"/>
      <c r="E18" s="314"/>
      <c r="F18" s="15" t="s">
        <v>222</v>
      </c>
      <c r="G18" s="20" t="s">
        <v>223</v>
      </c>
      <c r="H18" s="17">
        <v>3486.21</v>
      </c>
      <c r="I18" s="57">
        <v>3785.34</v>
      </c>
      <c r="J18" s="55">
        <v>3877.82</v>
      </c>
      <c r="K18" s="55">
        <v>4000.92</v>
      </c>
      <c r="L18" s="55">
        <v>3773.22</v>
      </c>
      <c r="M18" s="17"/>
      <c r="N18" s="17">
        <f t="shared" ref="N18:R18" si="13">H18*$M$18</f>
        <v>0</v>
      </c>
      <c r="O18" s="17">
        <f t="shared" si="13"/>
        <v>0</v>
      </c>
      <c r="P18" s="17">
        <f t="shared" si="13"/>
        <v>0</v>
      </c>
      <c r="Q18" s="17">
        <f t="shared" si="13"/>
        <v>0</v>
      </c>
      <c r="R18" s="17">
        <f t="shared" si="13"/>
        <v>0</v>
      </c>
      <c r="S18" s="17" t="s">
        <v>212</v>
      </c>
    </row>
    <row r="19" spans="2:23" x14ac:dyDescent="0.25">
      <c r="B19" s="341"/>
      <c r="C19" s="308"/>
      <c r="D19" s="347"/>
      <c r="E19" s="314"/>
      <c r="F19" s="15" t="s">
        <v>224</v>
      </c>
      <c r="G19" s="20" t="s">
        <v>225</v>
      </c>
      <c r="H19" s="17">
        <v>509.43</v>
      </c>
      <c r="I19" s="57">
        <v>553.14</v>
      </c>
      <c r="J19" s="55">
        <v>566.66</v>
      </c>
      <c r="K19" s="55">
        <v>584.64</v>
      </c>
      <c r="L19" s="55">
        <v>551.37</v>
      </c>
      <c r="M19" s="17"/>
      <c r="N19" s="17">
        <f t="shared" ref="N19:R19" si="14">H19*$M$19</f>
        <v>0</v>
      </c>
      <c r="O19" s="17">
        <f t="shared" si="14"/>
        <v>0</v>
      </c>
      <c r="P19" s="17">
        <f t="shared" si="14"/>
        <v>0</v>
      </c>
      <c r="Q19" s="17">
        <f t="shared" si="14"/>
        <v>0</v>
      </c>
      <c r="R19" s="17">
        <f t="shared" si="14"/>
        <v>0</v>
      </c>
      <c r="S19" s="17" t="s">
        <v>212</v>
      </c>
    </row>
    <row r="20" spans="2:23" x14ac:dyDescent="0.25">
      <c r="B20" s="341"/>
      <c r="C20" s="308"/>
      <c r="D20" s="347"/>
      <c r="E20" s="314"/>
      <c r="F20" s="15" t="s">
        <v>226</v>
      </c>
      <c r="G20" s="20" t="s">
        <v>227</v>
      </c>
      <c r="H20" s="17">
        <v>323.58999999999997</v>
      </c>
      <c r="I20" s="57">
        <v>351.35</v>
      </c>
      <c r="J20" s="55">
        <v>359.94</v>
      </c>
      <c r="K20" s="55">
        <v>371.36</v>
      </c>
      <c r="L20" s="55">
        <v>350.23</v>
      </c>
      <c r="M20" s="17"/>
      <c r="N20" s="17">
        <f t="shared" ref="N20:R20" si="15">H20*$M$20</f>
        <v>0</v>
      </c>
      <c r="O20" s="17">
        <f t="shared" si="15"/>
        <v>0</v>
      </c>
      <c r="P20" s="17">
        <f t="shared" si="15"/>
        <v>0</v>
      </c>
      <c r="Q20" s="17">
        <f t="shared" si="15"/>
        <v>0</v>
      </c>
      <c r="R20" s="17">
        <f t="shared" si="15"/>
        <v>0</v>
      </c>
      <c r="S20" s="17" t="s">
        <v>212</v>
      </c>
    </row>
    <row r="21" spans="2:23" x14ac:dyDescent="0.25">
      <c r="B21" s="341"/>
      <c r="C21" s="308"/>
      <c r="D21" s="347"/>
      <c r="E21" s="314"/>
      <c r="F21" s="15" t="s">
        <v>228</v>
      </c>
      <c r="G21" s="20" t="s">
        <v>229</v>
      </c>
      <c r="H21" s="17">
        <v>1029.25</v>
      </c>
      <c r="I21" s="57">
        <v>1117.56</v>
      </c>
      <c r="J21" s="55">
        <v>1144.8599999999999</v>
      </c>
      <c r="K21" s="55">
        <v>1181.21</v>
      </c>
      <c r="L21" s="55">
        <v>1113.98</v>
      </c>
      <c r="M21" s="17">
        <f>36*M14</f>
        <v>0</v>
      </c>
      <c r="N21" s="17">
        <f t="shared" ref="N21:R21" si="16">H21*$M$21</f>
        <v>0</v>
      </c>
      <c r="O21" s="17">
        <f t="shared" si="16"/>
        <v>0</v>
      </c>
      <c r="P21" s="17">
        <f t="shared" si="16"/>
        <v>0</v>
      </c>
      <c r="Q21" s="17">
        <f t="shared" si="16"/>
        <v>0</v>
      </c>
      <c r="R21" s="17">
        <f t="shared" si="16"/>
        <v>0</v>
      </c>
      <c r="S21" s="17" t="s">
        <v>212</v>
      </c>
    </row>
    <row r="22" spans="2:23" x14ac:dyDescent="0.25">
      <c r="B22" s="341"/>
      <c r="C22" s="308"/>
      <c r="D22" s="347"/>
      <c r="E22" s="314"/>
      <c r="F22" s="15" t="s">
        <v>230</v>
      </c>
      <c r="G22" s="20" t="s">
        <v>231</v>
      </c>
      <c r="H22" s="17">
        <v>1160.98</v>
      </c>
      <c r="I22" s="57">
        <v>1260.5899999999999</v>
      </c>
      <c r="J22" s="55">
        <v>1291.3900000000001</v>
      </c>
      <c r="K22" s="55">
        <v>1332.39</v>
      </c>
      <c r="L22" s="55">
        <v>1256.56</v>
      </c>
      <c r="M22" s="17"/>
      <c r="N22" s="17">
        <f t="shared" ref="N22:R22" si="17">H22*$M$22</f>
        <v>0</v>
      </c>
      <c r="O22" s="17">
        <f t="shared" si="17"/>
        <v>0</v>
      </c>
      <c r="P22" s="17">
        <f t="shared" si="17"/>
        <v>0</v>
      </c>
      <c r="Q22" s="17">
        <f t="shared" si="17"/>
        <v>0</v>
      </c>
      <c r="R22" s="17">
        <f t="shared" si="17"/>
        <v>0</v>
      </c>
      <c r="S22" s="17" t="s">
        <v>212</v>
      </c>
    </row>
    <row r="23" spans="2:23" x14ac:dyDescent="0.25">
      <c r="B23" s="341"/>
      <c r="C23" s="308"/>
      <c r="D23" s="347"/>
      <c r="E23" s="314"/>
      <c r="F23" s="15" t="s">
        <v>232</v>
      </c>
      <c r="G23" s="20" t="s">
        <v>233</v>
      </c>
      <c r="H23" s="17">
        <v>95.66</v>
      </c>
      <c r="I23" s="57">
        <v>59.35</v>
      </c>
      <c r="J23" s="55">
        <v>106.4</v>
      </c>
      <c r="K23" s="55">
        <v>109.78</v>
      </c>
      <c r="L23" s="55">
        <v>103.53</v>
      </c>
      <c r="M23" s="17"/>
      <c r="N23" s="17">
        <f t="shared" ref="N23:R23" si="18">H23*$M$23</f>
        <v>0</v>
      </c>
      <c r="O23" s="17">
        <f t="shared" si="18"/>
        <v>0</v>
      </c>
      <c r="P23" s="17">
        <f t="shared" si="18"/>
        <v>0</v>
      </c>
      <c r="Q23" s="17">
        <f t="shared" si="18"/>
        <v>0</v>
      </c>
      <c r="R23" s="17">
        <f t="shared" si="18"/>
        <v>0</v>
      </c>
      <c r="S23" s="17" t="s">
        <v>212</v>
      </c>
    </row>
    <row r="24" spans="2:23" x14ac:dyDescent="0.25">
      <c r="B24" s="341"/>
      <c r="C24" s="322"/>
      <c r="D24" s="348"/>
      <c r="E24" s="314"/>
      <c r="F24" s="15" t="s">
        <v>234</v>
      </c>
      <c r="G24" s="21" t="s">
        <v>235</v>
      </c>
      <c r="H24" s="22">
        <v>54.66</v>
      </c>
      <c r="I24" s="58">
        <v>103.86</v>
      </c>
      <c r="J24" s="59">
        <v>60.8</v>
      </c>
      <c r="K24" s="59">
        <v>62.73</v>
      </c>
      <c r="L24" s="59">
        <v>59.16</v>
      </c>
      <c r="M24" s="22"/>
      <c r="N24" s="17">
        <f t="shared" ref="N24:R24" si="19">H24*$M$24</f>
        <v>0</v>
      </c>
      <c r="O24" s="17">
        <f t="shared" si="19"/>
        <v>0</v>
      </c>
      <c r="P24" s="17">
        <f t="shared" si="19"/>
        <v>0</v>
      </c>
      <c r="Q24" s="17">
        <f t="shared" si="19"/>
        <v>0</v>
      </c>
      <c r="R24" s="17">
        <f t="shared" si="19"/>
        <v>0</v>
      </c>
      <c r="S24" s="22" t="s">
        <v>212</v>
      </c>
      <c r="U24" s="63" t="s">
        <v>236</v>
      </c>
      <c r="V24" s="63" t="s">
        <v>37</v>
      </c>
      <c r="W24" s="63" t="s">
        <v>237</v>
      </c>
    </row>
    <row r="25" spans="2:23" ht="32.4" x14ac:dyDescent="0.25">
      <c r="B25" s="341"/>
      <c r="C25" s="23" t="s">
        <v>238</v>
      </c>
      <c r="D25" s="24" t="s">
        <v>239</v>
      </c>
      <c r="E25" s="25"/>
      <c r="F25" s="26"/>
      <c r="G25" s="27"/>
      <c r="H25" s="28" t="s">
        <v>240</v>
      </c>
      <c r="I25" s="28" t="s">
        <v>240</v>
      </c>
      <c r="J25" s="28" t="s">
        <v>240</v>
      </c>
      <c r="K25" s="28" t="s">
        <v>240</v>
      </c>
      <c r="L25" s="28" t="s">
        <v>240</v>
      </c>
      <c r="M25" s="22"/>
      <c r="N25" s="60"/>
      <c r="O25" s="60"/>
      <c r="P25" s="60"/>
      <c r="Q25" s="60"/>
      <c r="R25" s="60"/>
      <c r="S25" s="65"/>
      <c r="U25" s="12">
        <f>IF('2-建设规模换算'!E13&gt;128,CEILING(('2-建设规模换算'!E13)/36,1),0)</f>
        <v>0</v>
      </c>
      <c r="V25" s="12">
        <f>IF(U25&gt;0,4,0)</f>
        <v>0</v>
      </c>
      <c r="W25" s="12">
        <f>IF('2-建设规模换算'!E13&gt;128,CEILING('2-建设规模换算'!E14/36,1),0)</f>
        <v>0</v>
      </c>
    </row>
    <row r="26" spans="2:23" ht="24" x14ac:dyDescent="0.25">
      <c r="B26" s="341"/>
      <c r="C26" s="29" t="s">
        <v>241</v>
      </c>
      <c r="D26" s="30" t="s">
        <v>242</v>
      </c>
      <c r="E26" s="31" t="s">
        <v>87</v>
      </c>
      <c r="F26" s="32"/>
      <c r="G26" s="33"/>
      <c r="H26" s="33"/>
      <c r="I26" s="33"/>
      <c r="J26" s="33"/>
      <c r="K26" s="33"/>
      <c r="L26" s="45"/>
      <c r="M26" s="33">
        <f>SUM(M5:M23)</f>
        <v>0</v>
      </c>
      <c r="N26" s="33">
        <f t="shared" ref="N26:R26" si="20">SUM(N5:N24)</f>
        <v>0</v>
      </c>
      <c r="O26" s="33">
        <f>SUM(O5:O24)/10000</f>
        <v>0</v>
      </c>
      <c r="P26" s="33">
        <f t="shared" si="20"/>
        <v>0</v>
      </c>
      <c r="Q26" s="33">
        <f t="shared" si="20"/>
        <v>0</v>
      </c>
      <c r="R26" s="33">
        <f t="shared" si="20"/>
        <v>0</v>
      </c>
      <c r="S26" s="66"/>
    </row>
    <row r="27" spans="2:23" x14ac:dyDescent="0.25">
      <c r="B27" s="34" t="s">
        <v>243</v>
      </c>
    </row>
    <row r="28" spans="2:23" x14ac:dyDescent="0.25">
      <c r="B28" s="342" t="s">
        <v>244</v>
      </c>
      <c r="C28" s="323" t="s">
        <v>178</v>
      </c>
      <c r="D28" s="323" t="s">
        <v>179</v>
      </c>
      <c r="E28" s="295" t="s">
        <v>180</v>
      </c>
      <c r="F28" s="296"/>
      <c r="G28" s="296" t="s">
        <v>181</v>
      </c>
      <c r="H28" s="337" t="s">
        <v>182</v>
      </c>
      <c r="I28" s="338"/>
      <c r="J28" s="338"/>
      <c r="K28" s="338"/>
      <c r="L28" s="339"/>
      <c r="M28" s="352" t="s">
        <v>183</v>
      </c>
      <c r="N28" s="337" t="s">
        <v>184</v>
      </c>
      <c r="O28" s="338"/>
      <c r="P28" s="338"/>
      <c r="Q28" s="338"/>
      <c r="R28" s="339"/>
      <c r="S28" s="290" t="s">
        <v>10</v>
      </c>
    </row>
    <row r="29" spans="2:23" x14ac:dyDescent="0.25">
      <c r="B29" s="343"/>
      <c r="C29" s="324"/>
      <c r="D29" s="324"/>
      <c r="E29" s="297"/>
      <c r="F29" s="298"/>
      <c r="G29" s="298"/>
      <c r="H29" s="35" t="s">
        <v>185</v>
      </c>
      <c r="I29" s="35" t="s">
        <v>186</v>
      </c>
      <c r="J29" s="35" t="s">
        <v>187</v>
      </c>
      <c r="K29" s="17" t="s">
        <v>188</v>
      </c>
      <c r="L29" s="17" t="s">
        <v>189</v>
      </c>
      <c r="M29" s="352"/>
      <c r="N29" s="35" t="s">
        <v>185</v>
      </c>
      <c r="O29" s="35" t="s">
        <v>186</v>
      </c>
      <c r="P29" s="35" t="s">
        <v>187</v>
      </c>
      <c r="Q29" s="17" t="s">
        <v>188</v>
      </c>
      <c r="R29" s="17" t="s">
        <v>189</v>
      </c>
      <c r="S29" s="290"/>
    </row>
    <row r="30" spans="2:23" ht="60" x14ac:dyDescent="0.25">
      <c r="B30" s="343"/>
      <c r="C30" s="325">
        <f>AVERAGE(N51:R51)/10000</f>
        <v>16.02431176076</v>
      </c>
      <c r="D30" s="349">
        <f>MAX(N51:R51)/10000</f>
        <v>22.847897</v>
      </c>
      <c r="E30" s="315" t="s">
        <v>190</v>
      </c>
      <c r="F30" s="37" t="s">
        <v>191</v>
      </c>
      <c r="G30" s="20" t="s">
        <v>192</v>
      </c>
      <c r="H30" s="17">
        <v>13563.88</v>
      </c>
      <c r="I30" s="17">
        <v>14727.7</v>
      </c>
      <c r="J30" s="17">
        <v>14727.7</v>
      </c>
      <c r="K30" s="55">
        <v>15566.45</v>
      </c>
      <c r="L30" s="55">
        <v>14680.55</v>
      </c>
      <c r="M30" s="56">
        <f>IF(U50+W50+X50&gt;8,1,0)</f>
        <v>0</v>
      </c>
      <c r="N30" s="17">
        <f t="shared" ref="N30:R30" si="21">H30*$M$30</f>
        <v>0</v>
      </c>
      <c r="O30" s="17">
        <f t="shared" si="21"/>
        <v>0</v>
      </c>
      <c r="P30" s="17">
        <f t="shared" si="21"/>
        <v>0</v>
      </c>
      <c r="Q30" s="17">
        <f t="shared" si="21"/>
        <v>0</v>
      </c>
      <c r="R30" s="17">
        <f t="shared" si="21"/>
        <v>0</v>
      </c>
      <c r="S30" s="56" t="s">
        <v>193</v>
      </c>
    </row>
    <row r="31" spans="2:23" ht="36" x14ac:dyDescent="0.25">
      <c r="B31" s="343"/>
      <c r="C31" s="325"/>
      <c r="D31" s="350"/>
      <c r="E31" s="316"/>
      <c r="F31" s="37" t="s">
        <v>194</v>
      </c>
      <c r="G31" s="16" t="s">
        <v>195</v>
      </c>
      <c r="H31" s="17">
        <v>5643.65</v>
      </c>
      <c r="I31" s="17">
        <v>6127.89</v>
      </c>
      <c r="J31" s="17">
        <v>6127.89</v>
      </c>
      <c r="K31" s="55">
        <v>6476.87</v>
      </c>
      <c r="L31" s="55">
        <v>6108.27</v>
      </c>
      <c r="M31" s="56">
        <f>IF(U50+W50+X50&gt;8,1,0)</f>
        <v>0</v>
      </c>
      <c r="N31" s="17">
        <f t="shared" ref="N31:R31" si="22">H31*$M$31</f>
        <v>0</v>
      </c>
      <c r="O31" s="17">
        <f t="shared" si="22"/>
        <v>0</v>
      </c>
      <c r="P31" s="17">
        <f t="shared" si="22"/>
        <v>0</v>
      </c>
      <c r="Q31" s="17">
        <f t="shared" si="22"/>
        <v>0</v>
      </c>
      <c r="R31" s="17">
        <f t="shared" si="22"/>
        <v>0</v>
      </c>
      <c r="S31" s="56" t="s">
        <v>193</v>
      </c>
    </row>
    <row r="32" spans="2:23" ht="36" x14ac:dyDescent="0.25">
      <c r="B32" s="343"/>
      <c r="C32" s="325"/>
      <c r="D32" s="350"/>
      <c r="E32" s="316"/>
      <c r="F32" s="37" t="s">
        <v>196</v>
      </c>
      <c r="G32" s="16" t="s">
        <v>197</v>
      </c>
      <c r="H32" s="17">
        <v>4280.97</v>
      </c>
      <c r="I32" s="17">
        <v>4648.29</v>
      </c>
      <c r="J32" s="17">
        <v>4648.29</v>
      </c>
      <c r="K32" s="55">
        <v>4913.01</v>
      </c>
      <c r="L32" s="55">
        <v>4633.41</v>
      </c>
      <c r="M32" s="17"/>
      <c r="N32" s="17">
        <f t="shared" ref="N32:R32" si="23">H32*$M$32</f>
        <v>0</v>
      </c>
      <c r="O32" s="17">
        <f t="shared" si="23"/>
        <v>0</v>
      </c>
      <c r="P32" s="17">
        <f t="shared" si="23"/>
        <v>0</v>
      </c>
      <c r="Q32" s="17">
        <f t="shared" si="23"/>
        <v>0</v>
      </c>
      <c r="R32" s="17">
        <f t="shared" si="23"/>
        <v>0</v>
      </c>
      <c r="S32" s="17"/>
    </row>
    <row r="33" spans="2:19" ht="24" x14ac:dyDescent="0.25">
      <c r="B33" s="343"/>
      <c r="C33" s="325"/>
      <c r="D33" s="350"/>
      <c r="E33" s="36" t="s">
        <v>198</v>
      </c>
      <c r="F33" s="37" t="s">
        <v>245</v>
      </c>
      <c r="G33" s="20" t="s">
        <v>246</v>
      </c>
      <c r="H33" s="17">
        <v>6828.13</v>
      </c>
      <c r="I33" s="17">
        <v>7414</v>
      </c>
      <c r="J33" s="17">
        <v>18626.689999999999</v>
      </c>
      <c r="K33" s="55">
        <v>7836.23</v>
      </c>
      <c r="L33" s="55">
        <v>7390.27</v>
      </c>
      <c r="M33" s="56">
        <f>IF(U50+W50+X50&gt;8,6,0)</f>
        <v>0</v>
      </c>
      <c r="N33" s="17">
        <f t="shared" ref="N33:R33" si="24">H33*$M$33</f>
        <v>0</v>
      </c>
      <c r="O33" s="17">
        <f t="shared" si="24"/>
        <v>0</v>
      </c>
      <c r="P33" s="17">
        <f t="shared" si="24"/>
        <v>0</v>
      </c>
      <c r="Q33" s="17">
        <f t="shared" si="24"/>
        <v>0</v>
      </c>
      <c r="R33" s="17">
        <f t="shared" si="24"/>
        <v>0</v>
      </c>
      <c r="S33" s="56" t="s">
        <v>193</v>
      </c>
    </row>
    <row r="34" spans="2:19" ht="60" x14ac:dyDescent="0.25">
      <c r="B34" s="343"/>
      <c r="C34" s="325"/>
      <c r="D34" s="350"/>
      <c r="E34" s="315" t="s">
        <v>190</v>
      </c>
      <c r="F34" s="37" t="s">
        <v>201</v>
      </c>
      <c r="G34" s="20" t="s">
        <v>202</v>
      </c>
      <c r="H34" s="17">
        <v>9941.01</v>
      </c>
      <c r="I34" s="17">
        <v>10793.98</v>
      </c>
      <c r="J34" s="17">
        <v>11057.7</v>
      </c>
      <c r="K34" s="55">
        <v>11408.71</v>
      </c>
      <c r="L34" s="55">
        <v>10759.43</v>
      </c>
      <c r="M34" s="17">
        <f>IF(U50+W50+X50&lt;=8,IF(U50+W50+X50&gt;0,1,0),0)</f>
        <v>1</v>
      </c>
      <c r="N34" s="17">
        <f t="shared" ref="N34:R34" si="25">H34*$M$34</f>
        <v>9941.01</v>
      </c>
      <c r="O34" s="17">
        <f t="shared" si="25"/>
        <v>10793.98</v>
      </c>
      <c r="P34" s="17">
        <f t="shared" si="25"/>
        <v>11057.7</v>
      </c>
      <c r="Q34" s="17">
        <f t="shared" si="25"/>
        <v>11408.71</v>
      </c>
      <c r="R34" s="17">
        <f t="shared" si="25"/>
        <v>10759.43</v>
      </c>
      <c r="S34" s="56" t="s">
        <v>193</v>
      </c>
    </row>
    <row r="35" spans="2:19" ht="36" x14ac:dyDescent="0.25">
      <c r="B35" s="343"/>
      <c r="C35" s="325"/>
      <c r="D35" s="350"/>
      <c r="E35" s="316"/>
      <c r="F35" s="37" t="s">
        <v>203</v>
      </c>
      <c r="G35" s="16" t="s">
        <v>204</v>
      </c>
      <c r="H35" s="17">
        <v>3434.29</v>
      </c>
      <c r="I35" s="17">
        <v>3728.96</v>
      </c>
      <c r="J35" s="17">
        <v>3820.06</v>
      </c>
      <c r="K35" s="55">
        <v>3941.33</v>
      </c>
      <c r="L35" s="55">
        <v>3717.02</v>
      </c>
      <c r="M35" s="17">
        <f>IF(U50+W50+X50&lt;=8,IF(U50+W50+X50&gt;0,1,0),0)</f>
        <v>1</v>
      </c>
      <c r="N35" s="17">
        <f t="shared" ref="N35:R35" si="26">H35*$M$35</f>
        <v>3434.29</v>
      </c>
      <c r="O35" s="17">
        <f t="shared" si="26"/>
        <v>3728.96</v>
      </c>
      <c r="P35" s="17">
        <f t="shared" si="26"/>
        <v>3820.06</v>
      </c>
      <c r="Q35" s="17">
        <f t="shared" si="26"/>
        <v>3941.33</v>
      </c>
      <c r="R35" s="17">
        <f t="shared" si="26"/>
        <v>3717.02</v>
      </c>
      <c r="S35" s="56" t="s">
        <v>193</v>
      </c>
    </row>
    <row r="36" spans="2:19" ht="36" x14ac:dyDescent="0.25">
      <c r="B36" s="343"/>
      <c r="C36" s="325"/>
      <c r="D36" s="350"/>
      <c r="E36" s="316"/>
      <c r="F36" s="37" t="s">
        <v>205</v>
      </c>
      <c r="G36" s="16" t="s">
        <v>206</v>
      </c>
      <c r="H36" s="17">
        <v>2637.35</v>
      </c>
      <c r="I36" s="17">
        <v>2863.64</v>
      </c>
      <c r="J36" s="17">
        <v>2933.6</v>
      </c>
      <c r="K36" s="55">
        <v>3026.72</v>
      </c>
      <c r="L36" s="55">
        <v>2854.47</v>
      </c>
      <c r="M36" s="17"/>
      <c r="N36" s="17">
        <f t="shared" ref="N36:R36" si="27">H36*$M$36</f>
        <v>0</v>
      </c>
      <c r="O36" s="17">
        <f t="shared" si="27"/>
        <v>0</v>
      </c>
      <c r="P36" s="17">
        <f t="shared" si="27"/>
        <v>0</v>
      </c>
      <c r="Q36" s="17">
        <f t="shared" si="27"/>
        <v>0</v>
      </c>
      <c r="R36" s="17">
        <f t="shared" si="27"/>
        <v>0</v>
      </c>
      <c r="S36" s="17"/>
    </row>
    <row r="37" spans="2:19" ht="24" x14ac:dyDescent="0.25">
      <c r="B37" s="343"/>
      <c r="C37" s="325"/>
      <c r="D37" s="350"/>
      <c r="E37" s="36" t="s">
        <v>198</v>
      </c>
      <c r="F37" s="37" t="s">
        <v>247</v>
      </c>
      <c r="G37" s="20" t="s">
        <v>248</v>
      </c>
      <c r="H37" s="17">
        <v>3846.97</v>
      </c>
      <c r="I37" s="17">
        <v>4177.05</v>
      </c>
      <c r="J37" s="17">
        <v>8492.5400000000009</v>
      </c>
      <c r="K37" s="55">
        <v>4414.9399999999996</v>
      </c>
      <c r="L37" s="55">
        <v>4163.68</v>
      </c>
      <c r="M37" s="17">
        <f>IF(U50+W50+X50&lt;=8,IF(U50+W50+X50&gt;0,6,0),0)</f>
        <v>6</v>
      </c>
      <c r="N37" s="17">
        <f t="shared" ref="N37:R37" si="28">H37*$M$37</f>
        <v>23081.82</v>
      </c>
      <c r="O37" s="17">
        <f t="shared" si="28"/>
        <v>25062.300000000003</v>
      </c>
      <c r="P37" s="17">
        <f t="shared" si="28"/>
        <v>50955.240000000005</v>
      </c>
      <c r="Q37" s="17">
        <f t="shared" si="28"/>
        <v>26489.64</v>
      </c>
      <c r="R37" s="17">
        <f t="shared" si="28"/>
        <v>24982.080000000002</v>
      </c>
      <c r="S37" s="56" t="s">
        <v>193</v>
      </c>
    </row>
    <row r="38" spans="2:19" x14ac:dyDescent="0.25">
      <c r="B38" s="343"/>
      <c r="C38" s="325"/>
      <c r="D38" s="350"/>
      <c r="E38" s="301" t="s">
        <v>209</v>
      </c>
      <c r="F38" s="37" t="s">
        <v>249</v>
      </c>
      <c r="G38" s="20" t="s">
        <v>250</v>
      </c>
      <c r="H38" s="17">
        <v>28670.26</v>
      </c>
      <c r="I38" s="17">
        <v>31130.26</v>
      </c>
      <c r="J38" s="17">
        <v>31890.82</v>
      </c>
      <c r="K38" s="55">
        <v>32903.14</v>
      </c>
      <c r="L38" s="55">
        <v>31030.6</v>
      </c>
      <c r="M38" s="17">
        <f>U50</f>
        <v>1</v>
      </c>
      <c r="N38" s="17">
        <f t="shared" ref="N38:R38" si="29">H38*$M$38</f>
        <v>28670.26</v>
      </c>
      <c r="O38" s="17">
        <f t="shared" si="29"/>
        <v>31130.26</v>
      </c>
      <c r="P38" s="17">
        <f t="shared" si="29"/>
        <v>31890.82</v>
      </c>
      <c r="Q38" s="17">
        <f t="shared" si="29"/>
        <v>32903.14</v>
      </c>
      <c r="R38" s="17">
        <f t="shared" si="29"/>
        <v>31030.6</v>
      </c>
      <c r="S38" s="17" t="s">
        <v>212</v>
      </c>
    </row>
    <row r="39" spans="2:19" x14ac:dyDescent="0.25">
      <c r="B39" s="343"/>
      <c r="C39" s="325"/>
      <c r="D39" s="350"/>
      <c r="E39" s="302"/>
      <c r="F39" s="37" t="s">
        <v>213</v>
      </c>
      <c r="G39" s="20" t="s">
        <v>214</v>
      </c>
      <c r="H39" s="17">
        <v>25049.58</v>
      </c>
      <c r="I39" s="17">
        <v>27198.92</v>
      </c>
      <c r="J39" s="17">
        <v>27863.42</v>
      </c>
      <c r="K39" s="55">
        <v>33539.22</v>
      </c>
      <c r="L39" s="55">
        <v>27111.84</v>
      </c>
      <c r="M39" s="17">
        <f>W50</f>
        <v>1</v>
      </c>
      <c r="N39" s="17">
        <f t="shared" ref="N39:R39" si="30">H39*$M$39</f>
        <v>25049.58</v>
      </c>
      <c r="O39" s="17">
        <f t="shared" si="30"/>
        <v>27198.92</v>
      </c>
      <c r="P39" s="17">
        <f t="shared" si="30"/>
        <v>27863.42</v>
      </c>
      <c r="Q39" s="17">
        <f t="shared" si="30"/>
        <v>33539.22</v>
      </c>
      <c r="R39" s="17">
        <f t="shared" si="30"/>
        <v>27111.84</v>
      </c>
      <c r="S39" s="17" t="s">
        <v>212</v>
      </c>
    </row>
    <row r="40" spans="2:19" x14ac:dyDescent="0.25">
      <c r="B40" s="343"/>
      <c r="C40" s="325"/>
      <c r="D40" s="350"/>
      <c r="E40" s="303"/>
      <c r="F40" s="37" t="s">
        <v>215</v>
      </c>
      <c r="G40" s="20" t="s">
        <v>216</v>
      </c>
      <c r="H40" s="17">
        <v>13695.61</v>
      </c>
      <c r="I40" s="17">
        <v>14870.74</v>
      </c>
      <c r="J40" s="17">
        <v>22851.07</v>
      </c>
      <c r="K40" s="55">
        <v>15717.63</v>
      </c>
      <c r="L40" s="55">
        <v>14823.13</v>
      </c>
      <c r="M40" s="17">
        <f>X50</f>
        <v>1</v>
      </c>
      <c r="N40" s="17">
        <f t="shared" ref="N40:R40" si="31">H40*$M$40</f>
        <v>13695.61</v>
      </c>
      <c r="O40" s="17">
        <f t="shared" si="31"/>
        <v>14870.74</v>
      </c>
      <c r="P40" s="17">
        <f t="shared" si="31"/>
        <v>22851.07</v>
      </c>
      <c r="Q40" s="17">
        <f t="shared" si="31"/>
        <v>15717.63</v>
      </c>
      <c r="R40" s="17">
        <f t="shared" si="31"/>
        <v>14823.13</v>
      </c>
      <c r="S40" s="17" t="s">
        <v>212</v>
      </c>
    </row>
    <row r="41" spans="2:19" x14ac:dyDescent="0.25">
      <c r="B41" s="343"/>
      <c r="C41" s="325"/>
      <c r="D41" s="350"/>
      <c r="E41" s="317" t="s">
        <v>217</v>
      </c>
      <c r="F41" s="37" t="s">
        <v>218</v>
      </c>
      <c r="G41" s="20" t="s">
        <v>219</v>
      </c>
      <c r="H41" s="17">
        <v>1230.94</v>
      </c>
      <c r="I41" s="17">
        <v>1336.56</v>
      </c>
      <c r="J41" s="57">
        <v>1369.22</v>
      </c>
      <c r="K41" s="55">
        <v>1412.68</v>
      </c>
      <c r="L41" s="55">
        <v>1332.28</v>
      </c>
      <c r="M41" s="17"/>
      <c r="N41" s="17">
        <f t="shared" ref="N41:R41" si="32">H41*$M$41</f>
        <v>0</v>
      </c>
      <c r="O41" s="17">
        <f t="shared" si="32"/>
        <v>0</v>
      </c>
      <c r="P41" s="17">
        <f t="shared" si="32"/>
        <v>0</v>
      </c>
      <c r="Q41" s="17">
        <f t="shared" si="32"/>
        <v>0</v>
      </c>
      <c r="R41" s="17">
        <f t="shared" si="32"/>
        <v>0</v>
      </c>
      <c r="S41" s="17" t="s">
        <v>212</v>
      </c>
    </row>
    <row r="42" spans="2:19" ht="24" x14ac:dyDescent="0.25">
      <c r="B42" s="343"/>
      <c r="C42" s="325"/>
      <c r="D42" s="350"/>
      <c r="E42" s="317"/>
      <c r="F42" s="37" t="s">
        <v>220</v>
      </c>
      <c r="G42" s="20" t="s">
        <v>221</v>
      </c>
      <c r="H42" s="17">
        <v>1684.07</v>
      </c>
      <c r="I42" s="17">
        <v>1828.57</v>
      </c>
      <c r="J42" s="57">
        <v>1873.25</v>
      </c>
      <c r="K42" s="55">
        <v>1932.71</v>
      </c>
      <c r="L42" s="55">
        <v>1822.72</v>
      </c>
      <c r="M42" s="17">
        <f>18*U50</f>
        <v>18</v>
      </c>
      <c r="N42" s="17">
        <f t="shared" ref="N42:R42" si="33">H42*$M$42</f>
        <v>30313.26</v>
      </c>
      <c r="O42" s="17">
        <f t="shared" si="33"/>
        <v>32914.26</v>
      </c>
      <c r="P42" s="17">
        <f t="shared" si="33"/>
        <v>33718.5</v>
      </c>
      <c r="Q42" s="17">
        <f t="shared" si="33"/>
        <v>34788.78</v>
      </c>
      <c r="R42" s="17">
        <f t="shared" si="33"/>
        <v>32808.959999999999</v>
      </c>
      <c r="S42" s="17" t="s">
        <v>212</v>
      </c>
    </row>
    <row r="43" spans="2:19" x14ac:dyDescent="0.25">
      <c r="B43" s="343"/>
      <c r="C43" s="325"/>
      <c r="D43" s="350"/>
      <c r="E43" s="317"/>
      <c r="F43" s="37" t="s">
        <v>222</v>
      </c>
      <c r="G43" s="20" t="s">
        <v>223</v>
      </c>
      <c r="H43" s="17">
        <v>3486.21</v>
      </c>
      <c r="I43" s="17">
        <v>3785.34</v>
      </c>
      <c r="J43" s="57">
        <v>3877.82</v>
      </c>
      <c r="K43" s="55">
        <v>4000.92</v>
      </c>
      <c r="L43" s="55">
        <v>3773.22</v>
      </c>
      <c r="M43" s="17"/>
      <c r="N43" s="17">
        <f t="shared" ref="N43:R43" si="34">H43*$M$43</f>
        <v>0</v>
      </c>
      <c r="O43" s="17">
        <f t="shared" si="34"/>
        <v>0</v>
      </c>
      <c r="P43" s="17">
        <f t="shared" si="34"/>
        <v>0</v>
      </c>
      <c r="Q43" s="17">
        <f t="shared" si="34"/>
        <v>0</v>
      </c>
      <c r="R43" s="17">
        <f t="shared" si="34"/>
        <v>0</v>
      </c>
      <c r="S43" s="17" t="s">
        <v>212</v>
      </c>
    </row>
    <row r="44" spans="2:19" x14ac:dyDescent="0.25">
      <c r="B44" s="343"/>
      <c r="C44" s="325"/>
      <c r="D44" s="350"/>
      <c r="E44" s="317"/>
      <c r="F44" s="37" t="s">
        <v>224</v>
      </c>
      <c r="G44" s="20" t="s">
        <v>225</v>
      </c>
      <c r="H44" s="17">
        <v>509.43</v>
      </c>
      <c r="I44" s="17">
        <v>553.14</v>
      </c>
      <c r="J44" s="57">
        <v>566.66</v>
      </c>
      <c r="K44" s="55">
        <v>584.64</v>
      </c>
      <c r="L44" s="55">
        <v>551.37</v>
      </c>
      <c r="M44" s="17"/>
      <c r="N44" s="17">
        <f t="shared" ref="N44:R44" si="35">H44*$M$44</f>
        <v>0</v>
      </c>
      <c r="O44" s="17">
        <f t="shared" si="35"/>
        <v>0</v>
      </c>
      <c r="P44" s="17">
        <f t="shared" si="35"/>
        <v>0</v>
      </c>
      <c r="Q44" s="17">
        <f t="shared" si="35"/>
        <v>0</v>
      </c>
      <c r="R44" s="17">
        <f t="shared" si="35"/>
        <v>0</v>
      </c>
      <c r="S44" s="17" t="s">
        <v>212</v>
      </c>
    </row>
    <row r="45" spans="2:19" x14ac:dyDescent="0.25">
      <c r="B45" s="343"/>
      <c r="C45" s="325"/>
      <c r="D45" s="350"/>
      <c r="E45" s="317"/>
      <c r="F45" s="37" t="s">
        <v>226</v>
      </c>
      <c r="G45" s="20" t="s">
        <v>227</v>
      </c>
      <c r="H45" s="17">
        <v>323.58999999999997</v>
      </c>
      <c r="I45" s="17">
        <v>351.35</v>
      </c>
      <c r="J45" s="57">
        <v>359.94</v>
      </c>
      <c r="K45" s="55">
        <v>371.36</v>
      </c>
      <c r="L45" s="55">
        <v>350.23</v>
      </c>
      <c r="M45" s="17"/>
      <c r="N45" s="17">
        <f t="shared" ref="N45:R45" si="36">H45*$M$45</f>
        <v>0</v>
      </c>
      <c r="O45" s="17">
        <f t="shared" si="36"/>
        <v>0</v>
      </c>
      <c r="P45" s="17">
        <f t="shared" si="36"/>
        <v>0</v>
      </c>
      <c r="Q45" s="17">
        <f t="shared" si="36"/>
        <v>0</v>
      </c>
      <c r="R45" s="17">
        <f t="shared" si="36"/>
        <v>0</v>
      </c>
      <c r="S45" s="17" t="s">
        <v>212</v>
      </c>
    </row>
    <row r="46" spans="2:19" x14ac:dyDescent="0.25">
      <c r="B46" s="343"/>
      <c r="C46" s="325"/>
      <c r="D46" s="350"/>
      <c r="E46" s="317"/>
      <c r="F46" s="37" t="s">
        <v>228</v>
      </c>
      <c r="G46" s="20" t="s">
        <v>229</v>
      </c>
      <c r="H46" s="17">
        <v>1029.25</v>
      </c>
      <c r="I46" s="17">
        <v>1117.56</v>
      </c>
      <c r="J46" s="57">
        <v>1144.8599999999999</v>
      </c>
      <c r="K46" s="55">
        <v>1181.21</v>
      </c>
      <c r="L46" s="55">
        <v>1113.98</v>
      </c>
      <c r="M46" s="17">
        <f>M39*36</f>
        <v>36</v>
      </c>
      <c r="N46" s="17">
        <f t="shared" ref="N46:R46" si="37">H46*$M$46</f>
        <v>37053</v>
      </c>
      <c r="O46" s="17">
        <f t="shared" si="37"/>
        <v>40232.159999999996</v>
      </c>
      <c r="P46" s="17">
        <f t="shared" si="37"/>
        <v>41214.959999999999</v>
      </c>
      <c r="Q46" s="17">
        <f t="shared" si="37"/>
        <v>42523.56</v>
      </c>
      <c r="R46" s="17">
        <f t="shared" si="37"/>
        <v>40103.279999999999</v>
      </c>
      <c r="S46" s="17" t="s">
        <v>212</v>
      </c>
    </row>
    <row r="47" spans="2:19" x14ac:dyDescent="0.25">
      <c r="B47" s="343"/>
      <c r="C47" s="325"/>
      <c r="D47" s="350"/>
      <c r="E47" s="317"/>
      <c r="F47" s="37" t="s">
        <v>230</v>
      </c>
      <c r="G47" s="20" t="s">
        <v>231</v>
      </c>
      <c r="H47" s="17">
        <v>1160.98</v>
      </c>
      <c r="I47" s="17">
        <v>1260.5899999999999</v>
      </c>
      <c r="J47" s="57">
        <v>1291.3900000000001</v>
      </c>
      <c r="K47" s="55">
        <v>1332.39</v>
      </c>
      <c r="L47" s="55">
        <v>1256.56</v>
      </c>
      <c r="M47" s="17"/>
      <c r="N47" s="17">
        <f t="shared" ref="N47:R47" si="38">H47*$M$47</f>
        <v>0</v>
      </c>
      <c r="O47" s="17">
        <f t="shared" si="38"/>
        <v>0</v>
      </c>
      <c r="P47" s="17">
        <f t="shared" si="38"/>
        <v>0</v>
      </c>
      <c r="Q47" s="17">
        <f t="shared" si="38"/>
        <v>0</v>
      </c>
      <c r="R47" s="17">
        <f t="shared" si="38"/>
        <v>0</v>
      </c>
      <c r="S47" s="17" t="s">
        <v>212</v>
      </c>
    </row>
    <row r="48" spans="2:19" x14ac:dyDescent="0.25">
      <c r="B48" s="343"/>
      <c r="C48" s="325"/>
      <c r="D48" s="350"/>
      <c r="E48" s="317"/>
      <c r="F48" s="37" t="s">
        <v>232</v>
      </c>
      <c r="G48" s="20" t="s">
        <v>233</v>
      </c>
      <c r="H48" s="17">
        <v>95.66</v>
      </c>
      <c r="I48" s="17">
        <v>59.35</v>
      </c>
      <c r="J48" s="57">
        <v>106.4</v>
      </c>
      <c r="K48" s="55">
        <v>109.78</v>
      </c>
      <c r="L48" s="55">
        <v>103.53</v>
      </c>
      <c r="M48" s="17">
        <f>X50*48</f>
        <v>48</v>
      </c>
      <c r="N48" s="17">
        <f t="shared" ref="N48:R48" si="39">H48*$M$48</f>
        <v>4591.68</v>
      </c>
      <c r="O48" s="17">
        <f t="shared" si="39"/>
        <v>2848.8</v>
      </c>
      <c r="P48" s="17">
        <f t="shared" si="39"/>
        <v>5107.2000000000007</v>
      </c>
      <c r="Q48" s="17">
        <f t="shared" si="39"/>
        <v>5269.4400000000005</v>
      </c>
      <c r="R48" s="17">
        <f t="shared" si="39"/>
        <v>4969.4400000000005</v>
      </c>
      <c r="S48" s="17" t="s">
        <v>212</v>
      </c>
    </row>
    <row r="49" spans="2:24" x14ac:dyDescent="0.25">
      <c r="B49" s="343"/>
      <c r="C49" s="325"/>
      <c r="D49" s="351"/>
      <c r="E49" s="301"/>
      <c r="F49" s="40" t="s">
        <v>234</v>
      </c>
      <c r="G49" s="21" t="s">
        <v>235</v>
      </c>
      <c r="H49" s="22">
        <v>54.66</v>
      </c>
      <c r="I49" s="22">
        <v>103.86</v>
      </c>
      <c r="J49" s="58">
        <v>60.8</v>
      </c>
      <c r="K49" s="59">
        <v>62.73</v>
      </c>
      <c r="L49" s="59">
        <v>59.16</v>
      </c>
      <c r="M49" s="17"/>
      <c r="N49" s="17">
        <f t="shared" ref="N49:R49" si="40">H49*$M$49</f>
        <v>0</v>
      </c>
      <c r="O49" s="17">
        <f t="shared" si="40"/>
        <v>0</v>
      </c>
      <c r="P49" s="17">
        <f t="shared" si="40"/>
        <v>0</v>
      </c>
      <c r="Q49" s="17">
        <f t="shared" si="40"/>
        <v>0</v>
      </c>
      <c r="R49" s="17">
        <f t="shared" si="40"/>
        <v>0</v>
      </c>
      <c r="S49" s="17" t="s">
        <v>212</v>
      </c>
      <c r="U49" s="63" t="s">
        <v>236</v>
      </c>
      <c r="V49" s="63" t="s">
        <v>37</v>
      </c>
      <c r="W49" s="63" t="s">
        <v>237</v>
      </c>
      <c r="X49" s="63" t="s">
        <v>251</v>
      </c>
    </row>
    <row r="50" spans="2:24" ht="32.4" x14ac:dyDescent="0.25">
      <c r="B50" s="344"/>
      <c r="C50" s="23" t="s">
        <v>238</v>
      </c>
      <c r="D50" s="24" t="s">
        <v>239</v>
      </c>
      <c r="E50" s="41"/>
      <c r="F50" s="42"/>
      <c r="G50" s="27"/>
      <c r="H50" s="28" t="s">
        <v>240</v>
      </c>
      <c r="I50" s="28" t="s">
        <v>240</v>
      </c>
      <c r="J50" s="28" t="s">
        <v>240</v>
      </c>
      <c r="K50" s="28" t="s">
        <v>240</v>
      </c>
      <c r="L50" s="28" t="s">
        <v>240</v>
      </c>
      <c r="M50" s="60"/>
      <c r="N50" s="60"/>
      <c r="O50" s="60"/>
      <c r="P50" s="60"/>
      <c r="Q50" s="60"/>
      <c r="R50" s="60"/>
      <c r="S50" s="67"/>
      <c r="U50" s="12">
        <f>CEILING('2-建设规模换算'!E23/18,1)</f>
        <v>1</v>
      </c>
      <c r="V50" s="12">
        <f>IF(U50&gt;0,IF(U50&lt;=16,2,0),0)</f>
        <v>2</v>
      </c>
      <c r="W50" s="12">
        <f>CEILING('2-建设规模换算'!E24/36,1)</f>
        <v>1</v>
      </c>
      <c r="X50" s="12">
        <f>CEILING(('2-建设规模换算'!E25+'2-建设规模换算'!E26)/48,1)</f>
        <v>1</v>
      </c>
    </row>
    <row r="51" spans="2:24" ht="53.1" customHeight="1" x14ac:dyDescent="0.25">
      <c r="B51" s="345"/>
      <c r="C51" s="43" t="s">
        <v>241</v>
      </c>
      <c r="D51" s="44" t="s">
        <v>252</v>
      </c>
      <c r="E51" s="45"/>
      <c r="F51" s="45"/>
      <c r="G51" s="45"/>
      <c r="H51" s="45"/>
      <c r="I51" s="45"/>
      <c r="J51" s="45"/>
      <c r="K51" s="45"/>
      <c r="L51" s="62" t="s">
        <v>87</v>
      </c>
      <c r="M51" s="62">
        <f t="shared" ref="M51:R51" si="41">SUM(M30:M49)</f>
        <v>113</v>
      </c>
      <c r="N51" s="62">
        <f t="shared" si="41"/>
        <v>175830.50999999998</v>
      </c>
      <c r="O51" s="62">
        <f>SUM(O30:O49)/10000</f>
        <v>18.878038</v>
      </c>
      <c r="P51" s="62">
        <f t="shared" si="41"/>
        <v>228478.97</v>
      </c>
      <c r="Q51" s="62">
        <f t="shared" si="41"/>
        <v>206581.45</v>
      </c>
      <c r="R51" s="62">
        <f t="shared" si="41"/>
        <v>190305.78</v>
      </c>
      <c r="S51" s="68"/>
    </row>
    <row r="52" spans="2:24" x14ac:dyDescent="0.25">
      <c r="B52" s="34" t="s">
        <v>243</v>
      </c>
    </row>
    <row r="53" spans="2:24" x14ac:dyDescent="0.25">
      <c r="B53" s="334" t="s">
        <v>253</v>
      </c>
      <c r="C53" s="334"/>
      <c r="D53" s="334"/>
      <c r="E53" s="334"/>
      <c r="F53" s="334"/>
      <c r="G53" s="334"/>
    </row>
    <row r="54" spans="2:24" x14ac:dyDescent="0.25">
      <c r="B54" s="340" t="s">
        <v>253</v>
      </c>
      <c r="C54" s="340"/>
      <c r="D54" s="340"/>
      <c r="E54" s="340"/>
      <c r="F54" s="340"/>
      <c r="G54" s="340"/>
    </row>
    <row r="55" spans="2:24" x14ac:dyDescent="0.25">
      <c r="B55" s="326" t="s">
        <v>162</v>
      </c>
      <c r="C55" s="306" t="s">
        <v>178</v>
      </c>
      <c r="D55" s="306" t="s">
        <v>179</v>
      </c>
      <c r="E55" s="299" t="s">
        <v>180</v>
      </c>
      <c r="F55" s="299"/>
      <c r="G55" s="299" t="s">
        <v>181</v>
      </c>
      <c r="H55" s="46" t="s">
        <v>182</v>
      </c>
      <c r="I55" s="47" t="s">
        <v>254</v>
      </c>
      <c r="J55" s="17" t="s">
        <v>184</v>
      </c>
      <c r="M55" s="63" t="s">
        <v>255</v>
      </c>
      <c r="O55" s="63" t="s">
        <v>256</v>
      </c>
    </row>
    <row r="56" spans="2:24" x14ac:dyDescent="0.25">
      <c r="B56" s="327"/>
      <c r="C56" s="307"/>
      <c r="D56" s="307"/>
      <c r="E56" s="300"/>
      <c r="F56" s="300"/>
      <c r="G56" s="300"/>
      <c r="H56" s="17" t="s">
        <v>257</v>
      </c>
      <c r="I56" s="35"/>
      <c r="J56" s="17" t="s">
        <v>257</v>
      </c>
    </row>
    <row r="57" spans="2:24" ht="24" x14ac:dyDescent="0.25">
      <c r="B57" s="327"/>
      <c r="C57" s="308">
        <f>AVERAGE(J67)/10000</f>
        <v>498.00917600000002</v>
      </c>
      <c r="D57" s="308">
        <f>MAX(J67)/10000</f>
        <v>498.00917600000002</v>
      </c>
      <c r="E57" s="317" t="s">
        <v>190</v>
      </c>
      <c r="F57" s="47" t="s">
        <v>258</v>
      </c>
      <c r="G57" s="48" t="s">
        <v>259</v>
      </c>
      <c r="H57" s="49">
        <v>336978.24</v>
      </c>
      <c r="I57" s="61">
        <v>1</v>
      </c>
      <c r="J57" s="17">
        <f t="shared" ref="J57:J66" si="42">$H57*$I57</f>
        <v>336978.24</v>
      </c>
    </row>
    <row r="58" spans="2:24" ht="48" x14ac:dyDescent="0.25">
      <c r="B58" s="327"/>
      <c r="C58" s="308"/>
      <c r="D58" s="308"/>
      <c r="E58" s="317"/>
      <c r="F58" s="47" t="s">
        <v>260</v>
      </c>
      <c r="G58" s="48" t="s">
        <v>261</v>
      </c>
      <c r="H58" s="49">
        <v>200782.87</v>
      </c>
      <c r="I58" s="61">
        <v>8</v>
      </c>
      <c r="J58" s="17">
        <f t="shared" si="42"/>
        <v>1606262.96</v>
      </c>
      <c r="M58" s="12">
        <f>IF(M84&gt;32,IF(M84&gt;288,0,CEILING(M84/36,1)),0)</f>
        <v>0</v>
      </c>
    </row>
    <row r="59" spans="2:24" ht="24" x14ac:dyDescent="0.25">
      <c r="B59" s="327"/>
      <c r="C59" s="308"/>
      <c r="D59" s="308"/>
      <c r="E59" s="50" t="s">
        <v>217</v>
      </c>
      <c r="F59" s="51" t="s">
        <v>262</v>
      </c>
      <c r="G59" s="48" t="s">
        <v>263</v>
      </c>
      <c r="H59" s="49">
        <v>10544.62</v>
      </c>
      <c r="I59" s="61">
        <v>288</v>
      </c>
      <c r="J59" s="17">
        <f t="shared" si="42"/>
        <v>3036850.56</v>
      </c>
      <c r="M59" s="12">
        <f>M58*36</f>
        <v>0</v>
      </c>
    </row>
    <row r="60" spans="2:24" ht="24" x14ac:dyDescent="0.25">
      <c r="B60" s="327"/>
      <c r="C60" s="308"/>
      <c r="D60" s="308"/>
      <c r="E60" s="301" t="s">
        <v>264</v>
      </c>
      <c r="F60" s="52" t="s">
        <v>265</v>
      </c>
      <c r="G60" s="48" t="s">
        <v>266</v>
      </c>
      <c r="H60" s="49">
        <v>21271.75</v>
      </c>
      <c r="I60" s="61"/>
      <c r="J60" s="17">
        <f t="shared" si="42"/>
        <v>0</v>
      </c>
    </row>
    <row r="61" spans="2:24" ht="24" x14ac:dyDescent="0.25">
      <c r="B61" s="328"/>
      <c r="C61" s="308"/>
      <c r="D61" s="308"/>
      <c r="E61" s="302"/>
      <c r="F61" s="51" t="s">
        <v>267</v>
      </c>
      <c r="G61" s="48" t="s">
        <v>268</v>
      </c>
      <c r="H61" s="49">
        <v>4914.2700000000004</v>
      </c>
      <c r="I61" s="61"/>
      <c r="J61" s="17">
        <f t="shared" si="42"/>
        <v>0</v>
      </c>
    </row>
    <row r="62" spans="2:24" ht="24" x14ac:dyDescent="0.25">
      <c r="B62" s="328"/>
      <c r="C62" s="308"/>
      <c r="D62" s="308"/>
      <c r="E62" s="302"/>
      <c r="F62" s="52" t="s">
        <v>269</v>
      </c>
      <c r="G62" s="48" t="s">
        <v>270</v>
      </c>
      <c r="H62" s="49">
        <v>2541.38</v>
      </c>
      <c r="I62" s="64"/>
      <c r="J62" s="17">
        <f t="shared" si="42"/>
        <v>0</v>
      </c>
    </row>
    <row r="63" spans="2:24" x14ac:dyDescent="0.25">
      <c r="B63" s="328"/>
      <c r="C63" s="308"/>
      <c r="D63" s="308"/>
      <c r="E63" s="302"/>
      <c r="F63" s="52" t="s">
        <v>271</v>
      </c>
      <c r="G63" s="48" t="s">
        <v>272</v>
      </c>
      <c r="H63" s="49">
        <v>4043.74</v>
      </c>
      <c r="I63" s="22"/>
      <c r="J63" s="17">
        <f t="shared" si="42"/>
        <v>0</v>
      </c>
    </row>
    <row r="64" spans="2:24" ht="24" x14ac:dyDescent="0.25">
      <c r="B64" s="328"/>
      <c r="C64" s="308"/>
      <c r="D64" s="308"/>
      <c r="E64" s="302"/>
      <c r="F64" s="52" t="s">
        <v>273</v>
      </c>
      <c r="G64" s="48" t="s">
        <v>274</v>
      </c>
      <c r="H64" s="49">
        <v>1923.58</v>
      </c>
      <c r="I64" s="22"/>
      <c r="J64" s="17">
        <f t="shared" si="42"/>
        <v>0</v>
      </c>
    </row>
    <row r="65" spans="2:13" ht="24" x14ac:dyDescent="0.25">
      <c r="B65" s="328"/>
      <c r="C65" s="308"/>
      <c r="D65" s="308"/>
      <c r="E65" s="302"/>
      <c r="F65" s="52" t="s">
        <v>218</v>
      </c>
      <c r="G65" s="48" t="s">
        <v>275</v>
      </c>
      <c r="H65" s="49">
        <v>1404.08</v>
      </c>
      <c r="I65" s="22"/>
      <c r="J65" s="17">
        <f t="shared" si="42"/>
        <v>0</v>
      </c>
    </row>
    <row r="66" spans="2:13" ht="24" x14ac:dyDescent="0.25">
      <c r="B66" s="328"/>
      <c r="C66" s="308"/>
      <c r="D66" s="308"/>
      <c r="E66" s="303"/>
      <c r="F66" s="52" t="s">
        <v>276</v>
      </c>
      <c r="G66" s="48" t="s">
        <v>277</v>
      </c>
      <c r="H66" s="49">
        <v>280.82</v>
      </c>
      <c r="I66" s="22"/>
      <c r="J66" s="17">
        <f t="shared" si="42"/>
        <v>0</v>
      </c>
    </row>
    <row r="67" spans="2:13" x14ac:dyDescent="0.25">
      <c r="B67" s="328"/>
      <c r="C67" s="309"/>
      <c r="D67" s="309"/>
      <c r="E67" s="22"/>
      <c r="F67" s="22"/>
      <c r="G67" s="22"/>
      <c r="H67" s="22" t="s">
        <v>87</v>
      </c>
      <c r="I67" s="22">
        <f>SUM(I57:I66)</f>
        <v>297</v>
      </c>
      <c r="J67" s="22">
        <f>SUM(J57:J66)</f>
        <v>4980091.76</v>
      </c>
    </row>
    <row r="68" spans="2:13" x14ac:dyDescent="0.25">
      <c r="B68" s="328"/>
      <c r="C68" s="23" t="s">
        <v>238</v>
      </c>
      <c r="D68" s="69">
        <v>15.8</v>
      </c>
      <c r="E68" s="69"/>
      <c r="F68" s="69"/>
      <c r="G68" s="69"/>
      <c r="H68" s="69"/>
      <c r="I68" s="69"/>
      <c r="J68" s="69"/>
    </row>
    <row r="69" spans="2:13" ht="24" x14ac:dyDescent="0.25">
      <c r="B69" s="328"/>
      <c r="C69" s="70" t="s">
        <v>278</v>
      </c>
      <c r="D69" s="70" t="s">
        <v>279</v>
      </c>
      <c r="E69" s="33"/>
      <c r="F69" s="33"/>
      <c r="G69" s="33"/>
      <c r="H69" s="33"/>
      <c r="I69" s="93"/>
      <c r="J69" s="94"/>
      <c r="M69" s="12">
        <f>IF(M84&gt;32,IF(M84&gt;288,0,16),0)</f>
        <v>0</v>
      </c>
    </row>
    <row r="70" spans="2:13" x14ac:dyDescent="0.25">
      <c r="B70" s="71"/>
      <c r="C70" s="72"/>
      <c r="D70" s="73"/>
      <c r="E70" s="72"/>
      <c r="F70" s="74"/>
      <c r="G70" s="75"/>
      <c r="H70" s="76"/>
      <c r="I70" s="75"/>
      <c r="J70" s="75"/>
    </row>
    <row r="71" spans="2:13" x14ac:dyDescent="0.25">
      <c r="B71" s="326" t="s">
        <v>164</v>
      </c>
      <c r="C71" s="306" t="s">
        <v>178</v>
      </c>
      <c r="D71" s="306" t="s">
        <v>179</v>
      </c>
      <c r="E71" s="299" t="s">
        <v>180</v>
      </c>
      <c r="F71" s="299"/>
      <c r="G71" s="299" t="s">
        <v>181</v>
      </c>
      <c r="H71" s="46" t="s">
        <v>182</v>
      </c>
      <c r="I71" s="47" t="s">
        <v>254</v>
      </c>
      <c r="J71" s="17" t="s">
        <v>184</v>
      </c>
    </row>
    <row r="72" spans="2:13" x14ac:dyDescent="0.25">
      <c r="B72" s="327"/>
      <c r="C72" s="307"/>
      <c r="D72" s="307"/>
      <c r="E72" s="300"/>
      <c r="F72" s="300"/>
      <c r="G72" s="300"/>
      <c r="H72" s="17" t="s">
        <v>257</v>
      </c>
      <c r="I72" s="35"/>
      <c r="J72" s="17" t="s">
        <v>257</v>
      </c>
    </row>
    <row r="73" spans="2:13" x14ac:dyDescent="0.25">
      <c r="B73" s="327"/>
      <c r="C73" s="308">
        <f>AVERAGE(J82)/10000</f>
        <v>30.617290000000001</v>
      </c>
      <c r="D73" s="308">
        <f>MAX(J82)/10000</f>
        <v>30.617290000000001</v>
      </c>
      <c r="E73" s="39" t="s">
        <v>217</v>
      </c>
      <c r="F73" s="77" t="s">
        <v>280</v>
      </c>
      <c r="G73" s="48" t="s">
        <v>281</v>
      </c>
      <c r="H73" s="78">
        <v>207887.5</v>
      </c>
      <c r="I73" s="61">
        <v>1</v>
      </c>
      <c r="J73" s="17">
        <f t="shared" ref="J73:J81" si="43">$H73*$I73</f>
        <v>207887.5</v>
      </c>
    </row>
    <row r="74" spans="2:13" ht="24" x14ac:dyDescent="0.25">
      <c r="B74" s="327"/>
      <c r="C74" s="308"/>
      <c r="D74" s="308"/>
      <c r="E74" s="301" t="s">
        <v>217</v>
      </c>
      <c r="F74" s="51" t="s">
        <v>262</v>
      </c>
      <c r="G74" s="48" t="s">
        <v>263</v>
      </c>
      <c r="H74" s="78">
        <v>10544.62</v>
      </c>
      <c r="I74" s="61"/>
      <c r="J74" s="17">
        <f t="shared" si="43"/>
        <v>0</v>
      </c>
    </row>
    <row r="75" spans="2:13" ht="24" x14ac:dyDescent="0.25">
      <c r="B75" s="327"/>
      <c r="C75" s="308"/>
      <c r="D75" s="308"/>
      <c r="E75" s="303"/>
      <c r="F75" s="51" t="s">
        <v>267</v>
      </c>
      <c r="G75" s="48" t="s">
        <v>268</v>
      </c>
      <c r="H75" s="78">
        <v>4914.2700000000004</v>
      </c>
      <c r="I75" s="61">
        <v>20</v>
      </c>
      <c r="J75" s="17">
        <f t="shared" si="43"/>
        <v>98285.4</v>
      </c>
    </row>
    <row r="76" spans="2:13" ht="24" x14ac:dyDescent="0.25">
      <c r="B76" s="327"/>
      <c r="C76" s="308"/>
      <c r="D76" s="308"/>
      <c r="E76" s="301" t="s">
        <v>264</v>
      </c>
      <c r="F76" s="52" t="s">
        <v>265</v>
      </c>
      <c r="G76" s="48" t="s">
        <v>266</v>
      </c>
      <c r="H76" s="78">
        <v>21271.75</v>
      </c>
      <c r="I76" s="61"/>
      <c r="J76" s="17">
        <f t="shared" si="43"/>
        <v>0</v>
      </c>
    </row>
    <row r="77" spans="2:13" ht="24" x14ac:dyDescent="0.25">
      <c r="B77" s="328"/>
      <c r="C77" s="308"/>
      <c r="D77" s="308"/>
      <c r="E77" s="302"/>
      <c r="F77" s="52" t="s">
        <v>269</v>
      </c>
      <c r="G77" s="48" t="s">
        <v>270</v>
      </c>
      <c r="H77" s="78">
        <v>2541.38</v>
      </c>
      <c r="I77" s="61"/>
      <c r="J77" s="17">
        <f t="shared" si="43"/>
        <v>0</v>
      </c>
    </row>
    <row r="78" spans="2:13" x14ac:dyDescent="0.25">
      <c r="B78" s="328"/>
      <c r="C78" s="308"/>
      <c r="D78" s="308"/>
      <c r="E78" s="302"/>
      <c r="F78" s="52" t="s">
        <v>271</v>
      </c>
      <c r="G78" s="48" t="s">
        <v>272</v>
      </c>
      <c r="H78" s="78">
        <v>4043.74</v>
      </c>
      <c r="I78" s="64"/>
      <c r="J78" s="17">
        <f t="shared" si="43"/>
        <v>0</v>
      </c>
    </row>
    <row r="79" spans="2:13" ht="24" x14ac:dyDescent="0.25">
      <c r="B79" s="328"/>
      <c r="C79" s="308"/>
      <c r="D79" s="308"/>
      <c r="E79" s="302"/>
      <c r="F79" s="52" t="s">
        <v>273</v>
      </c>
      <c r="G79" s="48" t="s">
        <v>274</v>
      </c>
      <c r="H79" s="78">
        <v>1923.58</v>
      </c>
      <c r="I79" s="22"/>
      <c r="J79" s="17">
        <f t="shared" si="43"/>
        <v>0</v>
      </c>
    </row>
    <row r="80" spans="2:13" ht="24" x14ac:dyDescent="0.25">
      <c r="B80" s="328"/>
      <c r="C80" s="308"/>
      <c r="D80" s="308"/>
      <c r="E80" s="302"/>
      <c r="F80" s="52" t="s">
        <v>218</v>
      </c>
      <c r="G80" s="48" t="s">
        <v>275</v>
      </c>
      <c r="H80" s="78">
        <v>1404.08</v>
      </c>
      <c r="I80" s="22"/>
      <c r="J80" s="17">
        <f t="shared" si="43"/>
        <v>0</v>
      </c>
    </row>
    <row r="81" spans="2:13" x14ac:dyDescent="0.25">
      <c r="B81" s="328"/>
      <c r="C81" s="308"/>
      <c r="D81" s="308"/>
      <c r="E81" s="303"/>
      <c r="F81" s="52" t="s">
        <v>276</v>
      </c>
      <c r="G81" s="48" t="s">
        <v>272</v>
      </c>
      <c r="H81" s="78">
        <v>280.82</v>
      </c>
      <c r="I81" s="22"/>
      <c r="J81" s="17">
        <f t="shared" si="43"/>
        <v>0</v>
      </c>
    </row>
    <row r="82" spans="2:13" x14ac:dyDescent="0.25">
      <c r="B82" s="328"/>
      <c r="C82" s="309"/>
      <c r="D82" s="309"/>
      <c r="E82" s="22"/>
      <c r="F82" s="22"/>
      <c r="G82" s="22"/>
      <c r="H82" s="22" t="s">
        <v>87</v>
      </c>
      <c r="I82" s="22">
        <f>SUM(I73:I81)</f>
        <v>21</v>
      </c>
      <c r="J82" s="22">
        <f>SUM(J73:J81)</f>
        <v>306172.90000000002</v>
      </c>
    </row>
    <row r="83" spans="2:13" x14ac:dyDescent="0.25">
      <c r="B83" s="328"/>
      <c r="C83" s="23" t="s">
        <v>238</v>
      </c>
      <c r="D83" s="69">
        <v>4</v>
      </c>
      <c r="E83" s="69"/>
      <c r="F83" s="69"/>
      <c r="G83" s="69"/>
      <c r="H83" s="69"/>
      <c r="I83" s="69"/>
      <c r="J83" s="69"/>
    </row>
    <row r="84" spans="2:13" ht="24" x14ac:dyDescent="0.25">
      <c r="B84" s="328"/>
      <c r="C84" s="70" t="s">
        <v>278</v>
      </c>
      <c r="D84" s="70" t="s">
        <v>282</v>
      </c>
      <c r="E84" s="33"/>
      <c r="F84" s="33"/>
      <c r="G84" s="33"/>
      <c r="H84" s="33"/>
      <c r="I84" s="93"/>
      <c r="J84" s="94"/>
      <c r="M84" s="12">
        <f>IF('1-建设需求标准字段'!C4="场景3（千亿长序列~万亿参数模型应用场景）",IF(('2-建设规模换算'!E3+'2-建设规模换算'!E4)&gt;64,CEILING(('2-建设规模换算'!E3+'2-建设规模换算'!E4)/4,1),0),0)</f>
        <v>0</v>
      </c>
    </row>
    <row r="85" spans="2:13" x14ac:dyDescent="0.25">
      <c r="B85" s="71"/>
      <c r="C85" s="71"/>
      <c r="D85" s="79"/>
      <c r="E85" s="71"/>
      <c r="F85" s="80"/>
      <c r="G85" s="81"/>
      <c r="H85" s="82"/>
      <c r="I85" s="81"/>
      <c r="J85" s="81"/>
    </row>
    <row r="86" spans="2:13" x14ac:dyDescent="0.25">
      <c r="B86" s="329" t="s">
        <v>166</v>
      </c>
      <c r="C86" s="307" t="s">
        <v>178</v>
      </c>
      <c r="D86" s="307" t="s">
        <v>179</v>
      </c>
      <c r="E86" s="300" t="s">
        <v>180</v>
      </c>
      <c r="F86" s="300"/>
      <c r="G86" s="300" t="s">
        <v>181</v>
      </c>
      <c r="H86" s="17" t="s">
        <v>182</v>
      </c>
      <c r="I86" s="47" t="s">
        <v>254</v>
      </c>
      <c r="J86" s="17" t="s">
        <v>184</v>
      </c>
      <c r="K86" s="95"/>
      <c r="L86" s="95"/>
      <c r="M86" s="95"/>
    </row>
    <row r="87" spans="2:13" x14ac:dyDescent="0.25">
      <c r="B87" s="329"/>
      <c r="C87" s="307"/>
      <c r="D87" s="307"/>
      <c r="E87" s="300"/>
      <c r="F87" s="300"/>
      <c r="G87" s="300"/>
      <c r="H87" s="17" t="s">
        <v>257</v>
      </c>
      <c r="I87" s="35"/>
      <c r="J87" s="17" t="s">
        <v>257</v>
      </c>
      <c r="K87" s="95"/>
      <c r="L87" s="95"/>
      <c r="M87" s="95"/>
    </row>
    <row r="88" spans="2:13" ht="24" x14ac:dyDescent="0.25">
      <c r="B88" s="329"/>
      <c r="C88" s="318">
        <f>AVERAGE(J98)/10000</f>
        <v>996.01835200000005</v>
      </c>
      <c r="D88" s="318">
        <f>MAX(J98)/10000</f>
        <v>996.01835200000005</v>
      </c>
      <c r="E88" s="317" t="s">
        <v>190</v>
      </c>
      <c r="F88" s="83" t="s">
        <v>283</v>
      </c>
      <c r="G88" s="48" t="s">
        <v>284</v>
      </c>
      <c r="H88" s="49">
        <v>673956.48</v>
      </c>
      <c r="I88" s="17">
        <v>1</v>
      </c>
      <c r="J88" s="17">
        <f t="shared" ref="J88:J97" si="44">$H88*$I88</f>
        <v>673956.48</v>
      </c>
      <c r="K88" s="95"/>
      <c r="L88" s="95"/>
      <c r="M88" s="95"/>
    </row>
    <row r="89" spans="2:13" ht="48" x14ac:dyDescent="0.25">
      <c r="B89" s="329"/>
      <c r="C89" s="318"/>
      <c r="D89" s="318"/>
      <c r="E89" s="317"/>
      <c r="F89" s="77" t="s">
        <v>260</v>
      </c>
      <c r="G89" s="48" t="s">
        <v>261</v>
      </c>
      <c r="H89" s="49">
        <v>200782.87</v>
      </c>
      <c r="I89" s="17">
        <v>16</v>
      </c>
      <c r="J89" s="17">
        <f t="shared" si="44"/>
        <v>3212525.92</v>
      </c>
      <c r="K89" s="95"/>
      <c r="L89" s="95"/>
      <c r="M89" s="95">
        <f>IF(M84&gt;288,CEILING(M84/36,1),0)</f>
        <v>0</v>
      </c>
    </row>
    <row r="90" spans="2:13" ht="24" x14ac:dyDescent="0.25">
      <c r="B90" s="329"/>
      <c r="C90" s="318"/>
      <c r="D90" s="318"/>
      <c r="E90" s="39" t="s">
        <v>217</v>
      </c>
      <c r="F90" s="52" t="s">
        <v>262</v>
      </c>
      <c r="G90" s="48" t="s">
        <v>263</v>
      </c>
      <c r="H90" s="49">
        <v>10544.62</v>
      </c>
      <c r="I90" s="17">
        <v>576</v>
      </c>
      <c r="J90" s="17">
        <f t="shared" si="44"/>
        <v>6073701.1200000001</v>
      </c>
      <c r="K90" s="95"/>
      <c r="L90" s="95"/>
      <c r="M90" s="95">
        <f>M89*36</f>
        <v>0</v>
      </c>
    </row>
    <row r="91" spans="2:13" ht="24" x14ac:dyDescent="0.25">
      <c r="B91" s="329"/>
      <c r="C91" s="318"/>
      <c r="D91" s="318"/>
      <c r="E91" s="317" t="s">
        <v>264</v>
      </c>
      <c r="F91" s="52" t="s">
        <v>265</v>
      </c>
      <c r="G91" s="48" t="s">
        <v>266</v>
      </c>
      <c r="H91" s="49">
        <v>21271.75</v>
      </c>
      <c r="I91" s="17"/>
      <c r="J91" s="17">
        <f t="shared" si="44"/>
        <v>0</v>
      </c>
      <c r="K91" s="95"/>
      <c r="L91" s="95"/>
      <c r="M91" s="95"/>
    </row>
    <row r="92" spans="2:13" ht="24" x14ac:dyDescent="0.25">
      <c r="B92" s="329"/>
      <c r="C92" s="318"/>
      <c r="D92" s="318"/>
      <c r="E92" s="317"/>
      <c r="F92" s="51" t="s">
        <v>267</v>
      </c>
      <c r="G92" s="48" t="s">
        <v>268</v>
      </c>
      <c r="H92" s="49">
        <v>4914.2700000000004</v>
      </c>
      <c r="I92" s="17"/>
      <c r="J92" s="17">
        <f t="shared" si="44"/>
        <v>0</v>
      </c>
      <c r="K92" s="95"/>
      <c r="L92" s="95"/>
      <c r="M92" s="95"/>
    </row>
    <row r="93" spans="2:13" ht="24" x14ac:dyDescent="0.25">
      <c r="B93" s="329"/>
      <c r="C93" s="318"/>
      <c r="D93" s="318"/>
      <c r="E93" s="317"/>
      <c r="F93" s="52" t="s">
        <v>269</v>
      </c>
      <c r="G93" s="48" t="s">
        <v>270</v>
      </c>
      <c r="H93" s="49">
        <v>2541.38</v>
      </c>
      <c r="I93" s="96"/>
      <c r="J93" s="17">
        <f t="shared" si="44"/>
        <v>0</v>
      </c>
      <c r="K93" s="95"/>
      <c r="L93" s="95"/>
      <c r="M93" s="95"/>
    </row>
    <row r="94" spans="2:13" x14ac:dyDescent="0.25">
      <c r="B94" s="329"/>
      <c r="C94" s="318"/>
      <c r="D94" s="318"/>
      <c r="E94" s="317"/>
      <c r="F94" s="52" t="s">
        <v>271</v>
      </c>
      <c r="G94" s="48" t="s">
        <v>272</v>
      </c>
      <c r="H94" s="49">
        <v>4043.74</v>
      </c>
      <c r="I94" s="17"/>
      <c r="J94" s="17">
        <f t="shared" si="44"/>
        <v>0</v>
      </c>
      <c r="K94" s="95"/>
      <c r="L94" s="95"/>
      <c r="M94" s="95"/>
    </row>
    <row r="95" spans="2:13" ht="24" x14ac:dyDescent="0.25">
      <c r="B95" s="329"/>
      <c r="C95" s="318"/>
      <c r="D95" s="318"/>
      <c r="E95" s="317"/>
      <c r="F95" s="52" t="s">
        <v>273</v>
      </c>
      <c r="G95" s="48" t="s">
        <v>274</v>
      </c>
      <c r="H95" s="49">
        <v>1923.58</v>
      </c>
      <c r="I95" s="17"/>
      <c r="J95" s="17">
        <f t="shared" si="44"/>
        <v>0</v>
      </c>
      <c r="K95" s="95"/>
      <c r="L95" s="95"/>
      <c r="M95" s="95"/>
    </row>
    <row r="96" spans="2:13" ht="24" x14ac:dyDescent="0.25">
      <c r="B96" s="329"/>
      <c r="C96" s="318"/>
      <c r="D96" s="318"/>
      <c r="E96" s="317"/>
      <c r="F96" s="52" t="s">
        <v>218</v>
      </c>
      <c r="G96" s="48" t="s">
        <v>275</v>
      </c>
      <c r="H96" s="49">
        <v>1404.08</v>
      </c>
      <c r="I96" s="17"/>
      <c r="J96" s="17">
        <f t="shared" si="44"/>
        <v>0</v>
      </c>
      <c r="K96" s="95"/>
      <c r="L96" s="95"/>
      <c r="M96" s="95"/>
    </row>
    <row r="97" spans="2:13" ht="24" x14ac:dyDescent="0.25">
      <c r="B97" s="329"/>
      <c r="C97" s="318"/>
      <c r="D97" s="318"/>
      <c r="E97" s="317"/>
      <c r="F97" s="52" t="s">
        <v>276</v>
      </c>
      <c r="G97" s="48" t="s">
        <v>277</v>
      </c>
      <c r="H97" s="49">
        <v>280.82</v>
      </c>
      <c r="I97" s="17"/>
      <c r="J97" s="17">
        <f t="shared" si="44"/>
        <v>0</v>
      </c>
      <c r="K97" s="95"/>
      <c r="L97" s="95"/>
      <c r="M97" s="95"/>
    </row>
    <row r="98" spans="2:13" x14ac:dyDescent="0.25">
      <c r="B98" s="329"/>
      <c r="C98" s="318"/>
      <c r="D98" s="318"/>
      <c r="E98" s="17"/>
      <c r="F98" s="17"/>
      <c r="G98" s="17"/>
      <c r="H98" s="17" t="s">
        <v>87</v>
      </c>
      <c r="I98" s="17">
        <f>SUM(I88:I97)</f>
        <v>593</v>
      </c>
      <c r="J98" s="17">
        <f>SUM(J88:J97)</f>
        <v>9960183.5199999996</v>
      </c>
      <c r="K98" s="95"/>
      <c r="L98" s="95"/>
      <c r="M98" s="95"/>
    </row>
    <row r="99" spans="2:13" x14ac:dyDescent="0.25">
      <c r="B99" s="329"/>
      <c r="C99" s="84" t="s">
        <v>238</v>
      </c>
      <c r="D99" s="85">
        <v>15.8</v>
      </c>
      <c r="E99" s="85"/>
      <c r="F99" s="85"/>
      <c r="G99" s="85"/>
      <c r="H99" s="85"/>
      <c r="I99" s="85"/>
      <c r="J99" s="85"/>
      <c r="K99" s="95"/>
      <c r="L99" s="95"/>
      <c r="M99" s="95"/>
    </row>
    <row r="100" spans="2:13" ht="24" x14ac:dyDescent="0.25">
      <c r="B100" s="329"/>
      <c r="C100" s="86" t="s">
        <v>278</v>
      </c>
      <c r="D100" s="86" t="s">
        <v>285</v>
      </c>
      <c r="E100" s="17"/>
      <c r="F100" s="17"/>
      <c r="G100" s="17"/>
      <c r="H100" s="17"/>
      <c r="I100" s="97"/>
      <c r="J100" s="98"/>
      <c r="K100" s="95"/>
      <c r="L100" s="95"/>
      <c r="M100" s="95">
        <f>IF(M84&gt;288,16,0)</f>
        <v>0</v>
      </c>
    </row>
    <row r="101" spans="2:13" x14ac:dyDescent="0.25">
      <c r="B101" s="87"/>
      <c r="C101" s="88"/>
      <c r="D101" s="89"/>
      <c r="E101" s="88"/>
      <c r="F101" s="90"/>
      <c r="G101" s="91"/>
      <c r="H101" s="92"/>
      <c r="I101" s="91"/>
      <c r="J101" s="91"/>
    </row>
    <row r="102" spans="2:13" x14ac:dyDescent="0.25">
      <c r="B102" s="326" t="s">
        <v>168</v>
      </c>
      <c r="C102" s="306" t="s">
        <v>178</v>
      </c>
      <c r="D102" s="306" t="s">
        <v>179</v>
      </c>
      <c r="E102" s="299" t="s">
        <v>180</v>
      </c>
      <c r="F102" s="299"/>
      <c r="G102" s="299" t="s">
        <v>181</v>
      </c>
      <c r="H102" s="46" t="s">
        <v>182</v>
      </c>
      <c r="I102" s="47" t="s">
        <v>254</v>
      </c>
      <c r="J102" s="17" t="s">
        <v>184</v>
      </c>
    </row>
    <row r="103" spans="2:13" x14ac:dyDescent="0.25">
      <c r="B103" s="327"/>
      <c r="C103" s="307"/>
      <c r="D103" s="307"/>
      <c r="E103" s="300"/>
      <c r="F103" s="300"/>
      <c r="G103" s="300"/>
      <c r="H103" s="17" t="s">
        <v>257</v>
      </c>
      <c r="I103" s="35"/>
      <c r="J103" s="17" t="s">
        <v>257</v>
      </c>
    </row>
    <row r="104" spans="2:13" x14ac:dyDescent="0.25">
      <c r="B104" s="327"/>
      <c r="C104" s="308">
        <f>AVERAGE(J113)/10000</f>
        <v>30.954270000000001</v>
      </c>
      <c r="D104" s="308">
        <f>MAX(J113)/10000</f>
        <v>30.954270000000001</v>
      </c>
      <c r="E104" s="38" t="s">
        <v>190</v>
      </c>
      <c r="F104" s="77" t="s">
        <v>286</v>
      </c>
      <c r="G104" s="48" t="s">
        <v>281</v>
      </c>
      <c r="H104" s="49">
        <v>207887.5</v>
      </c>
      <c r="I104" s="61">
        <v>1</v>
      </c>
      <c r="J104" s="17">
        <f t="shared" ref="J104:J112" si="45">$H104*$I104</f>
        <v>207887.5</v>
      </c>
    </row>
    <row r="105" spans="2:13" ht="24" x14ac:dyDescent="0.25">
      <c r="B105" s="327"/>
      <c r="C105" s="308"/>
      <c r="D105" s="308"/>
      <c r="E105" s="301" t="s">
        <v>217</v>
      </c>
      <c r="F105" s="51" t="s">
        <v>262</v>
      </c>
      <c r="G105" s="48" t="s">
        <v>263</v>
      </c>
      <c r="H105" s="49">
        <v>10544.62</v>
      </c>
      <c r="I105" s="61"/>
      <c r="J105" s="17">
        <f t="shared" si="45"/>
        <v>0</v>
      </c>
    </row>
    <row r="106" spans="2:13" ht="24" x14ac:dyDescent="0.25">
      <c r="B106" s="327"/>
      <c r="C106" s="308"/>
      <c r="D106" s="308"/>
      <c r="E106" s="302"/>
      <c r="F106" s="51" t="s">
        <v>267</v>
      </c>
      <c r="G106" s="48" t="s">
        <v>268</v>
      </c>
      <c r="H106" s="49">
        <v>4914.2700000000004</v>
      </c>
      <c r="I106" s="61"/>
      <c r="J106" s="17">
        <f t="shared" si="45"/>
        <v>0</v>
      </c>
    </row>
    <row r="107" spans="2:13" ht="24" x14ac:dyDescent="0.25">
      <c r="B107" s="327"/>
      <c r="C107" s="308"/>
      <c r="D107" s="308"/>
      <c r="E107" s="301" t="s">
        <v>264</v>
      </c>
      <c r="F107" s="52" t="s">
        <v>265</v>
      </c>
      <c r="G107" s="48" t="s">
        <v>266</v>
      </c>
      <c r="H107" s="49">
        <v>21271.75</v>
      </c>
      <c r="I107" s="61"/>
      <c r="J107" s="17">
        <f t="shared" si="45"/>
        <v>0</v>
      </c>
    </row>
    <row r="108" spans="2:13" ht="24" x14ac:dyDescent="0.25">
      <c r="B108" s="328"/>
      <c r="C108" s="308"/>
      <c r="D108" s="308"/>
      <c r="E108" s="302"/>
      <c r="F108" s="52" t="s">
        <v>269</v>
      </c>
      <c r="G108" s="48" t="s">
        <v>270</v>
      </c>
      <c r="H108" s="49">
        <v>2541.38</v>
      </c>
      <c r="I108" s="61">
        <v>40</v>
      </c>
      <c r="J108" s="17">
        <f t="shared" si="45"/>
        <v>101655.2</v>
      </c>
    </row>
    <row r="109" spans="2:13" x14ac:dyDescent="0.25">
      <c r="B109" s="328"/>
      <c r="C109" s="308"/>
      <c r="D109" s="308"/>
      <c r="E109" s="302"/>
      <c r="F109" s="52" t="s">
        <v>271</v>
      </c>
      <c r="G109" s="48" t="s">
        <v>272</v>
      </c>
      <c r="H109" s="49">
        <v>4043.74</v>
      </c>
      <c r="I109" s="64"/>
      <c r="J109" s="17">
        <f t="shared" si="45"/>
        <v>0</v>
      </c>
    </row>
    <row r="110" spans="2:13" ht="24" x14ac:dyDescent="0.25">
      <c r="B110" s="328"/>
      <c r="C110" s="308"/>
      <c r="D110" s="308"/>
      <c r="E110" s="302"/>
      <c r="F110" s="52" t="s">
        <v>273</v>
      </c>
      <c r="G110" s="48" t="s">
        <v>274</v>
      </c>
      <c r="H110" s="49">
        <v>1923.58</v>
      </c>
      <c r="I110" s="22"/>
      <c r="J110" s="17">
        <f t="shared" si="45"/>
        <v>0</v>
      </c>
    </row>
    <row r="111" spans="2:13" ht="24" x14ac:dyDescent="0.25">
      <c r="B111" s="328"/>
      <c r="C111" s="308"/>
      <c r="D111" s="308"/>
      <c r="E111" s="302"/>
      <c r="F111" s="52" t="s">
        <v>218</v>
      </c>
      <c r="G111" s="48" t="s">
        <v>275</v>
      </c>
      <c r="H111" s="49">
        <v>1404.08</v>
      </c>
      <c r="I111" s="22"/>
      <c r="J111" s="17">
        <f t="shared" si="45"/>
        <v>0</v>
      </c>
    </row>
    <row r="112" spans="2:13" x14ac:dyDescent="0.25">
      <c r="B112" s="328"/>
      <c r="C112" s="308"/>
      <c r="D112" s="308"/>
      <c r="E112" s="303"/>
      <c r="F112" s="52" t="s">
        <v>276</v>
      </c>
      <c r="G112" s="48" t="s">
        <v>272</v>
      </c>
      <c r="H112" s="49">
        <v>280.82</v>
      </c>
      <c r="I112" s="22"/>
      <c r="J112" s="17">
        <f t="shared" si="45"/>
        <v>0</v>
      </c>
    </row>
    <row r="113" spans="2:13" x14ac:dyDescent="0.25">
      <c r="B113" s="328"/>
      <c r="C113" s="309"/>
      <c r="D113" s="309"/>
      <c r="E113" s="22"/>
      <c r="F113" s="22"/>
      <c r="G113" s="22"/>
      <c r="H113" s="22" t="s">
        <v>87</v>
      </c>
      <c r="I113" s="22">
        <f>SUM(I104:I112)</f>
        <v>41</v>
      </c>
      <c r="J113" s="22">
        <f>SUM(J104:J112)</f>
        <v>309542.7</v>
      </c>
    </row>
    <row r="114" spans="2:13" x14ac:dyDescent="0.25">
      <c r="B114" s="328"/>
      <c r="C114" s="23" t="s">
        <v>238</v>
      </c>
      <c r="D114" s="69">
        <v>4</v>
      </c>
      <c r="E114" s="69"/>
      <c r="F114" s="69"/>
      <c r="G114" s="69"/>
      <c r="H114" s="69"/>
      <c r="I114" s="69"/>
      <c r="J114" s="69"/>
    </row>
    <row r="115" spans="2:13" ht="24" x14ac:dyDescent="0.25">
      <c r="B115" s="328"/>
      <c r="C115" s="70" t="s">
        <v>278</v>
      </c>
      <c r="D115" s="70" t="s">
        <v>282</v>
      </c>
      <c r="E115" s="33"/>
      <c r="F115" s="33"/>
      <c r="G115" s="33"/>
      <c r="H115" s="33"/>
      <c r="I115" s="93"/>
      <c r="J115" s="94"/>
      <c r="M115" s="12">
        <f>IF(M130&gt;0,8,IF(M84&gt;0,IF(M84&lt;=32,16,0),0))</f>
        <v>0</v>
      </c>
    </row>
    <row r="116" spans="2:13" x14ac:dyDescent="0.25">
      <c r="B116" s="71"/>
      <c r="C116" s="72"/>
      <c r="D116" s="73"/>
      <c r="E116" s="72"/>
      <c r="F116" s="74"/>
      <c r="G116" s="75"/>
      <c r="H116" s="76"/>
      <c r="I116" s="75"/>
      <c r="J116" s="75"/>
    </row>
    <row r="117" spans="2:13" x14ac:dyDescent="0.25">
      <c r="B117" s="326" t="s">
        <v>170</v>
      </c>
      <c r="C117" s="306" t="s">
        <v>178</v>
      </c>
      <c r="D117" s="306" t="s">
        <v>179</v>
      </c>
      <c r="E117" s="299" t="s">
        <v>180</v>
      </c>
      <c r="F117" s="299"/>
      <c r="G117" s="299" t="s">
        <v>181</v>
      </c>
      <c r="H117" s="46" t="s">
        <v>182</v>
      </c>
      <c r="I117" s="47" t="s">
        <v>254</v>
      </c>
      <c r="J117" s="17" t="s">
        <v>184</v>
      </c>
    </row>
    <row r="118" spans="2:13" x14ac:dyDescent="0.25">
      <c r="B118" s="327"/>
      <c r="C118" s="307"/>
      <c r="D118" s="307"/>
      <c r="E118" s="300"/>
      <c r="F118" s="300"/>
      <c r="G118" s="300"/>
      <c r="H118" s="17" t="s">
        <v>257</v>
      </c>
      <c r="I118" s="35"/>
      <c r="J118" s="17" t="s">
        <v>257</v>
      </c>
    </row>
    <row r="119" spans="2:13" x14ac:dyDescent="0.25">
      <c r="B119" s="327"/>
      <c r="C119" s="308">
        <f>AVERAGE(J128)/10000</f>
        <v>19.412762000000001</v>
      </c>
      <c r="D119" s="308">
        <f>MAX(J128)/10000</f>
        <v>19.412762000000001</v>
      </c>
      <c r="E119" s="38" t="s">
        <v>190</v>
      </c>
      <c r="F119" s="77" t="s">
        <v>287</v>
      </c>
      <c r="G119" s="48" t="s">
        <v>288</v>
      </c>
      <c r="H119" s="78">
        <v>114151.38</v>
      </c>
      <c r="I119" s="61">
        <v>1</v>
      </c>
      <c r="J119" s="17">
        <f t="shared" ref="J119:J127" si="46">$H119*$I119</f>
        <v>114151.38</v>
      </c>
    </row>
    <row r="120" spans="2:13" ht="24" x14ac:dyDescent="0.25">
      <c r="B120" s="327"/>
      <c r="C120" s="308"/>
      <c r="D120" s="308"/>
      <c r="E120" s="301" t="s">
        <v>217</v>
      </c>
      <c r="F120" s="51" t="s">
        <v>262</v>
      </c>
      <c r="G120" s="48" t="s">
        <v>263</v>
      </c>
      <c r="H120" s="78">
        <v>10544.62</v>
      </c>
      <c r="I120" s="61"/>
      <c r="J120" s="17">
        <f t="shared" si="46"/>
        <v>0</v>
      </c>
    </row>
    <row r="121" spans="2:13" ht="24" x14ac:dyDescent="0.25">
      <c r="B121" s="327"/>
      <c r="C121" s="308"/>
      <c r="D121" s="308"/>
      <c r="E121" s="302"/>
      <c r="F121" s="51" t="s">
        <v>267</v>
      </c>
      <c r="G121" s="48" t="s">
        <v>268</v>
      </c>
      <c r="H121" s="78">
        <v>4914.2700000000004</v>
      </c>
      <c r="I121" s="61">
        <v>8</v>
      </c>
      <c r="J121" s="17">
        <f t="shared" si="46"/>
        <v>39314.160000000003</v>
      </c>
    </row>
    <row r="122" spans="2:13" ht="24" x14ac:dyDescent="0.25">
      <c r="B122" s="327"/>
      <c r="C122" s="308"/>
      <c r="D122" s="308"/>
      <c r="E122" s="303"/>
      <c r="F122" s="51" t="s">
        <v>269</v>
      </c>
      <c r="G122" s="48" t="s">
        <v>270</v>
      </c>
      <c r="H122" s="78">
        <v>2541.38</v>
      </c>
      <c r="I122" s="61">
        <v>16</v>
      </c>
      <c r="J122" s="17">
        <f t="shared" si="46"/>
        <v>40662.080000000002</v>
      </c>
    </row>
    <row r="123" spans="2:13" ht="24" x14ac:dyDescent="0.25">
      <c r="B123" s="327"/>
      <c r="C123" s="308"/>
      <c r="D123" s="308"/>
      <c r="E123" s="301" t="s">
        <v>264</v>
      </c>
      <c r="F123" s="52" t="s">
        <v>265</v>
      </c>
      <c r="G123" s="48" t="s">
        <v>266</v>
      </c>
      <c r="H123" s="78">
        <v>21271.75</v>
      </c>
      <c r="I123" s="61"/>
      <c r="J123" s="17">
        <f t="shared" si="46"/>
        <v>0</v>
      </c>
    </row>
    <row r="124" spans="2:13" x14ac:dyDescent="0.25">
      <c r="B124" s="328"/>
      <c r="C124" s="308"/>
      <c r="D124" s="308"/>
      <c r="E124" s="302"/>
      <c r="F124" s="52" t="s">
        <v>271</v>
      </c>
      <c r="G124" s="48" t="s">
        <v>272</v>
      </c>
      <c r="H124" s="78">
        <v>4043.74</v>
      </c>
      <c r="I124" s="61"/>
      <c r="J124" s="17">
        <f t="shared" si="46"/>
        <v>0</v>
      </c>
    </row>
    <row r="125" spans="2:13" ht="24" x14ac:dyDescent="0.25">
      <c r="B125" s="328"/>
      <c r="C125" s="308"/>
      <c r="D125" s="308"/>
      <c r="E125" s="302"/>
      <c r="F125" s="52" t="s">
        <v>273</v>
      </c>
      <c r="G125" s="48" t="s">
        <v>274</v>
      </c>
      <c r="H125" s="78">
        <v>1923.58</v>
      </c>
      <c r="I125" s="22"/>
      <c r="J125" s="17">
        <f t="shared" si="46"/>
        <v>0</v>
      </c>
    </row>
    <row r="126" spans="2:13" ht="24" x14ac:dyDescent="0.25">
      <c r="B126" s="328"/>
      <c r="C126" s="308"/>
      <c r="D126" s="308"/>
      <c r="E126" s="302"/>
      <c r="F126" s="52" t="s">
        <v>218</v>
      </c>
      <c r="G126" s="48" t="s">
        <v>275</v>
      </c>
      <c r="H126" s="78">
        <v>1404.08</v>
      </c>
      <c r="I126" s="22"/>
      <c r="J126" s="17">
        <f t="shared" si="46"/>
        <v>0</v>
      </c>
    </row>
    <row r="127" spans="2:13" x14ac:dyDescent="0.25">
      <c r="B127" s="328"/>
      <c r="C127" s="308"/>
      <c r="D127" s="308"/>
      <c r="E127" s="303"/>
      <c r="F127" s="52" t="s">
        <v>276</v>
      </c>
      <c r="G127" s="48" t="s">
        <v>272</v>
      </c>
      <c r="H127" s="78">
        <v>280.82</v>
      </c>
      <c r="I127" s="22"/>
      <c r="J127" s="17">
        <f t="shared" si="46"/>
        <v>0</v>
      </c>
    </row>
    <row r="128" spans="2:13" x14ac:dyDescent="0.25">
      <c r="B128" s="328"/>
      <c r="C128" s="309"/>
      <c r="D128" s="309"/>
      <c r="E128" s="22"/>
      <c r="F128" s="22"/>
      <c r="G128" s="22"/>
      <c r="H128" s="22" t="s">
        <v>87</v>
      </c>
      <c r="I128" s="22">
        <f>SUM(I119:I127)</f>
        <v>25</v>
      </c>
      <c r="J128" s="22">
        <f>SUM(J119:J127)</f>
        <v>194127.62</v>
      </c>
    </row>
    <row r="129" spans="2:13" x14ac:dyDescent="0.25">
      <c r="B129" s="328"/>
      <c r="C129" s="23" t="s">
        <v>238</v>
      </c>
      <c r="D129" s="69">
        <v>1</v>
      </c>
      <c r="E129" s="69"/>
      <c r="F129" s="69"/>
      <c r="G129" s="69"/>
      <c r="H129" s="69"/>
      <c r="I129" s="69"/>
      <c r="J129" s="69"/>
    </row>
    <row r="130" spans="2:13" ht="24" x14ac:dyDescent="0.25">
      <c r="B130" s="328"/>
      <c r="C130" s="70" t="s">
        <v>278</v>
      </c>
      <c r="D130" s="70" t="s">
        <v>289</v>
      </c>
      <c r="E130" s="33"/>
      <c r="F130" s="33"/>
      <c r="G130" s="33"/>
      <c r="H130" s="33"/>
      <c r="I130" s="93"/>
      <c r="J130" s="94"/>
      <c r="M130" s="12">
        <f>IF('1-建设需求标准字段'!C4="场景3（千亿长序列~万亿参数模型应用场景）",IF(('2-建设规模换算'!E3+'2-建设规模换算'!E4)&lt;=64,CEILING(('2-建设规模换算'!E3+'2-建设规模换算'!E4)/2,1),0),0)</f>
        <v>0</v>
      </c>
    </row>
    <row r="131" spans="2:13" x14ac:dyDescent="0.25">
      <c r="B131" s="71"/>
      <c r="C131" s="72"/>
      <c r="D131" s="73"/>
      <c r="E131" s="72"/>
      <c r="F131" s="74"/>
      <c r="G131" s="75"/>
      <c r="H131" s="76"/>
      <c r="I131" s="75"/>
      <c r="J131" s="75"/>
    </row>
    <row r="132" spans="2:13" x14ac:dyDescent="0.25">
      <c r="B132" s="330" t="s">
        <v>408</v>
      </c>
      <c r="C132" s="306" t="s">
        <v>178</v>
      </c>
      <c r="D132" s="306" t="s">
        <v>179</v>
      </c>
      <c r="E132" s="299" t="s">
        <v>180</v>
      </c>
      <c r="F132" s="299"/>
      <c r="G132" s="299" t="s">
        <v>181</v>
      </c>
      <c r="H132" s="46" t="s">
        <v>182</v>
      </c>
      <c r="I132" s="47" t="s">
        <v>254</v>
      </c>
      <c r="J132" s="17" t="s">
        <v>184</v>
      </c>
    </row>
    <row r="133" spans="2:13" x14ac:dyDescent="0.25">
      <c r="B133" s="327"/>
      <c r="C133" s="307"/>
      <c r="D133" s="307"/>
      <c r="E133" s="300"/>
      <c r="F133" s="300"/>
      <c r="G133" s="300"/>
      <c r="H133" s="17" t="s">
        <v>257</v>
      </c>
      <c r="I133" s="35"/>
      <c r="J133" s="17" t="s">
        <v>257</v>
      </c>
    </row>
    <row r="134" spans="2:13" ht="24" x14ac:dyDescent="0.25">
      <c r="B134" s="327"/>
      <c r="C134" s="308">
        <f>AVERAGE(J144)/10000</f>
        <v>145.78789900000001</v>
      </c>
      <c r="D134" s="308">
        <f>MAX(J144)/10000</f>
        <v>145.78789900000001</v>
      </c>
      <c r="E134" s="301" t="s">
        <v>190</v>
      </c>
      <c r="F134" s="77" t="s">
        <v>290</v>
      </c>
      <c r="G134" s="48" t="s">
        <v>284</v>
      </c>
      <c r="H134" s="78">
        <v>438071.71</v>
      </c>
      <c r="I134" s="61">
        <v>1</v>
      </c>
      <c r="J134" s="17">
        <f t="shared" ref="J134:J143" si="47">$H134*$I134</f>
        <v>438071.71</v>
      </c>
    </row>
    <row r="135" spans="2:13" x14ac:dyDescent="0.25">
      <c r="B135" s="327"/>
      <c r="C135" s="308"/>
      <c r="D135" s="308"/>
      <c r="E135" s="303"/>
      <c r="F135" s="77" t="s">
        <v>291</v>
      </c>
      <c r="G135" s="48" t="s">
        <v>292</v>
      </c>
      <c r="H135" s="78">
        <v>58227.03</v>
      </c>
      <c r="I135" s="61">
        <v>8</v>
      </c>
      <c r="J135" s="17">
        <f t="shared" si="47"/>
        <v>465816.24</v>
      </c>
    </row>
    <row r="136" spans="2:13" ht="24" x14ac:dyDescent="0.25">
      <c r="B136" s="327"/>
      <c r="C136" s="308"/>
      <c r="D136" s="308"/>
      <c r="E136" s="39" t="s">
        <v>217</v>
      </c>
      <c r="F136" s="51" t="s">
        <v>273</v>
      </c>
      <c r="G136" s="48" t="s">
        <v>274</v>
      </c>
      <c r="H136" s="78">
        <v>1923.58</v>
      </c>
      <c r="I136" s="61">
        <v>288</v>
      </c>
      <c r="J136" s="17">
        <f t="shared" si="47"/>
        <v>553991.04</v>
      </c>
    </row>
    <row r="137" spans="2:13" ht="24" x14ac:dyDescent="0.25">
      <c r="B137" s="327"/>
      <c r="C137" s="308"/>
      <c r="D137" s="308"/>
      <c r="E137" s="301" t="s">
        <v>264</v>
      </c>
      <c r="F137" s="52" t="s">
        <v>265</v>
      </c>
      <c r="G137" s="48" t="s">
        <v>266</v>
      </c>
      <c r="H137" s="78">
        <v>21271.75</v>
      </c>
      <c r="I137" s="61"/>
      <c r="J137" s="17">
        <f t="shared" si="47"/>
        <v>0</v>
      </c>
    </row>
    <row r="138" spans="2:13" ht="24" x14ac:dyDescent="0.25">
      <c r="B138" s="328"/>
      <c r="C138" s="308"/>
      <c r="D138" s="308"/>
      <c r="E138" s="302"/>
      <c r="F138" s="51" t="s">
        <v>262</v>
      </c>
      <c r="G138" s="48" t="s">
        <v>263</v>
      </c>
      <c r="H138" s="78">
        <v>10544.62</v>
      </c>
      <c r="I138" s="61"/>
      <c r="J138" s="17">
        <f t="shared" si="47"/>
        <v>0</v>
      </c>
    </row>
    <row r="139" spans="2:13" ht="24" x14ac:dyDescent="0.25">
      <c r="B139" s="328"/>
      <c r="C139" s="308"/>
      <c r="D139" s="308"/>
      <c r="E139" s="302"/>
      <c r="F139" s="52" t="s">
        <v>267</v>
      </c>
      <c r="G139" s="48" t="s">
        <v>268</v>
      </c>
      <c r="H139" s="78">
        <v>4914.2700000000004</v>
      </c>
      <c r="I139" s="64"/>
      <c r="J139" s="17">
        <f t="shared" si="47"/>
        <v>0</v>
      </c>
    </row>
    <row r="140" spans="2:13" ht="24" x14ac:dyDescent="0.25">
      <c r="B140" s="328"/>
      <c r="C140" s="308"/>
      <c r="D140" s="308"/>
      <c r="E140" s="302"/>
      <c r="F140" s="52" t="s">
        <v>269</v>
      </c>
      <c r="G140" s="48" t="s">
        <v>270</v>
      </c>
      <c r="H140" s="78">
        <v>2541.38</v>
      </c>
      <c r="I140" s="22"/>
      <c r="J140" s="17">
        <f t="shared" si="47"/>
        <v>0</v>
      </c>
    </row>
    <row r="141" spans="2:13" x14ac:dyDescent="0.25">
      <c r="B141" s="328"/>
      <c r="C141" s="308"/>
      <c r="D141" s="308"/>
      <c r="E141" s="302"/>
      <c r="F141" s="52" t="s">
        <v>271</v>
      </c>
      <c r="G141" s="48" t="s">
        <v>272</v>
      </c>
      <c r="H141" s="78">
        <v>4043.74</v>
      </c>
      <c r="I141" s="22"/>
      <c r="J141" s="17">
        <f t="shared" si="47"/>
        <v>0</v>
      </c>
    </row>
    <row r="142" spans="2:13" ht="24" x14ac:dyDescent="0.25">
      <c r="B142" s="328"/>
      <c r="C142" s="308"/>
      <c r="D142" s="308"/>
      <c r="E142" s="302"/>
      <c r="F142" s="52" t="s">
        <v>218</v>
      </c>
      <c r="G142" s="48" t="s">
        <v>275</v>
      </c>
      <c r="H142" s="78">
        <v>1404.08</v>
      </c>
      <c r="I142" s="22"/>
      <c r="J142" s="17">
        <f t="shared" si="47"/>
        <v>0</v>
      </c>
    </row>
    <row r="143" spans="2:13" ht="24" x14ac:dyDescent="0.25">
      <c r="B143" s="328"/>
      <c r="C143" s="308"/>
      <c r="D143" s="308"/>
      <c r="E143" s="303"/>
      <c r="F143" s="52" t="s">
        <v>276</v>
      </c>
      <c r="G143" s="48" t="s">
        <v>277</v>
      </c>
      <c r="H143" s="78">
        <v>280.82</v>
      </c>
      <c r="I143" s="22"/>
      <c r="J143" s="17">
        <f t="shared" si="47"/>
        <v>0</v>
      </c>
    </row>
    <row r="144" spans="2:13" x14ac:dyDescent="0.25">
      <c r="B144" s="328"/>
      <c r="C144" s="309"/>
      <c r="D144" s="309"/>
      <c r="E144" s="22"/>
      <c r="F144" s="22"/>
      <c r="G144" s="22"/>
      <c r="H144" s="22" t="s">
        <v>87</v>
      </c>
      <c r="I144" s="22">
        <f>SUM(I134:I143)</f>
        <v>297</v>
      </c>
      <c r="J144" s="22">
        <f>SUM(J134:J143)</f>
        <v>1457878.99</v>
      </c>
    </row>
    <row r="145" spans="2:13" x14ac:dyDescent="0.25">
      <c r="B145" s="328"/>
      <c r="C145" s="23" t="s">
        <v>238</v>
      </c>
      <c r="D145" s="69">
        <v>15.8</v>
      </c>
      <c r="E145" s="69"/>
      <c r="F145" s="69"/>
      <c r="G145" s="69"/>
      <c r="H145" s="69"/>
      <c r="I145" s="69"/>
      <c r="J145" s="69"/>
    </row>
    <row r="146" spans="2:13" ht="24" x14ac:dyDescent="0.25">
      <c r="B146" s="328"/>
      <c r="C146" s="70" t="s">
        <v>278</v>
      </c>
      <c r="D146" s="70" t="s">
        <v>293</v>
      </c>
      <c r="E146" s="33"/>
      <c r="F146" s="33"/>
      <c r="G146" s="33"/>
      <c r="H146" s="33"/>
      <c r="I146" s="93"/>
      <c r="J146" s="94"/>
      <c r="M146" s="12">
        <f>IF(O161&gt;4,CEILING(CEILING((M161*64+M176*6)/36,1)/8,2),0)</f>
        <v>2</v>
      </c>
    </row>
    <row r="147" spans="2:13" x14ac:dyDescent="0.25">
      <c r="B147" s="71"/>
      <c r="C147" s="72"/>
      <c r="D147" s="73"/>
      <c r="E147" s="72"/>
      <c r="F147" s="74"/>
      <c r="G147" s="75"/>
      <c r="H147" s="76"/>
      <c r="I147" s="75"/>
      <c r="J147" s="75"/>
    </row>
    <row r="148" spans="2:13" x14ac:dyDescent="0.25">
      <c r="B148" s="326" t="s">
        <v>172</v>
      </c>
      <c r="C148" s="306" t="s">
        <v>178</v>
      </c>
      <c r="D148" s="306" t="s">
        <v>179</v>
      </c>
      <c r="E148" s="299" t="s">
        <v>180</v>
      </c>
      <c r="F148" s="299"/>
      <c r="G148" s="299" t="s">
        <v>181</v>
      </c>
      <c r="H148" s="46" t="s">
        <v>182</v>
      </c>
      <c r="I148" s="47" t="s">
        <v>254</v>
      </c>
      <c r="J148" s="17" t="s">
        <v>184</v>
      </c>
    </row>
    <row r="149" spans="2:13" x14ac:dyDescent="0.25">
      <c r="B149" s="327"/>
      <c r="C149" s="307"/>
      <c r="D149" s="307"/>
      <c r="E149" s="300"/>
      <c r="F149" s="300"/>
      <c r="G149" s="300"/>
      <c r="H149" s="17" t="s">
        <v>257</v>
      </c>
      <c r="I149" s="35"/>
      <c r="J149" s="17" t="s">
        <v>257</v>
      </c>
    </row>
    <row r="150" spans="2:13" x14ac:dyDescent="0.25">
      <c r="B150" s="327"/>
      <c r="C150" s="308">
        <f>AVERAGE(J159)/10000</f>
        <v>35.152394000000001</v>
      </c>
      <c r="D150" s="308">
        <f>MAX(J159)/10000</f>
        <v>35.152394000000001</v>
      </c>
      <c r="E150" s="38" t="s">
        <v>190</v>
      </c>
      <c r="F150" s="77" t="s">
        <v>294</v>
      </c>
      <c r="G150" s="48" t="s">
        <v>281</v>
      </c>
      <c r="H150" s="78">
        <v>105305.7</v>
      </c>
      <c r="I150" s="61">
        <v>1</v>
      </c>
      <c r="J150" s="17">
        <f t="shared" ref="J150:J158" si="48">$H150*$I150</f>
        <v>105305.7</v>
      </c>
    </row>
    <row r="151" spans="2:13" ht="24" x14ac:dyDescent="0.25">
      <c r="B151" s="327"/>
      <c r="C151" s="308"/>
      <c r="D151" s="308"/>
      <c r="E151" s="39" t="s">
        <v>217</v>
      </c>
      <c r="F151" s="51" t="s">
        <v>273</v>
      </c>
      <c r="G151" s="48" t="s">
        <v>274</v>
      </c>
      <c r="H151" s="78">
        <v>1923.58</v>
      </c>
      <c r="I151" s="61">
        <v>128</v>
      </c>
      <c r="J151" s="17">
        <f t="shared" si="48"/>
        <v>246218.23999999999</v>
      </c>
    </row>
    <row r="152" spans="2:13" ht="24" x14ac:dyDescent="0.25">
      <c r="B152" s="327"/>
      <c r="C152" s="308"/>
      <c r="D152" s="308"/>
      <c r="E152" s="301" t="s">
        <v>217</v>
      </c>
      <c r="F152" s="52" t="s">
        <v>265</v>
      </c>
      <c r="G152" s="48" t="s">
        <v>266</v>
      </c>
      <c r="H152" s="78">
        <v>21271.75</v>
      </c>
      <c r="I152" s="61"/>
      <c r="J152" s="17">
        <f t="shared" si="48"/>
        <v>0</v>
      </c>
    </row>
    <row r="153" spans="2:13" ht="24" x14ac:dyDescent="0.25">
      <c r="B153" s="328"/>
      <c r="C153" s="308"/>
      <c r="D153" s="308"/>
      <c r="E153" s="302"/>
      <c r="F153" s="52" t="s">
        <v>262</v>
      </c>
      <c r="G153" s="48" t="s">
        <v>263</v>
      </c>
      <c r="H153" s="78">
        <v>10544.62</v>
      </c>
      <c r="I153" s="61"/>
      <c r="J153" s="17">
        <f t="shared" si="48"/>
        <v>0</v>
      </c>
    </row>
    <row r="154" spans="2:13" ht="24" x14ac:dyDescent="0.25">
      <c r="B154" s="328"/>
      <c r="C154" s="308"/>
      <c r="D154" s="308"/>
      <c r="E154" s="302"/>
      <c r="F154" s="52" t="s">
        <v>267</v>
      </c>
      <c r="G154" s="48" t="s">
        <v>268</v>
      </c>
      <c r="H154" s="78">
        <v>4914.2700000000004</v>
      </c>
      <c r="I154" s="61"/>
      <c r="J154" s="17">
        <f t="shared" si="48"/>
        <v>0</v>
      </c>
    </row>
    <row r="155" spans="2:13" ht="24" x14ac:dyDescent="0.25">
      <c r="B155" s="328"/>
      <c r="C155" s="308"/>
      <c r="D155" s="308"/>
      <c r="E155" s="302"/>
      <c r="F155" s="52" t="s">
        <v>269</v>
      </c>
      <c r="G155" s="48" t="s">
        <v>270</v>
      </c>
      <c r="H155" s="78">
        <v>2541.38</v>
      </c>
      <c r="I155" s="61"/>
      <c r="J155" s="17">
        <f t="shared" si="48"/>
        <v>0</v>
      </c>
    </row>
    <row r="156" spans="2:13" x14ac:dyDescent="0.25">
      <c r="B156" s="328"/>
      <c r="C156" s="308"/>
      <c r="D156" s="308"/>
      <c r="E156" s="302"/>
      <c r="F156" s="52" t="s">
        <v>271</v>
      </c>
      <c r="G156" s="48" t="s">
        <v>272</v>
      </c>
      <c r="H156" s="78">
        <v>4043.74</v>
      </c>
      <c r="I156" s="22"/>
      <c r="J156" s="17">
        <f t="shared" si="48"/>
        <v>0</v>
      </c>
    </row>
    <row r="157" spans="2:13" ht="24" x14ac:dyDescent="0.25">
      <c r="B157" s="328"/>
      <c r="C157" s="308"/>
      <c r="D157" s="308"/>
      <c r="E157" s="302"/>
      <c r="F157" s="51" t="s">
        <v>218</v>
      </c>
      <c r="G157" s="48" t="s">
        <v>275</v>
      </c>
      <c r="H157" s="78">
        <v>1404.08</v>
      </c>
      <c r="I157" s="22"/>
      <c r="J157" s="17">
        <f t="shared" si="48"/>
        <v>0</v>
      </c>
    </row>
    <row r="158" spans="2:13" x14ac:dyDescent="0.25">
      <c r="B158" s="328"/>
      <c r="C158" s="308"/>
      <c r="D158" s="308"/>
      <c r="E158" s="303"/>
      <c r="F158" s="52" t="s">
        <v>276</v>
      </c>
      <c r="G158" s="48" t="s">
        <v>272</v>
      </c>
      <c r="H158" s="78">
        <v>280.82</v>
      </c>
      <c r="I158" s="22"/>
      <c r="J158" s="17">
        <f t="shared" si="48"/>
        <v>0</v>
      </c>
    </row>
    <row r="159" spans="2:13" x14ac:dyDescent="0.25">
      <c r="B159" s="328"/>
      <c r="C159" s="309"/>
      <c r="D159" s="309"/>
      <c r="E159" s="22"/>
      <c r="F159" s="22"/>
      <c r="G159" s="22"/>
      <c r="H159" s="22" t="s">
        <v>87</v>
      </c>
      <c r="I159" s="22">
        <f>SUM(I150:I158)</f>
        <v>129</v>
      </c>
      <c r="J159" s="22">
        <f>SUM(J150:J158)</f>
        <v>351523.94</v>
      </c>
    </row>
    <row r="160" spans="2:13" x14ac:dyDescent="0.25">
      <c r="B160" s="328"/>
      <c r="C160" s="23" t="s">
        <v>238</v>
      </c>
      <c r="D160" s="69">
        <v>1</v>
      </c>
      <c r="E160" s="69"/>
      <c r="F160" s="69"/>
      <c r="G160" s="69"/>
      <c r="H160" s="69"/>
      <c r="I160" s="69"/>
      <c r="J160" s="69"/>
    </row>
    <row r="161" spans="2:15" ht="24" x14ac:dyDescent="0.25">
      <c r="B161" s="328"/>
      <c r="C161" s="70" t="s">
        <v>278</v>
      </c>
      <c r="D161" s="70" t="s">
        <v>295</v>
      </c>
      <c r="E161" s="33"/>
      <c r="F161" s="33"/>
      <c r="G161" s="33"/>
      <c r="H161" s="33"/>
      <c r="I161" s="93"/>
      <c r="J161" s="94"/>
      <c r="M161" s="12">
        <f>CEILING('2-建设规模换算'!E11/64,1)*2</f>
        <v>2</v>
      </c>
      <c r="O161" s="63">
        <f>IF(M176+M161&gt;0,2^CEILING(LOG((M161*64+M176*24)/128,2),1),0)</f>
        <v>8</v>
      </c>
    </row>
    <row r="162" spans="2:15" x14ac:dyDescent="0.25">
      <c r="B162" s="71"/>
      <c r="C162" s="72"/>
      <c r="D162" s="73"/>
      <c r="E162" s="72"/>
      <c r="F162" s="74"/>
      <c r="G162" s="75"/>
      <c r="H162" s="76"/>
      <c r="I162" s="75"/>
      <c r="J162" s="75"/>
    </row>
    <row r="163" spans="2:15" x14ac:dyDescent="0.25">
      <c r="B163" s="326" t="s">
        <v>174</v>
      </c>
      <c r="C163" s="306" t="s">
        <v>178</v>
      </c>
      <c r="D163" s="306" t="s">
        <v>179</v>
      </c>
      <c r="E163" s="299" t="s">
        <v>180</v>
      </c>
      <c r="F163" s="299"/>
      <c r="G163" s="299" t="s">
        <v>181</v>
      </c>
      <c r="H163" s="46" t="s">
        <v>182</v>
      </c>
      <c r="I163" s="47" t="s">
        <v>254</v>
      </c>
      <c r="J163" s="17" t="s">
        <v>184</v>
      </c>
    </row>
    <row r="164" spans="2:15" x14ac:dyDescent="0.25">
      <c r="B164" s="327"/>
      <c r="C164" s="307"/>
      <c r="D164" s="307"/>
      <c r="E164" s="300"/>
      <c r="F164" s="300"/>
      <c r="G164" s="300"/>
      <c r="H164" s="17" t="s">
        <v>257</v>
      </c>
      <c r="I164" s="35"/>
      <c r="J164" s="17" t="s">
        <v>257</v>
      </c>
    </row>
    <row r="165" spans="2:15" x14ac:dyDescent="0.25">
      <c r="B165" s="327"/>
      <c r="C165" s="308">
        <f>AVERAGE(J174)/10000</f>
        <v>4.9985369999999998</v>
      </c>
      <c r="D165" s="308">
        <f>MAX(J174)/10000</f>
        <v>4.9985369999999998</v>
      </c>
      <c r="E165" s="38" t="s">
        <v>190</v>
      </c>
      <c r="F165" s="77" t="s">
        <v>296</v>
      </c>
      <c r="G165" s="48" t="s">
        <v>297</v>
      </c>
      <c r="H165" s="49">
        <v>25273.37</v>
      </c>
      <c r="I165" s="61">
        <v>1</v>
      </c>
      <c r="J165" s="17">
        <f t="shared" ref="J165:J173" si="49">$H165*$I165</f>
        <v>25273.37</v>
      </c>
    </row>
    <row r="166" spans="2:15" ht="24" x14ac:dyDescent="0.25">
      <c r="B166" s="327"/>
      <c r="C166" s="308"/>
      <c r="D166" s="308"/>
      <c r="E166" s="301" t="s">
        <v>217</v>
      </c>
      <c r="F166" s="52" t="s">
        <v>276</v>
      </c>
      <c r="G166" s="48" t="s">
        <v>277</v>
      </c>
      <c r="H166" s="49">
        <v>280.82</v>
      </c>
      <c r="I166" s="61">
        <v>48</v>
      </c>
      <c r="J166" s="17">
        <f t="shared" si="49"/>
        <v>13479.36</v>
      </c>
    </row>
    <row r="167" spans="2:15" ht="24" x14ac:dyDescent="0.25">
      <c r="B167" s="327"/>
      <c r="C167" s="308"/>
      <c r="D167" s="308"/>
      <c r="E167" s="302"/>
      <c r="F167" s="52" t="s">
        <v>218</v>
      </c>
      <c r="G167" s="48" t="s">
        <v>275</v>
      </c>
      <c r="H167" s="49">
        <v>1404.08</v>
      </c>
      <c r="I167" s="61">
        <v>8</v>
      </c>
      <c r="J167" s="17">
        <f t="shared" si="49"/>
        <v>11232.64</v>
      </c>
    </row>
    <row r="168" spans="2:15" ht="24" x14ac:dyDescent="0.25">
      <c r="B168" s="327"/>
      <c r="C168" s="308"/>
      <c r="D168" s="308"/>
      <c r="E168" s="302"/>
      <c r="F168" s="52" t="s">
        <v>273</v>
      </c>
      <c r="G168" s="48" t="s">
        <v>274</v>
      </c>
      <c r="H168" s="49">
        <v>1923.58</v>
      </c>
      <c r="I168" s="61"/>
      <c r="J168" s="17">
        <f t="shared" si="49"/>
        <v>0</v>
      </c>
    </row>
    <row r="169" spans="2:15" x14ac:dyDescent="0.25">
      <c r="B169" s="327"/>
      <c r="C169" s="308"/>
      <c r="D169" s="308"/>
      <c r="E169" s="301" t="s">
        <v>217</v>
      </c>
      <c r="F169" s="52" t="s">
        <v>265</v>
      </c>
      <c r="G169" s="48" t="s">
        <v>272</v>
      </c>
      <c r="H169" s="49">
        <v>21271.75</v>
      </c>
      <c r="I169" s="61"/>
      <c r="J169" s="17">
        <f t="shared" si="49"/>
        <v>0</v>
      </c>
    </row>
    <row r="170" spans="2:15" x14ac:dyDescent="0.25">
      <c r="B170" s="328"/>
      <c r="C170" s="308"/>
      <c r="D170" s="308"/>
      <c r="E170" s="302"/>
      <c r="F170" s="52" t="s">
        <v>262</v>
      </c>
      <c r="G170" s="48" t="s">
        <v>272</v>
      </c>
      <c r="H170" s="49">
        <v>10544.62</v>
      </c>
      <c r="I170" s="61"/>
      <c r="J170" s="17">
        <f t="shared" si="49"/>
        <v>0</v>
      </c>
    </row>
    <row r="171" spans="2:15" x14ac:dyDescent="0.25">
      <c r="B171" s="328"/>
      <c r="C171" s="308"/>
      <c r="D171" s="308"/>
      <c r="E171" s="302"/>
      <c r="F171" s="52" t="s">
        <v>267</v>
      </c>
      <c r="G171" s="48" t="s">
        <v>272</v>
      </c>
      <c r="H171" s="49">
        <v>4914.2700000000004</v>
      </c>
      <c r="I171" s="22"/>
      <c r="J171" s="17">
        <f t="shared" si="49"/>
        <v>0</v>
      </c>
    </row>
    <row r="172" spans="2:15" x14ac:dyDescent="0.25">
      <c r="B172" s="328"/>
      <c r="C172" s="308"/>
      <c r="D172" s="308"/>
      <c r="E172" s="302"/>
      <c r="F172" s="52" t="s">
        <v>269</v>
      </c>
      <c r="G172" s="48" t="s">
        <v>272</v>
      </c>
      <c r="H172" s="49">
        <v>2541.38</v>
      </c>
      <c r="I172" s="22"/>
      <c r="J172" s="17">
        <f t="shared" si="49"/>
        <v>0</v>
      </c>
    </row>
    <row r="173" spans="2:15" x14ac:dyDescent="0.25">
      <c r="B173" s="328"/>
      <c r="C173" s="308"/>
      <c r="D173" s="308"/>
      <c r="E173" s="303"/>
      <c r="F173" s="52" t="s">
        <v>271</v>
      </c>
      <c r="G173" s="48" t="s">
        <v>272</v>
      </c>
      <c r="H173" s="49">
        <v>4043.74</v>
      </c>
      <c r="I173" s="22"/>
      <c r="J173" s="17">
        <f t="shared" si="49"/>
        <v>0</v>
      </c>
    </row>
    <row r="174" spans="2:15" x14ac:dyDescent="0.25">
      <c r="B174" s="328"/>
      <c r="C174" s="309"/>
      <c r="D174" s="309"/>
      <c r="E174" s="22"/>
      <c r="F174" s="22"/>
      <c r="G174" s="22"/>
      <c r="H174" s="22" t="s">
        <v>87</v>
      </c>
      <c r="I174" s="22">
        <f>SUM(I165:I173)</f>
        <v>57</v>
      </c>
      <c r="J174" s="22">
        <f>SUM(J165:J173)</f>
        <v>49985.37</v>
      </c>
    </row>
    <row r="175" spans="2:15" x14ac:dyDescent="0.25">
      <c r="B175" s="328"/>
      <c r="C175" s="23" t="s">
        <v>238</v>
      </c>
      <c r="D175" s="69">
        <v>1</v>
      </c>
      <c r="E175" s="69"/>
      <c r="F175" s="69"/>
      <c r="G175" s="69"/>
      <c r="H175" s="69"/>
      <c r="I175" s="69"/>
      <c r="J175" s="69"/>
    </row>
    <row r="176" spans="2:15" ht="24" x14ac:dyDescent="0.25">
      <c r="B176" s="328"/>
      <c r="C176" s="70" t="s">
        <v>278</v>
      </c>
      <c r="D176" s="70" t="s">
        <v>298</v>
      </c>
      <c r="E176" s="33"/>
      <c r="F176" s="33"/>
      <c r="G176" s="33"/>
      <c r="H176" s="33"/>
      <c r="I176" s="93"/>
      <c r="J176" s="94"/>
      <c r="M176" s="12">
        <f>CEILING(('2-建设规模换算'!E3+'2-建设规模换算'!E4)/24,1)*2</f>
        <v>20</v>
      </c>
    </row>
    <row r="178" spans="2:13" ht="48" x14ac:dyDescent="0.25">
      <c r="B178" s="331" t="s">
        <v>299</v>
      </c>
      <c r="C178" s="99" t="s">
        <v>162</v>
      </c>
      <c r="D178" s="100" t="s">
        <v>258</v>
      </c>
      <c r="E178" s="101" t="s">
        <v>300</v>
      </c>
      <c r="F178" s="102">
        <f>ROUNDUP(4980091.76/10000,2)</f>
        <v>498.01</v>
      </c>
      <c r="G178" s="103" t="s">
        <v>77</v>
      </c>
      <c r="H178" s="76" t="s">
        <v>301</v>
      </c>
      <c r="I178" s="109" t="s">
        <v>302</v>
      </c>
      <c r="J178" s="109" t="s">
        <v>303</v>
      </c>
      <c r="K178" s="109" t="s">
        <v>303</v>
      </c>
      <c r="L178" s="110">
        <v>15.8</v>
      </c>
      <c r="M178" s="111"/>
    </row>
    <row r="179" spans="2:13" ht="84" x14ac:dyDescent="0.25">
      <c r="B179" s="332"/>
      <c r="C179" s="99" t="s">
        <v>164</v>
      </c>
      <c r="D179" s="100" t="s">
        <v>280</v>
      </c>
      <c r="E179" s="101" t="s">
        <v>304</v>
      </c>
      <c r="F179" s="102">
        <v>45.78</v>
      </c>
      <c r="G179" s="103" t="s">
        <v>77</v>
      </c>
      <c r="H179" s="76" t="s">
        <v>305</v>
      </c>
      <c r="I179" s="109" t="s">
        <v>306</v>
      </c>
      <c r="J179" s="109" t="s">
        <v>307</v>
      </c>
      <c r="K179" s="112" t="s">
        <v>307</v>
      </c>
      <c r="L179" s="113">
        <v>4</v>
      </c>
      <c r="M179" s="114"/>
    </row>
    <row r="180" spans="2:13" ht="48" x14ac:dyDescent="0.25">
      <c r="B180" s="332"/>
      <c r="C180" s="99" t="s">
        <v>166</v>
      </c>
      <c r="D180" s="100" t="s">
        <v>283</v>
      </c>
      <c r="E180" s="101" t="s">
        <v>308</v>
      </c>
      <c r="F180" s="102">
        <f>9960183.52/10000</f>
        <v>996.01835200000005</v>
      </c>
      <c r="G180" s="103" t="s">
        <v>77</v>
      </c>
      <c r="H180" s="76" t="s">
        <v>309</v>
      </c>
      <c r="I180" s="109" t="s">
        <v>310</v>
      </c>
      <c r="J180" s="109" t="s">
        <v>311</v>
      </c>
      <c r="K180" s="112" t="s">
        <v>311</v>
      </c>
      <c r="L180" s="110">
        <v>32.299999999999997</v>
      </c>
      <c r="M180" s="115"/>
    </row>
    <row r="181" spans="2:13" ht="48" x14ac:dyDescent="0.25">
      <c r="B181" s="332"/>
      <c r="C181" s="99" t="s">
        <v>168</v>
      </c>
      <c r="D181" s="100" t="s">
        <v>286</v>
      </c>
      <c r="E181" s="101" t="s">
        <v>304</v>
      </c>
      <c r="F181" s="102">
        <v>54.54</v>
      </c>
      <c r="G181" s="103" t="s">
        <v>77</v>
      </c>
      <c r="H181" s="76" t="s">
        <v>312</v>
      </c>
      <c r="I181" s="109" t="s">
        <v>306</v>
      </c>
      <c r="J181" s="109" t="s">
        <v>307</v>
      </c>
      <c r="K181" s="112" t="s">
        <v>307</v>
      </c>
      <c r="L181" s="113">
        <v>4</v>
      </c>
      <c r="M181" s="116"/>
    </row>
    <row r="182" spans="2:13" ht="72" x14ac:dyDescent="0.25">
      <c r="B182" s="332"/>
      <c r="C182" s="99" t="s">
        <v>170</v>
      </c>
      <c r="D182" s="100" t="s">
        <v>287</v>
      </c>
      <c r="E182" s="101" t="s">
        <v>313</v>
      </c>
      <c r="F182" s="102">
        <v>24</v>
      </c>
      <c r="G182" s="103" t="s">
        <v>77</v>
      </c>
      <c r="H182" s="76" t="s">
        <v>314</v>
      </c>
      <c r="I182" s="117"/>
      <c r="J182" s="118"/>
      <c r="K182" s="118"/>
      <c r="L182" s="119"/>
      <c r="M182" s="120"/>
    </row>
    <row r="183" spans="2:13" ht="30" x14ac:dyDescent="0.25">
      <c r="B183" s="332"/>
      <c r="C183" s="104" t="s">
        <v>315</v>
      </c>
      <c r="D183" s="105" t="s">
        <v>316</v>
      </c>
      <c r="E183" s="101"/>
      <c r="F183" s="106">
        <v>92</v>
      </c>
      <c r="G183" s="103" t="s">
        <v>77</v>
      </c>
      <c r="I183" s="121"/>
      <c r="J183" s="109" t="s">
        <v>317</v>
      </c>
      <c r="K183" s="112"/>
      <c r="L183" s="113">
        <v>4</v>
      </c>
      <c r="M183" s="122"/>
    </row>
    <row r="184" spans="2:13" ht="30" x14ac:dyDescent="0.25">
      <c r="B184" s="333"/>
      <c r="C184" s="104" t="s">
        <v>318</v>
      </c>
      <c r="D184" s="107" t="s">
        <v>319</v>
      </c>
      <c r="E184" s="101"/>
      <c r="F184" s="108">
        <v>115</v>
      </c>
      <c r="G184" s="103" t="s">
        <v>77</v>
      </c>
      <c r="I184" s="121"/>
      <c r="J184" s="109" t="s">
        <v>317</v>
      </c>
      <c r="K184" s="123"/>
      <c r="L184" s="119">
        <v>4</v>
      </c>
      <c r="M184" s="124"/>
    </row>
    <row r="185" spans="2:13" ht="48" x14ac:dyDescent="0.25">
      <c r="B185" s="319" t="s">
        <v>320</v>
      </c>
      <c r="C185" s="263" t="s">
        <v>408</v>
      </c>
      <c r="D185" s="100" t="s">
        <v>290</v>
      </c>
      <c r="E185" s="101" t="s">
        <v>308</v>
      </c>
      <c r="F185" s="102">
        <f>2477686.27/10000</f>
        <v>247.76862700000001</v>
      </c>
      <c r="G185" s="103" t="s">
        <v>77</v>
      </c>
      <c r="H185" s="76" t="s">
        <v>321</v>
      </c>
      <c r="I185" s="109" t="s">
        <v>322</v>
      </c>
      <c r="J185" s="109" t="s">
        <v>323</v>
      </c>
      <c r="K185" s="112" t="s">
        <v>323</v>
      </c>
      <c r="L185" s="110">
        <v>32.299999999999997</v>
      </c>
      <c r="M185" s="124"/>
    </row>
    <row r="186" spans="2:13" ht="60" x14ac:dyDescent="0.25">
      <c r="B186" s="319"/>
      <c r="C186" s="263" t="s">
        <v>409</v>
      </c>
      <c r="D186" s="100" t="s">
        <v>294</v>
      </c>
      <c r="E186" s="101" t="s">
        <v>304</v>
      </c>
      <c r="F186" s="102">
        <f>351523.94/10000</f>
        <v>35.152394000000001</v>
      </c>
      <c r="G186" s="103" t="s">
        <v>77</v>
      </c>
      <c r="H186" s="76" t="s">
        <v>324</v>
      </c>
      <c r="I186" s="125" t="s">
        <v>325</v>
      </c>
      <c r="J186" s="125" t="s">
        <v>326</v>
      </c>
      <c r="K186" s="126" t="s">
        <v>326</v>
      </c>
      <c r="L186" s="127">
        <v>4</v>
      </c>
      <c r="M186" s="128"/>
    </row>
    <row r="187" spans="2:13" ht="48" x14ac:dyDescent="0.25">
      <c r="B187" s="319"/>
      <c r="C187" s="99" t="s">
        <v>174</v>
      </c>
      <c r="D187" s="100" t="s">
        <v>296</v>
      </c>
      <c r="E187" s="101" t="s">
        <v>327</v>
      </c>
      <c r="F187" s="102">
        <v>5.5</v>
      </c>
      <c r="G187" s="103" t="s">
        <v>77</v>
      </c>
      <c r="H187" s="76" t="s">
        <v>328</v>
      </c>
      <c r="I187" s="126" t="s">
        <v>329</v>
      </c>
      <c r="J187" s="126" t="s">
        <v>330</v>
      </c>
      <c r="K187" s="126" t="s">
        <v>330</v>
      </c>
      <c r="L187" s="127">
        <v>1</v>
      </c>
      <c r="M187" s="129"/>
    </row>
    <row r="188" spans="2:13" ht="48" x14ac:dyDescent="0.25">
      <c r="B188" s="320"/>
      <c r="C188" s="104" t="s">
        <v>331</v>
      </c>
      <c r="D188" s="100" t="s">
        <v>332</v>
      </c>
      <c r="E188" s="101" t="s">
        <v>308</v>
      </c>
      <c r="F188" s="102">
        <v>146</v>
      </c>
      <c r="G188" s="103" t="s">
        <v>77</v>
      </c>
      <c r="H188" s="76" t="s">
        <v>333</v>
      </c>
      <c r="I188" s="130" t="s">
        <v>334</v>
      </c>
      <c r="J188" s="109" t="s">
        <v>335</v>
      </c>
      <c r="K188" s="109" t="s">
        <v>335</v>
      </c>
      <c r="L188" s="110">
        <v>15.8</v>
      </c>
      <c r="M188" s="128"/>
    </row>
  </sheetData>
  <mergeCells count="106">
    <mergeCell ref="B102:B115"/>
    <mergeCell ref="B117:B130"/>
    <mergeCell ref="B132:B146"/>
    <mergeCell ref="B148:B161"/>
    <mergeCell ref="B163:B176"/>
    <mergeCell ref="B178:B184"/>
    <mergeCell ref="B2:G2"/>
    <mergeCell ref="H3:L3"/>
    <mergeCell ref="N3:R3"/>
    <mergeCell ref="H28:L28"/>
    <mergeCell ref="N28:R28"/>
    <mergeCell ref="B53:G53"/>
    <mergeCell ref="B54:G54"/>
    <mergeCell ref="B3:B26"/>
    <mergeCell ref="B28:B51"/>
    <mergeCell ref="D3:D4"/>
    <mergeCell ref="D5:D24"/>
    <mergeCell ref="D28:D29"/>
    <mergeCell ref="D30:D49"/>
    <mergeCell ref="M3:M4"/>
    <mergeCell ref="M28:M29"/>
    <mergeCell ref="D55:D56"/>
    <mergeCell ref="D57:D67"/>
    <mergeCell ref="D71:D72"/>
    <mergeCell ref="B185:B188"/>
    <mergeCell ref="C3:C4"/>
    <mergeCell ref="C5:C24"/>
    <mergeCell ref="C28:C29"/>
    <mergeCell ref="C30:C49"/>
    <mergeCell ref="C55:C56"/>
    <mergeCell ref="C57:C67"/>
    <mergeCell ref="C71:C72"/>
    <mergeCell ref="C73:C82"/>
    <mergeCell ref="C86:C87"/>
    <mergeCell ref="C88:C98"/>
    <mergeCell ref="C102:C103"/>
    <mergeCell ref="C104:C113"/>
    <mergeCell ref="C117:C118"/>
    <mergeCell ref="C119:C128"/>
    <mergeCell ref="C132:C133"/>
    <mergeCell ref="C134:C144"/>
    <mergeCell ref="C148:C149"/>
    <mergeCell ref="C150:C159"/>
    <mergeCell ref="C163:C164"/>
    <mergeCell ref="C165:C174"/>
    <mergeCell ref="B55:B69"/>
    <mergeCell ref="B71:B84"/>
    <mergeCell ref="B86:B100"/>
    <mergeCell ref="D73:D82"/>
    <mergeCell ref="D86:D87"/>
    <mergeCell ref="D88:D98"/>
    <mergeCell ref="D102:D103"/>
    <mergeCell ref="D104:D113"/>
    <mergeCell ref="D117:D118"/>
    <mergeCell ref="D119:D128"/>
    <mergeCell ref="D132:D133"/>
    <mergeCell ref="D134:D144"/>
    <mergeCell ref="D148:D149"/>
    <mergeCell ref="D150:D159"/>
    <mergeCell ref="D163:D164"/>
    <mergeCell ref="D165:D174"/>
    <mergeCell ref="E5:E7"/>
    <mergeCell ref="E9:E11"/>
    <mergeCell ref="E13:E15"/>
    <mergeCell ref="E16:E24"/>
    <mergeCell ref="E30:E32"/>
    <mergeCell ref="E34:E36"/>
    <mergeCell ref="E38:E40"/>
    <mergeCell ref="E41:E49"/>
    <mergeCell ref="E57:E58"/>
    <mergeCell ref="E60:E66"/>
    <mergeCell ref="E74:E75"/>
    <mergeCell ref="E76:E81"/>
    <mergeCell ref="E88:E89"/>
    <mergeCell ref="E91:E97"/>
    <mergeCell ref="E105:E106"/>
    <mergeCell ref="E107:E112"/>
    <mergeCell ref="E120:E122"/>
    <mergeCell ref="E123:E127"/>
    <mergeCell ref="E134:E135"/>
    <mergeCell ref="E137:E143"/>
    <mergeCell ref="E152:E158"/>
    <mergeCell ref="E166:E168"/>
    <mergeCell ref="E169:E173"/>
    <mergeCell ref="G3:G4"/>
    <mergeCell ref="G28:G29"/>
    <mergeCell ref="G55:G56"/>
    <mergeCell ref="G71:G72"/>
    <mergeCell ref="G86:G87"/>
    <mergeCell ref="G102:G103"/>
    <mergeCell ref="G117:G118"/>
    <mergeCell ref="G132:G133"/>
    <mergeCell ref="G148:G149"/>
    <mergeCell ref="G163:G164"/>
    <mergeCell ref="E132:F133"/>
    <mergeCell ref="E148:F149"/>
    <mergeCell ref="E163:F164"/>
    <mergeCell ref="S3:S4"/>
    <mergeCell ref="S28:S29"/>
    <mergeCell ref="E3:F4"/>
    <mergeCell ref="E28:F29"/>
    <mergeCell ref="E102:F103"/>
    <mergeCell ref="E55:F56"/>
    <mergeCell ref="E71:F72"/>
    <mergeCell ref="E86:F87"/>
    <mergeCell ref="E117:F118"/>
  </mergeCells>
  <phoneticPr fontId="54" type="noConversion"/>
  <dataValidations count="1">
    <dataValidation type="list" allowBlank="1" showInputMessage="1" showErrorMessage="1" sqref="F73 F104 F119 F150 F165 F88:F89 F134:F135" xr:uid="{00000000-0002-0000-0800-000000000000}">
      <formula1>#REF!</formula1>
    </dataValidation>
  </dataValidations>
  <pageMargins left="0.75" right="0.75" top="1" bottom="1" header="0.5" footer="0.5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1:L25"/>
  <sheetViews>
    <sheetView workbookViewId="0">
      <selection activeCell="N18" sqref="N18"/>
    </sheetView>
  </sheetViews>
  <sheetFormatPr defaultColWidth="8.88671875" defaultRowHeight="14.4" x14ac:dyDescent="0.25"/>
  <cols>
    <col min="2" max="2" width="30.109375" customWidth="1"/>
    <col min="3" max="3" width="8.33203125" customWidth="1"/>
    <col min="4" max="4" width="12.21875" customWidth="1"/>
    <col min="5" max="5" width="10.33203125" customWidth="1"/>
    <col min="6" max="6" width="11.6640625" customWidth="1"/>
    <col min="7" max="7" width="13.33203125" customWidth="1"/>
    <col min="8" max="8" width="11.44140625" customWidth="1"/>
    <col min="9" max="9" width="12.6640625" customWidth="1"/>
    <col min="10" max="11" width="19.88671875" customWidth="1"/>
  </cols>
  <sheetData>
    <row r="1" spans="2:11" x14ac:dyDescent="0.25">
      <c r="B1" s="353" t="s">
        <v>336</v>
      </c>
      <c r="C1" s="353"/>
      <c r="D1" s="353"/>
      <c r="E1" s="353"/>
      <c r="F1" s="353"/>
      <c r="G1" s="353"/>
      <c r="H1" s="353"/>
      <c r="I1" s="353"/>
      <c r="J1" s="353"/>
      <c r="K1" s="353"/>
    </row>
    <row r="2" spans="2:11" x14ac:dyDescent="0.25">
      <c r="B2" s="353" t="s">
        <v>337</v>
      </c>
      <c r="C2" s="353"/>
      <c r="D2" s="353"/>
      <c r="E2" s="353"/>
      <c r="F2" s="353"/>
      <c r="G2" s="353"/>
      <c r="H2" s="353"/>
      <c r="I2" s="353"/>
      <c r="J2" s="353"/>
      <c r="K2" s="353"/>
    </row>
    <row r="3" spans="2:11" x14ac:dyDescent="0.25">
      <c r="B3" s="353" t="s">
        <v>338</v>
      </c>
      <c r="C3" s="353"/>
      <c r="D3" s="353"/>
      <c r="E3" s="353"/>
      <c r="F3" s="353"/>
      <c r="G3" s="353"/>
      <c r="H3" s="353"/>
      <c r="I3" s="353"/>
      <c r="J3" s="353"/>
      <c r="K3" s="353"/>
    </row>
    <row r="4" spans="2:11" x14ac:dyDescent="0.25">
      <c r="B4" s="353"/>
      <c r="C4" s="353"/>
      <c r="D4" s="353"/>
      <c r="E4" s="353"/>
      <c r="F4" s="353"/>
      <c r="G4" s="353"/>
      <c r="H4" s="353"/>
      <c r="I4" s="353"/>
      <c r="J4" s="353"/>
      <c r="K4" s="353"/>
    </row>
    <row r="5" spans="2:11" ht="15.6" x14ac:dyDescent="0.25">
      <c r="B5" s="1" t="s">
        <v>339</v>
      </c>
      <c r="C5" s="1" t="s">
        <v>340</v>
      </c>
      <c r="D5" s="1" t="s">
        <v>341</v>
      </c>
      <c r="E5" s="1" t="s">
        <v>342</v>
      </c>
      <c r="F5" s="1" t="s">
        <v>343</v>
      </c>
      <c r="G5" s="1" t="s">
        <v>344</v>
      </c>
      <c r="H5" s="1" t="s">
        <v>345</v>
      </c>
      <c r="I5" s="1" t="s">
        <v>346</v>
      </c>
      <c r="J5" s="1" t="s">
        <v>347</v>
      </c>
      <c r="K5" s="1" t="s">
        <v>348</v>
      </c>
    </row>
    <row r="6" spans="2:11" ht="15" x14ac:dyDescent="0.25">
      <c r="B6" s="2" t="s">
        <v>349</v>
      </c>
      <c r="C6" s="2" t="s">
        <v>350</v>
      </c>
      <c r="D6" s="2">
        <v>7</v>
      </c>
      <c r="E6" s="2">
        <v>8</v>
      </c>
      <c r="F6" s="2">
        <v>72</v>
      </c>
      <c r="G6" s="2">
        <v>72</v>
      </c>
      <c r="H6" s="2">
        <v>70</v>
      </c>
      <c r="I6" s="2">
        <v>75</v>
      </c>
      <c r="J6" s="2">
        <v>671</v>
      </c>
      <c r="K6" s="2">
        <v>671</v>
      </c>
    </row>
    <row r="7" spans="2:11" ht="15" x14ac:dyDescent="0.25">
      <c r="B7" s="3" t="s">
        <v>351</v>
      </c>
      <c r="C7" s="3" t="s">
        <v>352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1</v>
      </c>
      <c r="J7" s="3">
        <v>1</v>
      </c>
      <c r="K7" s="3">
        <v>1</v>
      </c>
    </row>
    <row r="8" spans="2:11" ht="15" x14ac:dyDescent="0.25">
      <c r="B8" s="2" t="s">
        <v>353</v>
      </c>
      <c r="C8" s="2" t="s">
        <v>354</v>
      </c>
      <c r="D8" s="2">
        <v>1</v>
      </c>
      <c r="E8" s="2">
        <v>1</v>
      </c>
      <c r="F8" s="2">
        <v>8</v>
      </c>
      <c r="G8" s="2">
        <v>8</v>
      </c>
      <c r="H8" s="2">
        <v>8</v>
      </c>
      <c r="I8" s="2">
        <v>8</v>
      </c>
      <c r="J8" s="2">
        <v>64</v>
      </c>
      <c r="K8" s="2">
        <v>16</v>
      </c>
    </row>
    <row r="9" spans="2:11" ht="15" x14ac:dyDescent="0.25">
      <c r="B9" s="3" t="s">
        <v>355</v>
      </c>
      <c r="C9" s="3" t="s">
        <v>356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3</v>
      </c>
      <c r="K9" s="3">
        <v>1</v>
      </c>
    </row>
    <row r="10" spans="2:11" ht="15" x14ac:dyDescent="0.25">
      <c r="B10" s="2" t="s">
        <v>357</v>
      </c>
      <c r="C10" s="2" t="s">
        <v>358</v>
      </c>
      <c r="D10" s="2">
        <v>64</v>
      </c>
      <c r="E10" s="2">
        <v>64</v>
      </c>
      <c r="F10" s="2">
        <v>64</v>
      </c>
      <c r="G10" s="2">
        <v>64</v>
      </c>
      <c r="H10" s="2">
        <v>64</v>
      </c>
      <c r="I10" s="2">
        <v>64</v>
      </c>
      <c r="J10" s="2">
        <v>64</v>
      </c>
      <c r="K10" s="2">
        <v>64</v>
      </c>
    </row>
    <row r="11" spans="2:11" ht="15" x14ac:dyDescent="0.25">
      <c r="B11" s="3" t="s">
        <v>359</v>
      </c>
      <c r="C11" s="3" t="s">
        <v>360</v>
      </c>
      <c r="D11" s="3">
        <v>64</v>
      </c>
      <c r="E11" s="3">
        <v>64</v>
      </c>
      <c r="F11" s="3">
        <v>512</v>
      </c>
      <c r="G11" s="3">
        <v>512</v>
      </c>
      <c r="H11" s="3">
        <v>512</v>
      </c>
      <c r="I11" s="3">
        <v>512</v>
      </c>
      <c r="J11" s="3">
        <v>4096</v>
      </c>
      <c r="K11" s="3">
        <v>1024</v>
      </c>
    </row>
    <row r="12" spans="2:11" ht="15" x14ac:dyDescent="0.25">
      <c r="B12" s="2" t="s">
        <v>361</v>
      </c>
      <c r="C12" s="2" t="s">
        <v>362</v>
      </c>
      <c r="D12" s="2">
        <v>50</v>
      </c>
      <c r="E12" s="2">
        <v>48</v>
      </c>
      <c r="F12" s="2">
        <v>368</v>
      </c>
      <c r="G12" s="2">
        <v>368</v>
      </c>
      <c r="H12" s="2">
        <v>372</v>
      </c>
      <c r="I12" s="2">
        <v>437</v>
      </c>
      <c r="J12" s="2">
        <v>2083</v>
      </c>
      <c r="K12" s="2">
        <v>353</v>
      </c>
    </row>
    <row r="13" spans="2:11" ht="15" x14ac:dyDescent="0.25">
      <c r="B13" s="3" t="s">
        <v>363</v>
      </c>
      <c r="C13" s="3" t="s">
        <v>364</v>
      </c>
      <c r="D13" s="3">
        <v>200</v>
      </c>
      <c r="E13" s="3">
        <v>200</v>
      </c>
      <c r="F13" s="3">
        <v>100</v>
      </c>
      <c r="G13" s="3">
        <v>100</v>
      </c>
      <c r="H13" s="3">
        <v>100</v>
      </c>
      <c r="I13" s="3">
        <v>35</v>
      </c>
      <c r="J13" s="3">
        <v>400</v>
      </c>
      <c r="K13" s="3">
        <v>400</v>
      </c>
    </row>
    <row r="14" spans="2:11" ht="15" x14ac:dyDescent="0.25">
      <c r="B14" s="2" t="s">
        <v>365</v>
      </c>
      <c r="C14" s="2" t="s">
        <v>366</v>
      </c>
      <c r="D14" s="2">
        <v>200</v>
      </c>
      <c r="E14" s="2">
        <v>200</v>
      </c>
      <c r="F14" s="2">
        <v>800</v>
      </c>
      <c r="G14" s="2">
        <v>800</v>
      </c>
      <c r="H14" s="2">
        <v>800</v>
      </c>
      <c r="I14" s="2">
        <v>280</v>
      </c>
      <c r="J14" s="2">
        <v>25600</v>
      </c>
      <c r="K14" s="2">
        <v>6400</v>
      </c>
    </row>
    <row r="15" spans="2:11" ht="15" x14ac:dyDescent="0.25">
      <c r="B15" s="3" t="s">
        <v>367</v>
      </c>
      <c r="C15" s="3" t="s">
        <v>368</v>
      </c>
      <c r="D15" s="4">
        <v>0.78</v>
      </c>
      <c r="E15" s="4">
        <v>0.78</v>
      </c>
      <c r="F15" s="4">
        <v>0.78</v>
      </c>
      <c r="G15" s="4">
        <v>0.78</v>
      </c>
      <c r="H15" s="4">
        <v>0.78</v>
      </c>
      <c r="I15" s="4">
        <v>0.78</v>
      </c>
      <c r="J15" s="4">
        <v>0.78</v>
      </c>
      <c r="K15" s="4">
        <v>0.78</v>
      </c>
    </row>
    <row r="16" spans="2:11" ht="15" x14ac:dyDescent="0.25">
      <c r="B16" s="2" t="s">
        <v>369</v>
      </c>
      <c r="C16" s="2" t="s">
        <v>370</v>
      </c>
      <c r="D16" s="5">
        <v>0.56299999999999994</v>
      </c>
      <c r="E16" s="5">
        <v>0.56299999999999994</v>
      </c>
      <c r="F16" s="5">
        <v>0.56299999999999994</v>
      </c>
      <c r="G16" s="5">
        <v>0.56299999999999994</v>
      </c>
      <c r="H16" s="5">
        <v>0.56299999999999994</v>
      </c>
      <c r="I16" s="5">
        <v>0.56299999999999994</v>
      </c>
      <c r="J16" s="5">
        <v>0.56299999999999994</v>
      </c>
      <c r="K16" s="5">
        <v>0.56299999999999994</v>
      </c>
    </row>
    <row r="17" spans="2:12" ht="15" x14ac:dyDescent="0.25">
      <c r="B17" s="3" t="s">
        <v>371</v>
      </c>
      <c r="C17" s="3" t="s">
        <v>372</v>
      </c>
      <c r="D17" s="4">
        <v>0.22</v>
      </c>
      <c r="E17" s="4">
        <v>0.22</v>
      </c>
      <c r="F17" s="4">
        <v>0.22</v>
      </c>
      <c r="G17" s="4">
        <v>0.22</v>
      </c>
      <c r="H17" s="4">
        <v>0.22</v>
      </c>
      <c r="I17" s="4">
        <v>0.22</v>
      </c>
      <c r="J17" s="4">
        <v>0.22</v>
      </c>
      <c r="K17" s="4">
        <v>0.22</v>
      </c>
    </row>
    <row r="18" spans="2:12" ht="15" x14ac:dyDescent="0.25">
      <c r="B18" s="2" t="s">
        <v>373</v>
      </c>
      <c r="C18" s="2" t="s">
        <v>374</v>
      </c>
      <c r="D18" s="2" t="s">
        <v>375</v>
      </c>
      <c r="E18" s="2" t="s">
        <v>375</v>
      </c>
      <c r="F18" s="2" t="s">
        <v>375</v>
      </c>
      <c r="G18" s="2" t="s">
        <v>375</v>
      </c>
      <c r="H18" s="2" t="s">
        <v>375</v>
      </c>
      <c r="I18" s="2" t="s">
        <v>375</v>
      </c>
      <c r="J18" s="2" t="s">
        <v>376</v>
      </c>
      <c r="K18" s="2" t="s">
        <v>376</v>
      </c>
    </row>
    <row r="19" spans="2:12" ht="15" x14ac:dyDescent="0.25">
      <c r="B19" s="3" t="s">
        <v>377</v>
      </c>
      <c r="C19" s="3" t="s">
        <v>378</v>
      </c>
      <c r="D19" s="3">
        <v>50</v>
      </c>
      <c r="E19" s="3">
        <v>150</v>
      </c>
      <c r="F19" s="3">
        <v>320</v>
      </c>
      <c r="G19" s="3">
        <v>320</v>
      </c>
      <c r="H19" s="3">
        <v>320</v>
      </c>
      <c r="I19" s="3">
        <v>344</v>
      </c>
      <c r="J19" s="3">
        <v>70</v>
      </c>
      <c r="K19" s="3">
        <v>70</v>
      </c>
    </row>
    <row r="20" spans="2:12" ht="15" x14ac:dyDescent="0.25">
      <c r="B20" s="2" t="s">
        <v>379</v>
      </c>
      <c r="C20" s="2" t="s">
        <v>380</v>
      </c>
      <c r="D20" s="2">
        <v>5609</v>
      </c>
      <c r="E20" s="2">
        <v>16826</v>
      </c>
      <c r="F20" s="2">
        <v>143580</v>
      </c>
      <c r="G20" s="2">
        <v>143580</v>
      </c>
      <c r="H20" s="2">
        <v>143580</v>
      </c>
      <c r="I20" s="2">
        <v>54022</v>
      </c>
      <c r="J20" s="2">
        <v>1005061</v>
      </c>
      <c r="K20" s="2">
        <v>251265</v>
      </c>
    </row>
    <row r="21" spans="2:12" ht="15" x14ac:dyDescent="0.25">
      <c r="B21" s="3" t="s">
        <v>381</v>
      </c>
      <c r="C21" s="3" t="s">
        <v>382</v>
      </c>
      <c r="D21" s="3">
        <v>2.6</v>
      </c>
      <c r="E21" s="3">
        <v>0.8</v>
      </c>
      <c r="F21" s="3">
        <v>0.7</v>
      </c>
      <c r="G21" s="3">
        <v>0.7</v>
      </c>
      <c r="H21" s="3">
        <v>0.8</v>
      </c>
      <c r="I21" s="3">
        <v>2.4</v>
      </c>
      <c r="J21" s="3">
        <v>0.6</v>
      </c>
      <c r="K21" s="3">
        <v>0.4</v>
      </c>
    </row>
    <row r="22" spans="2:12" ht="15" x14ac:dyDescent="0.25">
      <c r="B22" s="6" t="s">
        <v>383</v>
      </c>
      <c r="C22" s="7"/>
      <c r="D22" s="2">
        <v>6</v>
      </c>
      <c r="E22" s="2">
        <v>21</v>
      </c>
      <c r="F22" s="2">
        <v>22</v>
      </c>
      <c r="G22" s="2">
        <v>22</v>
      </c>
      <c r="H22" s="2">
        <v>22</v>
      </c>
      <c r="I22" s="6">
        <v>8</v>
      </c>
      <c r="J22" s="6">
        <v>20</v>
      </c>
      <c r="K22" s="6">
        <v>20</v>
      </c>
    </row>
    <row r="23" spans="2:12" ht="15" x14ac:dyDescent="0.25">
      <c r="B23" s="8" t="s">
        <v>384</v>
      </c>
      <c r="C23" s="9"/>
      <c r="D23" s="3">
        <v>679</v>
      </c>
      <c r="E23" s="3">
        <v>209</v>
      </c>
      <c r="F23" s="3">
        <v>195</v>
      </c>
      <c r="G23" s="3">
        <v>195</v>
      </c>
      <c r="H23" s="3">
        <v>195</v>
      </c>
      <c r="I23" s="8">
        <v>558</v>
      </c>
      <c r="J23" s="8">
        <v>222</v>
      </c>
      <c r="K23" s="8">
        <v>220</v>
      </c>
      <c r="L23" t="s">
        <v>385</v>
      </c>
    </row>
    <row r="25" spans="2:12" ht="15.6" x14ac:dyDescent="0.25">
      <c r="B25" s="10" t="s">
        <v>386</v>
      </c>
      <c r="C25" s="10" t="s">
        <v>380</v>
      </c>
      <c r="D25">
        <f>D19*D14*(D16*(1-D16)+D17)</f>
        <v>4660.3100000000004</v>
      </c>
    </row>
  </sheetData>
  <mergeCells count="4">
    <mergeCell ref="B1:K1"/>
    <mergeCell ref="B2:K2"/>
    <mergeCell ref="B3:K3"/>
    <mergeCell ref="B4:K4"/>
  </mergeCells>
  <phoneticPr fontId="5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15"/>
  <dimension ref="A1"/>
  <sheetViews>
    <sheetView workbookViewId="0"/>
  </sheetViews>
  <sheetFormatPr defaultColWidth="9" defaultRowHeight="14.4" x14ac:dyDescent="0.25"/>
  <sheetData/>
  <sheetProtection formatCells="0" insertHyperlinks="0" autoFilter="0"/>
  <phoneticPr fontId="5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B1:F30"/>
  <sheetViews>
    <sheetView tabSelected="1" topLeftCell="A4" workbookViewId="0">
      <selection activeCell="A14" sqref="A14:XFD14"/>
    </sheetView>
  </sheetViews>
  <sheetFormatPr defaultColWidth="10.77734375" defaultRowHeight="15.6" x14ac:dyDescent="0.25"/>
  <cols>
    <col min="1" max="1" width="10.77734375" style="10"/>
    <col min="2" max="2" width="42.5546875" style="10" bestFit="1" customWidth="1"/>
    <col min="3" max="3" width="40.6640625" style="10" customWidth="1"/>
    <col min="4" max="4" width="60.77734375" style="10" customWidth="1"/>
    <col min="5" max="5" width="31.33203125" style="217" customWidth="1"/>
    <col min="6" max="6" width="56.6640625" style="10" customWidth="1"/>
    <col min="7" max="14" width="10.77734375" style="10" customWidth="1"/>
    <col min="15" max="15" width="14.109375" style="10" customWidth="1"/>
    <col min="16" max="18" width="8.44140625" style="10" customWidth="1"/>
    <col min="19" max="19" width="146.33203125" style="10" customWidth="1"/>
    <col min="20" max="20" width="4.6640625" style="10" customWidth="1"/>
    <col min="21" max="21" width="10.33203125" style="10" customWidth="1"/>
    <col min="22" max="23" width="8.44140625" style="10" customWidth="1"/>
    <col min="24" max="25" width="14" style="10" customWidth="1"/>
    <col min="26" max="26" width="4.6640625" style="10" customWidth="1"/>
    <col min="27" max="16317" width="10.77734375" style="10" customWidth="1"/>
    <col min="16318" max="16384" width="10.77734375" style="10"/>
  </cols>
  <sheetData>
    <row r="1" spans="2:6" ht="16.2" x14ac:dyDescent="0.25">
      <c r="B1" s="267" t="s">
        <v>6</v>
      </c>
      <c r="C1" s="268"/>
      <c r="D1" s="268"/>
      <c r="E1" s="268"/>
    </row>
    <row r="2" spans="2:6" x14ac:dyDescent="0.25">
      <c r="B2" s="145" t="s">
        <v>7</v>
      </c>
      <c r="C2" s="145" t="s">
        <v>8</v>
      </c>
      <c r="D2" s="145" t="s">
        <v>9</v>
      </c>
      <c r="E2" s="145" t="s">
        <v>10</v>
      </c>
    </row>
    <row r="3" spans="2:6" ht="31.2" x14ac:dyDescent="0.25">
      <c r="B3" s="218" t="s">
        <v>11</v>
      </c>
      <c r="C3" s="219" t="s">
        <v>12</v>
      </c>
      <c r="D3" s="248" t="str">
        <f>"整体建设规模"&amp;C14&amp;"台推理服务器，可满足"&amp;C6&amp;"EFLOPS（FP16）的智能算力需求，总投资预估为"&amp;'3-投资简表'!F11&amp;"万元人民币（不含增值税价）"</f>
        <v>整体建设规模235台推理服务器，可满足512EFLOPS（FP16）的智能算力需求，总投资预估为20791.69万元人民币（不含增值税价）</v>
      </c>
      <c r="E3" s="221" t="s">
        <v>13</v>
      </c>
      <c r="F3" s="220"/>
    </row>
    <row r="4" spans="2:6" ht="60" x14ac:dyDescent="0.25">
      <c r="B4" s="218" t="s">
        <v>14</v>
      </c>
      <c r="C4" s="219" t="s">
        <v>387</v>
      </c>
      <c r="D4" s="222" t="s">
        <v>420</v>
      </c>
      <c r="E4" s="221"/>
      <c r="F4" s="220"/>
    </row>
    <row r="5" spans="2:6" x14ac:dyDescent="0.25">
      <c r="B5" s="256" t="s">
        <v>15</v>
      </c>
      <c r="C5" s="219" t="s">
        <v>421</v>
      </c>
      <c r="D5" s="236" t="s">
        <v>397</v>
      </c>
      <c r="E5" s="221"/>
      <c r="F5" s="220"/>
    </row>
    <row r="6" spans="2:6" x14ac:dyDescent="0.25">
      <c r="B6" s="218" t="s">
        <v>16</v>
      </c>
      <c r="C6" s="219">
        <v>512</v>
      </c>
      <c r="D6" s="222" t="str">
        <f>"推理集群算力规模"&amp;C6&amp;"Pflops"</f>
        <v>推理集群算力规模512Pflops</v>
      </c>
      <c r="E6" s="221" t="s">
        <v>17</v>
      </c>
    </row>
    <row r="7" spans="2:6" ht="62.4" x14ac:dyDescent="0.25">
      <c r="B7" s="237" t="s">
        <v>388</v>
      </c>
      <c r="C7" s="249">
        <f>IF(C5&lt;&gt;"PCIE",CEILING(C6/200,1),0)</f>
        <v>3</v>
      </c>
      <c r="D7" s="250" t="str">
        <f>"高性能文件存储存储需求"&amp;C7&amp;"PB"</f>
        <v>高性能文件存储存储需求3PB</v>
      </c>
      <c r="E7" s="243" t="s">
        <v>390</v>
      </c>
      <c r="F7" s="242"/>
    </row>
    <row r="8" spans="2:6" x14ac:dyDescent="0.25">
      <c r="B8" s="218" t="s">
        <v>18</v>
      </c>
      <c r="C8" s="238" t="s">
        <v>419</v>
      </c>
      <c r="D8" s="224" t="str">
        <f>"非弹性装架占用"&amp;'5-机柜装架'!C4+'5-机柜装架'!D4+'5-机柜装架'!E4+'5-机柜装架'!F4+'5-机柜装架'!G4+'5-机柜装架'!H4+'5-机柜装架'!I4&amp;"个"&amp;C8&amp;"机架，弹性装架占用"&amp;'5-机柜装架'!D17&amp;"个7kw机架"</f>
        <v>非弹性装架占用235个7kw机架，弹性装架占用177个7kw机架</v>
      </c>
      <c r="E8" s="221" t="s">
        <v>13</v>
      </c>
      <c r="F8" s="269"/>
    </row>
    <row r="9" spans="2:6" x14ac:dyDescent="0.25">
      <c r="B9" s="225" t="s">
        <v>19</v>
      </c>
      <c r="C9" s="223" t="s">
        <v>20</v>
      </c>
      <c r="D9" s="244" t="str">
        <f>"占用"&amp;C7&amp;"个10kw机架，1PB全闪占用1个10kw机架"</f>
        <v>占用3个10kw机架，1PB全闪占用1个10kw机架</v>
      </c>
      <c r="E9" s="221" t="s">
        <v>13</v>
      </c>
      <c r="F9" s="270"/>
    </row>
    <row r="10" spans="2:6" x14ac:dyDescent="0.25">
      <c r="B10" s="226" t="s">
        <v>21</v>
      </c>
      <c r="C10" s="223" t="s">
        <v>22</v>
      </c>
      <c r="D10" s="224"/>
      <c r="E10" s="221" t="s">
        <v>17</v>
      </c>
      <c r="F10" s="158"/>
    </row>
    <row r="11" spans="2:6" x14ac:dyDescent="0.25">
      <c r="B11" s="226" t="s">
        <v>23</v>
      </c>
      <c r="C11" s="223" t="s">
        <v>22</v>
      </c>
      <c r="D11" s="224"/>
      <c r="E11" s="221" t="s">
        <v>17</v>
      </c>
      <c r="F11" s="158"/>
    </row>
    <row r="12" spans="2:6" x14ac:dyDescent="0.25">
      <c r="B12" s="265" t="s">
        <v>412</v>
      </c>
      <c r="C12" s="223" t="s">
        <v>22</v>
      </c>
      <c r="D12" s="224"/>
      <c r="E12" s="221" t="s">
        <v>17</v>
      </c>
      <c r="F12" s="158"/>
    </row>
    <row r="13" spans="2:6" x14ac:dyDescent="0.25">
      <c r="B13" s="264" t="s">
        <v>410</v>
      </c>
      <c r="C13" s="223" t="s">
        <v>419</v>
      </c>
      <c r="D13" s="244" t="str">
        <f>"非弹性装架占用"&amp;'5-机柜装架'!D6+'5-机柜装架'!C6&amp;"个"&amp;'1-建设需求标准字段'!C13&amp;"机架，弹性装架与智算服务器混装"</f>
        <v>非弹性装架占用6个7kw机架，弹性装架与智算服务器混装</v>
      </c>
      <c r="E13" s="221" t="s">
        <v>13</v>
      </c>
      <c r="F13" s="254"/>
    </row>
    <row r="14" spans="2:6" x14ac:dyDescent="0.25">
      <c r="B14" s="225" t="s">
        <v>24</v>
      </c>
      <c r="C14" s="241">
        <f>CEILING(IF(C5="PCIE",CEILING(C6*1024/140,1),CEILING(C6*1024/280,1))/8,1)</f>
        <v>235</v>
      </c>
      <c r="D14" s="245"/>
      <c r="E14" s="221"/>
      <c r="F14" s="158"/>
    </row>
    <row r="15" spans="2:6" x14ac:dyDescent="0.25">
      <c r="B15" s="225" t="s">
        <v>25</v>
      </c>
      <c r="C15" s="241">
        <f>'2-建设规模换算'!E10</f>
        <v>13</v>
      </c>
      <c r="D15" s="245"/>
      <c r="E15" s="221"/>
    </row>
    <row r="16" spans="2:6" x14ac:dyDescent="0.25">
      <c r="B16" s="227" t="s">
        <v>26</v>
      </c>
      <c r="C16" s="240">
        <f>'2-建设规模换算'!E12</f>
        <v>54</v>
      </c>
      <c r="D16" s="245"/>
      <c r="E16" s="221" t="s">
        <v>13</v>
      </c>
    </row>
    <row r="17" spans="2:5" x14ac:dyDescent="0.25">
      <c r="B17" s="225" t="s">
        <v>27</v>
      </c>
      <c r="C17" s="241">
        <f>SUM('2-建设规模换算'!E16:E20)</f>
        <v>30</v>
      </c>
      <c r="D17" s="246"/>
      <c r="E17" s="221"/>
    </row>
    <row r="18" spans="2:5" x14ac:dyDescent="0.25">
      <c r="B18" s="225" t="s">
        <v>28</v>
      </c>
      <c r="C18" s="241">
        <f>'2-建设规模换算'!E21+'2-建设规模换算'!E27</f>
        <v>79</v>
      </c>
      <c r="D18" s="246"/>
      <c r="E18" s="221"/>
    </row>
    <row r="19" spans="2:5" x14ac:dyDescent="0.25">
      <c r="B19" s="228" t="s">
        <v>29</v>
      </c>
      <c r="C19" s="241" t="str">
        <f>'2-建设规模换算'!I28&amp;"kw"</f>
        <v>1767.21kw</v>
      </c>
      <c r="D19" s="246"/>
      <c r="E19" s="221"/>
    </row>
    <row r="20" spans="2:5" x14ac:dyDescent="0.25">
      <c r="B20" s="228" t="s">
        <v>30</v>
      </c>
      <c r="C20" s="241" t="str">
        <f>'3-投资简表'!F11&amp;"万"</f>
        <v>20791.69万</v>
      </c>
      <c r="D20" s="247"/>
      <c r="E20" s="221"/>
    </row>
    <row r="22" spans="2:5" ht="16.2" x14ac:dyDescent="0.25">
      <c r="C22" s="229"/>
    </row>
    <row r="23" spans="2:5" x14ac:dyDescent="0.25">
      <c r="E23" s="230"/>
    </row>
    <row r="24" spans="2:5" x14ac:dyDescent="0.25">
      <c r="B24" s="230"/>
      <c r="C24" s="230"/>
      <c r="D24" s="230"/>
    </row>
    <row r="25" spans="2:5" x14ac:dyDescent="0.25">
      <c r="B25" s="230" t="s">
        <v>0</v>
      </c>
      <c r="C25" s="230"/>
      <c r="D25" s="230"/>
    </row>
    <row r="26" spans="2:5" x14ac:dyDescent="0.25">
      <c r="B26" s="231" t="s">
        <v>31</v>
      </c>
      <c r="C26" s="230"/>
      <c r="D26" s="230"/>
    </row>
    <row r="27" spans="2:5" x14ac:dyDescent="0.25">
      <c r="B27" s="232" t="s">
        <v>32</v>
      </c>
      <c r="C27" s="233"/>
      <c r="D27" s="233"/>
      <c r="E27" s="233"/>
    </row>
    <row r="28" spans="2:5" x14ac:dyDescent="0.25">
      <c r="B28" s="239" t="s">
        <v>389</v>
      </c>
      <c r="C28" s="230"/>
      <c r="D28" s="230"/>
    </row>
    <row r="29" spans="2:5" x14ac:dyDescent="0.25">
      <c r="B29" s="234" t="s">
        <v>33</v>
      </c>
      <c r="C29" s="230"/>
      <c r="D29" s="230"/>
    </row>
    <row r="30" spans="2:5" x14ac:dyDescent="0.25">
      <c r="B30" s="230"/>
      <c r="C30" s="230"/>
      <c r="D30" s="230"/>
    </row>
  </sheetData>
  <mergeCells count="2">
    <mergeCell ref="B1:E1"/>
    <mergeCell ref="F8:F9"/>
  </mergeCells>
  <phoneticPr fontId="54" type="noConversion"/>
  <conditionalFormatting sqref="C5">
    <cfRule type="expression" dxfId="0" priority="2">
      <formula>"OR($B$4=""场景2（百~千亿参数模型场景）"",$B$4=""场景3（千亿长序列~万亿参数模型应用场景）"")"</formula>
    </cfRule>
  </conditionalFormatting>
  <dataValidations count="4">
    <dataValidation type="list" allowBlank="1" showInputMessage="1" showErrorMessage="1" sqref="C4" xr:uid="{00000000-0002-0000-0100-000001000000}">
      <formula1>"场景1（百亿及以下参数模型场景）,场景2（百~千亿参数模型场景）,场景3（千亿长序列~万亿参数模型应用场景）"</formula1>
    </dataValidation>
    <dataValidation type="list" allowBlank="1" showInputMessage="1" showErrorMessage="1" sqref="C8" xr:uid="{5029AD71-7F26-4CA2-98E7-5373D5A496F2}">
      <formula1>"5kw,7kw,10kw,15kw,20kw"</formula1>
    </dataValidation>
    <dataValidation type="list" allowBlank="1" showInputMessage="1" showErrorMessage="1" sqref="C5" xr:uid="{FBEF1613-09DE-4198-95E9-97ABDF2A10B9}">
      <formula1>"PCIE,扣卡(32G),扣卡(64G)"</formula1>
    </dataValidation>
    <dataValidation type="list" allowBlank="1" showInputMessage="1" showErrorMessage="1" sqref="C13" xr:uid="{A6B363F0-0D96-4E41-A531-2A682A2A4A01}">
      <formula1>"5kw,7kw"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/>
  <dimension ref="A1:J31"/>
  <sheetViews>
    <sheetView topLeftCell="D1" zoomScale="70" zoomScaleNormal="70" workbookViewId="0">
      <selection activeCell="D25" sqref="D25"/>
    </sheetView>
  </sheetViews>
  <sheetFormatPr defaultColWidth="8.77734375" defaultRowHeight="12" x14ac:dyDescent="0.15"/>
  <cols>
    <col min="1" max="1" width="8.77734375" style="193"/>
    <col min="2" max="2" width="18.109375" style="194" customWidth="1"/>
    <col min="3" max="3" width="37.21875" style="194" customWidth="1"/>
    <col min="4" max="4" width="154.88671875" style="193" customWidth="1"/>
    <col min="5" max="7" width="16.44140625" style="193" customWidth="1"/>
    <col min="8" max="8" width="28.33203125" style="193" customWidth="1"/>
    <col min="9" max="9" width="16.44140625" style="193" customWidth="1"/>
    <col min="10" max="10" width="20.77734375" style="193" customWidth="1"/>
    <col min="11" max="14" width="16.88671875" style="193" customWidth="1"/>
    <col min="15" max="15" width="8.33203125" style="193" customWidth="1"/>
    <col min="16" max="16" width="7.33203125" style="193" customWidth="1"/>
    <col min="17" max="17" width="7.21875" style="193" customWidth="1"/>
    <col min="18" max="18" width="36.6640625" style="193" customWidth="1"/>
    <col min="19" max="20" width="8.77734375" style="193"/>
    <col min="21" max="16371" width="14.109375" style="193"/>
    <col min="16372" max="16384" width="8.77734375" style="193"/>
  </cols>
  <sheetData>
    <row r="1" spans="1:10" x14ac:dyDescent="0.15">
      <c r="A1" s="195"/>
      <c r="B1" s="195"/>
      <c r="C1" s="196"/>
      <c r="D1" s="197"/>
      <c r="E1" s="195"/>
      <c r="F1" s="195"/>
      <c r="G1" s="195"/>
      <c r="H1" s="195"/>
      <c r="I1" s="195"/>
    </row>
    <row r="2" spans="1:10" ht="16.2" x14ac:dyDescent="0.15">
      <c r="A2" s="195"/>
      <c r="B2" s="198" t="s">
        <v>34</v>
      </c>
      <c r="C2" s="198" t="s">
        <v>35</v>
      </c>
      <c r="D2" s="198" t="s">
        <v>36</v>
      </c>
      <c r="E2" s="198" t="s">
        <v>37</v>
      </c>
      <c r="F2" s="198" t="s">
        <v>38</v>
      </c>
      <c r="G2" s="198" t="s">
        <v>39</v>
      </c>
      <c r="H2" s="199" t="s">
        <v>40</v>
      </c>
      <c r="I2" s="199" t="s">
        <v>41</v>
      </c>
      <c r="J2" s="198" t="s">
        <v>10</v>
      </c>
    </row>
    <row r="3" spans="1:10" ht="14.4" customHeight="1" x14ac:dyDescent="0.15">
      <c r="A3" s="195"/>
      <c r="B3" s="273" t="s">
        <v>42</v>
      </c>
      <c r="C3" s="200" t="str">
        <f>'服务器模型-勿动'!B2</f>
        <v>Atlas 800I A2 推理服务器（64G）</v>
      </c>
      <c r="D3" s="200" t="str">
        <f>'服务器模型-勿动'!D2</f>
        <v>4*Kunpeng920-5250(48core,2.6GHz)/32*32G/2*480GB/NVMe 2* 3.84TB/8*Ascend 910B4-64G-HCCS/2*GE+2*10GE+4*25GE+8*200G</v>
      </c>
      <c r="E3" s="200">
        <f>IF('1-建设需求标准字段'!C5="扣卡(64G)",'1-建设需求标准字段'!C14,0)</f>
        <v>235</v>
      </c>
      <c r="F3" s="200">
        <f>'服务器模型-勿动'!G2</f>
        <v>70</v>
      </c>
      <c r="G3" s="200">
        <f t="shared" ref="G3:G9" si="0">E3*F3</f>
        <v>16450</v>
      </c>
      <c r="H3" s="200">
        <f>'服务器模型-勿动'!F2</f>
        <v>5.2</v>
      </c>
      <c r="I3" s="200">
        <f>E3*H3</f>
        <v>1222</v>
      </c>
      <c r="J3" s="209"/>
    </row>
    <row r="4" spans="1:10" ht="14.4" customHeight="1" x14ac:dyDescent="0.15">
      <c r="A4" s="195"/>
      <c r="B4" s="272"/>
      <c r="C4" s="200" t="str">
        <f>'服务器模型-勿动'!B3</f>
        <v>Atlas 800I A2 推理服务器（32G）</v>
      </c>
      <c r="D4" s="200" t="str">
        <f>'服务器模型-勿动'!D3</f>
        <v>4*Kunpeng920-5250(48core,2.6GHz)/32*32G/2*480GB/NVMe 2* 3.84TB/8*Ascend 910B4-32G-HCCS/2*GE+2*10GE+4*25GE+8*200G</v>
      </c>
      <c r="E4" s="200">
        <f>IF('1-建设需求标准字段'!C5="扣卡(32G)",'1-建设需求标准字段'!C14,0)</f>
        <v>0</v>
      </c>
      <c r="F4" s="200">
        <f>'服务器模型-勿动'!G3</f>
        <v>70</v>
      </c>
      <c r="G4" s="200">
        <f t="shared" si="0"/>
        <v>0</v>
      </c>
      <c r="H4" s="200">
        <f>'服务器模型-勿动'!F3</f>
        <v>5.2</v>
      </c>
      <c r="I4" s="200">
        <f t="shared" ref="I4:I9" si="1">E4*H4</f>
        <v>0</v>
      </c>
      <c r="J4" s="209"/>
    </row>
    <row r="5" spans="1:10" ht="14.4" customHeight="1" x14ac:dyDescent="0.15">
      <c r="A5" s="195"/>
      <c r="B5" s="272"/>
      <c r="C5" s="200" t="str">
        <f>'服务器模型-勿动'!B4</f>
        <v>Atlas 300I Duo 推理服务器</v>
      </c>
      <c r="D5" s="200" t="str">
        <f>'服务器模型-勿动'!D4</f>
        <v>2*Kunpeng920-5250(48core,2.6GHz)/32*32G/2*480GB/NVMe 2* 1.92TB/8*Atlas 300I Duo 推理卡-LPDDR4x 96GB/2*10GE+2*25GE+2*25GE</v>
      </c>
      <c r="E5" s="200">
        <f>IF('1-建设需求标准字段'!C5="PCIE",'1-建设需求标准字段'!C14,0)</f>
        <v>0</v>
      </c>
      <c r="F5" s="200">
        <f>'服务器模型-勿动'!G4</f>
        <v>20</v>
      </c>
      <c r="G5" s="200">
        <f t="shared" si="0"/>
        <v>0</v>
      </c>
      <c r="H5" s="200">
        <f>'服务器模型-勿动'!F4</f>
        <v>2.2999999999999998</v>
      </c>
      <c r="I5" s="200">
        <f t="shared" si="1"/>
        <v>0</v>
      </c>
      <c r="J5" s="209"/>
    </row>
    <row r="6" spans="1:10" ht="17.399999999999999" x14ac:dyDescent="0.15">
      <c r="A6" s="195"/>
      <c r="B6" s="274"/>
      <c r="C6" s="201" t="s">
        <v>43</v>
      </c>
      <c r="D6" s="201"/>
      <c r="E6" s="201">
        <f>SUM(E3:E5)</f>
        <v>235</v>
      </c>
      <c r="F6" s="201"/>
      <c r="G6" s="201">
        <f>SUM(G3:G5)</f>
        <v>16450</v>
      </c>
      <c r="H6" s="201"/>
      <c r="I6" s="201">
        <f>SUM(I3:I5)</f>
        <v>1222</v>
      </c>
      <c r="J6" s="210"/>
    </row>
    <row r="7" spans="1:10" ht="17.399999999999999" x14ac:dyDescent="0.15">
      <c r="A7" s="195"/>
      <c r="B7" s="273" t="s">
        <v>44</v>
      </c>
      <c r="C7" s="200" t="str">
        <f>'服务器模型-勿动'!B6</f>
        <v>裸金属网关</v>
      </c>
      <c r="D7" s="200" t="str">
        <f>'服务器模型-勿动'!D6</f>
        <v>2*Kunpeng920-7260（64c,2.6GHz）\16*64G\2*480G SATA SSD\ 2*10GE+8*25GE（麦洛斯网卡）</v>
      </c>
      <c r="E7" s="200">
        <f>CEILING(E6/30,1)</f>
        <v>8</v>
      </c>
      <c r="F7" s="200">
        <f>'服务器模型-勿动'!G6</f>
        <v>8</v>
      </c>
      <c r="G7" s="200">
        <f t="shared" si="0"/>
        <v>64</v>
      </c>
      <c r="H7" s="200">
        <f>'服务器模型-勿动'!F6</f>
        <v>0.6</v>
      </c>
      <c r="I7" s="200">
        <f t="shared" si="1"/>
        <v>4.8</v>
      </c>
      <c r="J7" s="211"/>
    </row>
    <row r="8" spans="1:10" ht="17.399999999999999" x14ac:dyDescent="0.15">
      <c r="A8" s="195"/>
      <c r="B8" s="272"/>
      <c r="C8" s="200" t="str">
        <f>'服务器模型-勿动'!B7</f>
        <v>智管平台</v>
      </c>
      <c r="D8" s="200" t="str">
        <f>'服务器模型-勿动'!D7</f>
        <v>2*Hygon 7390（32c,2.7GHz）/16*32G/2*480G SSD/2*1.92T SSD/2*GE +4*25GE</v>
      </c>
      <c r="E8" s="200">
        <v>2</v>
      </c>
      <c r="F8" s="200">
        <f>'服务器模型-勿动'!G7</f>
        <v>8</v>
      </c>
      <c r="G8" s="200">
        <f t="shared" si="0"/>
        <v>16</v>
      </c>
      <c r="H8" s="200">
        <f>'服务器模型-勿动'!F7</f>
        <v>0.6</v>
      </c>
      <c r="I8" s="200">
        <f t="shared" si="1"/>
        <v>1.2</v>
      </c>
      <c r="J8" s="211"/>
    </row>
    <row r="9" spans="1:10" ht="17.399999999999999" x14ac:dyDescent="0.15">
      <c r="A9" s="195"/>
      <c r="B9" s="274"/>
      <c r="C9" s="202" t="s">
        <v>45</v>
      </c>
      <c r="D9" s="202" t="s">
        <v>46</v>
      </c>
      <c r="E9" s="200">
        <v>3</v>
      </c>
      <c r="F9" s="200">
        <v>10</v>
      </c>
      <c r="G9" s="200">
        <f t="shared" si="0"/>
        <v>30</v>
      </c>
      <c r="H9" s="200">
        <f>H8</f>
        <v>0.6</v>
      </c>
      <c r="I9" s="200">
        <f t="shared" si="1"/>
        <v>1.7999999999999998</v>
      </c>
      <c r="J9" s="211"/>
    </row>
    <row r="10" spans="1:10" ht="17.399999999999999" x14ac:dyDescent="0.15">
      <c r="A10" s="195"/>
      <c r="B10" s="202"/>
      <c r="C10" s="201" t="s">
        <v>47</v>
      </c>
      <c r="D10" s="201"/>
      <c r="E10" s="201">
        <f>SUM(E7:E9)</f>
        <v>13</v>
      </c>
      <c r="F10" s="201"/>
      <c r="G10" s="201">
        <f>SUM(G7:G9)</f>
        <v>110</v>
      </c>
      <c r="H10" s="201"/>
      <c r="I10" s="201">
        <f>SUM(I7:I9)</f>
        <v>7.8</v>
      </c>
      <c r="J10" s="210"/>
    </row>
    <row r="11" spans="1:10" ht="17.399999999999999" x14ac:dyDescent="0.15">
      <c r="A11" s="195"/>
      <c r="B11" s="275" t="s">
        <v>48</v>
      </c>
      <c r="C11" s="202" t="str">
        <f>'服务器模型-勿动'!B5</f>
        <v>分布式文件存储</v>
      </c>
      <c r="D11" s="202" t="str">
        <f>'服务器模型-勿动'!D5</f>
        <v>分布式文件存储\华为\OceanStor\1PB\OceanStor Pacific 9950\18台存储节点</v>
      </c>
      <c r="E11" s="200">
        <f>'1-建设需求标准字段'!C7*18</f>
        <v>54</v>
      </c>
      <c r="F11" s="200">
        <f>'服务器模型-勿动'!G5</f>
        <v>222</v>
      </c>
      <c r="G11" s="200">
        <f>(E11/18)*F11</f>
        <v>666</v>
      </c>
      <c r="H11" s="200">
        <f>'服务器模型-勿动'!F5</f>
        <v>7.875</v>
      </c>
      <c r="I11" s="200">
        <f>E11*H11</f>
        <v>425.25</v>
      </c>
      <c r="J11" s="209" t="s">
        <v>49</v>
      </c>
    </row>
    <row r="12" spans="1:10" ht="17.399999999999999" x14ac:dyDescent="0.15">
      <c r="A12" s="195"/>
      <c r="B12" s="276"/>
      <c r="C12" s="201" t="s">
        <v>50</v>
      </c>
      <c r="D12" s="201"/>
      <c r="E12" s="201">
        <f>E11</f>
        <v>54</v>
      </c>
      <c r="F12" s="201"/>
      <c r="G12" s="201">
        <f>G11</f>
        <v>666</v>
      </c>
      <c r="H12" s="201"/>
      <c r="I12" s="201">
        <f>I11</f>
        <v>425.25</v>
      </c>
      <c r="J12" s="210"/>
    </row>
    <row r="13" spans="1:10" ht="48" customHeight="1" x14ac:dyDescent="0.15">
      <c r="A13" s="195"/>
      <c r="B13" s="271" t="s">
        <v>51</v>
      </c>
      <c r="C13" s="200" t="str">
        <f>'网络设备模型-勿动'!A7</f>
        <v>25G接入交换机</v>
      </c>
      <c r="D13" s="200" t="str">
        <f>'网络设备模型-勿动'!C7</f>
        <v>48*25GE多模+4*100GE单模</v>
      </c>
      <c r="E13" s="200">
        <f>2*CEILING(E6/40,1)+2*CEILING(E7/40,1)</f>
        <v>14</v>
      </c>
      <c r="F13" s="200">
        <f>'网络设备模型-勿动'!E7</f>
        <v>5</v>
      </c>
      <c r="G13" s="200">
        <f t="shared" ref="G13:G20" si="2">E13*F13</f>
        <v>70</v>
      </c>
      <c r="H13" s="200">
        <f>'网络设备模型-勿动'!D7</f>
        <v>0.378</v>
      </c>
      <c r="I13" s="200">
        <f>H13*E13</f>
        <v>5.2919999999999998</v>
      </c>
      <c r="J13" s="212" t="s">
        <v>52</v>
      </c>
    </row>
    <row r="14" spans="1:10" ht="31.2" customHeight="1" x14ac:dyDescent="0.15">
      <c r="A14" s="195"/>
      <c r="B14" s="272"/>
      <c r="C14" s="200" t="str">
        <f>'网络设备模型-勿动'!A8</f>
        <v>10G接入交换机</v>
      </c>
      <c r="D14" s="200" t="str">
        <f>'网络设备模型-勿动'!C8</f>
        <v>48*10GE多模+4*40GE单模+2*40GE多模</v>
      </c>
      <c r="E14" s="200">
        <f>2*CEILING(E7/40,1)</f>
        <v>2</v>
      </c>
      <c r="F14" s="200">
        <f>'网络设备模型-勿动'!E8</f>
        <v>2</v>
      </c>
      <c r="G14" s="200">
        <f t="shared" si="2"/>
        <v>4</v>
      </c>
      <c r="H14" s="200">
        <f>'网络设备模型-勿动'!D8</f>
        <v>0.318</v>
      </c>
      <c r="I14" s="200">
        <f t="shared" ref="I14:I26" si="3">H14*E14</f>
        <v>0.63600000000000001</v>
      </c>
      <c r="J14" s="212" t="s">
        <v>53</v>
      </c>
    </row>
    <row r="15" spans="1:10" ht="17.399999999999999" x14ac:dyDescent="0.15">
      <c r="A15" s="195"/>
      <c r="B15" s="272"/>
      <c r="C15" s="200" t="str">
        <f>'网络设备模型-勿动'!A2</f>
        <v>POD业务核心交换机</v>
      </c>
      <c r="D15" s="200" t="str">
        <f>IF(E13&lt;=128,'网络设备模型-勿动'!B4,IF(价格计算!M5=1,'网络设备模型-勿动'!B3,IF(价格计算!M9=1,'网络设备模型-勿动'!B2,"")))</f>
        <v>数据中心交换机典配5 盒式核心</v>
      </c>
      <c r="E15" s="200">
        <v>4</v>
      </c>
      <c r="F15" s="200">
        <f>IF(E13&lt;=128,VLOOKUP(D15,'网络设备模型-勿动'!B:F,5,FALSE),价格计算!O26)</f>
        <v>40</v>
      </c>
      <c r="G15" s="200">
        <f t="shared" si="2"/>
        <v>160</v>
      </c>
      <c r="H15" s="200">
        <f>IFERROR(INDEX('网络设备模型-勿动'!D:D,MATCH(D15,'网络设备模型-勿动'!B:B,0)),"")</f>
        <v>1.7170000000000001</v>
      </c>
      <c r="I15" s="200">
        <f t="shared" si="3"/>
        <v>6.8680000000000003</v>
      </c>
      <c r="J15" s="211"/>
    </row>
    <row r="16" spans="1:10" ht="17.399999999999999" x14ac:dyDescent="0.15">
      <c r="A16" s="195"/>
      <c r="B16" s="272"/>
      <c r="C16" s="203" t="s">
        <v>54</v>
      </c>
      <c r="D16" s="200" t="str">
        <f>IF('1-建设需求标准字段'!C4="场景3（千亿长序列~万亿参数模型应用场景）",IF(价格计算!M130=0,价格计算!B71,价格计算!B117),"")</f>
        <v/>
      </c>
      <c r="E16" s="200">
        <f>IF(价格计算!M130=0,价格计算!M84,价格计算!M130)</f>
        <v>0</v>
      </c>
      <c r="F16" s="200">
        <f>IF(E16=0,0,INDEX(价格计算!F178:F184,MATCH(D16,价格计算!C178:C184,0)))</f>
        <v>0</v>
      </c>
      <c r="G16" s="200">
        <f t="shared" si="2"/>
        <v>0</v>
      </c>
      <c r="H16" s="200" t="str">
        <f>IFERROR(INDEX('网络设备模型-勿动'!D:D,MATCH(D16,'网络设备模型-勿动'!B:B,0)),"")</f>
        <v/>
      </c>
      <c r="I16" s="200">
        <f>IF(E16=0,0,H16*E16)</f>
        <v>0</v>
      </c>
      <c r="J16" s="211"/>
    </row>
    <row r="17" spans="1:10" ht="17.399999999999999" x14ac:dyDescent="0.15">
      <c r="A17" s="195"/>
      <c r="B17" s="272"/>
      <c r="C17" s="203" t="s">
        <v>55</v>
      </c>
      <c r="D17" s="200" t="str">
        <f>IF(价格计算!M115&gt;0,价格计算!B102,IF(价格计算!M100&gt;0,价格计算!B86,(IF(价格计算!M69&gt;0,价格计算!B55,""))))</f>
        <v/>
      </c>
      <c r="E17" s="200">
        <f>IF(价格计算!M69&gt;0,价格计算!M69,IF(价格计算!M100&gt;0,价格计算!M100,IF(价格计算!M115&gt;0,价格计算!M115,0)))</f>
        <v>0</v>
      </c>
      <c r="F17" s="200">
        <f>IF(E17=0,0,INDEX(价格计算!F178:F184,MATCH(D17,价格计算!C178:C184,0)))</f>
        <v>0</v>
      </c>
      <c r="G17" s="200">
        <f t="shared" si="2"/>
        <v>0</v>
      </c>
      <c r="H17" s="200" t="str">
        <f>IFERROR(INDEX('网络设备模型-勿动'!D:D,MATCH(D17,'网络设备模型-勿动'!B:B,0)),"")</f>
        <v/>
      </c>
      <c r="I17" s="200">
        <f t="shared" ref="I17:I20" si="4">IF(E17=0,0,H17*E17)</f>
        <v>0</v>
      </c>
      <c r="J17" s="211"/>
    </row>
    <row r="18" spans="1:10" ht="17.399999999999999" x14ac:dyDescent="0.15">
      <c r="A18" s="195"/>
      <c r="B18" s="272"/>
      <c r="C18" s="203" t="s">
        <v>56</v>
      </c>
      <c r="D18" s="200" t="str">
        <f>IF(E3+E4=0,"",IF(E6&gt;0,'网络设备模型-勿动'!B17,0))</f>
        <v>数据面典配3 25G盒式接入</v>
      </c>
      <c r="E18" s="200">
        <f>价格计算!M176</f>
        <v>20</v>
      </c>
      <c r="F18" s="200">
        <f>IF(E18=0,0,INDEX(价格计算!F185:F188,MATCH(D18,价格计算!C185:C188,0)))</f>
        <v>5.5</v>
      </c>
      <c r="G18" s="200">
        <f t="shared" si="2"/>
        <v>110</v>
      </c>
      <c r="H18" s="200">
        <f>IFERROR(INDEX('网络设备模型-勿动'!D:D,MATCH(D18,'网络设备模型-勿动'!B:B,0)),"")</f>
        <v>0.25</v>
      </c>
      <c r="I18" s="200">
        <f t="shared" si="4"/>
        <v>5</v>
      </c>
      <c r="J18" s="211"/>
    </row>
    <row r="19" spans="1:10" ht="17.399999999999999" x14ac:dyDescent="0.15">
      <c r="A19" s="195"/>
      <c r="B19" s="272"/>
      <c r="C19" s="203" t="s">
        <v>57</v>
      </c>
      <c r="D19" s="200" t="str">
        <f>IF(E3+E4=0,"",IF(E6&gt;0,'网络设备模型-勿动'!B16,0))</f>
        <v>数据面典配2 100G盒式汇聚&amp;接入</v>
      </c>
      <c r="E19" s="200">
        <f>价格计算!M161</f>
        <v>2</v>
      </c>
      <c r="F19" s="200">
        <f>IF(E19=0,0,INDEX(价格计算!F185:F188,MATCH(D19,价格计算!C185:C188,0)))</f>
        <v>35.152394000000001</v>
      </c>
      <c r="G19" s="200">
        <f t="shared" si="2"/>
        <v>70.304788000000002</v>
      </c>
      <c r="H19" s="200">
        <f>IFERROR(INDEX('网络设备模型-勿动'!D:D,MATCH(D19,'网络设备模型-勿动'!B:B,0)),"")</f>
        <v>1.91</v>
      </c>
      <c r="I19" s="200">
        <f t="shared" si="4"/>
        <v>3.82</v>
      </c>
      <c r="J19" s="211"/>
    </row>
    <row r="20" spans="1:10" ht="17.399999999999999" x14ac:dyDescent="0.15">
      <c r="A20" s="195"/>
      <c r="B20" s="272"/>
      <c r="C20" s="203" t="s">
        <v>58</v>
      </c>
      <c r="D20" s="200" t="str">
        <f>IF(价格计算!M146&gt;0,价格计算!B132,IF(价格计算!O161&gt;0,价格计算!B148,""))</f>
        <v>数据面典配1 100G框式汇聚（16槽）</v>
      </c>
      <c r="E20" s="200">
        <f>IF(价格计算!O161&gt;0,价格计算!O161,IF(价格计算!M146&gt;0,价格计算!M146,0))</f>
        <v>8</v>
      </c>
      <c r="F20" s="200">
        <f>IF(E20=0,0,INDEX(价格计算!F185:F188,MATCH(D20,价格计算!C185:C188,0)))</f>
        <v>247.76862700000001</v>
      </c>
      <c r="G20" s="200">
        <f t="shared" si="2"/>
        <v>1982.1490160000001</v>
      </c>
      <c r="H20" s="200">
        <f>IFERROR(INDEX('网络设备模型-勿动'!D:D,MATCH(D20,'网络设备模型-勿动'!B:B,0)),"")</f>
        <v>9.1199999999999992</v>
      </c>
      <c r="I20" s="200">
        <f t="shared" si="4"/>
        <v>72.959999999999994</v>
      </c>
      <c r="J20" s="211"/>
    </row>
    <row r="21" spans="1:10" ht="17.399999999999999" x14ac:dyDescent="0.15">
      <c r="A21" s="195"/>
      <c r="B21" s="201"/>
      <c r="C21" s="201" t="s">
        <v>59</v>
      </c>
      <c r="D21" s="201"/>
      <c r="E21" s="201">
        <f>SUM(E13:E20)</f>
        <v>50</v>
      </c>
      <c r="F21" s="201"/>
      <c r="G21" s="201">
        <f>SUM(G13:G20)</f>
        <v>2396.4538040000002</v>
      </c>
      <c r="H21" s="204"/>
      <c r="I21" s="204">
        <f>SUM(I13:I20)</f>
        <v>94.575999999999993</v>
      </c>
      <c r="J21" s="213"/>
    </row>
    <row r="22" spans="1:10" ht="14.4" customHeight="1" x14ac:dyDescent="0.15">
      <c r="A22" s="195"/>
      <c r="B22" s="273" t="s">
        <v>60</v>
      </c>
      <c r="C22" s="200" t="str">
        <f>'网络设备模型-勿动'!A5</f>
        <v>业务域管理汇聚交换机</v>
      </c>
      <c r="D22" s="205" t="str">
        <f>IF(价格计算!M34=1,'网络设备模型-勿动'!B5,'网络设备模型-勿动'!B6)</f>
        <v>数据中心交换机典配2 1.8T核心交换机（8槽）</v>
      </c>
      <c r="E22" s="205">
        <v>2</v>
      </c>
      <c r="F22" s="206">
        <f>价格计算!O51</f>
        <v>18.878038</v>
      </c>
      <c r="G22" s="206">
        <f t="shared" ref="G22:G26" si="5">E22*F22</f>
        <v>37.756076</v>
      </c>
      <c r="H22" s="205">
        <f>IFERROR(INDEX('网络设备模型-勿动'!D:D,MATCH(D22,'网络设备模型-勿动'!B:B,0)),"")</f>
        <v>5</v>
      </c>
      <c r="I22" s="200">
        <f t="shared" si="3"/>
        <v>10</v>
      </c>
      <c r="J22" s="205"/>
    </row>
    <row r="23" spans="1:10" ht="14.4" customHeight="1" x14ac:dyDescent="0.15">
      <c r="A23" s="195"/>
      <c r="B23" s="272"/>
      <c r="C23" s="200" t="str">
        <f>'网络设备模型-勿动'!A7</f>
        <v>25G接入交换机</v>
      </c>
      <c r="D23" s="200" t="str">
        <f>'网络设备模型-勿动'!C7</f>
        <v>48*25GE多模+4*100GE单模</v>
      </c>
      <c r="E23" s="205">
        <v>4</v>
      </c>
      <c r="F23" s="205">
        <f>'网络设备模型-勿动'!E7</f>
        <v>5</v>
      </c>
      <c r="G23" s="205">
        <f t="shared" si="5"/>
        <v>20</v>
      </c>
      <c r="H23" s="205">
        <f>H13</f>
        <v>0.378</v>
      </c>
      <c r="I23" s="200">
        <f t="shared" si="3"/>
        <v>1.512</v>
      </c>
      <c r="J23" s="214"/>
    </row>
    <row r="24" spans="1:10" ht="34.799999999999997" x14ac:dyDescent="0.15">
      <c r="A24" s="195"/>
      <c r="B24" s="272"/>
      <c r="C24" s="200" t="str">
        <f>'网络设备模型-勿动'!A8</f>
        <v>10G接入交换机</v>
      </c>
      <c r="D24" s="200" t="str">
        <f>'网络设备模型-勿动'!C8</f>
        <v>48*10GE多模+4*40GE单模+2*40GE多模</v>
      </c>
      <c r="E24" s="205">
        <f>2*CEILING((E7+E6)/40,1)</f>
        <v>14</v>
      </c>
      <c r="F24" s="205">
        <f>'网络设备模型-勿动'!E8</f>
        <v>2</v>
      </c>
      <c r="G24" s="205">
        <f t="shared" si="5"/>
        <v>28</v>
      </c>
      <c r="H24" s="205">
        <f>H14</f>
        <v>0.318</v>
      </c>
      <c r="I24" s="200">
        <f t="shared" si="3"/>
        <v>4.452</v>
      </c>
      <c r="J24" s="215" t="s">
        <v>61</v>
      </c>
    </row>
    <row r="25" spans="1:10" ht="34.799999999999997" x14ac:dyDescent="0.15">
      <c r="A25" s="195"/>
      <c r="B25" s="272"/>
      <c r="C25" s="200" t="s">
        <v>62</v>
      </c>
      <c r="D25" s="200" t="str">
        <f>'网络设备模型-勿动'!C9</f>
        <v>48*GE电+4*10GE(单模）</v>
      </c>
      <c r="E25" s="205">
        <f>ROUNDUP((E6+E10)/40,0)</f>
        <v>7</v>
      </c>
      <c r="F25" s="205">
        <f>'网络设备模型-勿动'!E9</f>
        <v>0.2</v>
      </c>
      <c r="G25" s="205">
        <f t="shared" si="5"/>
        <v>1.4000000000000001</v>
      </c>
      <c r="H25" s="205">
        <f>'网络设备模型-勿动'!D9</f>
        <v>0.18</v>
      </c>
      <c r="I25" s="200">
        <f t="shared" si="3"/>
        <v>1.26</v>
      </c>
      <c r="J25" s="214" t="s">
        <v>63</v>
      </c>
    </row>
    <row r="26" spans="1:10" ht="34.799999999999997" x14ac:dyDescent="0.15">
      <c r="A26" s="195"/>
      <c r="B26" s="274"/>
      <c r="C26" s="200" t="s">
        <v>64</v>
      </c>
      <c r="D26" s="200" t="str">
        <f>'网络设备模型-勿动'!C9</f>
        <v>48*GE电+4*10GE(单模）</v>
      </c>
      <c r="E26" s="205">
        <f>CEILING((E21+E22+E24+E25+E23)/40,1)</f>
        <v>2</v>
      </c>
      <c r="F26" s="205">
        <f>'网络设备模型-勿动'!E9</f>
        <v>0.2</v>
      </c>
      <c r="G26" s="205">
        <f t="shared" si="5"/>
        <v>0.4</v>
      </c>
      <c r="H26" s="205">
        <f>'网络设备模型-勿动'!D9</f>
        <v>0.18</v>
      </c>
      <c r="I26" s="200">
        <f t="shared" si="3"/>
        <v>0.36</v>
      </c>
      <c r="J26" s="214" t="s">
        <v>63</v>
      </c>
    </row>
    <row r="27" spans="1:10" ht="17.399999999999999" x14ac:dyDescent="0.15">
      <c r="A27" s="195"/>
      <c r="B27" s="201"/>
      <c r="C27" s="201" t="s">
        <v>65</v>
      </c>
      <c r="D27" s="201"/>
      <c r="E27" s="201">
        <f>SUM(E22:E26)</f>
        <v>29</v>
      </c>
      <c r="F27" s="201"/>
      <c r="G27" s="207">
        <f>SUM(G22:G26)</f>
        <v>87.556076000000019</v>
      </c>
      <c r="H27" s="208"/>
      <c r="I27" s="216">
        <f>SUM(I22:I26)</f>
        <v>17.584</v>
      </c>
      <c r="J27" s="205"/>
    </row>
    <row r="28" spans="1:10" ht="17.399999999999999" x14ac:dyDescent="0.25">
      <c r="A28" s="175"/>
      <c r="B28" s="201" t="s">
        <v>66</v>
      </c>
      <c r="C28" s="201"/>
      <c r="D28" s="201"/>
      <c r="E28" s="201">
        <f>E27+E21+E10+E6</f>
        <v>327</v>
      </c>
      <c r="F28" s="201"/>
      <c r="G28" s="207">
        <f>G27+G21+G6+G10</f>
        <v>19044.009880000001</v>
      </c>
      <c r="H28" s="208"/>
      <c r="I28" s="216">
        <f>I27+I21+I12+I10+I6</f>
        <v>1767.21</v>
      </c>
      <c r="J28" s="205"/>
    </row>
    <row r="29" spans="1:10" ht="14.4" customHeight="1" x14ac:dyDescent="0.25">
      <c r="A29" s="175"/>
      <c r="B29" s="271" t="s">
        <v>67</v>
      </c>
      <c r="C29" s="200" t="s">
        <v>422</v>
      </c>
      <c r="D29" s="200"/>
      <c r="E29" s="200">
        <f>E6+E10+E12-E7</f>
        <v>294</v>
      </c>
      <c r="F29" s="200">
        <v>2.1999999999999999E-2</v>
      </c>
      <c r="G29" s="200">
        <f>E29*F29</f>
        <v>6.468</v>
      </c>
      <c r="H29" s="200"/>
      <c r="I29" s="200"/>
      <c r="J29" s="205"/>
    </row>
    <row r="30" spans="1:10" ht="14.4" customHeight="1" x14ac:dyDescent="0.25">
      <c r="A30" s="175"/>
      <c r="B30" s="272"/>
      <c r="C30" s="200"/>
      <c r="D30" s="200"/>
      <c r="E30" s="200"/>
      <c r="F30" s="200"/>
      <c r="G30" s="200"/>
      <c r="H30" s="200"/>
      <c r="I30" s="200"/>
      <c r="J30" s="205"/>
    </row>
    <row r="31" spans="1:10" ht="17.399999999999999" x14ac:dyDescent="0.15">
      <c r="B31" s="201"/>
      <c r="C31" s="201" t="s">
        <v>68</v>
      </c>
      <c r="D31" s="201"/>
      <c r="E31" s="201">
        <f>SUM(E29:E30)</f>
        <v>294</v>
      </c>
      <c r="F31" s="201"/>
      <c r="G31" s="201">
        <f>SUM(G29:G30)</f>
        <v>6.468</v>
      </c>
      <c r="H31" s="208"/>
      <c r="I31" s="208"/>
      <c r="J31" s="205"/>
    </row>
  </sheetData>
  <mergeCells count="6">
    <mergeCell ref="B29:B30"/>
    <mergeCell ref="B3:B6"/>
    <mergeCell ref="B7:B9"/>
    <mergeCell ref="B11:B12"/>
    <mergeCell ref="B13:B20"/>
    <mergeCell ref="B22:B26"/>
  </mergeCells>
  <phoneticPr fontId="54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92D050"/>
  </sheetPr>
  <dimension ref="B2:L11"/>
  <sheetViews>
    <sheetView workbookViewId="0">
      <selection activeCell="F9" sqref="F9"/>
    </sheetView>
  </sheetViews>
  <sheetFormatPr defaultColWidth="8.77734375" defaultRowHeight="14.4" x14ac:dyDescent="0.25"/>
  <cols>
    <col min="1" max="2" width="8.77734375" style="175"/>
    <col min="3" max="3" width="30.77734375" style="175" customWidth="1"/>
    <col min="4" max="4" width="8.77734375" style="175"/>
    <col min="5" max="5" width="9.33203125" style="175" customWidth="1"/>
    <col min="6" max="6" width="21.44140625" style="175" customWidth="1"/>
    <col min="7" max="7" width="8.77734375" style="175"/>
    <col min="8" max="8" width="13" style="175" customWidth="1"/>
    <col min="9" max="9" width="8.77734375" style="175"/>
    <col min="10" max="10" width="23.109375" style="175" customWidth="1"/>
    <col min="11" max="11" width="12.109375" style="175" customWidth="1"/>
    <col min="12" max="16384" width="8.77734375" style="175"/>
  </cols>
  <sheetData>
    <row r="2" spans="2:12" ht="32.4" x14ac:dyDescent="0.25">
      <c r="B2" s="176" t="s">
        <v>69</v>
      </c>
      <c r="C2" s="177" t="s">
        <v>70</v>
      </c>
      <c r="D2" s="177" t="s">
        <v>71</v>
      </c>
      <c r="E2" s="177" t="s">
        <v>72</v>
      </c>
      <c r="F2" s="177" t="s">
        <v>73</v>
      </c>
      <c r="G2" s="177" t="s">
        <v>74</v>
      </c>
      <c r="H2" s="178" t="s">
        <v>75</v>
      </c>
    </row>
    <row r="3" spans="2:12" ht="15.6" x14ac:dyDescent="0.25">
      <c r="B3" s="279" t="s">
        <v>76</v>
      </c>
      <c r="C3" s="179" t="s">
        <v>42</v>
      </c>
      <c r="D3" s="179" t="s">
        <v>77</v>
      </c>
      <c r="E3" s="179">
        <f>'2-建设规模换算'!E6</f>
        <v>235</v>
      </c>
      <c r="F3" s="179">
        <f>'2-建设规模换算'!G6</f>
        <v>16450</v>
      </c>
      <c r="G3" s="180">
        <v>0.13</v>
      </c>
      <c r="H3" s="181">
        <f>F3*1.13</f>
        <v>18588.5</v>
      </c>
      <c r="J3" s="175" t="s">
        <v>42</v>
      </c>
      <c r="K3" s="189">
        <f>F3</f>
        <v>16450</v>
      </c>
      <c r="L3" s="190">
        <f>K3/$K$7</f>
        <v>0.79142761942942708</v>
      </c>
    </row>
    <row r="4" spans="2:12" ht="15.6" customHeight="1" x14ac:dyDescent="0.25">
      <c r="B4" s="279"/>
      <c r="C4" s="179" t="s">
        <v>44</v>
      </c>
      <c r="D4" s="179" t="s">
        <v>77</v>
      </c>
      <c r="E4" s="179">
        <f>'2-建设规模换算'!E10</f>
        <v>13</v>
      </c>
      <c r="F4" s="181">
        <f>'2-建设规模换算'!G10</f>
        <v>110</v>
      </c>
      <c r="G4" s="180">
        <v>0.13</v>
      </c>
      <c r="H4" s="181">
        <f t="shared" ref="H4:H10" si="0">F4*1.13</f>
        <v>124.29999999999998</v>
      </c>
      <c r="J4" s="175" t="s">
        <v>44</v>
      </c>
      <c r="K4" s="189">
        <f>F4</f>
        <v>110</v>
      </c>
      <c r="L4" s="190">
        <f>K4/$K$7</f>
        <v>5.2922211633578712E-3</v>
      </c>
    </row>
    <row r="5" spans="2:12" ht="15.6" customHeight="1" x14ac:dyDescent="0.25">
      <c r="B5" s="279"/>
      <c r="C5" s="182" t="s">
        <v>78</v>
      </c>
      <c r="D5" s="179" t="s">
        <v>77</v>
      </c>
      <c r="E5" s="179">
        <f>'2-建设规模换算'!E21</f>
        <v>50</v>
      </c>
      <c r="F5" s="181">
        <f>'2-建设规模换算'!G21</f>
        <v>2396.4538040000002</v>
      </c>
      <c r="G5" s="180">
        <v>0.13</v>
      </c>
      <c r="H5" s="181">
        <f t="shared" si="0"/>
        <v>2707.9927985200002</v>
      </c>
      <c r="J5" s="175" t="s">
        <v>79</v>
      </c>
      <c r="K5" s="189">
        <f>'2-建设规模换算'!G27+'2-建设规模换算'!G21</f>
        <v>2484.0098800000001</v>
      </c>
      <c r="L5" s="190">
        <f>K5/$K$7</f>
        <v>0.11950845142660042</v>
      </c>
    </row>
    <row r="6" spans="2:12" ht="15.6" customHeight="1" x14ac:dyDescent="0.25">
      <c r="B6" s="279"/>
      <c r="C6" s="182" t="s">
        <v>80</v>
      </c>
      <c r="D6" s="179" t="s">
        <v>77</v>
      </c>
      <c r="E6" s="179">
        <f>'2-建设规模换算'!E27</f>
        <v>29</v>
      </c>
      <c r="F6" s="181">
        <f>'2-建设规模换算'!G27</f>
        <v>87.556076000000019</v>
      </c>
      <c r="G6" s="180">
        <v>0.13</v>
      </c>
      <c r="H6" s="181">
        <f t="shared" si="0"/>
        <v>98.938365880000006</v>
      </c>
      <c r="J6" s="175" t="s">
        <v>81</v>
      </c>
      <c r="K6" s="191">
        <f>F9+F10</f>
        <v>1741.2136782320003</v>
      </c>
      <c r="L6" s="190">
        <f>K6/$K$7</f>
        <v>8.3771707980614493E-2</v>
      </c>
    </row>
    <row r="7" spans="2:12" ht="15.6" customHeight="1" x14ac:dyDescent="0.25">
      <c r="B7" s="279"/>
      <c r="C7" s="182" t="s">
        <v>67</v>
      </c>
      <c r="D7" s="179" t="s">
        <v>82</v>
      </c>
      <c r="E7" s="179">
        <f>'2-建设规模换算'!E31</f>
        <v>294</v>
      </c>
      <c r="F7" s="181">
        <f>'2-建设规模换算'!G29</f>
        <v>6.468</v>
      </c>
      <c r="G7" s="180">
        <v>0.13</v>
      </c>
      <c r="H7" s="181">
        <f t="shared" si="0"/>
        <v>7.3088399999999991</v>
      </c>
      <c r="J7" s="192" t="s">
        <v>83</v>
      </c>
      <c r="K7" s="189">
        <f>SUM(K3:K6)</f>
        <v>20785.223558232003</v>
      </c>
      <c r="L7" s="190">
        <f>K7/$K$7</f>
        <v>1</v>
      </c>
    </row>
    <row r="8" spans="2:12" ht="31.2" customHeight="1" x14ac:dyDescent="0.25">
      <c r="B8" s="277" t="s">
        <v>84</v>
      </c>
      <c r="C8" s="278"/>
      <c r="D8" s="179"/>
      <c r="E8" s="179">
        <f>SUM(E3:E6)</f>
        <v>327</v>
      </c>
      <c r="F8" s="181">
        <f>SUM(F3:F7)</f>
        <v>19050.477880000002</v>
      </c>
      <c r="G8" s="180"/>
      <c r="H8" s="183">
        <f>SUM(H3:H7)</f>
        <v>21527.040004400002</v>
      </c>
    </row>
    <row r="9" spans="2:12" ht="31.2" customHeight="1" x14ac:dyDescent="0.25">
      <c r="B9" s="277" t="s">
        <v>85</v>
      </c>
      <c r="C9" s="278"/>
      <c r="D9" s="180">
        <v>0.02</v>
      </c>
      <c r="E9" s="179"/>
      <c r="F9" s="181">
        <f>F8*0.02</f>
        <v>381.00955760000005</v>
      </c>
      <c r="G9" s="180">
        <v>0.06</v>
      </c>
      <c r="H9" s="181">
        <f t="shared" si="0"/>
        <v>430.54080008800003</v>
      </c>
    </row>
    <row r="10" spans="2:12" ht="37.950000000000003" customHeight="1" x14ac:dyDescent="0.25">
      <c r="B10" s="277" t="s">
        <v>86</v>
      </c>
      <c r="C10" s="278"/>
      <c r="D10" s="179"/>
      <c r="E10" s="179"/>
      <c r="F10" s="181">
        <f>(F8+F9)*0.07</f>
        <v>1360.2041206320002</v>
      </c>
      <c r="G10" s="180">
        <v>0.06</v>
      </c>
      <c r="H10" s="181">
        <f t="shared" si="0"/>
        <v>1537.0306563141601</v>
      </c>
    </row>
    <row r="11" spans="2:12" ht="47.1" customHeight="1" x14ac:dyDescent="0.25">
      <c r="B11" s="184" t="s">
        <v>87</v>
      </c>
      <c r="C11" s="185"/>
      <c r="D11" s="186"/>
      <c r="E11" s="186"/>
      <c r="F11" s="187">
        <f>ROUND(F10+F9+F8,2)</f>
        <v>20791.689999999999</v>
      </c>
      <c r="G11" s="185"/>
      <c r="H11" s="188">
        <f>SUM(H8:H10)</f>
        <v>23494.611460802163</v>
      </c>
    </row>
  </sheetData>
  <mergeCells count="4">
    <mergeCell ref="B8:C8"/>
    <mergeCell ref="B9:C9"/>
    <mergeCell ref="B10:C10"/>
    <mergeCell ref="B3:B7"/>
  </mergeCells>
  <phoneticPr fontId="54" type="noConversion"/>
  <pageMargins left="0.75" right="0.75" top="1" bottom="1" header="0.5" footer="0.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41"/>
  <sheetViews>
    <sheetView showGridLines="0" zoomScale="55" zoomScaleNormal="55" workbookViewId="0">
      <selection activeCell="AI20" sqref="AI20"/>
    </sheetView>
  </sheetViews>
  <sheetFormatPr defaultColWidth="10.77734375" defaultRowHeight="21" customHeight="1" x14ac:dyDescent="0.25"/>
  <cols>
    <col min="1" max="62" width="10.77734375" style="10"/>
    <col min="63" max="63" width="3.88671875" style="10" customWidth="1"/>
    <col min="64" max="64" width="18.33203125" style="10" customWidth="1"/>
    <col min="65" max="65" width="22" style="10" customWidth="1"/>
    <col min="66" max="66" width="14.109375" style="10" customWidth="1"/>
    <col min="67" max="69" width="8.44140625" style="10" customWidth="1"/>
    <col min="70" max="70" width="146.33203125" style="10" customWidth="1"/>
    <col min="71" max="71" width="4.6640625" style="10" customWidth="1"/>
    <col min="72" max="72" width="10.44140625" style="10" customWidth="1"/>
    <col min="73" max="74" width="8.44140625" style="10" customWidth="1"/>
    <col min="75" max="76" width="14" style="10" customWidth="1"/>
    <col min="77" max="77" width="4.6640625" style="10" customWidth="1"/>
    <col min="78" max="16384" width="10.77734375" style="10"/>
  </cols>
  <sheetData>
    <row r="1" spans="1:45" ht="15.6" x14ac:dyDescent="0.25"/>
    <row r="2" spans="1:45" ht="21" customHeight="1" x14ac:dyDescent="0.25">
      <c r="R2" s="154" t="str">
        <f>'2-建设规模换算'!C15</f>
        <v>POD业务核心交换机</v>
      </c>
      <c r="S2" s="160">
        <f>'2-建设规模换算'!E15</f>
        <v>4</v>
      </c>
      <c r="W2" s="154" t="str">
        <f>'2-建设规模换算'!C22</f>
        <v>业务域管理汇聚交换机</v>
      </c>
      <c r="X2" s="160">
        <f>'2-建设规模换算'!E22</f>
        <v>2</v>
      </c>
    </row>
    <row r="7" spans="1:45" ht="21" customHeight="1" x14ac:dyDescent="0.25">
      <c r="D7" s="282"/>
      <c r="E7" s="282"/>
      <c r="F7" s="154"/>
    </row>
    <row r="8" spans="1:45" ht="21" customHeight="1" x14ac:dyDescent="0.25">
      <c r="E8" s="155"/>
      <c r="F8" s="156"/>
    </row>
    <row r="9" spans="1:45" ht="21" customHeight="1" x14ac:dyDescent="0.25">
      <c r="AA9" s="154" t="str">
        <f>'2-建设规模换算'!C24</f>
        <v>10G接入交换机</v>
      </c>
      <c r="AH9" s="154" t="str">
        <f>'2-建设规模换算'!C25</f>
        <v>IPMI接入交换机</v>
      </c>
      <c r="AS9" s="154" t="str">
        <f>'2-建设规模换算'!C26</f>
        <v>网络设备管理接入交换机</v>
      </c>
    </row>
    <row r="10" spans="1:45" ht="21" customHeight="1" x14ac:dyDescent="0.25">
      <c r="Z10" s="143" t="s">
        <v>88</v>
      </c>
      <c r="AA10" s="160">
        <f>'2-建设规模换算'!E24</f>
        <v>14</v>
      </c>
      <c r="AG10" s="143" t="s">
        <v>88</v>
      </c>
      <c r="AH10" s="160">
        <f>'2-建设规模换算'!E25</f>
        <v>7</v>
      </c>
      <c r="AR10" s="143" t="s">
        <v>88</v>
      </c>
      <c r="AS10" s="160">
        <f>'2-建设规模换算'!E26</f>
        <v>2</v>
      </c>
    </row>
    <row r="11" spans="1:45" ht="21" customHeight="1" x14ac:dyDescent="0.25">
      <c r="H11" s="157"/>
      <c r="Z11" s="161" t="s">
        <v>89</v>
      </c>
      <c r="AA11" s="162">
        <f>AA10*2</f>
        <v>28</v>
      </c>
      <c r="AG11" s="161" t="s">
        <v>90</v>
      </c>
      <c r="AH11" s="162">
        <f>AH10*2</f>
        <v>14</v>
      </c>
      <c r="AR11" s="161" t="s">
        <v>90</v>
      </c>
      <c r="AS11" s="162">
        <f>AS10*2</f>
        <v>4</v>
      </c>
    </row>
    <row r="12" spans="1:45" ht="21" customHeight="1" x14ac:dyDescent="0.25">
      <c r="Z12" s="161" t="s">
        <v>91</v>
      </c>
      <c r="AA12" s="162">
        <f>(W20+AA20)*2</f>
        <v>486</v>
      </c>
      <c r="AG12" s="161" t="s">
        <v>92</v>
      </c>
      <c r="AH12" s="162">
        <f>(W20+AA20+AD20+AF20)</f>
        <v>248</v>
      </c>
      <c r="AR12" s="161" t="s">
        <v>92</v>
      </c>
      <c r="AS12" s="162">
        <f>(AI20+AL20+AO20+AR20+AU20)</f>
        <v>24</v>
      </c>
    </row>
    <row r="13" spans="1:45" ht="21" customHeight="1" x14ac:dyDescent="0.25">
      <c r="W13" s="154"/>
    </row>
    <row r="14" spans="1:45" ht="21" customHeight="1" x14ac:dyDescent="0.25">
      <c r="A14" s="158"/>
      <c r="B14" s="154" t="str">
        <f>'2-建设规模换算'!C23</f>
        <v>25G接入交换机</v>
      </c>
      <c r="D14" s="159"/>
      <c r="G14" s="154" t="str">
        <f>'2-建设规模换算'!C13</f>
        <v>25G接入交换机</v>
      </c>
      <c r="I14" s="159"/>
      <c r="L14" s="154" t="str">
        <f>'2-建设规模换算'!C23</f>
        <v>25G接入交换机</v>
      </c>
      <c r="N14" s="159"/>
      <c r="Q14" s="154" t="str">
        <f>'2-建设规模换算'!C23</f>
        <v>25G接入交换机</v>
      </c>
      <c r="S14" s="159"/>
      <c r="W14" s="154"/>
      <c r="AA14" s="154"/>
      <c r="AE14" s="154"/>
      <c r="AH14" s="154"/>
      <c r="AO14" s="154"/>
    </row>
    <row r="15" spans="1:45" ht="21" customHeight="1" x14ac:dyDescent="0.25">
      <c r="A15" s="154" t="s">
        <v>88</v>
      </c>
      <c r="B15" s="160">
        <v>2</v>
      </c>
      <c r="E15" s="155"/>
      <c r="F15" s="143" t="s">
        <v>88</v>
      </c>
      <c r="G15" s="160">
        <f>2*CEILING('2-建设规模换算'!E6/40,1)</f>
        <v>12</v>
      </c>
      <c r="K15" s="143" t="s">
        <v>88</v>
      </c>
      <c r="L15" s="160">
        <f>2*CEILING('2-建设规模换算'!E7/40,1)</f>
        <v>2</v>
      </c>
      <c r="P15" s="143" t="s">
        <v>88</v>
      </c>
      <c r="Q15" s="160">
        <v>2</v>
      </c>
      <c r="V15" s="143"/>
      <c r="W15" s="154"/>
      <c r="Z15" s="143"/>
      <c r="AD15" s="143"/>
      <c r="AG15" s="143"/>
      <c r="AN15" s="143"/>
    </row>
    <row r="16" spans="1:45" ht="21" customHeight="1" x14ac:dyDescent="0.25">
      <c r="A16" s="161" t="s">
        <v>93</v>
      </c>
      <c r="B16" s="162">
        <f>B15*4</f>
        <v>8</v>
      </c>
      <c r="F16" s="161" t="s">
        <v>93</v>
      </c>
      <c r="G16" s="162">
        <f>G15*4</f>
        <v>48</v>
      </c>
      <c r="K16" s="161" t="s">
        <v>93</v>
      </c>
      <c r="L16" s="162">
        <f>L15*4</f>
        <v>8</v>
      </c>
      <c r="P16" s="161" t="s">
        <v>93</v>
      </c>
      <c r="Q16" s="162">
        <f>Q15*4</f>
        <v>8</v>
      </c>
    </row>
    <row r="17" spans="1:47" ht="21" customHeight="1" x14ac:dyDescent="0.25">
      <c r="A17" s="161" t="s">
        <v>94</v>
      </c>
      <c r="B17" s="162">
        <f>E20*2</f>
        <v>4</v>
      </c>
      <c r="F17" s="161" t="s">
        <v>94</v>
      </c>
      <c r="G17" s="162">
        <f>G21*2</f>
        <v>470</v>
      </c>
      <c r="H17" s="283"/>
      <c r="I17" s="283"/>
      <c r="K17" s="161" t="s">
        <v>94</v>
      </c>
      <c r="L17" s="162">
        <f>O20*2</f>
        <v>16</v>
      </c>
      <c r="P17" s="161" t="s">
        <v>94</v>
      </c>
      <c r="Q17" s="162">
        <f>T20*2</f>
        <v>6</v>
      </c>
    </row>
    <row r="18" spans="1:47" ht="21" customHeight="1" x14ac:dyDescent="0.25">
      <c r="A18" s="161"/>
    </row>
    <row r="19" spans="1:47" ht="21" customHeight="1" x14ac:dyDescent="0.25">
      <c r="O19" s="173"/>
      <c r="T19" s="173"/>
    </row>
    <row r="20" spans="1:47" ht="21" customHeight="1" x14ac:dyDescent="0.25">
      <c r="B20" s="280" t="str">
        <f>'2-建设规模换算'!C8</f>
        <v>智管平台</v>
      </c>
      <c r="C20" s="280"/>
      <c r="D20" s="280"/>
      <c r="E20" s="163">
        <f>'2-建设规模换算'!E8</f>
        <v>2</v>
      </c>
      <c r="G20" s="164" t="s">
        <v>95</v>
      </c>
      <c r="H20" s="165"/>
      <c r="K20" s="163"/>
      <c r="L20" s="280" t="str">
        <f>'2-建设规模换算'!C7</f>
        <v>裸金属网关</v>
      </c>
      <c r="M20" s="280"/>
      <c r="N20" s="280"/>
      <c r="O20" s="163">
        <f>'2-建设规模换算'!E7</f>
        <v>8</v>
      </c>
      <c r="R20" s="280" t="str">
        <f>'2-建设规模换算'!C9</f>
        <v>NCE</v>
      </c>
      <c r="S20" s="280"/>
      <c r="T20" s="163">
        <f>'2-建设规模换算'!E9</f>
        <v>3</v>
      </c>
      <c r="V20" s="10" t="s">
        <v>42</v>
      </c>
      <c r="W20" s="163">
        <f>G21</f>
        <v>235</v>
      </c>
      <c r="Z20" s="154" t="str">
        <f>L20</f>
        <v>裸金属网关</v>
      </c>
      <c r="AA20" s="163">
        <f>O20</f>
        <v>8</v>
      </c>
      <c r="AC20" s="154" t="str">
        <f>B20</f>
        <v>智管平台</v>
      </c>
      <c r="AD20" s="163">
        <f>E20</f>
        <v>2</v>
      </c>
      <c r="AE20" s="154" t="str">
        <f>R20</f>
        <v>NCE</v>
      </c>
      <c r="AF20" s="163">
        <f>T20</f>
        <v>3</v>
      </c>
      <c r="AH20" s="154" t="str">
        <f>Q14</f>
        <v>25G接入交换机</v>
      </c>
      <c r="AI20" s="163">
        <f>Q15+L15+G15+B15</f>
        <v>18</v>
      </c>
      <c r="AK20" s="154" t="str">
        <f>F24</f>
        <v>参数面leaf接入交换机</v>
      </c>
      <c r="AL20" s="163">
        <f>F25</f>
        <v>0</v>
      </c>
      <c r="AN20" s="154" t="str">
        <f>F30</f>
        <v>参数面spine交换机</v>
      </c>
      <c r="AO20" s="163">
        <f>F31</f>
        <v>0</v>
      </c>
      <c r="AQ20" s="154" t="str">
        <f>R2</f>
        <v>POD业务核心交换机</v>
      </c>
      <c r="AR20" s="163">
        <f>S2</f>
        <v>4</v>
      </c>
      <c r="AT20" s="154" t="str">
        <f>W2</f>
        <v>业务域管理汇聚交换机</v>
      </c>
      <c r="AU20" s="163">
        <f>X2</f>
        <v>2</v>
      </c>
    </row>
    <row r="21" spans="1:47" ht="21" customHeight="1" x14ac:dyDescent="0.25">
      <c r="G21" s="163">
        <f>'2-建设规模换算'!E6</f>
        <v>235</v>
      </c>
      <c r="M21" s="280"/>
      <c r="N21" s="280"/>
      <c r="O21" s="163"/>
      <c r="R21" s="281"/>
      <c r="S21" s="280"/>
      <c r="T21" s="163"/>
    </row>
    <row r="22" spans="1:47" ht="15.6" x14ac:dyDescent="0.25">
      <c r="A22" s="166"/>
    </row>
    <row r="23" spans="1:47" ht="25.2" customHeight="1" x14ac:dyDescent="0.25">
      <c r="R23" s="164" t="str">
        <f>'2-建设规模换算'!C11</f>
        <v>分布式文件存储</v>
      </c>
    </row>
    <row r="24" spans="1:47" ht="21" customHeight="1" x14ac:dyDescent="0.25">
      <c r="F24" s="154" t="s">
        <v>96</v>
      </c>
      <c r="R24" s="163">
        <f>'2-建设规模换算'!E11</f>
        <v>54</v>
      </c>
    </row>
    <row r="25" spans="1:47" ht="21" customHeight="1" x14ac:dyDescent="0.25">
      <c r="E25" s="143" t="s">
        <v>88</v>
      </c>
      <c r="F25" s="160">
        <f>'2-建设规模换算'!E16</f>
        <v>0</v>
      </c>
    </row>
    <row r="26" spans="1:47" ht="21" customHeight="1" x14ac:dyDescent="0.25">
      <c r="E26" s="154" t="s">
        <v>97</v>
      </c>
      <c r="F26" s="162">
        <f>IF(F25=0,0,G21*4)</f>
        <v>0</v>
      </c>
    </row>
    <row r="27" spans="1:47" ht="21" customHeight="1" x14ac:dyDescent="0.25">
      <c r="E27" s="154" t="s">
        <v>98</v>
      </c>
      <c r="F27" s="162">
        <f>IF('2-建设规模换算'!D16='网络设备模型-勿动'!B11,16*'2-建设规模换算'!E16,8*'2-建设规模换算'!E16)</f>
        <v>0</v>
      </c>
    </row>
    <row r="29" spans="1:47" ht="21" customHeight="1" x14ac:dyDescent="0.25">
      <c r="B29" s="167"/>
      <c r="C29" s="154"/>
      <c r="D29" s="161"/>
      <c r="E29" s="168"/>
    </row>
    <row r="30" spans="1:47" ht="21" customHeight="1" x14ac:dyDescent="0.25">
      <c r="B30" s="167"/>
      <c r="C30" s="154"/>
      <c r="E30" s="169"/>
      <c r="F30" s="154" t="s">
        <v>55</v>
      </c>
    </row>
    <row r="31" spans="1:47" ht="21" customHeight="1" x14ac:dyDescent="0.25">
      <c r="B31" s="167"/>
      <c r="C31" s="154"/>
      <c r="E31" s="143" t="s">
        <v>88</v>
      </c>
      <c r="F31" s="160">
        <f>'2-建设规模换算'!E17</f>
        <v>0</v>
      </c>
      <c r="T31" s="174" t="s">
        <v>99</v>
      </c>
    </row>
    <row r="32" spans="1:47" ht="21" customHeight="1" x14ac:dyDescent="0.25">
      <c r="E32" s="154" t="s">
        <v>97</v>
      </c>
      <c r="F32" s="162">
        <f>F27</f>
        <v>0</v>
      </c>
      <c r="S32" s="143" t="s">
        <v>88</v>
      </c>
      <c r="T32" s="160">
        <f>'2-建设规模换算'!E18+'2-建设规模换算'!E19</f>
        <v>22</v>
      </c>
    </row>
    <row r="33" spans="3:20" ht="21" customHeight="1" x14ac:dyDescent="0.25">
      <c r="S33" s="174" t="s">
        <v>100</v>
      </c>
      <c r="T33" s="162">
        <f>'2-建设规模换算'!E12*2</f>
        <v>108</v>
      </c>
    </row>
    <row r="34" spans="3:20" ht="21" customHeight="1" x14ac:dyDescent="0.25">
      <c r="S34" s="174" t="s">
        <v>101</v>
      </c>
      <c r="T34" s="162">
        <f>IF(T32=0,0,'2-建设规模换算'!E6*2)</f>
        <v>470</v>
      </c>
    </row>
    <row r="35" spans="3:20" ht="21" customHeight="1" x14ac:dyDescent="0.25">
      <c r="S35" s="174" t="s">
        <v>93</v>
      </c>
      <c r="T35" s="162">
        <f>'2-建设规模换算'!E18*4+'2-建设规模换算'!E19*64</f>
        <v>208</v>
      </c>
    </row>
    <row r="36" spans="3:20" ht="21" customHeight="1" x14ac:dyDescent="0.25">
      <c r="S36" s="168"/>
    </row>
    <row r="37" spans="3:20" ht="21" customHeight="1" x14ac:dyDescent="0.25">
      <c r="D37" s="154"/>
      <c r="F37" s="170"/>
      <c r="I37" s="154"/>
      <c r="K37" s="170"/>
      <c r="N37" s="154"/>
      <c r="Q37" s="154"/>
      <c r="S37" s="169"/>
      <c r="T37" s="154" t="s">
        <v>55</v>
      </c>
    </row>
    <row r="38" spans="3:20" ht="21" customHeight="1" x14ac:dyDescent="0.25">
      <c r="C38" s="154"/>
      <c r="D38" s="171"/>
      <c r="H38" s="143"/>
      <c r="I38" s="171"/>
      <c r="M38" s="143"/>
      <c r="N38" s="171"/>
      <c r="P38" s="143"/>
      <c r="Q38" s="171"/>
      <c r="S38" s="143" t="s">
        <v>88</v>
      </c>
      <c r="T38" s="160">
        <f>'2-建设规模换算'!E20</f>
        <v>8</v>
      </c>
    </row>
    <row r="39" spans="3:20" ht="21" customHeight="1" x14ac:dyDescent="0.25">
      <c r="C39" s="154"/>
      <c r="H39" s="154"/>
      <c r="M39" s="154"/>
      <c r="P39" s="154"/>
      <c r="S39" s="174" t="s">
        <v>100</v>
      </c>
      <c r="T39" s="162">
        <f>T35</f>
        <v>208</v>
      </c>
    </row>
    <row r="40" spans="3:20" ht="21" customHeight="1" x14ac:dyDescent="0.25">
      <c r="C40" s="154"/>
      <c r="D40" s="172"/>
      <c r="H40" s="154"/>
      <c r="I40" s="172"/>
      <c r="M40" s="154"/>
      <c r="N40" s="172"/>
      <c r="P40" s="154"/>
      <c r="Q40" s="172"/>
    </row>
    <row r="41" spans="3:20" ht="21" customHeight="1" x14ac:dyDescent="0.25">
      <c r="C41" s="154"/>
      <c r="D41" s="172"/>
    </row>
  </sheetData>
  <mergeCells count="7">
    <mergeCell ref="M21:N21"/>
    <mergeCell ref="R21:S21"/>
    <mergeCell ref="D7:E7"/>
    <mergeCell ref="H17:I17"/>
    <mergeCell ref="B20:D20"/>
    <mergeCell ref="L20:N20"/>
    <mergeCell ref="R20:S20"/>
  </mergeCells>
  <phoneticPr fontId="54" type="noConversion"/>
  <dataValidations count="2">
    <dataValidation type="list" allowBlank="1" showInputMessage="1" showErrorMessage="1" sqref="C24" xr:uid="{00000000-0002-0000-0400-000000000000}">
      <formula1>"通用业务,共享资源,信创POD,专属POD"</formula1>
    </dataValidation>
    <dataValidation type="list" allowBlank="1" showInputMessage="1" showErrorMessage="1" sqref="D24" xr:uid="{00000000-0002-0000-0400-000001000000}">
      <formula1>"POD01,POD02,POD03,POD04,POD05,POD06,POD07,POD08,POD09,POD10,POD11,POD12,POD13,POD14,POD15,POD16,POD17,POD18,POD19,POD20,POD21,POD22,POD23,POD24,POD25,POD26,POD27,POD28,POD29,POD30"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F22-BE34-4279-B40F-BB9B7994332A}">
  <dimension ref="B2:I22"/>
  <sheetViews>
    <sheetView showGridLines="0" zoomScale="85" zoomScaleNormal="85" workbookViewId="0">
      <selection activeCell="D17" sqref="D17"/>
    </sheetView>
  </sheetViews>
  <sheetFormatPr defaultRowHeight="14.4" x14ac:dyDescent="0.25"/>
  <cols>
    <col min="2" max="2" width="44.6640625" bestFit="1" customWidth="1"/>
    <col min="3" max="9" width="20.77734375" customWidth="1"/>
  </cols>
  <sheetData>
    <row r="2" spans="2:9" ht="16.8" thickBot="1" x14ac:dyDescent="0.3">
      <c r="B2" s="287" t="s">
        <v>417</v>
      </c>
      <c r="C2" s="288"/>
      <c r="D2" s="288"/>
      <c r="E2" s="288"/>
      <c r="F2" s="288"/>
      <c r="G2" s="288"/>
      <c r="H2" s="288"/>
      <c r="I2" s="288"/>
    </row>
    <row r="3" spans="2:9" ht="16.2" x14ac:dyDescent="0.25">
      <c r="B3" s="257" t="s">
        <v>398</v>
      </c>
      <c r="C3" s="258" t="s">
        <v>399</v>
      </c>
      <c r="D3" s="258" t="s">
        <v>401</v>
      </c>
      <c r="E3" s="259" t="s">
        <v>402</v>
      </c>
      <c r="F3" s="259" t="s">
        <v>403</v>
      </c>
      <c r="G3" s="259" t="s">
        <v>400</v>
      </c>
      <c r="H3" s="259" t="s">
        <v>407</v>
      </c>
      <c r="I3" s="259" t="s">
        <v>406</v>
      </c>
    </row>
    <row r="4" spans="2:9" ht="15.6" x14ac:dyDescent="0.25">
      <c r="B4" s="260" t="s">
        <v>42</v>
      </c>
      <c r="C4" s="260">
        <f>IF('1-建设需求标准字段'!C8="5kw",
     IF('1-建设需求标准字段'!C5="PCIE",
        CEILING('1-建设需求标准字段'!C14/2,1),
        '1-建设需求标准字段'!C14),
     0)</f>
        <v>0</v>
      </c>
      <c r="D4" s="260">
        <f>IF('1-建设需求标准字段'!C8="7kw",
     IF('1-建设需求标准字段'!C5="PCIE",
        CEILING('1-建设需求标准字段'!C14/3,1),
        '1-建设需求标准字段'!C14),
     0)</f>
        <v>235</v>
      </c>
      <c r="E4" s="260">
        <f>IF('1-建设需求标准字段'!C8="10kw",
     IF('1-建设需求标准字段'!C5="PCIE",
        CEILING('1-建设需求标准字段'!C14/4,1),
       CEILING('1-建设需求标准字段'!C14/2,1)),
     0)</f>
        <v>0</v>
      </c>
      <c r="F4" s="260">
        <f>IF('1-建设需求标准字段'!C8="15kw",
     IF('1-建设需求标准字段'!C5="PCIE",
        CEILING('1-建设需求标准字段'!C14/6,1),
       CEILING('1-建设需求标准字段'!C14/3,1)),
     0)</f>
        <v>0</v>
      </c>
      <c r="G4" s="260">
        <f>IF('1-建设需求标准字段'!C8="20kw",
     IF('1-建设需求标准字段'!C5="PCIE",
        CEILING('1-建设需求标准字段'!C14/8,1),
       CEILING('1-建设需求标准字段'!C14/4,1)),
     0)</f>
        <v>0</v>
      </c>
      <c r="H4" s="260">
        <v>0</v>
      </c>
      <c r="I4" s="260">
        <v>0</v>
      </c>
    </row>
    <row r="5" spans="2:9" ht="15.6" x14ac:dyDescent="0.25">
      <c r="B5" s="260" t="s">
        <v>404</v>
      </c>
      <c r="C5" s="260">
        <v>0</v>
      </c>
      <c r="D5" s="260">
        <v>0</v>
      </c>
      <c r="E5" s="260">
        <f>'1-建设需求标准字段'!C7</f>
        <v>3</v>
      </c>
      <c r="F5" s="260">
        <v>0</v>
      </c>
      <c r="G5" s="260">
        <v>0</v>
      </c>
      <c r="H5" s="260">
        <v>0</v>
      </c>
      <c r="I5" s="260">
        <v>0</v>
      </c>
    </row>
    <row r="6" spans="2:9" ht="15.6" x14ac:dyDescent="0.25">
      <c r="B6" s="260" t="s">
        <v>411</v>
      </c>
      <c r="C6" s="260">
        <f>IF('1-建设需求标准字段'!C13="5kw",CEILING(('2-建设规模换算'!I10+'2-建设规模换算'!I13+'2-建设规模换算'!I14+'2-建设规模换算'!I16+'2-建设规模换算'!I18+'2-建设规模换算'!I19+'2-建设规模换算'!I23+'2-建设规模换算'!I24+'2-建设规模换算'!I25+'2-建设规模换算'!I26+IF('2-建设规模换算'!H15=1.717,'2-建设规模换算'!H15*'2-建设规模换算'!E15,0))/5,1),0)</f>
        <v>0</v>
      </c>
      <c r="D6" s="260">
        <f>IF('1-建设需求标准字段'!C13="7kw",CEILING(('2-建设规模换算'!I10+'2-建设规模换算'!I13+'2-建设规模换算'!I14+'2-建设规模换算'!I16+'2-建设规模换算'!I18+'2-建设规模换算'!I19+'2-建设规模换算'!I23+'2-建设规模换算'!I24+'2-建设规模换算'!I25+'2-建设规模换算'!I26+IF('2-建设规模换算'!H15=1.717,'2-建设规模换算'!H15*'2-建设规模换算'!E15,0))/7,1),0)</f>
        <v>6</v>
      </c>
      <c r="E6" s="260">
        <v>0</v>
      </c>
      <c r="F6" s="260">
        <v>0</v>
      </c>
      <c r="G6" s="260">
        <v>0</v>
      </c>
      <c r="H6" s="260">
        <v>0</v>
      </c>
      <c r="I6" s="260">
        <v>0</v>
      </c>
    </row>
    <row r="7" spans="2:9" ht="15.6" x14ac:dyDescent="0.25">
      <c r="B7" s="260" t="s">
        <v>413</v>
      </c>
      <c r="C7" s="260">
        <v>0</v>
      </c>
      <c r="D7" s="260">
        <f>IF('2-建设规模换算'!H15=5,'2-建设规模换算'!E15,0)</f>
        <v>0</v>
      </c>
      <c r="E7" s="260">
        <v>0</v>
      </c>
      <c r="F7" s="260">
        <f>IF('2-建设规模换算'!H15=10,'2-建设规模换算'!E15,0)</f>
        <v>0</v>
      </c>
      <c r="G7" s="260">
        <v>0</v>
      </c>
      <c r="H7" s="260">
        <v>0</v>
      </c>
      <c r="I7" s="260">
        <v>0</v>
      </c>
    </row>
    <row r="8" spans="2:9" ht="15.6" x14ac:dyDescent="0.25">
      <c r="B8" s="260" t="s">
        <v>414</v>
      </c>
      <c r="C8" s="260">
        <v>0</v>
      </c>
      <c r="D8" s="260">
        <f>IF('2-建设规模换算'!H22=5,'2-建设规模换算'!E22,0)</f>
        <v>2</v>
      </c>
      <c r="E8" s="260">
        <v>0</v>
      </c>
      <c r="F8" s="260">
        <f>IF('2-建设规模换算'!H22=10,'2-建设规模换算'!E22,0)</f>
        <v>0</v>
      </c>
      <c r="G8" s="260">
        <v>0</v>
      </c>
      <c r="H8" s="260">
        <v>0</v>
      </c>
      <c r="I8" s="260">
        <v>0</v>
      </c>
    </row>
    <row r="9" spans="2:9" ht="15.6" x14ac:dyDescent="0.25">
      <c r="B9" s="260" t="s">
        <v>415</v>
      </c>
      <c r="C9" s="260">
        <v>0</v>
      </c>
      <c r="D9" s="260">
        <v>0</v>
      </c>
      <c r="E9" s="260">
        <f>IF('2-建设规模换算'!H20=9.12,'2-建设规模换算'!E20,0)</f>
        <v>8</v>
      </c>
      <c r="F9" s="260">
        <v>0</v>
      </c>
      <c r="G9" s="260">
        <v>0</v>
      </c>
      <c r="H9" s="260">
        <f>IF('2-建设规模换算'!H17=17.6,'2-建设规模换算'!E17,0)</f>
        <v>0</v>
      </c>
      <c r="I9" s="260">
        <f>IF('2-建设规模换算'!H17=35.1,'2-建设规模换算'!E17,0)</f>
        <v>0</v>
      </c>
    </row>
    <row r="10" spans="2:9" ht="15.6" x14ac:dyDescent="0.25">
      <c r="B10" s="266"/>
    </row>
    <row r="14" spans="2:9" ht="15" thickBot="1" x14ac:dyDescent="0.3"/>
    <row r="15" spans="2:9" ht="16.8" thickBot="1" x14ac:dyDescent="0.3">
      <c r="B15" s="284" t="s">
        <v>418</v>
      </c>
      <c r="C15" s="285"/>
      <c r="D15" s="285"/>
      <c r="E15" s="285"/>
      <c r="F15" s="285"/>
      <c r="G15" s="285"/>
      <c r="H15" s="285"/>
      <c r="I15" s="286"/>
    </row>
    <row r="16" spans="2:9" ht="16.2" x14ac:dyDescent="0.25">
      <c r="B16" s="257" t="s">
        <v>398</v>
      </c>
      <c r="C16" s="258" t="s">
        <v>399</v>
      </c>
      <c r="D16" s="258" t="s">
        <v>401</v>
      </c>
      <c r="E16" s="259" t="s">
        <v>402</v>
      </c>
      <c r="F16" s="259" t="s">
        <v>403</v>
      </c>
      <c r="G16" s="259" t="s">
        <v>400</v>
      </c>
      <c r="H16" s="259" t="s">
        <v>407</v>
      </c>
      <c r="I16" s="259" t="s">
        <v>406</v>
      </c>
    </row>
    <row r="17" spans="2:9" ht="15.6" x14ac:dyDescent="0.25">
      <c r="B17" s="260" t="s">
        <v>42</v>
      </c>
      <c r="C17" s="260">
        <v>0</v>
      </c>
      <c r="D17" s="260">
        <f>CEILING(('2-建设规模换算'!E4+'2-建设规模换算'!E3)/4,1)*3</f>
        <v>177</v>
      </c>
      <c r="E17" s="260">
        <v>0</v>
      </c>
      <c r="F17" s="260">
        <v>0</v>
      </c>
      <c r="G17" s="260">
        <v>0</v>
      </c>
      <c r="H17" s="260">
        <v>0</v>
      </c>
      <c r="I17" s="260">
        <v>0</v>
      </c>
    </row>
    <row r="18" spans="2:9" ht="15.6" x14ac:dyDescent="0.25">
      <c r="B18" s="260" t="s">
        <v>404</v>
      </c>
      <c r="C18" s="260">
        <v>0</v>
      </c>
      <c r="D18" s="260">
        <v>0</v>
      </c>
      <c r="E18" s="260">
        <f>'1-建设需求标准字段'!C7</f>
        <v>3</v>
      </c>
      <c r="F18" s="260">
        <v>0</v>
      </c>
      <c r="G18" s="260">
        <v>0</v>
      </c>
      <c r="H18" s="260">
        <v>0</v>
      </c>
      <c r="I18" s="260">
        <v>0</v>
      </c>
    </row>
    <row r="19" spans="2:9" ht="15.6" x14ac:dyDescent="0.25">
      <c r="B19" s="260" t="s">
        <v>411</v>
      </c>
      <c r="C19" s="260">
        <v>0</v>
      </c>
      <c r="D19" s="260">
        <v>0</v>
      </c>
      <c r="E19" s="260">
        <v>0</v>
      </c>
      <c r="F19" s="260">
        <v>0</v>
      </c>
      <c r="G19" s="260">
        <v>0</v>
      </c>
      <c r="H19" s="260">
        <v>0</v>
      </c>
      <c r="I19" s="260">
        <v>0</v>
      </c>
    </row>
    <row r="20" spans="2:9" ht="15.6" x14ac:dyDescent="0.25">
      <c r="B20" s="260" t="s">
        <v>413</v>
      </c>
      <c r="C20" s="260">
        <v>0</v>
      </c>
      <c r="D20" s="260">
        <f>IF('2-建设规模换算'!H15=5,'2-建设规模换算'!E15,0)</f>
        <v>0</v>
      </c>
      <c r="E20" s="260">
        <v>0</v>
      </c>
      <c r="F20" s="260">
        <f>IF('2-建设规模换算'!H15=10,'2-建设规模换算'!E15,0)</f>
        <v>0</v>
      </c>
      <c r="G20" s="260">
        <v>0</v>
      </c>
      <c r="H20" s="260">
        <v>0</v>
      </c>
      <c r="I20" s="260">
        <v>0</v>
      </c>
    </row>
    <row r="21" spans="2:9" ht="15.6" x14ac:dyDescent="0.25">
      <c r="B21" s="260" t="s">
        <v>414</v>
      </c>
      <c r="C21" s="260">
        <v>0</v>
      </c>
      <c r="D21" s="260">
        <f>IF('2-建设规模换算'!H22=5,'2-建设规模换算'!E22,0)</f>
        <v>2</v>
      </c>
      <c r="E21" s="260">
        <v>0</v>
      </c>
      <c r="F21" s="260">
        <f>IF('2-建设规模换算'!H22=10,'2-建设规模换算'!E22,0)</f>
        <v>0</v>
      </c>
      <c r="G21" s="260">
        <v>0</v>
      </c>
      <c r="H21" s="260">
        <v>0</v>
      </c>
      <c r="I21" s="260">
        <v>0</v>
      </c>
    </row>
    <row r="22" spans="2:9" ht="15.6" x14ac:dyDescent="0.25">
      <c r="B22" s="260" t="s">
        <v>415</v>
      </c>
      <c r="C22" s="260">
        <v>0</v>
      </c>
      <c r="D22" s="260">
        <v>0</v>
      </c>
      <c r="E22" s="260">
        <f>IF('2-建设规模换算'!H20=9.12,'2-建设规模换算'!E20,0)</f>
        <v>8</v>
      </c>
      <c r="F22" s="260">
        <v>0</v>
      </c>
      <c r="G22" s="260">
        <v>0</v>
      </c>
      <c r="H22" s="260">
        <f>IF('2-建设规模换算'!H17=17.6,'2-建设规模换算'!E17,0)</f>
        <v>0</v>
      </c>
      <c r="I22" s="260">
        <f>IF('2-建设规模换算'!H17=35.1,'2-建设规模换算'!E17,0)</f>
        <v>0</v>
      </c>
    </row>
  </sheetData>
  <mergeCells count="2">
    <mergeCell ref="B15:I15"/>
    <mergeCell ref="B2:I2"/>
  </mergeCells>
  <phoneticPr fontId="5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FF0000"/>
  </sheetPr>
  <dimension ref="A1:BF10"/>
  <sheetViews>
    <sheetView zoomScale="85" zoomScaleNormal="85" workbookViewId="0">
      <selection activeCell="D18" sqref="D18"/>
    </sheetView>
  </sheetViews>
  <sheetFormatPr defaultColWidth="10.77734375" defaultRowHeight="21" customHeight="1" x14ac:dyDescent="0.25"/>
  <cols>
    <col min="1" max="1" width="5.44140625" style="10" customWidth="1"/>
    <col min="2" max="2" width="32.44140625" style="10" customWidth="1"/>
    <col min="3" max="3" width="26.109375" style="10" customWidth="1"/>
    <col min="4" max="4" width="121.6640625" style="10" customWidth="1"/>
    <col min="5" max="5" width="5.44140625" style="143" customWidth="1"/>
    <col min="6" max="6" width="9.6640625" style="10" customWidth="1"/>
    <col min="7" max="7" width="8.33203125" style="10" customWidth="1"/>
    <col min="8" max="9" width="14.109375" style="10" customWidth="1"/>
    <col min="10" max="24" width="10.77734375" style="10" customWidth="1"/>
    <col min="25" max="58" width="10.77734375" style="10" hidden="1" customWidth="1"/>
    <col min="59" max="59" width="3.88671875" style="10" customWidth="1"/>
    <col min="60" max="60" width="18.33203125" style="10" customWidth="1"/>
    <col min="61" max="61" width="22" style="10" customWidth="1"/>
    <col min="62" max="62" width="14.109375" style="10" customWidth="1"/>
    <col min="63" max="65" width="8.44140625" style="10" customWidth="1"/>
    <col min="66" max="66" width="146.33203125" style="10" customWidth="1"/>
    <col min="67" max="67" width="4.6640625" style="10" customWidth="1"/>
    <col min="68" max="68" width="10.33203125" style="10" customWidth="1"/>
    <col min="69" max="70" width="8.44140625" style="10" customWidth="1"/>
    <col min="71" max="72" width="14" style="10" customWidth="1"/>
    <col min="73" max="73" width="4.6640625" style="10" customWidth="1"/>
    <col min="74" max="16364" width="10.77734375" style="10" customWidth="1"/>
    <col min="16365" max="16384" width="10.77734375" style="10"/>
  </cols>
  <sheetData>
    <row r="1" spans="1:9" ht="31.2" x14ac:dyDescent="0.25">
      <c r="A1" s="144" t="s">
        <v>108</v>
      </c>
      <c r="B1" s="144" t="s">
        <v>109</v>
      </c>
      <c r="C1" s="145" t="s">
        <v>110</v>
      </c>
      <c r="D1" s="144" t="s">
        <v>111</v>
      </c>
      <c r="E1" s="144" t="s">
        <v>112</v>
      </c>
      <c r="F1" s="145" t="s">
        <v>113</v>
      </c>
      <c r="G1" s="145" t="s">
        <v>114</v>
      </c>
      <c r="H1" s="145" t="s">
        <v>115</v>
      </c>
      <c r="I1" s="145" t="s">
        <v>10</v>
      </c>
    </row>
    <row r="2" spans="1:9" ht="21" customHeight="1" x14ac:dyDescent="0.25">
      <c r="A2" s="146">
        <v>1</v>
      </c>
      <c r="B2" s="147" t="s">
        <v>116</v>
      </c>
      <c r="C2" s="255" t="s">
        <v>395</v>
      </c>
      <c r="D2" s="147" t="s">
        <v>117</v>
      </c>
      <c r="E2" s="148" t="s">
        <v>77</v>
      </c>
      <c r="F2" s="148">
        <v>5.2</v>
      </c>
      <c r="G2" s="149">
        <v>70</v>
      </c>
      <c r="H2" s="149" t="s">
        <v>118</v>
      </c>
      <c r="I2" s="149"/>
    </row>
    <row r="3" spans="1:9" ht="21" customHeight="1" x14ac:dyDescent="0.25">
      <c r="A3" s="146">
        <v>2</v>
      </c>
      <c r="B3" s="147" t="s">
        <v>119</v>
      </c>
      <c r="C3" s="255" t="s">
        <v>396</v>
      </c>
      <c r="D3" s="147" t="s">
        <v>120</v>
      </c>
      <c r="E3" s="148" t="s">
        <v>77</v>
      </c>
      <c r="F3" s="148">
        <v>5.2</v>
      </c>
      <c r="G3" s="149">
        <v>70</v>
      </c>
      <c r="H3" s="149" t="s">
        <v>118</v>
      </c>
      <c r="I3" s="149"/>
    </row>
    <row r="4" spans="1:9" ht="30.9" customHeight="1" x14ac:dyDescent="0.25">
      <c r="A4" s="146">
        <v>3</v>
      </c>
      <c r="B4" s="147" t="s">
        <v>121</v>
      </c>
      <c r="C4" s="150" t="s">
        <v>122</v>
      </c>
      <c r="D4" s="147" t="s">
        <v>123</v>
      </c>
      <c r="E4" s="148" t="s">
        <v>77</v>
      </c>
      <c r="F4" s="148">
        <v>2.2999999999999998</v>
      </c>
      <c r="G4" s="148">
        <v>20</v>
      </c>
      <c r="H4" s="149" t="s">
        <v>124</v>
      </c>
      <c r="I4" s="149"/>
    </row>
    <row r="5" spans="1:9" ht="21" customHeight="1" x14ac:dyDescent="0.25">
      <c r="A5" s="146">
        <v>4</v>
      </c>
      <c r="B5" s="150" t="s">
        <v>125</v>
      </c>
      <c r="C5" s="150" t="s">
        <v>126</v>
      </c>
      <c r="D5" s="147" t="s">
        <v>127</v>
      </c>
      <c r="E5" s="148" t="s">
        <v>128</v>
      </c>
      <c r="F5" s="148">
        <f>0.4375*18</f>
        <v>7.875</v>
      </c>
      <c r="G5" s="148">
        <v>222</v>
      </c>
      <c r="H5" s="148"/>
      <c r="I5" s="148"/>
    </row>
    <row r="6" spans="1:9" customFormat="1" ht="38.1" customHeight="1" x14ac:dyDescent="0.25">
      <c r="A6" s="146">
        <v>5</v>
      </c>
      <c r="B6" s="150" t="s">
        <v>129</v>
      </c>
      <c r="C6" s="150" t="s">
        <v>130</v>
      </c>
      <c r="D6" s="147" t="s">
        <v>131</v>
      </c>
      <c r="E6" s="148" t="s">
        <v>77</v>
      </c>
      <c r="F6" s="148">
        <v>0.6</v>
      </c>
      <c r="G6" s="148">
        <v>8</v>
      </c>
      <c r="H6" s="147"/>
      <c r="I6" s="147"/>
    </row>
    <row r="7" spans="1:9" customFormat="1" ht="21" customHeight="1" x14ac:dyDescent="0.25">
      <c r="A7" s="146">
        <v>6</v>
      </c>
      <c r="B7" s="150" t="s">
        <v>132</v>
      </c>
      <c r="C7" s="150" t="s">
        <v>133</v>
      </c>
      <c r="D7" s="147" t="s">
        <v>134</v>
      </c>
      <c r="E7" s="148" t="s">
        <v>77</v>
      </c>
      <c r="F7" s="148">
        <v>0.6</v>
      </c>
      <c r="G7" s="148">
        <v>8</v>
      </c>
      <c r="H7" s="147"/>
      <c r="I7" s="147"/>
    </row>
    <row r="8" spans="1:9" customFormat="1" ht="21" customHeight="1" x14ac:dyDescent="0.25">
      <c r="A8" s="146"/>
      <c r="B8" s="150"/>
      <c r="C8" s="150"/>
      <c r="D8" s="147"/>
      <c r="E8" s="148"/>
      <c r="F8" s="147"/>
      <c r="G8" s="147"/>
      <c r="H8" s="147"/>
      <c r="I8" s="147"/>
    </row>
    <row r="9" spans="1:9" customFormat="1" ht="21" customHeight="1" x14ac:dyDescent="0.25">
      <c r="A9" s="146"/>
      <c r="B9" s="150"/>
      <c r="C9" s="150"/>
      <c r="D9" s="147"/>
      <c r="E9" s="148"/>
      <c r="F9" s="147"/>
      <c r="G9" s="147"/>
      <c r="H9" s="147"/>
      <c r="I9" s="147"/>
    </row>
    <row r="10" spans="1:9" ht="15.6" x14ac:dyDescent="0.25">
      <c r="A10" s="146"/>
      <c r="B10" s="150"/>
      <c r="C10" s="150"/>
      <c r="D10" s="150"/>
      <c r="E10" s="146"/>
      <c r="F10" s="147"/>
      <c r="G10" s="147"/>
      <c r="H10" s="147"/>
      <c r="I10" s="147"/>
    </row>
  </sheetData>
  <phoneticPr fontId="54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rgb="FFFF0000"/>
  </sheetPr>
  <dimension ref="A1:G17"/>
  <sheetViews>
    <sheetView workbookViewId="0">
      <selection activeCell="A15" sqref="A15:XFD15"/>
    </sheetView>
  </sheetViews>
  <sheetFormatPr defaultColWidth="8.77734375" defaultRowHeight="14.4" x14ac:dyDescent="0.25"/>
  <cols>
    <col min="1" max="1" width="25.109375" customWidth="1"/>
    <col min="2" max="2" width="47.77734375" customWidth="1"/>
    <col min="3" max="3" width="42.44140625" customWidth="1"/>
    <col min="4" max="4" width="24.44140625" style="131" customWidth="1"/>
    <col min="5" max="5" width="20.44140625" style="131" customWidth="1"/>
    <col min="6" max="7" width="9.6640625" style="131" customWidth="1"/>
  </cols>
  <sheetData>
    <row r="1" spans="1:7" ht="17.399999999999999" x14ac:dyDescent="0.25">
      <c r="A1" s="132" t="s">
        <v>135</v>
      </c>
      <c r="B1" s="133" t="s">
        <v>136</v>
      </c>
      <c r="C1" s="134" t="s">
        <v>137</v>
      </c>
      <c r="D1" s="135" t="s">
        <v>138</v>
      </c>
      <c r="E1" s="135" t="s">
        <v>139</v>
      </c>
      <c r="F1" s="135" t="s">
        <v>140</v>
      </c>
      <c r="G1" s="136" t="s">
        <v>10</v>
      </c>
    </row>
    <row r="2" spans="1:7" ht="78" x14ac:dyDescent="0.25">
      <c r="A2" s="137" t="s">
        <v>141</v>
      </c>
      <c r="B2" s="138" t="s">
        <v>142</v>
      </c>
      <c r="C2" s="137" t="s">
        <v>143</v>
      </c>
      <c r="D2" s="139">
        <v>5</v>
      </c>
      <c r="E2" s="139" t="s">
        <v>144</v>
      </c>
      <c r="F2" s="140">
        <v>100</v>
      </c>
      <c r="G2" s="139" t="s">
        <v>145</v>
      </c>
    </row>
    <row r="3" spans="1:7" ht="78" x14ac:dyDescent="0.25">
      <c r="A3" s="137" t="s">
        <v>141</v>
      </c>
      <c r="B3" s="138" t="s">
        <v>146</v>
      </c>
      <c r="C3" s="137" t="s">
        <v>143</v>
      </c>
      <c r="D3" s="139">
        <v>10</v>
      </c>
      <c r="E3" s="139" t="s">
        <v>144</v>
      </c>
      <c r="F3" s="140">
        <v>200</v>
      </c>
      <c r="G3" s="139" t="s">
        <v>147</v>
      </c>
    </row>
    <row r="4" spans="1:7" ht="17.399999999999999" x14ac:dyDescent="0.25">
      <c r="A4" s="137" t="s">
        <v>141</v>
      </c>
      <c r="B4" s="141" t="s">
        <v>148</v>
      </c>
      <c r="C4" s="142" t="s">
        <v>143</v>
      </c>
      <c r="D4" s="140">
        <v>1.7170000000000001</v>
      </c>
      <c r="E4" s="139" t="s">
        <v>144</v>
      </c>
      <c r="F4" s="140">
        <v>40</v>
      </c>
      <c r="G4" s="140">
        <v>1.7170000000000001</v>
      </c>
    </row>
    <row r="5" spans="1:7" ht="78" x14ac:dyDescent="0.25">
      <c r="A5" s="137" t="s">
        <v>149</v>
      </c>
      <c r="B5" s="138" t="s">
        <v>150</v>
      </c>
      <c r="C5" s="137" t="s">
        <v>143</v>
      </c>
      <c r="D5" s="139">
        <v>5</v>
      </c>
      <c r="E5" s="139" t="s">
        <v>144</v>
      </c>
      <c r="F5" s="140">
        <v>60</v>
      </c>
      <c r="G5" s="139" t="s">
        <v>145</v>
      </c>
    </row>
    <row r="6" spans="1:7" ht="78" x14ac:dyDescent="0.25">
      <c r="A6" s="137" t="s">
        <v>149</v>
      </c>
      <c r="B6" s="138" t="s">
        <v>151</v>
      </c>
      <c r="C6" s="137" t="s">
        <v>143</v>
      </c>
      <c r="D6" s="139">
        <v>10</v>
      </c>
      <c r="E6" s="139" t="s">
        <v>144</v>
      </c>
      <c r="F6" s="140">
        <v>120</v>
      </c>
      <c r="G6" s="139" t="s">
        <v>147</v>
      </c>
    </row>
    <row r="7" spans="1:7" ht="17.399999999999999" x14ac:dyDescent="0.25">
      <c r="A7" s="137" t="s">
        <v>152</v>
      </c>
      <c r="B7" s="137" t="s">
        <v>153</v>
      </c>
      <c r="C7" s="137" t="s">
        <v>154</v>
      </c>
      <c r="D7" s="142">
        <v>0.378</v>
      </c>
      <c r="E7" s="142">
        <v>5</v>
      </c>
      <c r="F7" s="142">
        <v>5</v>
      </c>
      <c r="G7" s="142">
        <v>0.378</v>
      </c>
    </row>
    <row r="8" spans="1:7" ht="17.399999999999999" x14ac:dyDescent="0.25">
      <c r="A8" s="137" t="s">
        <v>155</v>
      </c>
      <c r="B8" s="138" t="s">
        <v>156</v>
      </c>
      <c r="C8" s="137" t="s">
        <v>157</v>
      </c>
      <c r="D8" s="142">
        <v>0.318</v>
      </c>
      <c r="E8" s="142">
        <v>2</v>
      </c>
      <c r="F8" s="142">
        <v>2</v>
      </c>
      <c r="G8" s="142">
        <v>0.318</v>
      </c>
    </row>
    <row r="9" spans="1:7" ht="17.399999999999999" x14ac:dyDescent="0.25">
      <c r="A9" s="137" t="s">
        <v>158</v>
      </c>
      <c r="B9" s="137" t="s">
        <v>159</v>
      </c>
      <c r="C9" s="137" t="s">
        <v>160</v>
      </c>
      <c r="D9" s="142">
        <v>0.18</v>
      </c>
      <c r="E9" s="142">
        <v>0.2</v>
      </c>
      <c r="F9" s="142">
        <v>0.2</v>
      </c>
      <c r="G9" s="142">
        <v>0.18</v>
      </c>
    </row>
    <row r="10" spans="1:7" ht="17.399999999999999" x14ac:dyDescent="0.25">
      <c r="A10" s="137" t="s">
        <v>161</v>
      </c>
      <c r="B10" s="137" t="s">
        <v>162</v>
      </c>
      <c r="C10" s="137" t="s">
        <v>143</v>
      </c>
      <c r="D10" s="142">
        <v>17.600000000000001</v>
      </c>
      <c r="E10" s="140" t="s">
        <v>144</v>
      </c>
      <c r="F10" s="140">
        <v>500</v>
      </c>
      <c r="G10" s="142" t="s">
        <v>163</v>
      </c>
    </row>
    <row r="11" spans="1:7" ht="17.399999999999999" x14ac:dyDescent="0.25">
      <c r="A11" s="137" t="s">
        <v>161</v>
      </c>
      <c r="B11" s="137" t="s">
        <v>164</v>
      </c>
      <c r="C11" s="137" t="s">
        <v>165</v>
      </c>
      <c r="D11" s="142">
        <v>1.31</v>
      </c>
      <c r="E11" s="142">
        <v>46</v>
      </c>
      <c r="F11" s="142">
        <v>46</v>
      </c>
      <c r="G11" s="142">
        <v>1.31</v>
      </c>
    </row>
    <row r="12" spans="1:7" ht="17.399999999999999" x14ac:dyDescent="0.25">
      <c r="A12" s="137" t="s">
        <v>161</v>
      </c>
      <c r="B12" s="137" t="s">
        <v>166</v>
      </c>
      <c r="C12" s="137" t="s">
        <v>143</v>
      </c>
      <c r="D12" s="142">
        <v>35.1</v>
      </c>
      <c r="E12" s="140" t="s">
        <v>144</v>
      </c>
      <c r="F12" s="140">
        <v>1000</v>
      </c>
      <c r="G12" s="142" t="s">
        <v>167</v>
      </c>
    </row>
    <row r="13" spans="1:7" ht="17.399999999999999" x14ac:dyDescent="0.25">
      <c r="A13" s="137" t="s">
        <v>161</v>
      </c>
      <c r="B13" s="137" t="s">
        <v>168</v>
      </c>
      <c r="C13" s="137" t="s">
        <v>169</v>
      </c>
      <c r="D13" s="142">
        <v>1.31</v>
      </c>
      <c r="E13" s="142">
        <v>40</v>
      </c>
      <c r="F13" s="142">
        <v>40</v>
      </c>
      <c r="G13" s="142">
        <v>1.31</v>
      </c>
    </row>
    <row r="14" spans="1:7" ht="17.399999999999999" x14ac:dyDescent="0.25">
      <c r="A14" s="137" t="s">
        <v>161</v>
      </c>
      <c r="B14" s="137" t="s">
        <v>170</v>
      </c>
      <c r="C14" s="137" t="s">
        <v>171</v>
      </c>
      <c r="D14" s="142">
        <v>1.1000000000000001</v>
      </c>
      <c r="E14" s="142">
        <v>20</v>
      </c>
      <c r="F14" s="142">
        <v>20</v>
      </c>
      <c r="G14" s="142">
        <v>1.1000000000000001</v>
      </c>
    </row>
    <row r="15" spans="1:7" ht="17.399999999999999" x14ac:dyDescent="0.25">
      <c r="A15" s="137" t="s">
        <v>161</v>
      </c>
      <c r="B15" s="262" t="s">
        <v>408</v>
      </c>
      <c r="C15" s="137" t="s">
        <v>143</v>
      </c>
      <c r="D15" s="142">
        <v>9.1199999999999992</v>
      </c>
      <c r="E15" s="140" t="s">
        <v>144</v>
      </c>
      <c r="F15" s="140">
        <v>250</v>
      </c>
      <c r="G15" s="142">
        <v>9.1199999999999992</v>
      </c>
    </row>
    <row r="16" spans="1:7" ht="17.399999999999999" x14ac:dyDescent="0.25">
      <c r="A16" s="137" t="s">
        <v>161</v>
      </c>
      <c r="B16" s="262" t="s">
        <v>409</v>
      </c>
      <c r="C16" s="137" t="s">
        <v>173</v>
      </c>
      <c r="D16" s="142">
        <v>1.91</v>
      </c>
      <c r="E16" s="142">
        <v>36</v>
      </c>
      <c r="F16" s="142">
        <v>36</v>
      </c>
      <c r="G16" s="142">
        <v>1.91</v>
      </c>
    </row>
    <row r="17" spans="1:7" ht="17.399999999999999" x14ac:dyDescent="0.25">
      <c r="A17" s="137" t="s">
        <v>161</v>
      </c>
      <c r="B17" s="137" t="s">
        <v>174</v>
      </c>
      <c r="C17" s="137" t="s">
        <v>175</v>
      </c>
      <c r="D17" s="142">
        <v>0.25</v>
      </c>
      <c r="E17" s="142">
        <v>5</v>
      </c>
      <c r="F17" s="142">
        <v>5</v>
      </c>
      <c r="G17" s="142">
        <v>0.25</v>
      </c>
    </row>
  </sheetData>
  <phoneticPr fontId="5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rgb="FFFF0000"/>
  </sheetPr>
  <dimension ref="C1:D4"/>
  <sheetViews>
    <sheetView topLeftCell="A4" zoomScale="85" zoomScaleNormal="85" workbookViewId="0">
      <selection activeCell="D4" sqref="D4"/>
    </sheetView>
  </sheetViews>
  <sheetFormatPr defaultColWidth="8.77734375" defaultRowHeight="14.4" x14ac:dyDescent="0.25"/>
  <cols>
    <col min="3" max="3" width="24" bestFit="1" customWidth="1"/>
    <col min="4" max="4" width="107.44140625" customWidth="1"/>
  </cols>
  <sheetData>
    <row r="1" spans="3:4" ht="20.399999999999999" x14ac:dyDescent="0.25">
      <c r="C1" s="151" t="s">
        <v>102</v>
      </c>
      <c r="D1" s="261" t="s">
        <v>405</v>
      </c>
    </row>
    <row r="2" spans="3:4" ht="62.4" x14ac:dyDescent="0.25">
      <c r="C2" s="152" t="s">
        <v>103</v>
      </c>
      <c r="D2" s="153" t="s">
        <v>104</v>
      </c>
    </row>
    <row r="3" spans="3:4" ht="280.8" x14ac:dyDescent="0.25">
      <c r="C3" s="152" t="s">
        <v>105</v>
      </c>
      <c r="D3" s="153" t="s">
        <v>106</v>
      </c>
    </row>
    <row r="4" spans="3:4" ht="202.8" x14ac:dyDescent="0.25">
      <c r="C4" s="152" t="s">
        <v>107</v>
      </c>
      <c r="D4" s="153" t="s">
        <v>416</v>
      </c>
    </row>
  </sheetData>
  <phoneticPr fontId="54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dvExts xmlns="http://www.wps.cn/et/2023/dataValidationExt" xmlns:s="http://schemas.openxmlformats.org/spreadsheetml/2006/main">
  <dvExt uuid="{6b9ab731-1f66-4253-819d-9ac1a6e79b25}">
    <list multiSupport="0" colorSupport="1">
      <item index="0">
        <color s:rgb="FF1FBB6A"/>
      </item>
      <item index="1">
        <color s:rgb="FF9568FE"/>
      </item>
    </list>
  </dvExt>
</dvExts>
</file>

<file path=customXml/item2.xml><?xml version="1.0" encoding="utf-8"?>
<woProps xmlns="https://web.wps.cn/et/2018/main" xmlns:s="http://schemas.openxmlformats.org/spreadsheetml/2006/main">
  <woSheetsProps>
    <woSheetProps sheetStid="13" interlineColor="0" isDashBoardSheet="0" isDbDashBoardSheet="0" interlineOnOff="0" isDbSheet="0" isFlexPaperSheet="0">
      <cellprotection/>
      <appEtDbRelations/>
    </woSheetProps>
    <woSheetProps sheetStid="32" interlineColor="0" isDashBoardSheet="0" isDbDashBoardSheet="0" interlineOnOff="0" isDbSheet="0" isFlexPaperSheet="0">
      <cellprotection/>
      <appEtDbRelations/>
    </woSheetProps>
    <woSheetProps sheetStid="70" interlineColor="0" isDashBoardSheet="0" isDbDashBoardSheet="0" interlineOnOff="0" isDbSheet="0" isFlexPaperSheet="0">
      <cellprotection/>
      <appEtDbRelations/>
    </woSheetProps>
    <woSheetProps sheetStid="14" interlineColor="0" isDashBoardSheet="0" isDbDashBoardSheet="0" interlineOnOff="0" isDbSheet="0" isFlexPaperSheet="0">
      <cellprotection/>
      <appEtDbRelations/>
    </woSheetProps>
    <woSheetProps sheetStid="66" interlineColor="0" isDashBoardSheet="0" isDbDashBoardSheet="0" interlineOnOff="0" isDbSheet="0" isFlexPaperSheet="0">
      <cellprotection/>
      <appEtDbRelations/>
    </woSheetProps>
    <woSheetProps sheetStid="65" interlineColor="0" isDashBoardSheet="0" isDbDashBoardSheet="0" interlineOnOff="0" isDbSheet="0" isFlexPaperSheet="0">
      <cellprotection/>
      <appEtDbRelations/>
    </woSheetProps>
    <woSheetProps sheetStid="10" interlineColor="0" isDashBoardSheet="0" isDbDashBoardSheet="0" interlineOnOff="0" isDbSheet="0" isFlexPaperSheet="0">
      <cellprotection/>
      <appEtDbRelations/>
    </woSheetProps>
    <woSheetProps sheetStid="67" interlineColor="0" isDashBoardSheet="0" isDbDashBoardSheet="0" interlineOnOff="0" isDbSheet="0" isFlexPaperSheet="0">
      <cellprotection/>
      <appEtDbRelations/>
    </woSheetProps>
    <woSheetProps sheetStid="34" interlineColor="0" isDashBoardSheet="0" isDbDashBoardSheet="0" interlineOnOff="0" isDbSheet="0" isFlexPaperSheet="0">
      <cellprotection/>
      <appEtDbRelations/>
    </woSheetProps>
    <woSheetProps sheetStid="71" interlineColor="0" isDashBoardSheet="0" isDbDashBoardSheet="0" interlineOnOff="0" isDbSheet="0" isFlexPaperSheet="0">
      <cellprotection/>
      <appEtDbRelations/>
    </woSheetProps>
    <woSheetProps sheetStid="72" interlineColor="0" isDashBoardSheet="0" isDbDashBoardSheet="0" interlineOnOff="0" isDbSheet="0" isFlexPaperSheet="0">
      <cellprotection/>
      <appEtDbRelations/>
    </woSheetProps>
    <woSheetProps sheetStid="68" interlineColor="0" isDashBoardSheet="0" isDbDashBoardSheet="0" interlineOnOff="0" isDbSheet="0" isFlexPaperSheet="0">
      <cellprotection/>
      <appEtDbRelations/>
    </woSheetProps>
    <woSheetProps sheetStid="62" interlineColor="0" isDashBoardSheet="0" isDbDashBoardSheet="0" interlineOnOff="0" isDbSheet="0" isFlexPaperSheet="0">
      <cellprotection/>
      <appEtDbRelations/>
    </woSheetProps>
    <woSheetProps sheetStid="12" interlineColor="0" isDashBoardSheet="0" isDbDashBoardSheet="0" interlineOnOff="0" isDbSheet="0" isFlexPaperSheet="0">
      <cellprotection/>
      <appEtDbRelations/>
    </woSheetProps>
    <woSheetProps sheetStid="61" interlineColor="0" isDashBoardSheet="0" isDbDashBoardSheet="0" interlineOnOff="0" isDbSheet="0" isFlexPaperSheet="0">
      <cellprotection/>
      <appEtDbRelations/>
    </woSheetProps>
    <woSheetProps sheetStid="74" interlineColor="0" isDashBoardSheet="0" isDbDashBoardSheet="0" interlineOnOff="0" isDbSheet="0" isFlexPaperSheet="0">
      <cellprotection/>
      <appEtDbRelations/>
    </woSheetProps>
    <woSheetProps sheetStid="73" interlineColor="0" isDashBoardSheet="0" isDbDashBoardSheet="0" interlineOnOff="0" isDbSheet="0" isFlexPaperSheet="0">
      <cellprotection/>
      <appEtDbRelations/>
    </woSheetProps>
    <woSheetProps sheetStid="1" interlineColor="0" isDashBoardSheet="0" isDbDashBoardSheet="0" interlineOnOff="0" isDbSheet="0" isFlexPaperSheet="0">
      <cellprotection/>
      <appEtDbRelations/>
    </woSheetProps>
    <woSheetProps sheetStid="18" interlineColor="0" isDashBoardSheet="0" isDbDashBoardSheet="0" interlineOnOff="0" isDbSheet="0" isFlexPaperSheet="0">
      <cellprotection/>
      <appEtDbRelations/>
    </woSheetProps>
    <woSheetProps sheetStid="21" interlineColor="0" isDashBoardSheet="0" isDbDashBoardSheet="0" interlineOnOff="0" isDbSheet="0" isFlexPaperSheet="0">
      <cellprotection/>
      <appEtDbRelations/>
    </woSheetProps>
  </woSheetsProps>
  <woBookProps>
    <bookSettings isMergeTasksAutoUpdate="0" isAutoUpdatePaused="0" isInserPicAsAttachment="0" filterType="conn" isFilterShared="1" coreConquerUserId="1210611847"/>
  </woBookProps>
</woProps>
</file>

<file path=customXml/item3.xml><?xml version="1.0" encoding="utf-8"?>
<comments xmlns="https://web.wps.cn/et/2018/main" xmlns:s="http://schemas.openxmlformats.org/spreadsheetml/2006/main">
  <commentList sheetStid="32">
    <commentChains rgbClr="FF0000" s:ref="W4">
      <unresolved>
        <commentChain chainId="e0cf4480a0e80a7650ffe173f4fe0689ad390ff2">
          <item id="69d25dd79dd197e9c57a5514b925d087e8e41a67" isNormal="1">
            <s:text>
              <s:r>
                <s:t xml:space="preserve">批注:
Dell:
6月10日凌晨收到出池邮件
</s:t>
              </s:r>
            </s:text>
          </item>
        </commentChain>
      </unresolved>
      <resolved/>
    </commentChains>
    <commentChains rgbClr="FF0000" s:ref="W13">
      <unresolved>
        <commentChain chainId="6b2d061a9e3ca3d49adbb09a46d5dac7cb8e788d">
          <item id="bb6113633e52ebe62b64923bfb0f2b5d256bc033" isNormal="1">
            <s:text>
              <s:r>
                <s:t xml:space="preserve">批注:
Dell:
6月26日晚上收到出池邮件
</s:t>
              </s:r>
            </s:text>
          </item>
        </commentChain>
      </unresolved>
      <resolved/>
    </commentChains>
  </commentList>
  <commentList sheetStid="66">
    <commentChains rgbClr="FF0000" s:ref="G8">
      <unresolved>
        <commentChain chainId="b0083c561cc315393f85d18ca223e6d8a9ec8f6b">
          <item id="aeea15fd6cbb609829025914e8ba0045389553b8" isNormal="1">
            <s:text>
              <s:r>
                <s:t xml:space="preserve">批注:
20PB原有资源+10PB新建资源
</s:t>
              </s:r>
            </s:text>
          </item>
        </commentChain>
      </unresolved>
      <resolved/>
    </commentChains>
    <commentChains rgbClr="FF0000" s:ref="K8">
      <unresolved>
        <commentChain chainId="e2639fc5bf55df0a81b38efa8df64d6b65a6b5fd">
          <item id="eb8919e485d3cc243c8ced62c8df4b1a1fdde438" isNormal="1">
            <s:text>
              <s:r>
                <s:t xml:space="preserve">批注:
6.2新建10PB
</s:t>
              </s:r>
            </s:text>
          </item>
        </commentChain>
      </unresolved>
      <resolved/>
    </commentChains>
    <commentChains rgbClr="FF0000" s:ref="G9">
      <unresolved>
        <commentChain chainId="4bce0d30bd8f93ce9e39088c84b45c6bacc236c9">
          <item id="47c8cb2b42461ee8c33f6f63ca7467e786247b06" isNormal="1">
            <s:text>
              <s:r>
                <s:t xml:space="preserve">批注:
3PB原有资源+10PB新建资源
</s:t>
              </s:r>
            </s:text>
          </item>
        </commentChain>
      </unresolved>
      <resolved/>
    </commentChains>
    <commentChains rgbClr="FF0000" s:ref="K9">
      <unresolved>
        <commentChain chainId="2c920f2c3f797709d8148fc5943fb6a65943e43c">
          <item id="c277dc1bc058e5bf07b2e8dff74064a3ab6392c0" isNormal="1">
            <s:text>
              <s:r>
                <s:t xml:space="preserve">批注:
6.2新建10PB
</s:t>
              </s:r>
            </s:text>
          </item>
        </commentChain>
      </unresolved>
      <resolved/>
    </commentChains>
  </commentList>
  <commentList sheetStid="10">
    <commentChains rgbClr="FF0000" s:ref="Y2">
      <unresolved>
        <commentChain chainId="c4e796f8eca75c2111ac1c45ff5975eba945dfe5">
          <item id="c1619dfc72ef649bdfe43eac51fa4628879a8eb0" isNormal="1">
            <s:text>
              <s:r>
                <s:t xml:space="preserve">批注:
cmdi:
东莞
</s:t>
              </s:r>
            </s:text>
          </item>
        </commentChain>
      </unresolved>
      <resolved/>
    </commentChains>
    <commentChains rgbClr="FF0000" s:ref="Z2">
      <unresolved>
        <commentChain chainId="9d799e386c3c783628c4a2a38e2dfdcf9ea00469">
          <item id="a8430c45fe723e5350e2898512224617705e84cb" isNormal="1">
            <s:text>
              <s:r>
                <s:t xml:space="preserve">批注:
cmdi:
南基
</s:t>
              </s:r>
            </s:text>
          </item>
        </commentChain>
      </unresolved>
      <resolved/>
    </commentChains>
    <commentChains rgbClr="FF0000" s:ref="AA2">
      <unresolved>
        <commentChain chainId="4a5ef709abf2680557d448774836280a51130464">
          <item id="fe520b97475348ec3e2788b3cd7fe93fe8936774" isNormal="1">
            <s:text>
              <s:r>
                <s:t xml:space="preserve">批注:
cmdi:
凤凰	
</s:t>
              </s:r>
            </s:text>
          </item>
        </commentChain>
      </unresolved>
      <resolved/>
    </commentChains>
    <commentChains rgbClr="FF0000" s:ref="AC2">
      <unresolved>
        <commentChain chainId="52a88e2cd954fddb526b868a0810a286bd4ec378">
          <item id="6effad766ead0d2033e8275b6558d925680acb82" isNormal="1">
            <s:text>
              <s:r>
                <s:t xml:space="preserve">批注:
cmdi:
苏州
</s:t>
              </s:r>
            </s:text>
          </item>
        </commentChain>
      </unresolved>
      <resolved/>
    </commentChains>
    <commentChains rgbClr="FF0000" s:ref="AD2">
      <unresolved>
        <commentChain chainId="4fae807e3d93d9de4890bf01d88116177441a764">
          <item id="c765d79553bd87c133d2fbc6a1f07c9aeb42de72" isNormal="1">
            <s:text>
              <s:r>
                <s:t xml:space="preserve">批注:
cmdi:
无锡
</s:t>
              </s:r>
            </s:text>
          </item>
        </commentChain>
      </unresolved>
      <resolved/>
    </commentChains>
    <commentChains rgbClr="FF0000" s:ref="AE2">
      <unresolved>
        <commentChain chainId="de602fc9c4574d1bfd9fabc510d4c9f0072ec165">
          <item id="03fbb1be0f9cba50923e8a02fa9f094a9bce84ac" isNormal="1">
            <s:text>
              <s:r>
                <s:t xml:space="preserve">批注:
cmdi:
凤凰
</s:t>
              </s:r>
            </s:text>
          </item>
        </commentChain>
      </unresolved>
      <resolved/>
    </commentChains>
    <commentChains rgbClr="FF0000" s:ref="AH2">
      <unresolved>
        <commentChain chainId="26e2295a961e2c0c8314268229c5e5e5429d259b">
          <item id="e824a49af41344da8be12f149c874f3b0425c9bd" isNormal="1">
            <s:text>
              <s:r>
                <s:t xml:space="preserve">批注:
cmdi:
三台
</s:t>
              </s:r>
            </s:text>
          </item>
        </commentChain>
      </unresolved>
      <resolved/>
    </commentChains>
    <commentChains rgbClr="FF0000" s:ref="AI2">
      <unresolved>
        <commentChain chainId="fafa9d420922cbb396b1a7a127d582481513f59f">
          <item id="fd34612574ad40ed870c42879fc5fc51450af1d7" isNormal="1">
            <s:text>
              <s:r>
                <s:t xml:space="preserve">批注:
cmdi:
新北基(国际信息港)
</s:t>
              </s:r>
            </s:text>
          </item>
        </commentChain>
      </unresolved>
      <resolved/>
    </commentChains>
    <commentChains rgbClr="FF0000" s:ref="AJ2">
      <unresolved>
        <commentChain chainId="e8532999504ef8d9932a4a2ce3bb42131fd17b4e">
          <item id="5de3d45b3f74f8f3a62d2a9dd75c06ee7be2817b" isNormal="1">
            <s:text>
              <s:r>
                <s:t xml:space="preserve">批注:
cmdi:
待定
</s:t>
              </s:r>
            </s:text>
          </item>
        </commentChain>
      </unresolved>
      <resolved/>
    </commentChains>
    <commentChains rgbClr="FF0000" s:ref="AK2">
      <unresolved>
        <commentChain chainId="e10d33a6812189c2fb4dbb953f74631e62e8cb96">
          <item id="5e446f273f9151719e40421d619f5e82b6d1ffef" isNormal="1">
            <s:text>
              <s:r>
                <s:t xml:space="preserve">批注:
cmdi:
雅安
</s:t>
              </s:r>
            </s:text>
          </item>
          <item userName="〔り著迷、" dateTime="2023-07-10T12:18:15" id="9219817c3ca6dd42aa791c8c1d8b86583f2ac648" userID="583074364" isNormal="0">
            <s:text>
              <s:r>
                <s:t xml:space="preserve">集群一300台，集群二200台</s:t>
              </s:r>
            </s:text>
          </item>
        </commentChain>
      </unresolved>
      <resolved/>
    </commentChains>
    <commentChains rgbClr="FF0000" s:ref="AW2">
      <unresolved>
        <commentChain chainId="208844d4a218ed1c2c0ef044a54745f9597fce58">
          <item id="10bc14839d246951c549b05a6deafbf203e5d883" isNormal="1">
            <s:text>
              <s:r>
                <s:t xml:space="preserve">批注:
Dell:
雅安扩容需求部门：SRE
</s:t>
              </s:r>
            </s:text>
          </item>
        </commentChain>
      </unresolved>
      <resolved/>
    </commentChains>
    <commentChains rgbClr="FF0000" s:ref="AK3">
      <unresolved>
        <commentChain chainId="060153f5d47df5ca4ea1ae577fd2ba45bc172a4d">
          <item userName="〔り著迷、" dateTime="2023-07-10T12:18:47" id="5b61902e05705ae6ec0a7a415d3d0feaf130c8ae" userID="583074364" isNormal="0">
            <s:text>
              <s:r>
                <s:t xml:space="preserve">集群一15台，集群二10台</s:t>
              </s:r>
            </s:text>
          </item>
        </commentChain>
      </unresolved>
      <resolved/>
    </commentChains>
    <commentChains rgbClr="FF0000" s:ref="AW3">
      <unresolved>
        <commentChain chainId="09dacfec7312345927edfe1347712e8bfe009bd0">
          <item id="627d10d4e2c2ca01edb52fe65b98f53210c0adff" isNormal="1">
            <s:text>
              <s:r>
                <s:t xml:space="preserve">批注:
Dell:
雅安扩容需求部门：SRE
</s:t>
              </s:r>
            </s:text>
          </item>
        </commentChain>
      </unresolved>
      <resolved/>
    </commentChains>
    <commentChains rgbClr="FF0000" s:ref="AK4">
      <unresolved>
        <commentChain chainId="39ae9c18d262587f238777f8aaa6b036007125b4">
          <item userName="〔り著迷、" dateTime="2023-07-10T12:19:12" id="b5647e35484eb31a604d96d2943b50c5330a43ad" userID="583074364" isNormal="0">
            <s:text>
              <s:r>
                <s:t xml:space="preserve">集群一21台，集群二15台</s:t>
              </s:r>
            </s:text>
          </item>
        </commentChain>
      </unresolved>
      <resolved/>
    </commentChains>
    <commentChains rgbClr="FF0000" s:ref="AW4">
      <unresolved>
        <commentChain chainId="70c7f9dadb4baee09741a9b8b6ed67e4ef0947e0">
          <item id="a9f18ae5d9831792b8a6e574f0b5cb464d18f09f" isNormal="1">
            <s:text>
              <s:r>
                <s:t xml:space="preserve">批注:
Dell:
雅安扩容需求部门：SRE
</s:t>
              </s:r>
            </s:text>
          </item>
        </commentChain>
      </unresolved>
      <resolved/>
    </commentChains>
    <commentChains rgbClr="FF0000" s:ref="AK5">
      <unresolved>
        <commentChain chainId="15409300a3eb1aae67f01f39344f5e3249787a3d">
          <item userName="〔り著迷、" dateTime="2023-07-10T12:19:31" id="fc49b137739f89f6ea2796def3719334e1f27f9f" userID="583074364" isNormal="0">
            <s:text>
              <s:r>
                <s:t xml:space="preserve">集群一3台，集群二3台</s:t>
              </s:r>
            </s:text>
          </item>
        </commentChain>
      </unresolved>
      <resolved/>
    </commentChains>
    <commentChains rgbClr="FF0000" s:ref="AW5">
      <unresolved>
        <commentChain chainId="e25870e72c05f3749b2e68d60151340ad1ff5088">
          <item id="c0dbf26f39be6274d57a2518a30a101d48216c31" isNormal="1">
            <s:text>
              <s:r>
                <s:t xml:space="preserve">批注:
Dell:
雅安扩容需求部门：SRE
</s:t>
              </s:r>
            </s:text>
          </item>
        </commentChain>
      </unresolved>
      <resolved/>
    </commentChains>
    <commentChains rgbClr="FF0000" s:ref="AK6">
      <unresolved>
        <commentChain chainId="2c02e1c0781a74cde1be177f6a7d091427a8ad09">
          <item userName="〔り著迷、" dateTime="2023-07-10T12:21:33" id="5a4617dbd4054b7148ea97c36ed693c96021c8dc" userID="583074364" isNormal="0">
            <s:text>
              <s:r>
                <s:t xml:space="preserve">集群一18台，集群二12台</s:t>
              </s:r>
            </s:text>
          </item>
        </commentChain>
      </unresolved>
      <resolved/>
    </commentChains>
    <commentChains rgbClr="FF0000" s:ref="AW6">
      <unresolved>
        <commentChain chainId="77ccf44294e29dcc25f96702c8d1ae399d61cecb">
          <item id="d0487e0eb6332436670a589a5c9d4d421235b32d" isNormal="1">
            <s:text>
              <s:r>
                <s:t xml:space="preserve">批注:
Dell:
雅安扩容需求部门：SRE
</s:t>
              </s:r>
            </s:text>
          </item>
        </commentChain>
      </unresolved>
      <resolved/>
    </commentChains>
    <commentChains rgbClr="FF0000" s:ref="AK7">
      <unresolved>
        <commentChain chainId="dd4004c05ea10b29889a3f24b19562195c62b468">
          <item userName="〔り著迷、" dateTime="2023-07-10T12:22:18" id="d03801f020c53379c901035d3b5988e0e77602d7" userID="583074364" isNormal="0">
            <s:text>
              <s:r>
                <s:t xml:space="preserve">集群一9台，集群二8台</s:t>
              </s:r>
            </s:text>
          </item>
        </commentChain>
      </unresolved>
      <resolved/>
    </commentChains>
    <commentChains rgbClr="FF0000" s:ref="AM7">
      <unresolved>
        <commentChain chainId="8f6fd46d301d199df2342e042e90dfab6046f0d2">
          <item userName="〔り著迷、" dateTime="2023-07-18T01:43:20" id="a4764131b525199d2f5a96de7d3d2fe7d02b4cd1" userID="583074364" isNormal="0">
            <s:text>
              <s:r>
                <s:t xml:space="preserve">结合大集群的思路，减少后期扩容对现网业务造成的影响，优先部署全量的RGW</s:t>
              </s:r>
            </s:text>
          </item>
        </commentChain>
      </unresolved>
      <resolved/>
    </commentChains>
    <commentChains rgbClr="FF0000" s:ref="AW7">
      <unresolved>
        <commentChain chainId="1c683e3af919df5ca4e7be52c9b91c1f4ba7c171">
          <item id="12906aa467a561bfd50e0112706d2ee092275c35" isNormal="1">
            <s:text>
              <s:r>
                <s:t xml:space="preserve">批注:
Dell:
雅安扩容需求部门：SRE
</s:t>
              </s:r>
            </s:text>
          </item>
        </commentChain>
      </unresolved>
      <resolved/>
    </commentChains>
    <commentChains rgbClr="FF0000" s:ref="AK8">
      <unresolved>
        <commentChain chainId="f217b1a5c6decf64806fe38bd25a22d74e98b28c">
          <item userName="〔り著迷、" dateTime="2023-07-10T12:23:06" id="f9f416619c2bf93c3426b99d264070266717cd7c" userID="583074364" isNormal="0">
            <s:text>
              <s:r>
                <s:t xml:space="preserve">集群一12台，集群二8台</s:t>
              </s:r>
            </s:text>
          </item>
        </commentChain>
      </unresolved>
      <resolved/>
    </commentChains>
    <commentChains rgbClr="FF0000" s:ref="AM8">
      <unresolved>
        <commentChain chainId="055449735b0fba5e014cdb824e6421e00d0ed383">
          <item userName="〔り著迷、" dateTime="2023-07-18T01:39:44" id="c261dd50588ecb4e2d031bb4ae2b15ee19f85978" userID="583074364" isNormal="0">
            <s:text>
              <s:r>
                <s:t xml:space="preserve">结合大集群的思路，单pod核心下G3集群的上限是90PB，避免后期扩容时，原机房不能扩容，服务器网卡100G模块无法采购单模，本期按照90PB提前部署SLB服务器</s:t>
              </s:r>
            </s:text>
          </item>
        </commentChain>
      </unresolved>
      <resolved/>
    </commentChains>
    <commentChains rgbClr="FF0000" s:ref="AW8">
      <unresolved>
        <commentChain chainId="9d4da50b665b7e31cefc3ae19863d8d5f9719f40">
          <item id="521bf5a0012fe6e910cecdac92ee4aef228d99d5" isNormal="1">
            <s:text>
              <s:r>
                <s:t xml:space="preserve">批注:
Dell:
雅安扩容需求部门：SRE
</s:t>
              </s:r>
            </s:text>
          </item>
        </commentChain>
      </unresolved>
      <resolved/>
    </commentChains>
  </commentList>
  <commentList sheetStid="12">
    <commentChains rgbClr="FF0000" s:ref="B11">
      <unresolved>
        <commentChain chainId="5d9e02524d99d717ef41957dc8f66999609eb105">
          <item id="3b684bffa5886ba8512b88d6e93d8f8c893c93fa" isNormal="1">
            <s:text>
              <s:r>
                <s:t xml:space="preserve">批注:
Dell:
杭研
</s:t>
              </s:r>
            </s:text>
          </item>
        </commentChain>
      </unresolved>
      <resolved/>
    </commentChains>
    <commentChains rgbClr="FF0000" s:ref="B12">
      <unresolved>
        <commentChain chainId="a9a7a8455aaec9a4b23af8a2893aa3cc955fec63">
          <item id="634d3a61aa0d0cc64866cbc25fa477295346e6e4" isNormal="1">
            <s:text>
              <s:r>
                <s:t xml:space="preserve">批注:
Dell:
非杭研
</s:t>
              </s:r>
            </s:text>
          </item>
        </commentChain>
      </unresolved>
      <resolved/>
    </commentChains>
  </commentList>
  <commentList sheetStid="74">
    <commentChains rgbClr="FF0000" s:ref="B15">
      <unresolved>
        <commentChain chainId="088908c34b135e4d0b6e2cfbecf1d224dc06430f">
          <item id="ff4de6b6088b91d6a55e1ff51967014464fe8504" isNormal="1">
            <s:text>
              <s:r>
                <s:t xml:space="preserve">批注:
Dell:
DPI接入交换机
</s:t>
              </s:r>
            </s:text>
          </item>
        </commentChain>
      </unresolved>
      <resolved/>
    </commentChains>
    <commentChains rgbClr="FF0000" s:ref="B32">
      <unresolved>
        <commentChain chainId="329441aa42a4bf78bd31d51e87244897619178ad">
          <item id="cfe4d12a776d1869165b93de1bfc9b4b52ddde05" isNormal="1">
            <s:text>
              <s:r>
                <s:t xml:space="preserve">批注:
Dell:
华为CE16808
典配3,4（8槽框式）
</s:t>
              </s:r>
            </s:text>
          </item>
        </commentChain>
      </unresolved>
      <resolved/>
    </commentChains>
    <commentChains rgbClr="FF0000" s:ref="G32">
      <unresolved>
        <commentChain chainId="ae42013b13b7fd1d7fd59f1ee9d509e1dc4cd4ad">
          <item id="21c5eedc0060cc674bb2c7b04e60d9288e0cfcac" isNormal="1">
            <s:text>
              <s:r>
                <s:t xml:space="preserve">批注:
Dell:
华为CE16808
典配3,4（8槽框式）
</s:t>
              </s:r>
            </s:text>
          </item>
        </commentChain>
      </unresolved>
      <resolved/>
    </commentChains>
    <commentChains rgbClr="FF0000" s:ref="B52">
      <unresolved>
        <commentChain chainId="5b2b7e8bd12126dcec90fbba7d9c26bb4aa2c97d">
          <item id="b7c4bc9562e88db6c1bbdd256dde820cd3dc676f" isNormal="1">
            <s:text>
              <s:r>
                <s:t xml:space="preserve">批注:
高端路由器4档
华为NE40E-X8A
</s:t>
              </s:r>
            </s:text>
          </item>
        </commentChain>
      </unresolved>
      <resolved/>
    </commentChains>
    <commentChains rgbClr="FF0000" s:ref="B69">
      <unresolved>
        <commentChain chainId="35ee5537455fe8fc1b7ffa61ece4bfdd06338e93">
          <item id="f6604ac48dc7da6fa0d2df622acfcdd317a99664" isNormal="1">
            <s:text>
              <s:r>
                <s:t xml:space="preserve">批注:
Dell:
典配1,2(16槽框式)
</s:t>
              </s:r>
            </s:text>
          </item>
        </commentChain>
      </unresolved>
      <resolved/>
    </commentChains>
    <commentChains rgbClr="FF0000" s:ref="G69">
      <unresolved>
        <commentChain chainId="587f03fd74005205e704dae4748b7e9ed59fe9e8">
          <item id="1f21ac2c68f21b75dd8b253fd879dd299083cf65" isNormal="1">
            <s:text>
              <s:r>
                <s:t xml:space="preserve">批注:
Dell:
典配1,2(16槽框式)
</s:t>
              </s:r>
            </s:text>
          </item>
        </commentChain>
      </unresolved>
      <resolved/>
    </commentChains>
    <commentChains rgbClr="FF0000" s:ref="L69">
      <unresolved>
        <commentChain chainId="a4bef0838c1744836d9d23441a2ab0d4d5762305">
          <item id="d5da1e53a7801beda37d8a31713c183ff46252b8" isNormal="1">
            <s:text>
              <s:r>
                <s:t xml:space="preserve">批注:
Dell:
典配1,2(16槽框式)
</s:t>
              </s:r>
            </s:text>
          </item>
        </commentChain>
      </unresolved>
      <resolved/>
    </commentChains>
  </commentList>
  <commentList sheetStid="21">
    <commentChains rgbClr="FF0000" s:ref="L10">
      <unresolved>
        <commentChain chainId="9f4e8670135fcd60e8dfa4913587fea95c619433">
          <item id="9e21b4b1587d1f27af55d20adce43124ae0db588" isNormal="1">
            <s:text>
              <s:r>
                <s:t xml:space="preserve">批注:
Dell:
1、主备部署
2、系统预留0.85
3、服务器数量需求=需求核数/系统预留*主备/单台服务器提供核数。对于不满足10台的资源池，根据建设的最小步长，暂定为10台。
</s:t>
              </s:r>
            </s:text>
          </item>
        </commentChain>
      </unresolved>
      <resolved/>
    </commentChains>
    <commentChains rgbClr="FF0000" s:ref="L26">
      <unresolved>
        <commentChain chainId="73a28402a05e1a89ab962783cbb7fbc401467ecd">
          <item id="465b908c9360cba66e7fb3fdd5fa2137210a50cb" isNormal="1">
            <s:text>
              <s:r>
                <s:t xml:space="preserve">批注:
Dell:
实际需求8台，考虑备机建议10台
</s:t>
              </s:r>
            </s:text>
          </item>
        </commentChain>
      </unresolved>
      <resolved/>
    </commentChains>
  </commentList>
</comments>
</file>

<file path=customXml/item4.xml><?xml version="1.0" encoding="utf-8"?>
<pixelators xmlns="https://web.wps.cn/et/2018/main" xmlns:s="http://schemas.openxmlformats.org/spreadsheetml/2006/main">
  <pixelatorList sheetStid="13"/>
  <pixelatorList sheetStid="32"/>
  <pixelatorList sheetStid="70"/>
  <pixelatorList sheetStid="14"/>
  <pixelatorList sheetStid="66"/>
  <pixelatorList sheetStid="65"/>
  <pixelatorList sheetStid="10"/>
  <pixelatorList sheetStid="67"/>
  <pixelatorList sheetStid="34"/>
  <pixelatorList sheetStid="71"/>
  <pixelatorList sheetStid="72"/>
  <pixelatorList sheetStid="68"/>
  <pixelatorList sheetStid="62"/>
  <pixelatorList sheetStid="12"/>
  <pixelatorList sheetStid="61"/>
  <pixelatorList sheetStid="74"/>
  <pixelatorList sheetStid="73"/>
  <pixelatorList sheetStid="1"/>
  <pixelatorList sheetStid="18"/>
  <pixelatorList sheetStid="21"/>
  <pixelatorList sheetStid="75"/>
</pixelators>
</file>

<file path=customXml/itemProps1.xml><?xml version="1.0" encoding="utf-8"?>
<ds:datastoreItem xmlns:ds="http://schemas.openxmlformats.org/officeDocument/2006/customXml" ds:itemID="{576A6740-A502-43AE-9F28-C9E454320052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版本说明</vt:lpstr>
      <vt:lpstr>1-建设需求标准字段</vt:lpstr>
      <vt:lpstr>2-建设规模换算</vt:lpstr>
      <vt:lpstr>3-投资简表</vt:lpstr>
      <vt:lpstr>4-组网模型</vt:lpstr>
      <vt:lpstr>5-机柜装架</vt:lpstr>
      <vt:lpstr>服务器模型-勿动</vt:lpstr>
      <vt:lpstr>网络设备模型-勿动</vt:lpstr>
      <vt:lpstr>机柜装架规则-勿动</vt:lpstr>
      <vt:lpstr>价格计算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闫泽润</cp:lastModifiedBy>
  <dcterms:created xsi:type="dcterms:W3CDTF">2023-01-17T20:31:00Z</dcterms:created>
  <dcterms:modified xsi:type="dcterms:W3CDTF">2025-08-19T09:34:45Z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2052-12.1.0.22215</vt:lpwstr>
  </property>
  <property fmtid="{D5CDD505-2E9C-101B-9397-08002B2CF9AE}" pid="3" name="KSOReadingLayout">
    <vt:bool>true</vt:bool>
  </property>
  <property fmtid="{D5CDD505-2E9C-101B-9397-08002B2CF9AE}" pid="4" name="ICV">
    <vt:lpwstr>15A5C348C5B240B2A9EE212CD3F9F9BA_13</vt:lpwstr>
  </property>
</Properties>
</file>