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60" windowHeight="6090" activeTab="1"/>
  </bookViews>
  <sheets>
    <sheet name="Kalkulasi" sheetId="1" r:id="rId1"/>
    <sheet name="hanya pembetulan letak" sheetId="2" r:id="rId2"/>
  </sheets>
  <calcPr calcId="145621"/>
</workbook>
</file>

<file path=xl/calcChain.xml><?xml version="1.0" encoding="utf-8"?>
<calcChain xmlns="http://schemas.openxmlformats.org/spreadsheetml/2006/main">
  <c r="M34" i="2" l="1"/>
  <c r="L34" i="2"/>
  <c r="K34" i="2"/>
  <c r="J34" i="2"/>
  <c r="I34" i="2"/>
  <c r="H34" i="2"/>
  <c r="G34" i="2"/>
  <c r="F34" i="2"/>
  <c r="E34" i="2"/>
  <c r="D34" i="2"/>
  <c r="C34" i="2"/>
  <c r="M30" i="2"/>
  <c r="L30" i="2"/>
  <c r="K30" i="2"/>
  <c r="J30" i="2"/>
  <c r="I30" i="2"/>
  <c r="H30" i="2"/>
  <c r="G30" i="2"/>
  <c r="F30" i="2"/>
  <c r="E30" i="2"/>
  <c r="D30" i="2"/>
  <c r="C30" i="2"/>
  <c r="M29" i="2"/>
  <c r="L29" i="2"/>
  <c r="K29" i="2"/>
  <c r="J29" i="2"/>
  <c r="I29" i="2"/>
  <c r="H29" i="2"/>
  <c r="G29" i="2"/>
  <c r="F29" i="2"/>
  <c r="E29" i="2"/>
  <c r="D29" i="2"/>
  <c r="C29" i="2"/>
  <c r="C28" i="2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C27" i="2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C26" i="2"/>
  <c r="C23" i="2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M43" i="2"/>
  <c r="L43" i="2"/>
  <c r="K43" i="2"/>
  <c r="J43" i="2"/>
  <c r="I43" i="2"/>
  <c r="H43" i="2"/>
  <c r="G43" i="2"/>
  <c r="F43" i="2"/>
  <c r="E43" i="2"/>
  <c r="D43" i="2"/>
  <c r="C43" i="2"/>
  <c r="C35" i="2" l="1"/>
  <c r="C36" i="2" s="1"/>
  <c r="C24" i="2"/>
  <c r="D26" i="2"/>
  <c r="C39" i="2" l="1"/>
  <c r="C25" i="2"/>
  <c r="C40" i="2" s="1"/>
  <c r="C22" i="2"/>
  <c r="C38" i="2" s="1"/>
  <c r="D35" i="2"/>
  <c r="E26" i="2"/>
  <c r="D24" i="2"/>
  <c r="C41" i="2" l="1"/>
  <c r="C42" i="2"/>
  <c r="D39" i="2"/>
  <c r="D25" i="2"/>
  <c r="D40" i="2" s="1"/>
  <c r="D22" i="2"/>
  <c r="D38" i="2" s="1"/>
  <c r="F26" i="2"/>
  <c r="E24" i="2"/>
  <c r="E35" i="2"/>
  <c r="D36" i="2"/>
  <c r="C44" i="2" l="1"/>
  <c r="C45" i="2" s="1"/>
  <c r="C46" i="2" s="1"/>
  <c r="C47" i="2" s="1"/>
  <c r="E36" i="2"/>
  <c r="D42" i="2"/>
  <c r="D41" i="2"/>
  <c r="E39" i="2"/>
  <c r="E25" i="2"/>
  <c r="E40" i="2" s="1"/>
  <c r="E22" i="2"/>
  <c r="E38" i="2" s="1"/>
  <c r="F24" i="2"/>
  <c r="F35" i="2"/>
  <c r="G26" i="2"/>
  <c r="D44" i="2" l="1"/>
  <c r="D45" i="2" s="1"/>
  <c r="D46" i="2" s="1"/>
  <c r="D47" i="2" s="1"/>
  <c r="C49" i="2"/>
  <c r="C50" i="2" s="1"/>
  <c r="C48" i="2"/>
  <c r="G35" i="2"/>
  <c r="H26" i="2"/>
  <c r="G24" i="2"/>
  <c r="F36" i="2"/>
  <c r="F25" i="2"/>
  <c r="F40" i="2" s="1"/>
  <c r="F22" i="2"/>
  <c r="F38" i="2" s="1"/>
  <c r="F39" i="2"/>
  <c r="E41" i="2"/>
  <c r="E42" i="2"/>
  <c r="E44" i="2" l="1"/>
  <c r="E45" i="2" s="1"/>
  <c r="E46" i="2" s="1"/>
  <c r="E47" i="2" s="1"/>
  <c r="F41" i="2"/>
  <c r="F42" i="2"/>
  <c r="H35" i="2"/>
  <c r="I26" i="2"/>
  <c r="H24" i="2"/>
  <c r="D48" i="2"/>
  <c r="G25" i="2"/>
  <c r="G40" i="2" s="1"/>
  <c r="G22" i="2"/>
  <c r="G38" i="2" s="1"/>
  <c r="G39" i="2"/>
  <c r="G36" i="2"/>
  <c r="F44" i="2" l="1"/>
  <c r="F45" i="2" s="1"/>
  <c r="F46" i="2" s="1"/>
  <c r="E48" i="2"/>
  <c r="E49" i="2" s="1"/>
  <c r="E50" i="2" s="1"/>
  <c r="G41" i="2"/>
  <c r="G42" i="2"/>
  <c r="D49" i="2"/>
  <c r="H25" i="2"/>
  <c r="H40" i="2" s="1"/>
  <c r="H22" i="2"/>
  <c r="H38" i="2" s="1"/>
  <c r="H39" i="2"/>
  <c r="I35" i="2"/>
  <c r="I24" i="2"/>
  <c r="J26" i="2"/>
  <c r="H36" i="2"/>
  <c r="G44" i="2" l="1"/>
  <c r="G45" i="2" s="1"/>
  <c r="G46" i="2" s="1"/>
  <c r="G47" i="2" s="1"/>
  <c r="F47" i="2"/>
  <c r="F48" i="2" s="1"/>
  <c r="F49" i="2" s="1"/>
  <c r="F50" i="2" s="1"/>
  <c r="I25" i="2"/>
  <c r="I40" i="2" s="1"/>
  <c r="I22" i="2"/>
  <c r="I38" i="2" s="1"/>
  <c r="I39" i="2"/>
  <c r="H42" i="2"/>
  <c r="H41" i="2"/>
  <c r="D50" i="2"/>
  <c r="J24" i="2"/>
  <c r="J35" i="2"/>
  <c r="K26" i="2"/>
  <c r="I36" i="2"/>
  <c r="H44" i="2" l="1"/>
  <c r="H45" i="2" s="1"/>
  <c r="H46" i="2" s="1"/>
  <c r="H47" i="2" s="1"/>
  <c r="G48" i="2"/>
  <c r="K35" i="2"/>
  <c r="L26" i="2"/>
  <c r="K24" i="2"/>
  <c r="J25" i="2"/>
  <c r="J40" i="2" s="1"/>
  <c r="J22" i="2"/>
  <c r="J38" i="2" s="1"/>
  <c r="J39" i="2"/>
  <c r="I41" i="2"/>
  <c r="I42" i="2"/>
  <c r="J36" i="2"/>
  <c r="I44" i="2" l="1"/>
  <c r="I45" i="2" s="1"/>
  <c r="I46" i="2" s="1"/>
  <c r="I47" i="2" s="1"/>
  <c r="I48" i="2" s="1"/>
  <c r="H48" i="2"/>
  <c r="J42" i="2"/>
  <c r="J41" i="2"/>
  <c r="G49" i="2"/>
  <c r="M26" i="2"/>
  <c r="L35" i="2"/>
  <c r="L24" i="2"/>
  <c r="K39" i="2"/>
  <c r="K25" i="2"/>
  <c r="K40" i="2" s="1"/>
  <c r="K22" i="2"/>
  <c r="K38" i="2" s="1"/>
  <c r="K36" i="2"/>
  <c r="J44" i="2" l="1"/>
  <c r="J45" i="2" s="1"/>
  <c r="I49" i="2"/>
  <c r="I50" i="2" s="1"/>
  <c r="M35" i="2"/>
  <c r="M24" i="2"/>
  <c r="L39" i="2"/>
  <c r="L25" i="2"/>
  <c r="L40" i="2" s="1"/>
  <c r="L22" i="2"/>
  <c r="L38" i="2" s="1"/>
  <c r="G50" i="2"/>
  <c r="K41" i="2"/>
  <c r="K42" i="2"/>
  <c r="L36" i="2"/>
  <c r="H49" i="2"/>
  <c r="H50" i="2" s="1"/>
  <c r="K44" i="2" l="1"/>
  <c r="K45" i="2" s="1"/>
  <c r="K46" i="2" s="1"/>
  <c r="K47" i="2" s="1"/>
  <c r="K48" i="2" s="1"/>
  <c r="J46" i="2"/>
  <c r="J47" i="2" s="1"/>
  <c r="J48" i="2" s="1"/>
  <c r="J49" i="2" s="1"/>
  <c r="J50" i="2" s="1"/>
  <c r="L42" i="2"/>
  <c r="L41" i="2"/>
  <c r="M36" i="2"/>
  <c r="M39" i="2"/>
  <c r="M25" i="2"/>
  <c r="M40" i="2" s="1"/>
  <c r="M22" i="2"/>
  <c r="M38" i="2" s="1"/>
  <c r="K49" i="2" l="1"/>
  <c r="K50" i="2" s="1"/>
  <c r="L44" i="2"/>
  <c r="L45" i="2" s="1"/>
  <c r="L46" i="2" s="1"/>
  <c r="L47" i="2" s="1"/>
  <c r="L48" i="2" s="1"/>
  <c r="L49" i="2" s="1"/>
  <c r="M41" i="2"/>
  <c r="M42" i="2"/>
  <c r="C57" i="2" l="1"/>
  <c r="M44" i="2"/>
  <c r="M45" i="2" s="1"/>
  <c r="L50" i="2"/>
  <c r="C56" i="2" l="1"/>
  <c r="M46" i="2"/>
  <c r="M47" i="2" s="1"/>
  <c r="M48" i="2" l="1"/>
  <c r="M49" i="2" s="1"/>
  <c r="C53" i="2"/>
  <c r="C52" i="2"/>
  <c r="C54" i="2"/>
  <c r="M50" i="2" l="1"/>
  <c r="K54" i="2" s="1"/>
  <c r="K53" i="2" a="1"/>
  <c r="K53" i="2" s="1"/>
  <c r="K52" i="2" a="1"/>
  <c r="K52" i="2" s="1"/>
  <c r="C55" i="2" l="1"/>
  <c r="C17" i="1" l="1"/>
  <c r="M34" i="1" l="1"/>
  <c r="L34" i="1"/>
  <c r="K34" i="1"/>
  <c r="J34" i="1"/>
  <c r="I34" i="1"/>
  <c r="H34" i="1"/>
  <c r="G34" i="1"/>
  <c r="F34" i="1"/>
  <c r="E34" i="1"/>
  <c r="D34" i="1"/>
  <c r="C34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C27" i="1"/>
  <c r="C24" i="1"/>
  <c r="C26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M20" i="1"/>
  <c r="L20" i="1"/>
  <c r="K20" i="1"/>
  <c r="J20" i="1"/>
  <c r="I20" i="1"/>
  <c r="H20" i="1"/>
  <c r="G20" i="1"/>
  <c r="F20" i="1"/>
  <c r="E20" i="1"/>
  <c r="D20" i="1"/>
  <c r="C20" i="1"/>
  <c r="C25" i="1" l="1"/>
  <c r="C21" i="1"/>
  <c r="C23" i="1" s="1"/>
  <c r="C35" i="1"/>
  <c r="D27" i="1"/>
  <c r="D35" i="1" l="1"/>
  <c r="D24" i="1"/>
  <c r="E27" i="1"/>
  <c r="C19" i="1"/>
  <c r="C18" i="1"/>
  <c r="C32" i="1" s="1"/>
  <c r="C37" i="1" s="1"/>
  <c r="C36" i="1"/>
  <c r="C38" i="1" l="1"/>
  <c r="C39" i="1" s="1"/>
  <c r="E35" i="1"/>
  <c r="F27" i="1"/>
  <c r="E24" i="1"/>
  <c r="D36" i="1"/>
  <c r="D25" i="1"/>
  <c r="D17" i="1" s="1"/>
  <c r="D26" i="1"/>
  <c r="D21" i="1"/>
  <c r="D23" i="1" s="1"/>
  <c r="C41" i="1" l="1"/>
  <c r="C40" i="1"/>
  <c r="G27" i="1"/>
  <c r="F24" i="1"/>
  <c r="F35" i="1"/>
  <c r="D18" i="1"/>
  <c r="D19" i="1"/>
  <c r="D32" i="1" s="1"/>
  <c r="D37" i="1" s="1"/>
  <c r="E26" i="1"/>
  <c r="E25" i="1"/>
  <c r="E17" i="1" s="1"/>
  <c r="E21" i="1"/>
  <c r="E23" i="1" s="1"/>
  <c r="E36" i="1"/>
  <c r="D38" i="1" l="1"/>
  <c r="D39" i="1" s="1"/>
  <c r="F25" i="1"/>
  <c r="F17" i="1" s="1"/>
  <c r="F26" i="1"/>
  <c r="F21" i="1"/>
  <c r="F23" i="1" s="1"/>
  <c r="E19" i="1"/>
  <c r="E18" i="1"/>
  <c r="E32" i="1" s="1"/>
  <c r="E37" i="1" s="1"/>
  <c r="F36" i="1"/>
  <c r="G35" i="1"/>
  <c r="H27" i="1"/>
  <c r="G24" i="1"/>
  <c r="C42" i="1"/>
  <c r="E38" i="1" l="1"/>
  <c r="E39" i="1" s="1"/>
  <c r="H35" i="1"/>
  <c r="H24" i="1"/>
  <c r="I27" i="1"/>
  <c r="D40" i="1"/>
  <c r="G26" i="1"/>
  <c r="G21" i="1"/>
  <c r="G23" i="1" s="1"/>
  <c r="G25" i="1"/>
  <c r="G17" i="1" s="1"/>
  <c r="G36" i="1"/>
  <c r="F18" i="1"/>
  <c r="F19" i="1"/>
  <c r="F32" i="1" s="1"/>
  <c r="F37" i="1" s="1"/>
  <c r="F38" i="1" l="1"/>
  <c r="F39" i="1"/>
  <c r="F40" i="1" s="1"/>
  <c r="F41" i="1" s="1"/>
  <c r="F42" i="1" s="1"/>
  <c r="E40" i="1"/>
  <c r="I35" i="1"/>
  <c r="J27" i="1"/>
  <c r="I24" i="1"/>
  <c r="H36" i="1"/>
  <c r="G19" i="1"/>
  <c r="G18" i="1"/>
  <c r="G32" i="1" s="1"/>
  <c r="G37" i="1" s="1"/>
  <c r="D41" i="1"/>
  <c r="E41" i="1"/>
  <c r="E42" i="1" s="1"/>
  <c r="H25" i="1"/>
  <c r="H17" i="1" s="1"/>
  <c r="H26" i="1"/>
  <c r="H21" i="1"/>
  <c r="H23" i="1" s="1"/>
  <c r="G38" i="1" l="1"/>
  <c r="G39" i="1" s="1"/>
  <c r="H18" i="1"/>
  <c r="H19" i="1"/>
  <c r="H32" i="1" s="1"/>
  <c r="H37" i="1" s="1"/>
  <c r="D42" i="1"/>
  <c r="I26" i="1"/>
  <c r="I25" i="1"/>
  <c r="I17" i="1" s="1"/>
  <c r="I21" i="1"/>
  <c r="I23" i="1" s="1"/>
  <c r="I36" i="1"/>
  <c r="K27" i="1"/>
  <c r="J24" i="1"/>
  <c r="J35" i="1"/>
  <c r="H38" i="1" l="1"/>
  <c r="H39" i="1" s="1"/>
  <c r="H40" i="1" s="1"/>
  <c r="J36" i="1"/>
  <c r="K35" i="1"/>
  <c r="L27" i="1"/>
  <c r="K24" i="1"/>
  <c r="G40" i="1"/>
  <c r="J25" i="1"/>
  <c r="J17" i="1" s="1"/>
  <c r="J26" i="1"/>
  <c r="J21" i="1"/>
  <c r="J23" i="1" s="1"/>
  <c r="I19" i="1"/>
  <c r="I18" i="1"/>
  <c r="I32" i="1" l="1"/>
  <c r="I37" i="1" s="1"/>
  <c r="I38" i="1" s="1"/>
  <c r="I39" i="1" s="1"/>
  <c r="L35" i="1"/>
  <c r="L24" i="1"/>
  <c r="M27" i="1"/>
  <c r="J18" i="1"/>
  <c r="J19" i="1"/>
  <c r="J32" i="1" s="1"/>
  <c r="J37" i="1" s="1"/>
  <c r="G41" i="1"/>
  <c r="H41" i="1"/>
  <c r="H42" i="1" s="1"/>
  <c r="K26" i="1"/>
  <c r="K21" i="1"/>
  <c r="K23" i="1" s="1"/>
  <c r="K25" i="1"/>
  <c r="K17" i="1" s="1"/>
  <c r="K36" i="1"/>
  <c r="J38" i="1" l="1"/>
  <c r="J39" i="1" s="1"/>
  <c r="J40" i="1" s="1"/>
  <c r="I40" i="1"/>
  <c r="L25" i="1"/>
  <c r="L17" i="1" s="1"/>
  <c r="L26" i="1"/>
  <c r="L21" i="1"/>
  <c r="L23" i="1" s="1"/>
  <c r="K19" i="1"/>
  <c r="K18" i="1"/>
  <c r="K32" i="1" s="1"/>
  <c r="K37" i="1" s="1"/>
  <c r="G42" i="1"/>
  <c r="M35" i="1"/>
  <c r="M24" i="1"/>
  <c r="L36" i="1"/>
  <c r="K38" i="1" l="1"/>
  <c r="K39" i="1" s="1"/>
  <c r="K40" i="1" s="1"/>
  <c r="K41" i="1" s="1"/>
  <c r="K42" i="1" s="1"/>
  <c r="M36" i="1"/>
  <c r="L18" i="1"/>
  <c r="L19" i="1"/>
  <c r="M26" i="1"/>
  <c r="M25" i="1"/>
  <c r="M17" i="1" s="1"/>
  <c r="M21" i="1"/>
  <c r="M23" i="1" s="1"/>
  <c r="J41" i="1"/>
  <c r="J42" i="1" s="1"/>
  <c r="I41" i="1"/>
  <c r="L32" i="1" l="1"/>
  <c r="L37" i="1" s="1"/>
  <c r="L38" i="1"/>
  <c r="L39" i="1"/>
  <c r="L40" i="1" s="1"/>
  <c r="L41" i="1" s="1"/>
  <c r="L42" i="1" s="1"/>
  <c r="I42" i="1"/>
  <c r="M19" i="1"/>
  <c r="M18" i="1"/>
  <c r="M32" i="1" s="1"/>
  <c r="M37" i="1" l="1"/>
  <c r="C50" i="1"/>
  <c r="C52" i="1"/>
  <c r="M38" i="1" l="1"/>
  <c r="M39" i="1" s="1"/>
  <c r="M40" i="1" l="1"/>
  <c r="M41" i="1" s="1"/>
  <c r="C46" i="1"/>
  <c r="C45" i="1"/>
  <c r="C44" i="1"/>
  <c r="M42" i="1" l="1"/>
  <c r="K46" i="1" s="1"/>
  <c r="K45" i="1" a="1"/>
  <c r="K45" i="1" s="1"/>
  <c r="K44" i="1" a="1"/>
  <c r="K44" i="1" s="1"/>
  <c r="C49" i="1" l="1"/>
</calcChain>
</file>

<file path=xl/sharedStrings.xml><?xml version="1.0" encoding="utf-8"?>
<sst xmlns="http://schemas.openxmlformats.org/spreadsheetml/2006/main" count="126" uniqueCount="64">
  <si>
    <t>Input Variable Model</t>
  </si>
  <si>
    <t>Jumlah Kendaraan Full EV pada tahun baseline</t>
  </si>
  <si>
    <t>Jumlah Kendaraan Hybrid EV pada tahun baseline</t>
  </si>
  <si>
    <t>Frekuensi charging Full EV per hari</t>
  </si>
  <si>
    <t>Frekuensi charging Hybrid EV per hari</t>
  </si>
  <si>
    <t>Rasio SPKLU Banding BEV, 1:N</t>
  </si>
  <si>
    <t>Kapasitas pengisian 1 kendaraan listrik (kWh)</t>
  </si>
  <si>
    <t>Jumlah Konektor</t>
  </si>
  <si>
    <t>Pertumbuhan Tahunan Kendaraan EV</t>
  </si>
  <si>
    <t>Pertumbuhan Tahunan Kendaraan Hybrid EV</t>
  </si>
  <si>
    <t>Harga 1 SPKLU</t>
  </si>
  <si>
    <t>Subsidi energi Persen</t>
  </si>
  <si>
    <t>Rasio harga beli listrik PLN (Q, Rp 707 x Q)</t>
  </si>
  <si>
    <t>Rasio harga jual listrik SPKLU (N, Rp 1650 x N)</t>
  </si>
  <si>
    <t>Rugi-rugi dan kebutuhan daya pendukung</t>
  </si>
  <si>
    <t>Durasi penggunaan EVSE/hari (h)</t>
  </si>
  <si>
    <t>Biaya Sewa Lahan</t>
  </si>
  <si>
    <t>&gt;&gt; Spesifikasi daya luaran konektor 1 (kW)</t>
  </si>
  <si>
    <t>&gt;&gt; Spesifikasi daya luaran konektor 2 (kW)</t>
  </si>
  <si>
    <t>Tahun</t>
  </si>
  <si>
    <t>Tahun ke-</t>
  </si>
  <si>
    <t>Expense (in kIDR)</t>
  </si>
  <si>
    <t>Infrastructure Expense (in kIDR)</t>
  </si>
  <si>
    <t xml:space="preserve">   Biaya Operasional</t>
  </si>
  <si>
    <t xml:space="preserve">   Biaya Pemasaran</t>
  </si>
  <si>
    <t xml:space="preserve">   Biaya Tak Terduga</t>
  </si>
  <si>
    <t xml:space="preserve">   Kebutuhan Energi harian (KWH)</t>
  </si>
  <si>
    <t xml:space="preserve">   Harga Energi (Rp/KwH)</t>
  </si>
  <si>
    <t xml:space="preserve">   Biaya Energy Tahunan</t>
  </si>
  <si>
    <t xml:space="preserve">   SPKLU Baru</t>
  </si>
  <si>
    <t xml:space="preserve">   Biaya Operasi SPKLU, Gaji Pegawai Pertahun</t>
  </si>
  <si>
    <t xml:space="preserve">   ? Populasi Kendaraan Listrik</t>
  </si>
  <si>
    <t xml:space="preserve">   ? Populasi Kendaraan Hybrid (Gaikindo)</t>
  </si>
  <si>
    <t xml:space="preserve">   ? Biaya Charging</t>
  </si>
  <si>
    <t xml:space="preserve">   ? Frekuensi Charging Full EV harian</t>
  </si>
  <si>
    <t xml:space="preserve">   ? Frekuensi Charging Hybrid harian</t>
  </si>
  <si>
    <t xml:space="preserve">   Total Expense (inflated)</t>
  </si>
  <si>
    <t>Income (In kIDR)</t>
  </si>
  <si>
    <t xml:space="preserve">   Pendapatan Kontrak</t>
  </si>
  <si>
    <t xml:space="preserve">   Pendapatan Layanan</t>
  </si>
  <si>
    <t xml:space="preserve">   Revenue (inflated)</t>
  </si>
  <si>
    <t>Gross Profit (In kIDR)</t>
  </si>
  <si>
    <t>Tax</t>
  </si>
  <si>
    <t>Cash Flow</t>
  </si>
  <si>
    <t>Discounted Cash Flow</t>
  </si>
  <si>
    <t>Cummulative Flow</t>
  </si>
  <si>
    <t>Payback Period</t>
  </si>
  <si>
    <t>First Break Even</t>
  </si>
  <si>
    <t>Last loss</t>
  </si>
  <si>
    <t>Loss Years</t>
  </si>
  <si>
    <t>Net Present Value</t>
  </si>
  <si>
    <t>xRp 1000</t>
  </si>
  <si>
    <t>IRR</t>
  </si>
  <si>
    <t>MIRR</t>
  </si>
  <si>
    <t>Discount Rate</t>
  </si>
  <si>
    <t>Payback Periode</t>
  </si>
  <si>
    <t>Profitability Index</t>
  </si>
  <si>
    <t>Inflation Rate</t>
  </si>
  <si>
    <t>Break Event Point (BEP)</t>
  </si>
  <si>
    <t>xRp 1000 (Nilai Penjualan)</t>
  </si>
  <si>
    <t xml:space="preserve">   ? Jumlah SPKLU*brp sebenarnya (% dari jumlah BEV)</t>
  </si>
  <si>
    <t>Biaya investasi lahan dan bangunan</t>
  </si>
  <si>
    <t>Revenue (In kIDR)</t>
  </si>
  <si>
    <t>Total Expense (inflated)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</si>
</sst>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43" fontId="5" fillId="0" borderId="0" xfId="0" applyNumberFormat="1" applyFont="1"/>
    <xf numFmtId="164" fontId="6" fillId="0" borderId="0" xfId="0" applyNumberFormat="1" applyFont="1"/>
    <xf numFmtId="9" fontId="7" fillId="0" borderId="0" xfId="0" applyNumberFormat="1" applyFont="1"/>
    <xf numFmtId="165" fontId="8" fillId="0" borderId="0" xfId="0" applyNumberFormat="1" applyFont="1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0" fillId="2" borderId="0" xfId="0" applyFill="1"/>
    <xf numFmtId="43" fontId="2" fillId="2" borderId="0" xfId="1" applyFont="1" applyFill="1" applyAlignment="1">
      <alignment horizontal="center" vertical="center"/>
    </xf>
    <xf numFmtId="0" fontId="11" fillId="0" borderId="0" xfId="0" applyFont="1"/>
    <xf numFmtId="0" fontId="10" fillId="0" borderId="0" xfId="0" applyFont="1"/>
    <xf numFmtId="43" fontId="12" fillId="0" borderId="0" xfId="0" applyNumberFormat="1" applyFont="1"/>
    <xf numFmtId="0" fontId="13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topLeftCell="A16" workbookViewId="0">
      <selection activeCell="C44" sqref="C44"/>
    </sheetView>
  </sheetViews>
  <sheetFormatPr defaultRowHeight="14.5"/>
  <cols>
    <col min="2" max="2" width="46.81640625" customWidth="1"/>
    <col min="3" max="13" width="15.54296875" customWidth="1"/>
  </cols>
  <sheetData>
    <row r="2" spans="2:13">
      <c r="B2" s="10" t="s">
        <v>0</v>
      </c>
      <c r="C2" s="11"/>
      <c r="D2" s="11"/>
      <c r="E2" s="11"/>
      <c r="F2" s="11"/>
      <c r="G2" s="11"/>
    </row>
    <row r="3" spans="2:13">
      <c r="B3" s="1" t="s">
        <v>1</v>
      </c>
      <c r="C3" s="2">
        <v>600</v>
      </c>
      <c r="D3" s="12" t="s">
        <v>8</v>
      </c>
      <c r="E3" s="11"/>
      <c r="F3" s="11"/>
      <c r="G3" s="3">
        <v>0.23</v>
      </c>
    </row>
    <row r="4" spans="2:13">
      <c r="B4" s="1" t="s">
        <v>2</v>
      </c>
      <c r="C4" s="2">
        <v>0</v>
      </c>
      <c r="D4" s="12" t="s">
        <v>9</v>
      </c>
      <c r="E4" s="11"/>
      <c r="F4" s="11"/>
      <c r="G4" s="3">
        <v>0</v>
      </c>
    </row>
    <row r="5" spans="2:13">
      <c r="B5" s="1" t="s">
        <v>3</v>
      </c>
      <c r="C5" s="2">
        <v>1</v>
      </c>
      <c r="D5" s="12" t="s">
        <v>10</v>
      </c>
      <c r="E5" s="11"/>
      <c r="F5" s="11"/>
      <c r="G5" s="4">
        <v>800000000</v>
      </c>
    </row>
    <row r="6" spans="2:13">
      <c r="B6" s="1" t="s">
        <v>4</v>
      </c>
      <c r="C6" s="2">
        <v>0</v>
      </c>
      <c r="D6" s="12" t="s">
        <v>11</v>
      </c>
      <c r="E6" s="11"/>
      <c r="F6" s="11"/>
      <c r="G6" s="3">
        <v>0</v>
      </c>
    </row>
    <row r="7" spans="2:13">
      <c r="B7" s="1" t="s">
        <v>5</v>
      </c>
      <c r="C7" s="2">
        <v>38</v>
      </c>
      <c r="D7" s="12" t="s">
        <v>12</v>
      </c>
      <c r="E7" s="11"/>
      <c r="F7" s="11"/>
      <c r="G7" s="2">
        <v>1.2</v>
      </c>
    </row>
    <row r="8" spans="2:13">
      <c r="B8" s="1" t="s">
        <v>6</v>
      </c>
      <c r="C8" s="2">
        <v>25</v>
      </c>
      <c r="D8" s="12" t="s">
        <v>13</v>
      </c>
      <c r="E8" s="11"/>
      <c r="F8" s="11"/>
      <c r="G8" s="2">
        <v>1.5</v>
      </c>
    </row>
    <row r="9" spans="2:13">
      <c r="B9" s="1" t="s">
        <v>7</v>
      </c>
      <c r="C9" s="2">
        <v>2</v>
      </c>
      <c r="D9" s="12" t="s">
        <v>14</v>
      </c>
      <c r="E9" s="11"/>
      <c r="F9" s="11"/>
      <c r="G9" s="3">
        <v>0.1</v>
      </c>
    </row>
    <row r="10" spans="2:13">
      <c r="B10" s="1" t="s">
        <v>17</v>
      </c>
      <c r="C10" s="2">
        <v>0</v>
      </c>
      <c r="D10" s="12" t="s">
        <v>15</v>
      </c>
      <c r="E10" s="11"/>
      <c r="F10" s="11"/>
      <c r="G10" s="2">
        <v>20</v>
      </c>
    </row>
    <row r="11" spans="2:13">
      <c r="B11" s="1" t="s">
        <v>18</v>
      </c>
      <c r="C11" s="2">
        <v>0</v>
      </c>
      <c r="D11" s="12" t="s">
        <v>16</v>
      </c>
      <c r="E11" s="11"/>
      <c r="F11" s="11"/>
      <c r="G11" s="2">
        <v>0</v>
      </c>
    </row>
    <row r="12" spans="2:13">
      <c r="D12" s="13" t="s">
        <v>61</v>
      </c>
      <c r="E12" s="13"/>
      <c r="F12" s="13"/>
      <c r="G12" s="14">
        <v>550000000</v>
      </c>
    </row>
    <row r="14" spans="2:13">
      <c r="B14" t="s">
        <v>19</v>
      </c>
      <c r="C14">
        <v>2020</v>
      </c>
      <c r="D14">
        <v>2021</v>
      </c>
      <c r="E14">
        <v>2022</v>
      </c>
      <c r="F14">
        <v>2023</v>
      </c>
      <c r="G14">
        <v>2024</v>
      </c>
      <c r="H14">
        <v>2025</v>
      </c>
      <c r="I14">
        <v>2026</v>
      </c>
      <c r="J14">
        <v>2027</v>
      </c>
      <c r="K14">
        <v>2028</v>
      </c>
      <c r="L14">
        <v>2029</v>
      </c>
      <c r="M14">
        <v>2030</v>
      </c>
    </row>
    <row r="15" spans="2:13">
      <c r="B15" t="s">
        <v>20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</row>
    <row r="16" spans="2:13">
      <c r="B16" t="s">
        <v>21</v>
      </c>
    </row>
    <row r="17" spans="2:13">
      <c r="B17" t="s">
        <v>22</v>
      </c>
      <c r="C17" s="4">
        <f>-(550000+$G$5/1000)*C25</f>
        <v>-20250000</v>
      </c>
      <c r="D17" s="4">
        <f t="shared" ref="D17:M17" si="0">-(550000+$G$5/1000)*D25</f>
        <v>-5400000</v>
      </c>
      <c r="E17" s="4">
        <f t="shared" si="0"/>
        <v>-5400000</v>
      </c>
      <c r="F17" s="4">
        <f t="shared" si="0"/>
        <v>-8100000</v>
      </c>
      <c r="G17" s="4">
        <f t="shared" si="0"/>
        <v>-9450000</v>
      </c>
      <c r="H17" s="4">
        <f t="shared" si="0"/>
        <v>-10800000</v>
      </c>
      <c r="I17" s="4">
        <f t="shared" si="0"/>
        <v>-13500000</v>
      </c>
      <c r="J17" s="4">
        <f t="shared" si="0"/>
        <v>-17550000</v>
      </c>
      <c r="K17" s="4">
        <f t="shared" si="0"/>
        <v>-20250000</v>
      </c>
      <c r="L17" s="4">
        <f t="shared" si="0"/>
        <v>-25650000</v>
      </c>
      <c r="M17" s="4">
        <f t="shared" si="0"/>
        <v>-31050000</v>
      </c>
    </row>
    <row r="18" spans="2:13">
      <c r="B18" t="s">
        <v>23</v>
      </c>
      <c r="C18" s="4">
        <f t="shared" ref="C18:M18" si="1">(0.02*C17)+($G$11*C24)</f>
        <v>-405000</v>
      </c>
      <c r="D18" s="4">
        <f t="shared" si="1"/>
        <v>-108000</v>
      </c>
      <c r="E18" s="4">
        <f t="shared" si="1"/>
        <v>-108000</v>
      </c>
      <c r="F18" s="4">
        <f t="shared" si="1"/>
        <v>-162000</v>
      </c>
      <c r="G18" s="4">
        <f t="shared" si="1"/>
        <v>-189000</v>
      </c>
      <c r="H18" s="4">
        <f t="shared" si="1"/>
        <v>-216000</v>
      </c>
      <c r="I18" s="4">
        <f t="shared" si="1"/>
        <v>-270000</v>
      </c>
      <c r="J18" s="4">
        <f t="shared" si="1"/>
        <v>-351000</v>
      </c>
      <c r="K18" s="4">
        <f t="shared" si="1"/>
        <v>-405000</v>
      </c>
      <c r="L18" s="4">
        <f t="shared" si="1"/>
        <v>-513000</v>
      </c>
      <c r="M18" s="4">
        <f t="shared" si="1"/>
        <v>-621000</v>
      </c>
    </row>
    <row r="19" spans="2:13">
      <c r="B19" t="s">
        <v>24</v>
      </c>
      <c r="C19" s="4">
        <f t="shared" ref="C19:M19" si="2">0.02*C17</f>
        <v>-405000</v>
      </c>
      <c r="D19" s="4">
        <f t="shared" si="2"/>
        <v>-108000</v>
      </c>
      <c r="E19" s="4">
        <f t="shared" si="2"/>
        <v>-108000</v>
      </c>
      <c r="F19" s="4">
        <f t="shared" si="2"/>
        <v>-162000</v>
      </c>
      <c r="G19" s="4">
        <f t="shared" si="2"/>
        <v>-189000</v>
      </c>
      <c r="H19" s="4">
        <f t="shared" si="2"/>
        <v>-216000</v>
      </c>
      <c r="I19" s="4">
        <f t="shared" si="2"/>
        <v>-270000</v>
      </c>
      <c r="J19" s="4">
        <f t="shared" si="2"/>
        <v>-351000</v>
      </c>
      <c r="K19" s="4">
        <f t="shared" si="2"/>
        <v>-405000</v>
      </c>
      <c r="L19" s="4">
        <f t="shared" si="2"/>
        <v>-513000</v>
      </c>
      <c r="M19" s="4">
        <f t="shared" si="2"/>
        <v>-621000</v>
      </c>
    </row>
    <row r="20" spans="2:13">
      <c r="B20" t="s">
        <v>25</v>
      </c>
      <c r="C20" s="4">
        <f t="shared" ref="C20:M20" si="3">-100000</f>
        <v>-100000</v>
      </c>
      <c r="D20" s="4">
        <f t="shared" si="3"/>
        <v>-100000</v>
      </c>
      <c r="E20" s="4">
        <f t="shared" si="3"/>
        <v>-100000</v>
      </c>
      <c r="F20" s="4">
        <f t="shared" si="3"/>
        <v>-100000</v>
      </c>
      <c r="G20" s="4">
        <f t="shared" si="3"/>
        <v>-100000</v>
      </c>
      <c r="H20" s="4">
        <f t="shared" si="3"/>
        <v>-100000</v>
      </c>
      <c r="I20" s="4">
        <f t="shared" si="3"/>
        <v>-100000</v>
      </c>
      <c r="J20" s="4">
        <f t="shared" si="3"/>
        <v>-100000</v>
      </c>
      <c r="K20" s="4">
        <f t="shared" si="3"/>
        <v>-100000</v>
      </c>
      <c r="L20" s="4">
        <f t="shared" si="3"/>
        <v>-100000</v>
      </c>
      <c r="M20" s="4">
        <f t="shared" si="3"/>
        <v>-100000</v>
      </c>
    </row>
    <row r="21" spans="2:13">
      <c r="B21" t="s">
        <v>26</v>
      </c>
      <c r="C21" s="4">
        <f t="shared" ref="C21:M21" si="4">C24*$C$7*$C$8*(1+$G$9)</f>
        <v>15675.000000000002</v>
      </c>
      <c r="D21" s="4">
        <f t="shared" si="4"/>
        <v>19855</v>
      </c>
      <c r="E21" s="4">
        <f t="shared" si="4"/>
        <v>24035.000000000004</v>
      </c>
      <c r="F21" s="4">
        <f t="shared" si="4"/>
        <v>30305.000000000004</v>
      </c>
      <c r="G21" s="4">
        <f t="shared" si="4"/>
        <v>37620</v>
      </c>
      <c r="H21" s="4">
        <f t="shared" si="4"/>
        <v>45980.000000000007</v>
      </c>
      <c r="I21" s="4">
        <f t="shared" si="4"/>
        <v>56430.000000000007</v>
      </c>
      <c r="J21" s="4">
        <f t="shared" si="4"/>
        <v>70015</v>
      </c>
      <c r="K21" s="4">
        <f t="shared" si="4"/>
        <v>85690</v>
      </c>
      <c r="L21" s="4">
        <f t="shared" si="4"/>
        <v>105545.00000000001</v>
      </c>
      <c r="M21" s="4">
        <f t="shared" si="4"/>
        <v>129580.00000000001</v>
      </c>
    </row>
    <row r="22" spans="2:13">
      <c r="B22" t="s">
        <v>27</v>
      </c>
      <c r="C22" s="4">
        <f>0.707*$G$7 * (1-$G$6)</f>
        <v>0.84839999999999993</v>
      </c>
      <c r="D22" s="4">
        <f t="shared" ref="D22:M22" si="5">C22+0.035*C22*(1-$G$6)</f>
        <v>0.87809399999999993</v>
      </c>
      <c r="E22" s="4">
        <f t="shared" si="5"/>
        <v>0.90882728999999995</v>
      </c>
      <c r="F22" s="4">
        <f t="shared" si="5"/>
        <v>0.94063624514999999</v>
      </c>
      <c r="G22" s="4">
        <f t="shared" si="5"/>
        <v>0.97355851373025004</v>
      </c>
      <c r="H22" s="4">
        <f t="shared" si="5"/>
        <v>1.0076330617108087</v>
      </c>
      <c r="I22" s="4">
        <f t="shared" si="5"/>
        <v>1.0429002188706871</v>
      </c>
      <c r="J22" s="4">
        <f t="shared" si="5"/>
        <v>1.0794017265311611</v>
      </c>
      <c r="K22" s="4">
        <f t="shared" si="5"/>
        <v>1.1171807869597516</v>
      </c>
      <c r="L22" s="4">
        <f t="shared" si="5"/>
        <v>1.1562821145033431</v>
      </c>
      <c r="M22" s="4">
        <f t="shared" si="5"/>
        <v>1.1967519885109601</v>
      </c>
    </row>
    <row r="23" spans="2:13">
      <c r="B23" t="s">
        <v>28</v>
      </c>
      <c r="C23" s="4">
        <f t="shared" ref="C23:M23" si="6">-C21*C22*365</f>
        <v>-4854014.55</v>
      </c>
      <c r="D23" s="4">
        <f t="shared" si="6"/>
        <v>-6363613.0750499992</v>
      </c>
      <c r="E23" s="4">
        <f t="shared" si="6"/>
        <v>-7972937.329029751</v>
      </c>
      <c r="F23" s="4">
        <f t="shared" si="6"/>
        <v>-10404683.214383826</v>
      </c>
      <c r="G23" s="4">
        <f t="shared" si="6"/>
        <v>-13368224.019584183</v>
      </c>
      <c r="H23" s="4">
        <f t="shared" si="6"/>
        <v>-16910803.384773992</v>
      </c>
      <c r="I23" s="4">
        <f t="shared" si="6"/>
        <v>-21480563.6630686</v>
      </c>
      <c r="J23" s="4">
        <f t="shared" si="6"/>
        <v>-27584623.837323923</v>
      </c>
      <c r="K23" s="4">
        <f t="shared" si="6"/>
        <v>-34941895.896622106</v>
      </c>
      <c r="L23" s="4">
        <f t="shared" si="6"/>
        <v>-44544525.457968205</v>
      </c>
      <c r="M23" s="4">
        <f t="shared" si="6"/>
        <v>-56602419.775006332</v>
      </c>
    </row>
    <row r="24" spans="2:13">
      <c r="B24" t="s">
        <v>60</v>
      </c>
      <c r="C24" s="4">
        <f t="shared" ref="C24:M24" si="7">FLOOR(1/$C$7*C27,1)</f>
        <v>15</v>
      </c>
      <c r="D24" s="4">
        <f t="shared" si="7"/>
        <v>19</v>
      </c>
      <c r="E24" s="4">
        <f t="shared" si="7"/>
        <v>23</v>
      </c>
      <c r="F24" s="4">
        <f t="shared" si="7"/>
        <v>29</v>
      </c>
      <c r="G24" s="4">
        <f t="shared" si="7"/>
        <v>36</v>
      </c>
      <c r="H24" s="4">
        <f t="shared" si="7"/>
        <v>44</v>
      </c>
      <c r="I24" s="4">
        <f t="shared" si="7"/>
        <v>54</v>
      </c>
      <c r="J24" s="4">
        <f t="shared" si="7"/>
        <v>67</v>
      </c>
      <c r="K24" s="4">
        <f t="shared" si="7"/>
        <v>82</v>
      </c>
      <c r="L24" s="4">
        <f t="shared" si="7"/>
        <v>101</v>
      </c>
      <c r="M24" s="4">
        <f t="shared" si="7"/>
        <v>124</v>
      </c>
    </row>
    <row r="25" spans="2:13">
      <c r="B25" t="s">
        <v>29</v>
      </c>
      <c r="C25" s="4">
        <f>C24</f>
        <v>15</v>
      </c>
      <c r="D25" s="4">
        <f t="shared" ref="D25:M25" si="8">D24-C24</f>
        <v>4</v>
      </c>
      <c r="E25" s="4">
        <f t="shared" si="8"/>
        <v>4</v>
      </c>
      <c r="F25" s="4">
        <f t="shared" si="8"/>
        <v>6</v>
      </c>
      <c r="G25" s="4">
        <f t="shared" si="8"/>
        <v>7</v>
      </c>
      <c r="H25" s="4">
        <f t="shared" si="8"/>
        <v>8</v>
      </c>
      <c r="I25" s="4">
        <f t="shared" si="8"/>
        <v>10</v>
      </c>
      <c r="J25" s="4">
        <f t="shared" si="8"/>
        <v>13</v>
      </c>
      <c r="K25" s="4">
        <f t="shared" si="8"/>
        <v>15</v>
      </c>
      <c r="L25" s="4">
        <f t="shared" si="8"/>
        <v>19</v>
      </c>
      <c r="M25" s="4">
        <f t="shared" si="8"/>
        <v>23</v>
      </c>
    </row>
    <row r="26" spans="2:13">
      <c r="B26" t="s">
        <v>30</v>
      </c>
      <c r="C26" s="4">
        <f t="shared" ref="C26:M26" si="9">-C24*57600</f>
        <v>-864000</v>
      </c>
      <c r="D26" s="4">
        <f t="shared" si="9"/>
        <v>-1094400</v>
      </c>
      <c r="E26" s="4">
        <f t="shared" si="9"/>
        <v>-1324800</v>
      </c>
      <c r="F26" s="4">
        <f t="shared" si="9"/>
        <v>-1670400</v>
      </c>
      <c r="G26" s="4">
        <f t="shared" si="9"/>
        <v>-2073600</v>
      </c>
      <c r="H26" s="4">
        <f t="shared" si="9"/>
        <v>-2534400</v>
      </c>
      <c r="I26" s="4">
        <f t="shared" si="9"/>
        <v>-3110400</v>
      </c>
      <c r="J26" s="4">
        <f t="shared" si="9"/>
        <v>-3859200</v>
      </c>
      <c r="K26" s="4">
        <f t="shared" si="9"/>
        <v>-4723200</v>
      </c>
      <c r="L26" s="4">
        <f t="shared" si="9"/>
        <v>-5817600</v>
      </c>
      <c r="M26" s="4">
        <f t="shared" si="9"/>
        <v>-7142400</v>
      </c>
    </row>
    <row r="27" spans="2:13">
      <c r="B27" t="s">
        <v>31</v>
      </c>
      <c r="C27" s="4">
        <f>C3</f>
        <v>600</v>
      </c>
      <c r="D27" s="4">
        <f t="shared" ref="D27:M27" si="10">FLOOR((1 + $G$3)*C27, 1)</f>
        <v>738</v>
      </c>
      <c r="E27" s="4">
        <f t="shared" si="10"/>
        <v>907</v>
      </c>
      <c r="F27" s="4">
        <f t="shared" si="10"/>
        <v>1115</v>
      </c>
      <c r="G27" s="4">
        <f t="shared" si="10"/>
        <v>1371</v>
      </c>
      <c r="H27" s="4">
        <f t="shared" si="10"/>
        <v>1686</v>
      </c>
      <c r="I27" s="4">
        <f t="shared" si="10"/>
        <v>2073</v>
      </c>
      <c r="J27" s="4">
        <f t="shared" si="10"/>
        <v>2549</v>
      </c>
      <c r="K27" s="4">
        <f t="shared" si="10"/>
        <v>3135</v>
      </c>
      <c r="L27" s="4">
        <f t="shared" si="10"/>
        <v>3856</v>
      </c>
      <c r="M27" s="4">
        <f t="shared" si="10"/>
        <v>4742</v>
      </c>
    </row>
    <row r="28" spans="2:13">
      <c r="B28" t="s">
        <v>32</v>
      </c>
      <c r="C28" s="4">
        <f>C4</f>
        <v>0</v>
      </c>
      <c r="D28" s="4">
        <f t="shared" ref="D28:M28" si="11">FLOOR((1 + $G$4)*C28, 1)</f>
        <v>0</v>
      </c>
      <c r="E28" s="4">
        <f t="shared" si="11"/>
        <v>0</v>
      </c>
      <c r="F28" s="4">
        <f t="shared" si="11"/>
        <v>0</v>
      </c>
      <c r="G28" s="4">
        <f t="shared" si="11"/>
        <v>0</v>
      </c>
      <c r="H28" s="4">
        <f t="shared" si="11"/>
        <v>0</v>
      </c>
      <c r="I28" s="4">
        <f t="shared" si="11"/>
        <v>0</v>
      </c>
      <c r="J28" s="4">
        <f t="shared" si="11"/>
        <v>0</v>
      </c>
      <c r="K28" s="4">
        <f t="shared" si="11"/>
        <v>0</v>
      </c>
      <c r="L28" s="4">
        <f t="shared" si="11"/>
        <v>0</v>
      </c>
      <c r="M28" s="4">
        <f t="shared" si="11"/>
        <v>0</v>
      </c>
    </row>
    <row r="29" spans="2:13">
      <c r="B29" t="s">
        <v>33</v>
      </c>
      <c r="C29" s="4">
        <f>C8*1.65*G8</f>
        <v>61.875</v>
      </c>
      <c r="D29" s="4">
        <f t="shared" ref="D29:M29" si="12">C29</f>
        <v>61.875</v>
      </c>
      <c r="E29" s="4">
        <f t="shared" si="12"/>
        <v>61.875</v>
      </c>
      <c r="F29" s="4">
        <f t="shared" si="12"/>
        <v>61.875</v>
      </c>
      <c r="G29" s="4">
        <f t="shared" si="12"/>
        <v>61.875</v>
      </c>
      <c r="H29" s="4">
        <f t="shared" si="12"/>
        <v>61.875</v>
      </c>
      <c r="I29" s="4">
        <f t="shared" si="12"/>
        <v>61.875</v>
      </c>
      <c r="J29" s="4">
        <f t="shared" si="12"/>
        <v>61.875</v>
      </c>
      <c r="K29" s="4">
        <f t="shared" si="12"/>
        <v>61.875</v>
      </c>
      <c r="L29" s="4">
        <f t="shared" si="12"/>
        <v>61.875</v>
      </c>
      <c r="M29" s="4">
        <f t="shared" si="12"/>
        <v>61.875</v>
      </c>
    </row>
    <row r="30" spans="2:13">
      <c r="B30" t="s">
        <v>34</v>
      </c>
      <c r="C30" s="4">
        <f t="shared" ref="C30:M30" si="13">$C$5</f>
        <v>1</v>
      </c>
      <c r="D30" s="4">
        <f t="shared" si="13"/>
        <v>1</v>
      </c>
      <c r="E30" s="4">
        <f t="shared" si="13"/>
        <v>1</v>
      </c>
      <c r="F30" s="4">
        <f t="shared" si="13"/>
        <v>1</v>
      </c>
      <c r="G30" s="4">
        <f t="shared" si="13"/>
        <v>1</v>
      </c>
      <c r="H30" s="4">
        <f t="shared" si="13"/>
        <v>1</v>
      </c>
      <c r="I30" s="4">
        <f t="shared" si="13"/>
        <v>1</v>
      </c>
      <c r="J30" s="4">
        <f t="shared" si="13"/>
        <v>1</v>
      </c>
      <c r="K30" s="4">
        <f t="shared" si="13"/>
        <v>1</v>
      </c>
      <c r="L30" s="4">
        <f t="shared" si="13"/>
        <v>1</v>
      </c>
      <c r="M30" s="4">
        <f t="shared" si="13"/>
        <v>1</v>
      </c>
    </row>
    <row r="31" spans="2:13">
      <c r="B31" t="s">
        <v>35</v>
      </c>
      <c r="C31" s="4">
        <f t="shared" ref="C31:M31" si="14">$C$6</f>
        <v>0</v>
      </c>
      <c r="D31" s="4">
        <f t="shared" si="14"/>
        <v>0</v>
      </c>
      <c r="E31" s="4">
        <f t="shared" si="14"/>
        <v>0</v>
      </c>
      <c r="F31" s="4">
        <f t="shared" si="14"/>
        <v>0</v>
      </c>
      <c r="G31" s="4">
        <f t="shared" si="14"/>
        <v>0</v>
      </c>
      <c r="H31" s="4">
        <f t="shared" si="14"/>
        <v>0</v>
      </c>
      <c r="I31" s="4">
        <f t="shared" si="14"/>
        <v>0</v>
      </c>
      <c r="J31" s="4">
        <f t="shared" si="14"/>
        <v>0</v>
      </c>
      <c r="K31" s="4">
        <f t="shared" si="14"/>
        <v>0</v>
      </c>
      <c r="L31" s="4">
        <f t="shared" si="14"/>
        <v>0</v>
      </c>
      <c r="M31" s="4">
        <f t="shared" si="14"/>
        <v>0</v>
      </c>
    </row>
    <row r="32" spans="2:13">
      <c r="B32" t="s">
        <v>36</v>
      </c>
      <c r="C32" s="4">
        <f>(SUM(C17:C20)+C23+SUM(C26:C26))</f>
        <v>-26878014.550000001</v>
      </c>
      <c r="D32" s="4">
        <f t="shared" ref="D32:M32" si="15">D23+D17+(SUM(D18:D20)+ D26)*(1+(D14-$C$14)*$C$51)</f>
        <v>-13223377.07505</v>
      </c>
      <c r="E32" s="4">
        <f t="shared" si="15"/>
        <v>-15128593.32902975</v>
      </c>
      <c r="F32" s="4">
        <f t="shared" si="15"/>
        <v>-20818995.214383826</v>
      </c>
      <c r="G32" s="4">
        <f t="shared" si="15"/>
        <v>-25727048.019584183</v>
      </c>
      <c r="H32" s="4">
        <f t="shared" si="15"/>
        <v>-31313823.384773992</v>
      </c>
      <c r="I32" s="4">
        <f t="shared" si="15"/>
        <v>-39518547.6630686</v>
      </c>
      <c r="J32" s="4">
        <f t="shared" si="15"/>
        <v>-50937817.837323919</v>
      </c>
      <c r="K32" s="4">
        <f t="shared" si="15"/>
        <v>-62402391.896622106</v>
      </c>
      <c r="L32" s="4">
        <f t="shared" si="15"/>
        <v>-79325359.457968205</v>
      </c>
      <c r="M32" s="4">
        <f t="shared" si="15"/>
        <v>-99106359.775006324</v>
      </c>
    </row>
    <row r="33" spans="2:13">
      <c r="B33" t="s">
        <v>37</v>
      </c>
    </row>
    <row r="34" spans="2:13">
      <c r="B34" t="s">
        <v>38</v>
      </c>
      <c r="C34" s="4">
        <f>0</f>
        <v>0</v>
      </c>
      <c r="D34" s="4">
        <f>0</f>
        <v>0</v>
      </c>
      <c r="E34" s="4">
        <f>0</f>
        <v>0</v>
      </c>
      <c r="F34" s="4">
        <f>0</f>
        <v>0</v>
      </c>
      <c r="G34" s="4">
        <f>0</f>
        <v>0</v>
      </c>
      <c r="H34" s="4">
        <f>0</f>
        <v>0</v>
      </c>
      <c r="I34" s="4">
        <f>0</f>
        <v>0</v>
      </c>
      <c r="J34" s="4">
        <f>0</f>
        <v>0</v>
      </c>
      <c r="K34" s="4">
        <f>0</f>
        <v>0</v>
      </c>
      <c r="L34" s="4">
        <f>0</f>
        <v>0</v>
      </c>
      <c r="M34" s="4">
        <f>0</f>
        <v>0</v>
      </c>
    </row>
    <row r="35" spans="2:13">
      <c r="B35" t="s">
        <v>39</v>
      </c>
      <c r="C35" s="4">
        <f t="shared" ref="C35:M35" si="16">C27*C29*C30*365</f>
        <v>13550625</v>
      </c>
      <c r="D35" s="4">
        <f t="shared" si="16"/>
        <v>16667268.75</v>
      </c>
      <c r="E35" s="4">
        <f t="shared" si="16"/>
        <v>20484028.125</v>
      </c>
      <c r="F35" s="4">
        <f t="shared" si="16"/>
        <v>25181578.125</v>
      </c>
      <c r="G35" s="4">
        <f t="shared" si="16"/>
        <v>30963178.125</v>
      </c>
      <c r="H35" s="4">
        <f t="shared" si="16"/>
        <v>38077256.25</v>
      </c>
      <c r="I35" s="4">
        <f t="shared" si="16"/>
        <v>46817409.375</v>
      </c>
      <c r="J35" s="4">
        <f t="shared" si="16"/>
        <v>57567571.875</v>
      </c>
      <c r="K35" s="4">
        <f t="shared" si="16"/>
        <v>70802015.625</v>
      </c>
      <c r="L35" s="4">
        <f t="shared" si="16"/>
        <v>87085350</v>
      </c>
      <c r="M35" s="4">
        <f t="shared" si="16"/>
        <v>107095106.25</v>
      </c>
    </row>
    <row r="36" spans="2:13">
      <c r="B36" t="s">
        <v>40</v>
      </c>
      <c r="C36" s="4">
        <f>SUM(C34:C35)</f>
        <v>13550625</v>
      </c>
      <c r="D36" s="4">
        <f t="shared" ref="D36:M36" si="17">SUM(D34:D35)*(1+(D14-$C$14)*$C$51)</f>
        <v>17250623.15625</v>
      </c>
      <c r="E36" s="4">
        <f t="shared" si="17"/>
        <v>21917910.09375</v>
      </c>
      <c r="F36" s="4">
        <f t="shared" si="17"/>
        <v>27825643.828125</v>
      </c>
      <c r="G36" s="4">
        <f t="shared" si="17"/>
        <v>35298023.062500007</v>
      </c>
      <c r="H36" s="4">
        <f t="shared" si="17"/>
        <v>44740776.09375</v>
      </c>
      <c r="I36" s="4">
        <f t="shared" si="17"/>
        <v>56649065.34375</v>
      </c>
      <c r="J36" s="4">
        <f t="shared" si="17"/>
        <v>71671626.984375</v>
      </c>
      <c r="K36" s="4">
        <f t="shared" si="17"/>
        <v>90626580</v>
      </c>
      <c r="L36" s="4">
        <f t="shared" si="17"/>
        <v>114517235.25</v>
      </c>
      <c r="M36" s="4">
        <f t="shared" si="17"/>
        <v>144578393.4375</v>
      </c>
    </row>
    <row r="37" spans="2:13">
      <c r="B37" t="s">
        <v>41</v>
      </c>
      <c r="C37" s="4">
        <f t="shared" ref="C37:M37" si="18">C35+C32</f>
        <v>-13327389.550000001</v>
      </c>
      <c r="D37" s="4">
        <f t="shared" si="18"/>
        <v>3443891.6749499999</v>
      </c>
      <c r="E37" s="4">
        <f t="shared" si="18"/>
        <v>5355434.7959702499</v>
      </c>
      <c r="F37" s="4">
        <f t="shared" si="18"/>
        <v>4362582.9106161743</v>
      </c>
      <c r="G37" s="4">
        <f t="shared" si="18"/>
        <v>5236130.1054158174</v>
      </c>
      <c r="H37" s="4">
        <f t="shared" si="18"/>
        <v>6763432.865226008</v>
      </c>
      <c r="I37" s="4">
        <f t="shared" si="18"/>
        <v>7298861.7119314</v>
      </c>
      <c r="J37" s="4">
        <f t="shared" si="18"/>
        <v>6629754.0376760811</v>
      </c>
      <c r="K37" s="4">
        <f t="shared" si="18"/>
        <v>8399623.7283778936</v>
      </c>
      <c r="L37" s="4">
        <f t="shared" si="18"/>
        <v>7759990.5420317948</v>
      </c>
      <c r="M37" s="4">
        <f t="shared" si="18"/>
        <v>7988746.4749936759</v>
      </c>
    </row>
    <row r="38" spans="2:13">
      <c r="B38" t="s">
        <v>42</v>
      </c>
      <c r="C38" s="4">
        <f t="shared" ref="C38:M38" si="19">IF(C37&gt;0,C37*$C$48,0)</f>
        <v>0</v>
      </c>
      <c r="D38" s="4">
        <f t="shared" si="19"/>
        <v>860972.91873749997</v>
      </c>
      <c r="E38" s="4">
        <f t="shared" si="19"/>
        <v>1338858.6989925625</v>
      </c>
      <c r="F38" s="4">
        <f t="shared" si="19"/>
        <v>1090645.7276540436</v>
      </c>
      <c r="G38" s="4">
        <f t="shared" si="19"/>
        <v>1309032.5263539543</v>
      </c>
      <c r="H38" s="4">
        <f t="shared" si="19"/>
        <v>1690858.216306502</v>
      </c>
      <c r="I38" s="4">
        <f t="shared" si="19"/>
        <v>1824715.42798285</v>
      </c>
      <c r="J38" s="4">
        <f t="shared" si="19"/>
        <v>1657438.5094190203</v>
      </c>
      <c r="K38" s="4">
        <f t="shared" si="19"/>
        <v>2099905.9320944734</v>
      </c>
      <c r="L38" s="4">
        <f t="shared" si="19"/>
        <v>1939997.6355079487</v>
      </c>
      <c r="M38" s="4">
        <f t="shared" si="19"/>
        <v>1997186.618748419</v>
      </c>
    </row>
    <row r="39" spans="2:13">
      <c r="B39" t="s">
        <v>43</v>
      </c>
      <c r="C39" s="4">
        <f t="shared" ref="C39:M39" si="20">C37-C38</f>
        <v>-13327389.550000001</v>
      </c>
      <c r="D39" s="4">
        <f t="shared" si="20"/>
        <v>2582918.7562124999</v>
      </c>
      <c r="E39" s="4">
        <f t="shared" si="20"/>
        <v>4016576.0969776874</v>
      </c>
      <c r="F39" s="4">
        <f t="shared" si="20"/>
        <v>3271937.1829621308</v>
      </c>
      <c r="G39" s="4">
        <f t="shared" si="20"/>
        <v>3927097.579061863</v>
      </c>
      <c r="H39" s="4">
        <f t="shared" si="20"/>
        <v>5072574.648919506</v>
      </c>
      <c r="I39" s="4">
        <f t="shared" si="20"/>
        <v>5474146.28394855</v>
      </c>
      <c r="J39" s="4">
        <f t="shared" si="20"/>
        <v>4972315.5282570608</v>
      </c>
      <c r="K39" s="4">
        <f t="shared" si="20"/>
        <v>6299717.7962834202</v>
      </c>
      <c r="L39" s="4">
        <f t="shared" si="20"/>
        <v>5819992.9065238461</v>
      </c>
      <c r="M39" s="4">
        <f t="shared" si="20"/>
        <v>5991559.856245257</v>
      </c>
    </row>
    <row r="40" spans="2:13">
      <c r="B40" t="s">
        <v>44</v>
      </c>
      <c r="C40" s="4">
        <f t="shared" ref="C40:M40" si="21">C39/(1+$C$47)^(C15+1)</f>
        <v>-11794150.044247789</v>
      </c>
      <c r="D40" s="4">
        <f t="shared" si="21"/>
        <v>2022804.2573517899</v>
      </c>
      <c r="E40" s="4">
        <f t="shared" si="21"/>
        <v>2783688.7158111003</v>
      </c>
      <c r="F40" s="4">
        <f t="shared" si="21"/>
        <v>2006740.3501011785</v>
      </c>
      <c r="G40" s="4">
        <f t="shared" si="21"/>
        <v>2131471.2306752065</v>
      </c>
      <c r="H40" s="4">
        <f t="shared" si="21"/>
        <v>2436451.5856636963</v>
      </c>
      <c r="I40" s="4">
        <f t="shared" si="21"/>
        <v>2326844.1434157216</v>
      </c>
      <c r="J40" s="4">
        <f t="shared" si="21"/>
        <v>1870385.5215485704</v>
      </c>
      <c r="K40" s="4">
        <f t="shared" si="21"/>
        <v>2097080.5089727137</v>
      </c>
      <c r="L40" s="4">
        <f t="shared" si="21"/>
        <v>1714502.0964386279</v>
      </c>
      <c r="M40" s="4">
        <f t="shared" si="21"/>
        <v>1561985.5935841564</v>
      </c>
    </row>
    <row r="41" spans="2:13">
      <c r="B41" t="s">
        <v>45</v>
      </c>
      <c r="C41" s="4">
        <f>C39</f>
        <v>-13327389.550000001</v>
      </c>
      <c r="D41" s="4">
        <f>SUM($C$40:D40)</f>
        <v>-9771345.7868959997</v>
      </c>
      <c r="E41" s="4">
        <f>SUM($C$40:E40)</f>
        <v>-6987657.0710848998</v>
      </c>
      <c r="F41" s="4">
        <f>SUM($C$40:F40)</f>
        <v>-4980916.7209837213</v>
      </c>
      <c r="G41" s="4">
        <f>SUM($C$40:G40)</f>
        <v>-2849445.4903085148</v>
      </c>
      <c r="H41" s="4">
        <f>SUM($C$40:H40)</f>
        <v>-412993.90464481851</v>
      </c>
      <c r="I41" s="4">
        <f>SUM($C$40:I40)</f>
        <v>1913850.2387709031</v>
      </c>
      <c r="J41" s="4">
        <f>SUM($C$40:J40)</f>
        <v>3784235.7603194732</v>
      </c>
      <c r="K41" s="4">
        <f>SUM($C$40:K40)</f>
        <v>5881316.2692921869</v>
      </c>
      <c r="L41" s="4">
        <f>SUM($C$40:L40)</f>
        <v>7595818.3657308146</v>
      </c>
      <c r="M41" s="4">
        <f>SUM($C$40:M40)</f>
        <v>9157803.9593149703</v>
      </c>
    </row>
    <row r="42" spans="2:13">
      <c r="B42" t="s">
        <v>46</v>
      </c>
      <c r="C42" t="str">
        <f t="shared" ref="C42:M42" si="22">IF(C41&lt;1,"0","1")</f>
        <v>0</v>
      </c>
      <c r="D42" t="str">
        <f t="shared" si="22"/>
        <v>0</v>
      </c>
      <c r="E42" t="str">
        <f t="shared" si="22"/>
        <v>0</v>
      </c>
      <c r="F42" t="str">
        <f t="shared" si="22"/>
        <v>0</v>
      </c>
      <c r="G42" t="str">
        <f t="shared" si="22"/>
        <v>0</v>
      </c>
      <c r="H42" t="str">
        <f t="shared" si="22"/>
        <v>0</v>
      </c>
      <c r="I42" t="str">
        <f t="shared" si="22"/>
        <v>1</v>
      </c>
      <c r="J42" t="str">
        <f t="shared" si="22"/>
        <v>1</v>
      </c>
      <c r="K42" t="str">
        <f t="shared" si="22"/>
        <v>1</v>
      </c>
      <c r="L42" t="str">
        <f t="shared" si="22"/>
        <v>1</v>
      </c>
      <c r="M42" t="str">
        <f t="shared" si="22"/>
        <v>1</v>
      </c>
    </row>
    <row r="44" spans="2:13">
      <c r="B44" t="s">
        <v>50</v>
      </c>
      <c r="C44" s="5">
        <f>NPV(C47,C39:M39)</f>
        <v>9157803.9593149703</v>
      </c>
      <c r="D44" t="s">
        <v>51</v>
      </c>
      <c r="J44" t="s">
        <v>47</v>
      </c>
      <c r="K44">
        <f t="array" ref="K44">MIN(IF(C41:M41&gt;0,C41:M41))</f>
        <v>1913850.2387709031</v>
      </c>
    </row>
    <row r="45" spans="2:13">
      <c r="B45" t="s">
        <v>52</v>
      </c>
      <c r="C45" s="6">
        <f>IRR(C39:M39)</f>
        <v>0.2751077339600374</v>
      </c>
      <c r="J45" t="s">
        <v>48</v>
      </c>
      <c r="K45">
        <f t="array" ref="K45">MAX(IF(C41:M41&lt;0,C41:M41))</f>
        <v>-412993.90464481851</v>
      </c>
    </row>
    <row r="46" spans="2:13">
      <c r="B46" t="s">
        <v>53</v>
      </c>
      <c r="C46" s="6">
        <f>MIRR(C39:M39,0,0)</f>
        <v>0.13534993129309414</v>
      </c>
      <c r="J46" t="s">
        <v>49</v>
      </c>
      <c r="K46">
        <f>COUNTIF(C42:M42, 0)</f>
        <v>6</v>
      </c>
    </row>
    <row r="47" spans="2:13">
      <c r="B47" t="s">
        <v>54</v>
      </c>
      <c r="C47" s="7">
        <v>0.13</v>
      </c>
    </row>
    <row r="48" spans="2:13">
      <c r="B48" t="s">
        <v>42</v>
      </c>
      <c r="C48" s="7">
        <v>0.25</v>
      </c>
    </row>
    <row r="49" spans="2:4">
      <c r="B49" t="s">
        <v>55</v>
      </c>
      <c r="C49" s="4">
        <f>K46+ABS(K45)/( K44-K45)</f>
        <v>6.1774910046353853</v>
      </c>
    </row>
    <row r="50" spans="2:4">
      <c r="B50" t="s">
        <v>56</v>
      </c>
      <c r="C50" s="4">
        <f>ABS(NPV(0.05,C36:M36)/NPV(0.05,C32:M32))</f>
        <v>1.3513715858684665</v>
      </c>
    </row>
    <row r="51" spans="2:4">
      <c r="B51" t="s">
        <v>57</v>
      </c>
      <c r="C51" s="7">
        <v>3.5000000000000003E-2</v>
      </c>
    </row>
    <row r="52" spans="2:4">
      <c r="B52" t="s">
        <v>58</v>
      </c>
      <c r="C52" s="4">
        <f>ABS(SUM(C17:M17))/(1- (ABS(SUM(C18:M20))+ABS(SUM(C23:M23)) + ABS(SUM(C26:M26)))/ABS(SUM(C35:M35)))</f>
        <v>378839875.58867633</v>
      </c>
      <c r="D52" t="s">
        <v>59</v>
      </c>
    </row>
  </sheetData>
  <mergeCells count="10">
    <mergeCell ref="D7:F7"/>
    <mergeCell ref="D8:F8"/>
    <mergeCell ref="D9:F9"/>
    <mergeCell ref="D10:F10"/>
    <mergeCell ref="D11:F11"/>
    <mergeCell ref="B2:G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7"/>
  <sheetViews>
    <sheetView tabSelected="1" topLeftCell="A28" workbookViewId="0">
      <selection activeCell="B40" sqref="B40"/>
    </sheetView>
  </sheetViews>
  <sheetFormatPr defaultRowHeight="14.5"/>
  <cols>
    <col min="1" max="1" width="8.7265625" style="9"/>
    <col min="2" max="2" width="46.81640625" style="9" customWidth="1"/>
    <col min="3" max="13" width="15.54296875" style="9" customWidth="1"/>
    <col min="14" max="15" width="8.7265625" style="9"/>
  </cols>
  <sheetData>
    <row r="2" spans="2:7">
      <c r="B2" s="10" t="s">
        <v>0</v>
      </c>
      <c r="C2" s="11"/>
      <c r="D2" s="11"/>
      <c r="E2" s="11"/>
      <c r="F2" s="11"/>
      <c r="G2" s="11"/>
    </row>
    <row r="3" spans="2:7">
      <c r="B3" s="8" t="s">
        <v>1</v>
      </c>
      <c r="C3" s="2">
        <v>600</v>
      </c>
      <c r="D3" s="12" t="s">
        <v>8</v>
      </c>
      <c r="E3" s="11"/>
      <c r="F3" s="11"/>
      <c r="G3" s="3">
        <v>0.23</v>
      </c>
    </row>
    <row r="4" spans="2:7">
      <c r="B4" s="8" t="s">
        <v>2</v>
      </c>
      <c r="C4" s="2">
        <v>0</v>
      </c>
      <c r="D4" s="12" t="s">
        <v>9</v>
      </c>
      <c r="E4" s="11"/>
      <c r="F4" s="11"/>
      <c r="G4" s="3">
        <v>0</v>
      </c>
    </row>
    <row r="5" spans="2:7">
      <c r="B5" s="8" t="s">
        <v>3</v>
      </c>
      <c r="C5" s="2">
        <v>1</v>
      </c>
      <c r="D5" s="12" t="s">
        <v>10</v>
      </c>
      <c r="E5" s="11"/>
      <c r="F5" s="11"/>
      <c r="G5" s="4">
        <v>800000000</v>
      </c>
    </row>
    <row r="6" spans="2:7">
      <c r="B6" s="8" t="s">
        <v>4</v>
      </c>
      <c r="C6" s="2">
        <v>0</v>
      </c>
      <c r="D6" s="12" t="s">
        <v>11</v>
      </c>
      <c r="E6" s="11"/>
      <c r="F6" s="11"/>
      <c r="G6" s="3">
        <v>0</v>
      </c>
    </row>
    <row r="7" spans="2:7">
      <c r="B7" s="8" t="s">
        <v>5</v>
      </c>
      <c r="C7" s="2">
        <v>38</v>
      </c>
      <c r="D7" s="12" t="s">
        <v>12</v>
      </c>
      <c r="E7" s="11"/>
      <c r="F7" s="11"/>
      <c r="G7" s="2">
        <v>1.2</v>
      </c>
    </row>
    <row r="8" spans="2:7">
      <c r="B8" s="8" t="s">
        <v>6</v>
      </c>
      <c r="C8" s="2">
        <v>25</v>
      </c>
      <c r="D8" s="12" t="s">
        <v>13</v>
      </c>
      <c r="E8" s="11"/>
      <c r="F8" s="11"/>
      <c r="G8" s="2">
        <v>1.5</v>
      </c>
    </row>
    <row r="9" spans="2:7">
      <c r="B9" s="8" t="s">
        <v>7</v>
      </c>
      <c r="C9" s="2">
        <v>2</v>
      </c>
      <c r="D9" s="12" t="s">
        <v>14</v>
      </c>
      <c r="E9" s="11"/>
      <c r="F9" s="11"/>
      <c r="G9" s="3">
        <v>0.1</v>
      </c>
    </row>
    <row r="10" spans="2:7">
      <c r="B10" s="8" t="s">
        <v>17</v>
      </c>
      <c r="C10" s="2">
        <v>0</v>
      </c>
      <c r="D10" s="12" t="s">
        <v>15</v>
      </c>
      <c r="E10" s="11"/>
      <c r="F10" s="11"/>
      <c r="G10" s="2">
        <v>20</v>
      </c>
    </row>
    <row r="11" spans="2:7">
      <c r="B11" s="8" t="s">
        <v>18</v>
      </c>
      <c r="C11" s="2">
        <v>0</v>
      </c>
      <c r="D11" s="12" t="s">
        <v>16</v>
      </c>
      <c r="E11" s="11"/>
      <c r="F11" s="11"/>
      <c r="G11" s="2">
        <v>0</v>
      </c>
    </row>
    <row r="12" spans="2:7">
      <c r="D12" s="13" t="s">
        <v>61</v>
      </c>
      <c r="E12" s="13"/>
      <c r="F12" s="13"/>
      <c r="G12" s="14">
        <v>550000000</v>
      </c>
    </row>
    <row r="13" spans="2:7" s="9" customFormat="1">
      <c r="B13" s="9" t="s">
        <v>54</v>
      </c>
      <c r="C13" s="7">
        <v>0.13</v>
      </c>
    </row>
    <row r="14" spans="2:7">
      <c r="B14" s="9" t="s">
        <v>42</v>
      </c>
      <c r="C14" s="7">
        <v>0.25</v>
      </c>
    </row>
    <row r="15" spans="2:7">
      <c r="B15" s="9" t="s">
        <v>57</v>
      </c>
      <c r="C15" s="7">
        <v>3.5000000000000003E-2</v>
      </c>
    </row>
    <row r="16" spans="2:7" s="9" customFormat="1">
      <c r="B16" s="8"/>
      <c r="C16" s="2"/>
      <c r="D16" s="8"/>
      <c r="G16" s="2"/>
    </row>
    <row r="17" spans="2:13" s="9" customFormat="1">
      <c r="B17" s="8"/>
      <c r="C17" s="2"/>
      <c r="D17" s="8"/>
      <c r="G17" s="2"/>
    </row>
    <row r="20" spans="2:13">
      <c r="B20" s="9" t="s">
        <v>19</v>
      </c>
      <c r="C20" s="9">
        <v>2020</v>
      </c>
      <c r="D20" s="9">
        <v>2021</v>
      </c>
      <c r="E20" s="9">
        <v>2022</v>
      </c>
      <c r="F20" s="9">
        <v>2023</v>
      </c>
      <c r="G20" s="9">
        <v>2024</v>
      </c>
      <c r="H20" s="9">
        <v>2025</v>
      </c>
      <c r="I20" s="9">
        <v>2026</v>
      </c>
      <c r="J20" s="9">
        <v>2027</v>
      </c>
      <c r="K20" s="9">
        <v>2028</v>
      </c>
      <c r="L20" s="9">
        <v>2029</v>
      </c>
      <c r="M20" s="9">
        <v>2030</v>
      </c>
    </row>
    <row r="21" spans="2:13">
      <c r="B21" s="9" t="s">
        <v>20</v>
      </c>
      <c r="C21" s="9">
        <v>0</v>
      </c>
      <c r="D21" s="9">
        <v>1</v>
      </c>
      <c r="E21" s="9">
        <v>2</v>
      </c>
      <c r="F21" s="9">
        <v>3</v>
      </c>
      <c r="G21" s="9">
        <v>4</v>
      </c>
      <c r="H21" s="9">
        <v>5</v>
      </c>
      <c r="I21" s="9">
        <v>6</v>
      </c>
      <c r="J21" s="9">
        <v>7</v>
      </c>
      <c r="K21" s="9">
        <v>8</v>
      </c>
      <c r="L21" s="9">
        <v>9</v>
      </c>
      <c r="M21" s="9">
        <v>10</v>
      </c>
    </row>
    <row r="22" spans="2:13">
      <c r="B22" s="9" t="s">
        <v>26</v>
      </c>
      <c r="C22" s="4">
        <f>C24*$C$7*$C$8*(1+$G$9)</f>
        <v>15675.000000000002</v>
      </c>
      <c r="D22" s="4">
        <f>D24*$C$7*$C$8*(1+$G$9)</f>
        <v>19855</v>
      </c>
      <c r="E22" s="4">
        <f>E24*$C$7*$C$8*(1+$G$9)</f>
        <v>24035.000000000004</v>
      </c>
      <c r="F22" s="4">
        <f>F24*$C$7*$C$8*(1+$G$9)</f>
        <v>30305.000000000004</v>
      </c>
      <c r="G22" s="4">
        <f>G24*$C$7*$C$8*(1+$G$9)</f>
        <v>37620</v>
      </c>
      <c r="H22" s="4">
        <f>H24*$C$7*$C$8*(1+$G$9)</f>
        <v>45980.000000000007</v>
      </c>
      <c r="I22" s="4">
        <f>I24*$C$7*$C$8*(1+$G$9)</f>
        <v>56430.000000000007</v>
      </c>
      <c r="J22" s="4">
        <f>J24*$C$7*$C$8*(1+$G$9)</f>
        <v>70015</v>
      </c>
      <c r="K22" s="4">
        <f>K24*$C$7*$C$8*(1+$G$9)</f>
        <v>85690</v>
      </c>
      <c r="L22" s="4">
        <f>L24*$C$7*$C$8*(1+$G$9)</f>
        <v>105545.00000000001</v>
      </c>
      <c r="M22" s="4">
        <f>M24*$C$7*$C$8*(1+$G$9)</f>
        <v>129580.00000000001</v>
      </c>
    </row>
    <row r="23" spans="2:13">
      <c r="B23" s="9" t="s">
        <v>27</v>
      </c>
      <c r="C23" s="4">
        <f>0.707*$G$7 * (1-$G$6)</f>
        <v>0.84839999999999993</v>
      </c>
      <c r="D23" s="4">
        <f t="shared" ref="D23:M23" si="0">C23+0.035*C23*(1-$G$6)</f>
        <v>0.87809399999999993</v>
      </c>
      <c r="E23" s="4">
        <f t="shared" si="0"/>
        <v>0.90882728999999995</v>
      </c>
      <c r="F23" s="4">
        <f t="shared" si="0"/>
        <v>0.94063624514999999</v>
      </c>
      <c r="G23" s="4">
        <f t="shared" si="0"/>
        <v>0.97355851373025004</v>
      </c>
      <c r="H23" s="4">
        <f t="shared" si="0"/>
        <v>1.0076330617108087</v>
      </c>
      <c r="I23" s="4">
        <f t="shared" si="0"/>
        <v>1.0429002188706871</v>
      </c>
      <c r="J23" s="4">
        <f t="shared" si="0"/>
        <v>1.0794017265311611</v>
      </c>
      <c r="K23" s="4">
        <f t="shared" si="0"/>
        <v>1.1171807869597516</v>
      </c>
      <c r="L23" s="4">
        <f t="shared" si="0"/>
        <v>1.1562821145033431</v>
      </c>
      <c r="M23" s="4">
        <f t="shared" si="0"/>
        <v>1.1967519885109601</v>
      </c>
    </row>
    <row r="24" spans="2:13">
      <c r="B24" s="9" t="s">
        <v>60</v>
      </c>
      <c r="C24" s="4">
        <f>FLOOR(1/$C$7*C26,1)</f>
        <v>15</v>
      </c>
      <c r="D24" s="4">
        <f>FLOOR(1/$C$7*D26,1)</f>
        <v>19</v>
      </c>
      <c r="E24" s="4">
        <f>FLOOR(1/$C$7*E26,1)</f>
        <v>23</v>
      </c>
      <c r="F24" s="4">
        <f>FLOOR(1/$C$7*F26,1)</f>
        <v>29</v>
      </c>
      <c r="G24" s="4">
        <f>FLOOR(1/$C$7*G26,1)</f>
        <v>36</v>
      </c>
      <c r="H24" s="4">
        <f>FLOOR(1/$C$7*H26,1)</f>
        <v>44</v>
      </c>
      <c r="I24" s="4">
        <f>FLOOR(1/$C$7*I26,1)</f>
        <v>54</v>
      </c>
      <c r="J24" s="4">
        <f>FLOOR(1/$C$7*J26,1)</f>
        <v>67</v>
      </c>
      <c r="K24" s="4">
        <f>FLOOR(1/$C$7*K26,1)</f>
        <v>82</v>
      </c>
      <c r="L24" s="4">
        <f>FLOOR(1/$C$7*L26,1)</f>
        <v>101</v>
      </c>
      <c r="M24" s="4">
        <f>FLOOR(1/$C$7*M26,1)</f>
        <v>124</v>
      </c>
    </row>
    <row r="25" spans="2:13" s="9" customFormat="1">
      <c r="B25" s="9" t="s">
        <v>29</v>
      </c>
      <c r="C25" s="4">
        <f>C24</f>
        <v>15</v>
      </c>
      <c r="D25" s="4">
        <f t="shared" ref="D25:M25" si="1">D24-C24</f>
        <v>4</v>
      </c>
      <c r="E25" s="4">
        <f t="shared" si="1"/>
        <v>4</v>
      </c>
      <c r="F25" s="4">
        <f t="shared" si="1"/>
        <v>6</v>
      </c>
      <c r="G25" s="4">
        <f t="shared" si="1"/>
        <v>7</v>
      </c>
      <c r="H25" s="4">
        <f t="shared" si="1"/>
        <v>8</v>
      </c>
      <c r="I25" s="4">
        <f t="shared" si="1"/>
        <v>10</v>
      </c>
      <c r="J25" s="4">
        <f t="shared" si="1"/>
        <v>13</v>
      </c>
      <c r="K25" s="4">
        <f t="shared" si="1"/>
        <v>15</v>
      </c>
      <c r="L25" s="4">
        <f t="shared" si="1"/>
        <v>19</v>
      </c>
      <c r="M25" s="4">
        <f t="shared" si="1"/>
        <v>23</v>
      </c>
    </row>
    <row r="26" spans="2:13">
      <c r="B26" s="9" t="s">
        <v>31</v>
      </c>
      <c r="C26" s="4">
        <f>C3</f>
        <v>600</v>
      </c>
      <c r="D26" s="4">
        <f t="shared" ref="D26:M26" si="2">FLOOR((1 + $G$3)*C26, 1)</f>
        <v>738</v>
      </c>
      <c r="E26" s="4">
        <f t="shared" si="2"/>
        <v>907</v>
      </c>
      <c r="F26" s="4">
        <f t="shared" si="2"/>
        <v>1115</v>
      </c>
      <c r="G26" s="4">
        <f t="shared" si="2"/>
        <v>1371</v>
      </c>
      <c r="H26" s="4">
        <f t="shared" si="2"/>
        <v>1686</v>
      </c>
      <c r="I26" s="4">
        <f t="shared" si="2"/>
        <v>2073</v>
      </c>
      <c r="J26" s="4">
        <f t="shared" si="2"/>
        <v>2549</v>
      </c>
      <c r="K26" s="4">
        <f t="shared" si="2"/>
        <v>3135</v>
      </c>
      <c r="L26" s="4">
        <f t="shared" si="2"/>
        <v>3856</v>
      </c>
      <c r="M26" s="4">
        <f t="shared" si="2"/>
        <v>4742</v>
      </c>
    </row>
    <row r="27" spans="2:13">
      <c r="B27" s="9" t="s">
        <v>32</v>
      </c>
      <c r="C27" s="4">
        <f>C4</f>
        <v>0</v>
      </c>
      <c r="D27" s="4">
        <f t="shared" ref="D27:M27" si="3">FLOOR((1 + $G$4)*C27, 1)</f>
        <v>0</v>
      </c>
      <c r="E27" s="4">
        <f t="shared" si="3"/>
        <v>0</v>
      </c>
      <c r="F27" s="4">
        <f t="shared" si="3"/>
        <v>0</v>
      </c>
      <c r="G27" s="4">
        <f t="shared" si="3"/>
        <v>0</v>
      </c>
      <c r="H27" s="4">
        <f t="shared" si="3"/>
        <v>0</v>
      </c>
      <c r="I27" s="4">
        <f t="shared" si="3"/>
        <v>0</v>
      </c>
      <c r="J27" s="4">
        <f t="shared" si="3"/>
        <v>0</v>
      </c>
      <c r="K27" s="4">
        <f t="shared" si="3"/>
        <v>0</v>
      </c>
      <c r="L27" s="4">
        <f t="shared" si="3"/>
        <v>0</v>
      </c>
      <c r="M27" s="4">
        <f t="shared" si="3"/>
        <v>0</v>
      </c>
    </row>
    <row r="28" spans="2:13" s="9" customFormat="1">
      <c r="B28" s="9" t="s">
        <v>33</v>
      </c>
      <c r="C28" s="4">
        <f>C8*1.65*G8</f>
        <v>61.875</v>
      </c>
      <c r="D28" s="4">
        <f t="shared" ref="D28:M28" si="4">C28</f>
        <v>61.875</v>
      </c>
      <c r="E28" s="4">
        <f t="shared" si="4"/>
        <v>61.875</v>
      </c>
      <c r="F28" s="4">
        <f t="shared" si="4"/>
        <v>61.875</v>
      </c>
      <c r="G28" s="4">
        <f t="shared" si="4"/>
        <v>61.875</v>
      </c>
      <c r="H28" s="4">
        <f t="shared" si="4"/>
        <v>61.875</v>
      </c>
      <c r="I28" s="4">
        <f t="shared" si="4"/>
        <v>61.875</v>
      </c>
      <c r="J28" s="4">
        <f t="shared" si="4"/>
        <v>61.875</v>
      </c>
      <c r="K28" s="4">
        <f t="shared" si="4"/>
        <v>61.875</v>
      </c>
      <c r="L28" s="4">
        <f t="shared" si="4"/>
        <v>61.875</v>
      </c>
      <c r="M28" s="4">
        <f t="shared" si="4"/>
        <v>61.875</v>
      </c>
    </row>
    <row r="29" spans="2:13">
      <c r="B29" s="9" t="s">
        <v>34</v>
      </c>
      <c r="C29" s="4">
        <f t="shared" ref="C29:M29" si="5">$C$5</f>
        <v>1</v>
      </c>
      <c r="D29" s="4">
        <f t="shared" si="5"/>
        <v>1</v>
      </c>
      <c r="E29" s="4">
        <f t="shared" si="5"/>
        <v>1</v>
      </c>
      <c r="F29" s="4">
        <f t="shared" si="5"/>
        <v>1</v>
      </c>
      <c r="G29" s="4">
        <f t="shared" si="5"/>
        <v>1</v>
      </c>
      <c r="H29" s="4">
        <f t="shared" si="5"/>
        <v>1</v>
      </c>
      <c r="I29" s="4">
        <f t="shared" si="5"/>
        <v>1</v>
      </c>
      <c r="J29" s="4">
        <f t="shared" si="5"/>
        <v>1</v>
      </c>
      <c r="K29" s="4">
        <f t="shared" si="5"/>
        <v>1</v>
      </c>
      <c r="L29" s="4">
        <f t="shared" si="5"/>
        <v>1</v>
      </c>
      <c r="M29" s="4">
        <f t="shared" si="5"/>
        <v>1</v>
      </c>
    </row>
    <row r="30" spans="2:13">
      <c r="B30" s="9" t="s">
        <v>35</v>
      </c>
      <c r="C30" s="4">
        <f t="shared" ref="C30:M30" si="6">$C$6</f>
        <v>0</v>
      </c>
      <c r="D30" s="4">
        <f t="shared" si="6"/>
        <v>0</v>
      </c>
      <c r="E30" s="4">
        <f t="shared" si="6"/>
        <v>0</v>
      </c>
      <c r="F30" s="4">
        <f t="shared" si="6"/>
        <v>0</v>
      </c>
      <c r="G30" s="4">
        <f t="shared" si="6"/>
        <v>0</v>
      </c>
      <c r="H30" s="4">
        <f t="shared" si="6"/>
        <v>0</v>
      </c>
      <c r="I30" s="4">
        <f t="shared" si="6"/>
        <v>0</v>
      </c>
      <c r="J30" s="4">
        <f t="shared" si="6"/>
        <v>0</v>
      </c>
      <c r="K30" s="4">
        <f t="shared" si="6"/>
        <v>0</v>
      </c>
      <c r="L30" s="4">
        <f t="shared" si="6"/>
        <v>0</v>
      </c>
      <c r="M30" s="4">
        <f t="shared" si="6"/>
        <v>0</v>
      </c>
    </row>
    <row r="31" spans="2:13" s="9" customFormat="1"/>
    <row r="32" spans="2:13" s="9" customFormat="1"/>
    <row r="33" spans="1:15" s="16" customFormat="1">
      <c r="A33" s="9"/>
      <c r="B33" s="15" t="s">
        <v>62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B34" s="9" t="s">
        <v>38</v>
      </c>
      <c r="C34" s="4">
        <f>0</f>
        <v>0</v>
      </c>
      <c r="D34" s="4">
        <f>0</f>
        <v>0</v>
      </c>
      <c r="E34" s="4">
        <f>0</f>
        <v>0</v>
      </c>
      <c r="F34" s="4">
        <f>0</f>
        <v>0</v>
      </c>
      <c r="G34" s="4">
        <f>0</f>
        <v>0</v>
      </c>
      <c r="H34" s="4">
        <f>0</f>
        <v>0</v>
      </c>
      <c r="I34" s="4">
        <f>0</f>
        <v>0</v>
      </c>
      <c r="J34" s="4">
        <f>0</f>
        <v>0</v>
      </c>
      <c r="K34" s="4">
        <f>0</f>
        <v>0</v>
      </c>
      <c r="L34" s="4">
        <f>0</f>
        <v>0</v>
      </c>
      <c r="M34" s="4">
        <f>0</f>
        <v>0</v>
      </c>
    </row>
    <row r="35" spans="1:15">
      <c r="B35" s="9" t="s">
        <v>39</v>
      </c>
      <c r="C35" s="4">
        <f>C26*C28*C29*365</f>
        <v>13550625</v>
      </c>
      <c r="D35" s="4">
        <f>D26*D28*D29*365</f>
        <v>16667268.75</v>
      </c>
      <c r="E35" s="4">
        <f>E26*E28*E29*365</f>
        <v>20484028.125</v>
      </c>
      <c r="F35" s="4">
        <f>F26*F28*F29*365</f>
        <v>25181578.125</v>
      </c>
      <c r="G35" s="4">
        <f>G26*G28*G29*365</f>
        <v>30963178.125</v>
      </c>
      <c r="H35" s="4">
        <f>H26*H28*H29*365</f>
        <v>38077256.25</v>
      </c>
      <c r="I35" s="4">
        <f>I26*I28*I29*365</f>
        <v>46817409.375</v>
      </c>
      <c r="J35" s="4">
        <f>J26*J28*J29*365</f>
        <v>57567571.875</v>
      </c>
      <c r="K35" s="4">
        <f>K26*K28*K29*365</f>
        <v>70802015.625</v>
      </c>
      <c r="L35" s="4">
        <f>L26*L28*L29*365</f>
        <v>87085350</v>
      </c>
      <c r="M35" s="4">
        <f>M26*M28*M29*365</f>
        <v>107095106.25</v>
      </c>
    </row>
    <row r="36" spans="1:15" s="16" customFormat="1">
      <c r="B36" s="16" t="s">
        <v>40</v>
      </c>
      <c r="C36" s="17">
        <f>SUM(C34:C35)</f>
        <v>13550625</v>
      </c>
      <c r="D36" s="17">
        <f>SUM(D34:D35)*(1+(D20-$C$20)*$C$15)</f>
        <v>17250623.15625</v>
      </c>
      <c r="E36" s="17">
        <f>SUM(E34:E35)*(1+(E20-$C$20)*$C$15)</f>
        <v>21917910.09375</v>
      </c>
      <c r="F36" s="17">
        <f>SUM(F34:F35)*(1+(F20-$C$20)*$C$15)</f>
        <v>27825643.828125</v>
      </c>
      <c r="G36" s="17">
        <f>SUM(G34:G35)*(1+(G20-$C$20)*$C$15)</f>
        <v>35298023.062500007</v>
      </c>
      <c r="H36" s="17">
        <f>SUM(H34:H35)*(1+(H20-$C$20)*$C$15)</f>
        <v>44740776.09375</v>
      </c>
      <c r="I36" s="17">
        <f>SUM(I34:I35)*(1+(I20-$C$20)*$C$15)</f>
        <v>56649065.34375</v>
      </c>
      <c r="J36" s="17">
        <f>SUM(J34:J35)*(1+(J20-$C$20)*$C$15)</f>
        <v>71671626.984375</v>
      </c>
      <c r="K36" s="17">
        <f>SUM(K34:K35)*(1+(K20-$C$20)*$C$15)</f>
        <v>90626580</v>
      </c>
      <c r="L36" s="17">
        <f>SUM(L34:L35)*(1+(L20-$C$20)*$C$15)</f>
        <v>114517235.25</v>
      </c>
      <c r="M36" s="17">
        <f>SUM(M34:M35)*(1+(M20-$C$20)*$C$15)</f>
        <v>144578393.4375</v>
      </c>
    </row>
    <row r="37" spans="1:15">
      <c r="B37" s="15" t="s">
        <v>21</v>
      </c>
    </row>
    <row r="38" spans="1:15">
      <c r="B38" s="9" t="s">
        <v>28</v>
      </c>
      <c r="C38" s="4">
        <f>-C22*C23*365</f>
        <v>-4854014.55</v>
      </c>
      <c r="D38" s="4">
        <f>-D22*D23*365</f>
        <v>-6363613.0750499992</v>
      </c>
      <c r="E38" s="4">
        <f>-E22*E23*365</f>
        <v>-7972937.329029751</v>
      </c>
      <c r="F38" s="4">
        <f>-F22*F23*365</f>
        <v>-10404683.214383826</v>
      </c>
      <c r="G38" s="4">
        <f>-G22*G23*365</f>
        <v>-13368224.019584183</v>
      </c>
      <c r="H38" s="4">
        <f>-H22*H23*365</f>
        <v>-16910803.384773992</v>
      </c>
      <c r="I38" s="4">
        <f>-I22*I23*365</f>
        <v>-21480563.6630686</v>
      </c>
      <c r="J38" s="4">
        <f>-J22*J23*365</f>
        <v>-27584623.837323923</v>
      </c>
      <c r="K38" s="4">
        <f>-K22*K23*365</f>
        <v>-34941895.896622106</v>
      </c>
      <c r="L38" s="4">
        <f>-L22*L23*365</f>
        <v>-44544525.457968205</v>
      </c>
      <c r="M38" s="4">
        <f>-M22*M23*365</f>
        <v>-56602419.775006332</v>
      </c>
    </row>
    <row r="39" spans="1:15">
      <c r="B39" s="9" t="s">
        <v>30</v>
      </c>
      <c r="C39" s="4">
        <f>-C24*57600</f>
        <v>-864000</v>
      </c>
      <c r="D39" s="4">
        <f>-D24*57600</f>
        <v>-1094400</v>
      </c>
      <c r="E39" s="4">
        <f>-E24*57600</f>
        <v>-1324800</v>
      </c>
      <c r="F39" s="4">
        <f>-F24*57600</f>
        <v>-1670400</v>
      </c>
      <c r="G39" s="4">
        <f>-G24*57600</f>
        <v>-2073600</v>
      </c>
      <c r="H39" s="4">
        <f>-H24*57600</f>
        <v>-2534400</v>
      </c>
      <c r="I39" s="4">
        <f>-I24*57600</f>
        <v>-3110400</v>
      </c>
      <c r="J39" s="4">
        <f>-J24*57600</f>
        <v>-3859200</v>
      </c>
      <c r="K39" s="4">
        <f>-K24*57600</f>
        <v>-4723200</v>
      </c>
      <c r="L39" s="4">
        <f>-L24*57600</f>
        <v>-5817600</v>
      </c>
      <c r="M39" s="4">
        <f>-M24*57600</f>
        <v>-7142400</v>
      </c>
    </row>
    <row r="40" spans="1:15">
      <c r="B40" s="18" t="s">
        <v>22</v>
      </c>
      <c r="C40" s="4">
        <f>-(550000+$G$5/1000)*C25</f>
        <v>-20250000</v>
      </c>
      <c r="D40" s="4">
        <f>-(550000+$G$5/1000)*D25</f>
        <v>-5400000</v>
      </c>
      <c r="E40" s="4">
        <f>-(550000+$G$5/1000)*E25</f>
        <v>-5400000</v>
      </c>
      <c r="F40" s="4">
        <f>-(550000+$G$5/1000)*F25</f>
        <v>-8100000</v>
      </c>
      <c r="G40" s="4">
        <f>-(550000+$G$5/1000)*G25</f>
        <v>-9450000</v>
      </c>
      <c r="H40" s="4">
        <f>-(550000+$G$5/1000)*H25</f>
        <v>-10800000</v>
      </c>
      <c r="I40" s="4">
        <f>-(550000+$G$5/1000)*I25</f>
        <v>-13500000</v>
      </c>
      <c r="J40" s="4">
        <f>-(550000+$G$5/1000)*J25</f>
        <v>-17550000</v>
      </c>
      <c r="K40" s="4">
        <f>-(550000+$G$5/1000)*K25</f>
        <v>-20250000</v>
      </c>
      <c r="L40" s="4">
        <f>-(550000+$G$5/1000)*L25</f>
        <v>-25650000</v>
      </c>
      <c r="M40" s="4">
        <f>-(550000+$G$5/1000)*M25</f>
        <v>-31050000</v>
      </c>
    </row>
    <row r="41" spans="1:15">
      <c r="B41" s="9" t="s">
        <v>23</v>
      </c>
      <c r="C41" s="4">
        <f>(0.02*C40)+($G$11*C24)</f>
        <v>-405000</v>
      </c>
      <c r="D41" s="4">
        <f>(0.02*D40)+($G$11*D24)</f>
        <v>-108000</v>
      </c>
      <c r="E41" s="4">
        <f>(0.02*E40)+($G$11*E24)</f>
        <v>-108000</v>
      </c>
      <c r="F41" s="4">
        <f>(0.02*F40)+($G$11*F24)</f>
        <v>-162000</v>
      </c>
      <c r="G41" s="4">
        <f>(0.02*G40)+($G$11*G24)</f>
        <v>-189000</v>
      </c>
      <c r="H41" s="4">
        <f>(0.02*H40)+($G$11*H24)</f>
        <v>-216000</v>
      </c>
      <c r="I41" s="4">
        <f>(0.02*I40)+($G$11*I24)</f>
        <v>-270000</v>
      </c>
      <c r="J41" s="4">
        <f>(0.02*J40)+($G$11*J24)</f>
        <v>-351000</v>
      </c>
      <c r="K41" s="4">
        <f>(0.02*K40)+($G$11*K24)</f>
        <v>-405000</v>
      </c>
      <c r="L41" s="4">
        <f>(0.02*L40)+($G$11*L24)</f>
        <v>-513000</v>
      </c>
      <c r="M41" s="4">
        <f>(0.02*M40)+($G$11*M24)</f>
        <v>-621000</v>
      </c>
    </row>
    <row r="42" spans="1:15">
      <c r="B42" s="9" t="s">
        <v>24</v>
      </c>
      <c r="C42" s="4">
        <f>0.02*C40</f>
        <v>-405000</v>
      </c>
      <c r="D42" s="4">
        <f>0.02*D40</f>
        <v>-108000</v>
      </c>
      <c r="E42" s="4">
        <f>0.02*E40</f>
        <v>-108000</v>
      </c>
      <c r="F42" s="4">
        <f>0.02*F40</f>
        <v>-162000</v>
      </c>
      <c r="G42" s="4">
        <f>0.02*G40</f>
        <v>-189000</v>
      </c>
      <c r="H42" s="4">
        <f>0.02*H40</f>
        <v>-216000</v>
      </c>
      <c r="I42" s="4">
        <f>0.02*I40</f>
        <v>-270000</v>
      </c>
      <c r="J42" s="4">
        <f>0.02*J40</f>
        <v>-351000</v>
      </c>
      <c r="K42" s="4">
        <f>0.02*K40</f>
        <v>-405000</v>
      </c>
      <c r="L42" s="4">
        <f>0.02*L40</f>
        <v>-513000</v>
      </c>
      <c r="M42" s="4">
        <f>0.02*M40</f>
        <v>-621000</v>
      </c>
    </row>
    <row r="43" spans="1:15">
      <c r="B43" s="9" t="s">
        <v>25</v>
      </c>
      <c r="C43" s="4">
        <f t="shared" ref="C43:M43" si="7">-100000</f>
        <v>-100000</v>
      </c>
      <c r="D43" s="4">
        <f t="shared" si="7"/>
        <v>-100000</v>
      </c>
      <c r="E43" s="4">
        <f t="shared" si="7"/>
        <v>-100000</v>
      </c>
      <c r="F43" s="4">
        <f t="shared" si="7"/>
        <v>-100000</v>
      </c>
      <c r="G43" s="4">
        <f t="shared" si="7"/>
        <v>-100000</v>
      </c>
      <c r="H43" s="4">
        <f t="shared" si="7"/>
        <v>-100000</v>
      </c>
      <c r="I43" s="4">
        <f t="shared" si="7"/>
        <v>-100000</v>
      </c>
      <c r="J43" s="4">
        <f t="shared" si="7"/>
        <v>-100000</v>
      </c>
      <c r="K43" s="4">
        <f t="shared" si="7"/>
        <v>-100000</v>
      </c>
      <c r="L43" s="4">
        <f t="shared" si="7"/>
        <v>-100000</v>
      </c>
      <c r="M43" s="4">
        <f t="shared" si="7"/>
        <v>-100000</v>
      </c>
    </row>
    <row r="44" spans="1:15">
      <c r="B44" s="15" t="s">
        <v>63</v>
      </c>
      <c r="C44" s="4">
        <f>(SUM(C40:C43)+C38+SUM(C39:C39))</f>
        <v>-26878014.550000001</v>
      </c>
      <c r="D44" s="4">
        <f>D38+D40+(SUM(D41:D43)+ D39)*(1+(D20-$C$20)*$C$15)</f>
        <v>-13223377.07505</v>
      </c>
      <c r="E44" s="4">
        <f>E38+E40+(SUM(E41:E43)+ E39)*(1+(E20-$C$20)*$C$15)</f>
        <v>-15128593.32902975</v>
      </c>
      <c r="F44" s="4">
        <f>F38+F40+(SUM(F41:F43)+ F39)*(1+(F20-$C$20)*$C$15)</f>
        <v>-20818995.214383826</v>
      </c>
      <c r="G44" s="4">
        <f>G38+G40+(SUM(G41:G43)+ G39)*(1+(G20-$C$20)*$C$15)</f>
        <v>-25727048.019584183</v>
      </c>
      <c r="H44" s="4">
        <f>H38+H40+(SUM(H41:H43)+ H39)*(1+(H20-$C$20)*$C$15)</f>
        <v>-31313823.384773992</v>
      </c>
      <c r="I44" s="4">
        <f>I38+I40+(SUM(I41:I43)+ I39)*(1+(I20-$C$20)*$C$15)</f>
        <v>-39518547.6630686</v>
      </c>
      <c r="J44" s="4">
        <f>J38+J40+(SUM(J41:J43)+ J39)*(1+(J20-$C$20)*$C$15)</f>
        <v>-50937817.837323919</v>
      </c>
      <c r="K44" s="4">
        <f>K38+K40+(SUM(K41:K43)+ K39)*(1+(K20-$C$20)*$C$15)</f>
        <v>-62402391.896622106</v>
      </c>
      <c r="L44" s="4">
        <f>L38+L40+(SUM(L41:L43)+ L39)*(1+(L20-$C$20)*$C$15)</f>
        <v>-79325359.457968205</v>
      </c>
      <c r="M44" s="4">
        <f>M38+M40+(SUM(M41:M43)+ M39)*(1+(M20-$C$20)*$C$15)</f>
        <v>-99106359.775006324</v>
      </c>
    </row>
    <row r="45" spans="1:15">
      <c r="B45" s="15" t="s">
        <v>41</v>
      </c>
      <c r="C45" s="4">
        <f>C35+C44</f>
        <v>-13327389.550000001</v>
      </c>
      <c r="D45" s="4">
        <f>D35+D44</f>
        <v>3443891.6749499999</v>
      </c>
      <c r="E45" s="4">
        <f>E35+E44</f>
        <v>5355434.7959702499</v>
      </c>
      <c r="F45" s="4">
        <f>F35+F44</f>
        <v>4362582.9106161743</v>
      </c>
      <c r="G45" s="4">
        <f>G35+G44</f>
        <v>5236130.1054158174</v>
      </c>
      <c r="H45" s="4">
        <f>H35+H44</f>
        <v>6763432.865226008</v>
      </c>
      <c r="I45" s="4">
        <f>I35+I44</f>
        <v>7298861.7119314</v>
      </c>
      <c r="J45" s="4">
        <f>J35+J44</f>
        <v>6629754.0376760811</v>
      </c>
      <c r="K45" s="4">
        <f>K35+K44</f>
        <v>8399623.7283778936</v>
      </c>
      <c r="L45" s="4">
        <f>L35+L44</f>
        <v>7759990.5420317948</v>
      </c>
      <c r="M45" s="4">
        <f>M35+M44</f>
        <v>7988746.4749936759</v>
      </c>
    </row>
    <row r="46" spans="1:15">
      <c r="B46" s="9" t="s">
        <v>42</v>
      </c>
      <c r="C46" s="4">
        <f>IF(C45&gt;0,C45*$C$14,0)</f>
        <v>0</v>
      </c>
      <c r="D46" s="4">
        <f>IF(D45&gt;0,D45*$C$14,0)</f>
        <v>860972.91873749997</v>
      </c>
      <c r="E46" s="4">
        <f>IF(E45&gt;0,E45*$C$14,0)</f>
        <v>1338858.6989925625</v>
      </c>
      <c r="F46" s="4">
        <f>IF(F45&gt;0,F45*$C$14,0)</f>
        <v>1090645.7276540436</v>
      </c>
      <c r="G46" s="4">
        <f>IF(G45&gt;0,G45*$C$14,0)</f>
        <v>1309032.5263539543</v>
      </c>
      <c r="H46" s="4">
        <f>IF(H45&gt;0,H45*$C$14,0)</f>
        <v>1690858.216306502</v>
      </c>
      <c r="I46" s="4">
        <f>IF(I45&gt;0,I45*$C$14,0)</f>
        <v>1824715.42798285</v>
      </c>
      <c r="J46" s="4">
        <f>IF(J45&gt;0,J45*$C$14,0)</f>
        <v>1657438.5094190203</v>
      </c>
      <c r="K46" s="4">
        <f>IF(K45&gt;0,K45*$C$14,0)</f>
        <v>2099905.9320944734</v>
      </c>
      <c r="L46" s="4">
        <f>IF(L45&gt;0,L45*$C$14,0)</f>
        <v>1939997.6355079487</v>
      </c>
      <c r="M46" s="4">
        <f>IF(M45&gt;0,M45*$C$14,0)</f>
        <v>1997186.618748419</v>
      </c>
    </row>
    <row r="47" spans="1:15">
      <c r="B47" s="15" t="s">
        <v>43</v>
      </c>
      <c r="C47" s="4">
        <f t="shared" ref="C47:M47" si="8">C45-C46</f>
        <v>-13327389.550000001</v>
      </c>
      <c r="D47" s="4">
        <f t="shared" si="8"/>
        <v>2582918.7562124999</v>
      </c>
      <c r="E47" s="4">
        <f t="shared" si="8"/>
        <v>4016576.0969776874</v>
      </c>
      <c r="F47" s="4">
        <f t="shared" si="8"/>
        <v>3271937.1829621308</v>
      </c>
      <c r="G47" s="4">
        <f t="shared" si="8"/>
        <v>3927097.579061863</v>
      </c>
      <c r="H47" s="4">
        <f t="shared" si="8"/>
        <v>5072574.648919506</v>
      </c>
      <c r="I47" s="4">
        <f t="shared" si="8"/>
        <v>5474146.28394855</v>
      </c>
      <c r="J47" s="4">
        <f t="shared" si="8"/>
        <v>4972315.5282570608</v>
      </c>
      <c r="K47" s="4">
        <f t="shared" si="8"/>
        <v>6299717.7962834202</v>
      </c>
      <c r="L47" s="4">
        <f t="shared" si="8"/>
        <v>5819992.9065238461</v>
      </c>
      <c r="M47" s="4">
        <f t="shared" si="8"/>
        <v>5991559.856245257</v>
      </c>
    </row>
    <row r="48" spans="1:15" s="16" customFormat="1">
      <c r="A48" s="9"/>
      <c r="B48" s="9" t="s">
        <v>44</v>
      </c>
      <c r="C48" s="4">
        <f>C47/(1+$C$13)^(C21+1)</f>
        <v>-11794150.044247789</v>
      </c>
      <c r="D48" s="4">
        <f>D47/(1+$C$13)^(D21+1)</f>
        <v>2022804.2573517899</v>
      </c>
      <c r="E48" s="4">
        <f>E47/(1+$C$13)^(E21+1)</f>
        <v>2783688.7158111003</v>
      </c>
      <c r="F48" s="4">
        <f>F47/(1+$C$13)^(F21+1)</f>
        <v>2006740.3501011785</v>
      </c>
      <c r="G48" s="4">
        <f>G47/(1+$C$13)^(G21+1)</f>
        <v>2131471.2306752065</v>
      </c>
      <c r="H48" s="4">
        <f>H47/(1+$C$13)^(H21+1)</f>
        <v>2436451.5856636963</v>
      </c>
      <c r="I48" s="4">
        <f>I47/(1+$C$13)^(I21+1)</f>
        <v>2326844.1434157216</v>
      </c>
      <c r="J48" s="4">
        <f>J47/(1+$C$13)^(J21+1)</f>
        <v>1870385.5215485704</v>
      </c>
      <c r="K48" s="4">
        <f>K47/(1+$C$13)^(K21+1)</f>
        <v>2097080.5089727137</v>
      </c>
      <c r="L48" s="4">
        <f>L47/(1+$C$13)^(L21+1)</f>
        <v>1714502.0964386279</v>
      </c>
      <c r="M48" s="4">
        <f>M47/(1+$C$13)^(M21+1)</f>
        <v>1561985.5935841564</v>
      </c>
      <c r="N48" s="9"/>
      <c r="O48" s="9"/>
    </row>
    <row r="49" spans="2:13">
      <c r="B49" s="9" t="s">
        <v>45</v>
      </c>
      <c r="C49" s="4">
        <f>C47</f>
        <v>-13327389.550000001</v>
      </c>
      <c r="D49" s="4">
        <f>SUM($C$48:D48)</f>
        <v>-9771345.7868959997</v>
      </c>
      <c r="E49" s="4">
        <f>SUM($C$48:E48)</f>
        <v>-6987657.0710848998</v>
      </c>
      <c r="F49" s="4">
        <f>SUM($C$48:F48)</f>
        <v>-4980916.7209837213</v>
      </c>
      <c r="G49" s="4">
        <f>SUM($C$48:G48)</f>
        <v>-2849445.4903085148</v>
      </c>
      <c r="H49" s="4">
        <f>SUM($C$48:H48)</f>
        <v>-412993.90464481851</v>
      </c>
      <c r="I49" s="4">
        <f>SUM($C$48:I48)</f>
        <v>1913850.2387709031</v>
      </c>
      <c r="J49" s="4">
        <f>SUM($C$48:J48)</f>
        <v>3784235.7603194732</v>
      </c>
      <c r="K49" s="4">
        <f>SUM($C$48:K48)</f>
        <v>5881316.2692921869</v>
      </c>
      <c r="L49" s="4">
        <f>SUM($C$48:L48)</f>
        <v>7595818.3657308146</v>
      </c>
      <c r="M49" s="4">
        <f>SUM($C$48:M48)</f>
        <v>9157803.9593149703</v>
      </c>
    </row>
    <row r="50" spans="2:13">
      <c r="B50" s="9" t="s">
        <v>46</v>
      </c>
      <c r="C50" s="9" t="str">
        <f t="shared" ref="C50:M50" si="9">IF(C49&lt;1,"0","1")</f>
        <v>0</v>
      </c>
      <c r="D50" s="9" t="str">
        <f t="shared" si="9"/>
        <v>0</v>
      </c>
      <c r="E50" s="9" t="str">
        <f t="shared" si="9"/>
        <v>0</v>
      </c>
      <c r="F50" s="9" t="str">
        <f t="shared" si="9"/>
        <v>0</v>
      </c>
      <c r="G50" s="9" t="str">
        <f t="shared" si="9"/>
        <v>0</v>
      </c>
      <c r="H50" s="9" t="str">
        <f t="shared" si="9"/>
        <v>0</v>
      </c>
      <c r="I50" s="9" t="str">
        <f t="shared" si="9"/>
        <v>1</v>
      </c>
      <c r="J50" s="9" t="str">
        <f t="shared" si="9"/>
        <v>1</v>
      </c>
      <c r="K50" s="9" t="str">
        <f t="shared" si="9"/>
        <v>1</v>
      </c>
      <c r="L50" s="9" t="str">
        <f t="shared" si="9"/>
        <v>1</v>
      </c>
      <c r="M50" s="9" t="str">
        <f t="shared" si="9"/>
        <v>1</v>
      </c>
    </row>
    <row r="52" spans="2:13">
      <c r="B52" s="9" t="s">
        <v>50</v>
      </c>
      <c r="C52" s="5">
        <f>NPV(C13,C47:M47)</f>
        <v>9157803.9593149703</v>
      </c>
      <c r="D52" s="9" t="s">
        <v>51</v>
      </c>
      <c r="J52" s="9" t="s">
        <v>47</v>
      </c>
      <c r="K52" s="9">
        <f t="array" ref="K52">MIN(IF(C49:M49&gt;0,C49:M49))</f>
        <v>1913850.2387709031</v>
      </c>
    </row>
    <row r="53" spans="2:13">
      <c r="B53" s="9" t="s">
        <v>52</v>
      </c>
      <c r="C53" s="6">
        <f>IRR(C47:M47)</f>
        <v>0.2751077339600374</v>
      </c>
      <c r="J53" s="9" t="s">
        <v>48</v>
      </c>
      <c r="K53" s="9">
        <f t="array" ref="K53">MAX(IF(C49:M49&lt;0,C49:M49))</f>
        <v>-412993.90464481851</v>
      </c>
    </row>
    <row r="54" spans="2:13" s="9" customFormat="1">
      <c r="B54" s="9" t="s">
        <v>53</v>
      </c>
      <c r="C54" s="6">
        <f>MIRR(C47:M47,0,0)</f>
        <v>0.13534993129309414</v>
      </c>
      <c r="J54" s="9" t="s">
        <v>49</v>
      </c>
      <c r="K54" s="9">
        <f>COUNTIF(C50:M50, 0)</f>
        <v>6</v>
      </c>
    </row>
    <row r="55" spans="2:13" s="9" customFormat="1">
      <c r="B55" s="9" t="s">
        <v>55</v>
      </c>
      <c r="C55" s="4">
        <f>K54+ABS(K53)/( K52-K53)</f>
        <v>6.1774910046353853</v>
      </c>
    </row>
    <row r="56" spans="2:13" s="9" customFormat="1">
      <c r="B56" s="9" t="s">
        <v>56</v>
      </c>
      <c r="C56" s="4">
        <f>ABS(NPV(0.05,C36:M36)/NPV(0.05,C44:M44))</f>
        <v>1.3513715858684665</v>
      </c>
    </row>
    <row r="57" spans="2:13">
      <c r="B57" s="9" t="s">
        <v>58</v>
      </c>
      <c r="C57" s="4">
        <f>ABS(SUM(C40:M40))/(1- (ABS(SUM(C41:M43))+ABS(SUM(C38:M38)) + ABS(SUM(C39:M39)))/ABS(SUM(C35:M35)))</f>
        <v>378839875.58867633</v>
      </c>
      <c r="D57" s="9" t="s">
        <v>59</v>
      </c>
    </row>
  </sheetData>
  <mergeCells count="10">
    <mergeCell ref="D8:F8"/>
    <mergeCell ref="D9:F9"/>
    <mergeCell ref="D10:F10"/>
    <mergeCell ref="D11:F11"/>
    <mergeCell ref="B2:G2"/>
    <mergeCell ref="D3:F3"/>
    <mergeCell ref="D4:F4"/>
    <mergeCell ref="D5:F5"/>
    <mergeCell ref="D6:F6"/>
    <mergeCell ref="D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Kalkulasi</vt:lpstr>
      <vt:lpstr>hanya pembetulan letak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2020-10-19T04:16:28Z</dcterms:created>
  <dcterms:modified xsi:type="dcterms:W3CDTF">2020-10-20T07:19:41Z</dcterms:modified>
</cp:coreProperties>
</file>