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 ATIV\Documents\GitHub\Isoquim_Software\"/>
    </mc:Choice>
  </mc:AlternateContent>
  <xr:revisionPtr revIDLastSave="0" documentId="13_ncr:1_{B1EE9567-E09E-4204-964C-DAFDC5B28702}" xr6:coauthVersionLast="46" xr6:coauthVersionMax="46" xr10:uidLastSave="{00000000-0000-0000-0000-000000000000}"/>
  <bookViews>
    <workbookView xWindow="-120" yWindow="-120" windowWidth="20730" windowHeight="11160" tabRatio="500" firstSheet="3" activeTab="4" xr2:uid="{00000000-000D-0000-FFFF-FFFF00000000}"/>
  </bookViews>
  <sheets>
    <sheet name="Materias Primas" sheetId="1" r:id="rId1"/>
    <sheet name="Costos" sheetId="2" r:id="rId2"/>
    <sheet name="Inventario Materias Primas" sheetId="3" r:id="rId3"/>
    <sheet name="Inventario Productos" sheetId="4" r:id="rId4"/>
    <sheet name="Producción" sheetId="5" r:id="rId5"/>
    <sheet name="Costos KG" sheetId="6" r:id="rId6"/>
    <sheet name="Detergentes" sheetId="7" r:id="rId7"/>
    <sheet name="Ensayos" sheetId="8" r:id="rId8"/>
    <sheet name="Limpiadores" sheetId="9" r:id="rId9"/>
    <sheet name="Ambientadores y ceras" sheetId="10" r:id="rId10"/>
    <sheet name="Jabones" sheetId="11" r:id="rId11"/>
  </sheets>
  <definedNames>
    <definedName name="_xlnm._FilterDatabase" localSheetId="1">'Costos'!$A$1:$G$251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5" l="1"/>
  <c r="U5" i="5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1" i="6"/>
  <c r="K3" i="6"/>
  <c r="L3" i="6"/>
  <c r="G4" i="11"/>
  <c r="C4" i="11"/>
  <c r="G16" i="10"/>
  <c r="C16" i="10"/>
  <c r="K4" i="10"/>
  <c r="G4" i="10"/>
  <c r="C4" i="10"/>
  <c r="C44" i="9"/>
  <c r="D42" i="9"/>
  <c r="C36" i="9"/>
  <c r="K35" i="9"/>
  <c r="G35" i="9"/>
  <c r="K31" i="9"/>
  <c r="D30" i="9"/>
  <c r="D28" i="9"/>
  <c r="D27" i="9"/>
  <c r="C26" i="9"/>
  <c r="K15" i="9"/>
  <c r="G15" i="9"/>
  <c r="C15" i="9"/>
  <c r="K4" i="9"/>
  <c r="C4" i="9"/>
  <c r="D5" i="8"/>
  <c r="K4" i="8"/>
  <c r="G4" i="8"/>
  <c r="C4" i="8"/>
  <c r="D42" i="7"/>
  <c r="C35" i="7"/>
  <c r="K21" i="7"/>
  <c r="G21" i="7"/>
  <c r="C21" i="7"/>
  <c r="K4" i="7"/>
  <c r="G4" i="7"/>
  <c r="C4" i="7"/>
  <c r="AB41" i="6"/>
  <c r="AA41" i="6"/>
  <c r="Z41" i="6"/>
  <c r="Y41" i="6"/>
  <c r="X41" i="6"/>
  <c r="W41" i="6"/>
  <c r="V41" i="6"/>
  <c r="U41" i="6"/>
  <c r="S41" i="6"/>
  <c r="R41" i="6"/>
  <c r="Q41" i="6"/>
  <c r="P41" i="6"/>
  <c r="O41" i="6"/>
  <c r="N41" i="6"/>
  <c r="M41" i="6"/>
  <c r="L41" i="6"/>
  <c r="J41" i="6"/>
  <c r="I41" i="6"/>
  <c r="H41" i="6"/>
  <c r="G41" i="6"/>
  <c r="F41" i="6"/>
  <c r="E41" i="6"/>
  <c r="D41" i="6"/>
  <c r="C41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L39" i="6"/>
  <c r="J39" i="6"/>
  <c r="I39" i="6"/>
  <c r="H39" i="6"/>
  <c r="G39" i="6"/>
  <c r="F39" i="6"/>
  <c r="E39" i="6"/>
  <c r="D39" i="6"/>
  <c r="C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L38" i="6"/>
  <c r="J38" i="6"/>
  <c r="I38" i="6"/>
  <c r="H38" i="6"/>
  <c r="G38" i="6"/>
  <c r="F38" i="6"/>
  <c r="E38" i="6"/>
  <c r="D38" i="6"/>
  <c r="C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L37" i="6"/>
  <c r="J37" i="6"/>
  <c r="I37" i="6"/>
  <c r="H37" i="6"/>
  <c r="G37" i="6"/>
  <c r="F37" i="6"/>
  <c r="E37" i="6"/>
  <c r="D37" i="6"/>
  <c r="C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J36" i="6"/>
  <c r="I36" i="6"/>
  <c r="H36" i="6"/>
  <c r="F36" i="6"/>
  <c r="E36" i="6"/>
  <c r="D36" i="6"/>
  <c r="C36" i="6"/>
  <c r="AB35" i="6"/>
  <c r="AA35" i="6"/>
  <c r="W35" i="6"/>
  <c r="V35" i="6"/>
  <c r="Q35" i="6"/>
  <c r="M35" i="6"/>
  <c r="L35" i="6"/>
  <c r="J35" i="6"/>
  <c r="I35" i="6"/>
  <c r="H35" i="6"/>
  <c r="G35" i="6"/>
  <c r="F35" i="6"/>
  <c r="C35" i="6"/>
  <c r="AB34" i="6"/>
  <c r="AA34" i="6"/>
  <c r="Z34" i="6"/>
  <c r="Y34" i="6"/>
  <c r="X34" i="6"/>
  <c r="W34" i="6"/>
  <c r="V34" i="6"/>
  <c r="U34" i="6"/>
  <c r="T34" i="6"/>
  <c r="S34" i="6"/>
  <c r="R34" i="6"/>
  <c r="Q34" i="6"/>
  <c r="O34" i="6"/>
  <c r="N34" i="6"/>
  <c r="M34" i="6"/>
  <c r="L34" i="6"/>
  <c r="J34" i="6"/>
  <c r="I34" i="6"/>
  <c r="H34" i="6"/>
  <c r="G34" i="6"/>
  <c r="F34" i="6"/>
  <c r="E34" i="6"/>
  <c r="D34" i="6"/>
  <c r="C34" i="6"/>
  <c r="AB33" i="6"/>
  <c r="AA33" i="6"/>
  <c r="Z33" i="6"/>
  <c r="Y33" i="6"/>
  <c r="X33" i="6"/>
  <c r="W33" i="6"/>
  <c r="V33" i="6"/>
  <c r="U33" i="6"/>
  <c r="T33" i="6"/>
  <c r="S33" i="6"/>
  <c r="R33" i="6"/>
  <c r="Q33" i="6"/>
  <c r="O33" i="6"/>
  <c r="N33" i="6"/>
  <c r="M33" i="6"/>
  <c r="L33" i="6"/>
  <c r="J33" i="6"/>
  <c r="I33" i="6"/>
  <c r="H33" i="6"/>
  <c r="G33" i="6"/>
  <c r="F33" i="6"/>
  <c r="E33" i="6"/>
  <c r="D33" i="6"/>
  <c r="C33" i="6"/>
  <c r="AB32" i="6"/>
  <c r="AA32" i="6"/>
  <c r="Z32" i="6"/>
  <c r="Y32" i="6"/>
  <c r="X32" i="6"/>
  <c r="W32" i="6"/>
  <c r="V32" i="6"/>
  <c r="U32" i="6"/>
  <c r="T32" i="6"/>
  <c r="P32" i="6"/>
  <c r="O32" i="6"/>
  <c r="N32" i="6"/>
  <c r="M32" i="6"/>
  <c r="L32" i="6"/>
  <c r="J32" i="6"/>
  <c r="I32" i="6"/>
  <c r="H32" i="6"/>
  <c r="G32" i="6"/>
  <c r="F32" i="6"/>
  <c r="E32" i="6"/>
  <c r="C32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J31" i="6"/>
  <c r="I31" i="6"/>
  <c r="H31" i="6"/>
  <c r="G31" i="6"/>
  <c r="F31" i="6"/>
  <c r="E31" i="6"/>
  <c r="D31" i="6"/>
  <c r="C31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J30" i="6"/>
  <c r="I30" i="6"/>
  <c r="H30" i="6"/>
  <c r="G30" i="6"/>
  <c r="F30" i="6"/>
  <c r="E30" i="6"/>
  <c r="D30" i="6"/>
  <c r="C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J29" i="6"/>
  <c r="I29" i="6"/>
  <c r="H29" i="6"/>
  <c r="G29" i="6"/>
  <c r="F29" i="6"/>
  <c r="E29" i="6"/>
  <c r="D29" i="6"/>
  <c r="C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J28" i="6"/>
  <c r="I28" i="6"/>
  <c r="G28" i="6"/>
  <c r="F28" i="6"/>
  <c r="E28" i="6"/>
  <c r="D28" i="6"/>
  <c r="C28" i="6"/>
  <c r="AB26" i="6"/>
  <c r="AA26" i="6"/>
  <c r="Z26" i="6"/>
  <c r="Y26" i="6"/>
  <c r="X26" i="6"/>
  <c r="W26" i="6"/>
  <c r="U26" i="6"/>
  <c r="T26" i="6"/>
  <c r="S26" i="6"/>
  <c r="R26" i="6"/>
  <c r="Q26" i="6"/>
  <c r="P26" i="6"/>
  <c r="O26" i="6"/>
  <c r="N26" i="6"/>
  <c r="M26" i="6"/>
  <c r="L26" i="6"/>
  <c r="J26" i="6"/>
  <c r="I26" i="6"/>
  <c r="H26" i="6"/>
  <c r="G26" i="6"/>
  <c r="F26" i="6"/>
  <c r="E26" i="6"/>
  <c r="D26" i="6"/>
  <c r="C26" i="6"/>
  <c r="AB25" i="6"/>
  <c r="AA25" i="6"/>
  <c r="Z25" i="6"/>
  <c r="Y25" i="6"/>
  <c r="X25" i="6"/>
  <c r="W25" i="6"/>
  <c r="U25" i="6"/>
  <c r="T25" i="6"/>
  <c r="S25" i="6"/>
  <c r="R25" i="6"/>
  <c r="Q25" i="6"/>
  <c r="P25" i="6"/>
  <c r="O25" i="6"/>
  <c r="N25" i="6"/>
  <c r="M25" i="6"/>
  <c r="L25" i="6"/>
  <c r="J25" i="6"/>
  <c r="I25" i="6"/>
  <c r="H25" i="6"/>
  <c r="G25" i="6"/>
  <c r="F25" i="6"/>
  <c r="E25" i="6"/>
  <c r="D25" i="6"/>
  <c r="C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J24" i="6"/>
  <c r="I24" i="6"/>
  <c r="H24" i="6"/>
  <c r="G24" i="6"/>
  <c r="F24" i="6"/>
  <c r="E24" i="6"/>
  <c r="D24" i="6"/>
  <c r="C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J23" i="6"/>
  <c r="I23" i="6"/>
  <c r="H23" i="6"/>
  <c r="G23" i="6"/>
  <c r="F23" i="6"/>
  <c r="E23" i="6"/>
  <c r="D23" i="6"/>
  <c r="C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J22" i="6"/>
  <c r="I22" i="6"/>
  <c r="H22" i="6"/>
  <c r="G22" i="6"/>
  <c r="F22" i="6"/>
  <c r="E22" i="6"/>
  <c r="D22" i="6"/>
  <c r="C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J21" i="6"/>
  <c r="I21" i="6"/>
  <c r="H21" i="6"/>
  <c r="G21" i="6"/>
  <c r="F21" i="6"/>
  <c r="E21" i="6"/>
  <c r="D21" i="6"/>
  <c r="C21" i="6"/>
  <c r="AB20" i="6"/>
  <c r="AA20" i="6"/>
  <c r="Z20" i="6"/>
  <c r="Y20" i="6"/>
  <c r="X20" i="6"/>
  <c r="W20" i="6"/>
  <c r="V20" i="6"/>
  <c r="U20" i="6"/>
  <c r="T20" i="6"/>
  <c r="S20" i="6"/>
  <c r="R20" i="6"/>
  <c r="P20" i="6"/>
  <c r="O20" i="6"/>
  <c r="N20" i="6"/>
  <c r="M20" i="6"/>
  <c r="L20" i="6"/>
  <c r="J20" i="6"/>
  <c r="I20" i="6"/>
  <c r="H20" i="6"/>
  <c r="G20" i="6"/>
  <c r="F20" i="6"/>
  <c r="E20" i="6"/>
  <c r="D20" i="6"/>
  <c r="C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J19" i="6"/>
  <c r="H19" i="6"/>
  <c r="G19" i="6"/>
  <c r="F19" i="6"/>
  <c r="E19" i="6"/>
  <c r="D19" i="6"/>
  <c r="C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J18" i="6"/>
  <c r="I18" i="6"/>
  <c r="H18" i="6"/>
  <c r="G18" i="6"/>
  <c r="F18" i="6"/>
  <c r="E18" i="6"/>
  <c r="D18" i="6"/>
  <c r="C18" i="6"/>
  <c r="AB17" i="6"/>
  <c r="AA17" i="6"/>
  <c r="Z17" i="6"/>
  <c r="W17" i="6"/>
  <c r="V17" i="6"/>
  <c r="Q17" i="6"/>
  <c r="P17" i="6"/>
  <c r="O17" i="6"/>
  <c r="M17" i="6"/>
  <c r="L17" i="6"/>
  <c r="J17" i="6"/>
  <c r="I17" i="6"/>
  <c r="H17" i="6"/>
  <c r="G17" i="6"/>
  <c r="F17" i="6"/>
  <c r="C17" i="6"/>
  <c r="AB16" i="6"/>
  <c r="W16" i="6"/>
  <c r="V16" i="6"/>
  <c r="U16" i="6"/>
  <c r="Q16" i="6"/>
  <c r="P16" i="6"/>
  <c r="M16" i="6"/>
  <c r="L16" i="6"/>
  <c r="J16" i="6"/>
  <c r="I16" i="6"/>
  <c r="H16" i="6"/>
  <c r="G16" i="6"/>
  <c r="F16" i="6"/>
  <c r="C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M15" i="6"/>
  <c r="L15" i="6"/>
  <c r="J15" i="6"/>
  <c r="I15" i="6"/>
  <c r="H15" i="6"/>
  <c r="G15" i="6"/>
  <c r="F15" i="6"/>
  <c r="E15" i="6"/>
  <c r="D15" i="6"/>
  <c r="C15" i="6"/>
  <c r="AB14" i="6"/>
  <c r="AA14" i="6"/>
  <c r="Z14" i="6"/>
  <c r="W14" i="6"/>
  <c r="V14" i="6"/>
  <c r="U14" i="6"/>
  <c r="T14" i="6"/>
  <c r="S14" i="6"/>
  <c r="Q14" i="6"/>
  <c r="N14" i="6"/>
  <c r="M14" i="6"/>
  <c r="J14" i="6"/>
  <c r="I14" i="6"/>
  <c r="H14" i="6"/>
  <c r="G14" i="6"/>
  <c r="F14" i="6"/>
  <c r="E14" i="6"/>
  <c r="D14" i="6"/>
  <c r="C14" i="6"/>
  <c r="AB13" i="6"/>
  <c r="AA13" i="6"/>
  <c r="Z13" i="6"/>
  <c r="Y13" i="6"/>
  <c r="X13" i="6"/>
  <c r="W13" i="6"/>
  <c r="V13" i="6"/>
  <c r="U13" i="6"/>
  <c r="T13" i="6"/>
  <c r="R13" i="6"/>
  <c r="Q13" i="6"/>
  <c r="O13" i="6"/>
  <c r="M13" i="6"/>
  <c r="L13" i="6"/>
  <c r="J13" i="6"/>
  <c r="I13" i="6"/>
  <c r="H13" i="6"/>
  <c r="G13" i="6"/>
  <c r="F13" i="6"/>
  <c r="E13" i="6"/>
  <c r="D13" i="6"/>
  <c r="C13" i="6"/>
  <c r="AB12" i="6"/>
  <c r="AA12" i="6"/>
  <c r="Z12" i="6"/>
  <c r="W12" i="6"/>
  <c r="V12" i="6"/>
  <c r="U12" i="6"/>
  <c r="T12" i="6"/>
  <c r="R12" i="6"/>
  <c r="Q12" i="6"/>
  <c r="M12" i="6"/>
  <c r="L12" i="6"/>
  <c r="J12" i="6"/>
  <c r="I12" i="6"/>
  <c r="H12" i="6"/>
  <c r="G12" i="6"/>
  <c r="F12" i="6"/>
  <c r="D12" i="6"/>
  <c r="C12" i="6"/>
  <c r="AB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AB10" i="6"/>
  <c r="AA10" i="6"/>
  <c r="Z10" i="6"/>
  <c r="Y10" i="6"/>
  <c r="X10" i="6"/>
  <c r="V10" i="6"/>
  <c r="T10" i="6"/>
  <c r="S10" i="6"/>
  <c r="R10" i="6"/>
  <c r="Q10" i="6"/>
  <c r="O10" i="6"/>
  <c r="N10" i="6"/>
  <c r="M10" i="6"/>
  <c r="I10" i="6"/>
  <c r="H10" i="6"/>
  <c r="G10" i="6"/>
  <c r="F10" i="6"/>
  <c r="E10" i="6"/>
  <c r="D10" i="6"/>
  <c r="C10" i="6"/>
  <c r="AB9" i="6"/>
  <c r="W9" i="6"/>
  <c r="U9" i="6"/>
  <c r="Q9" i="6"/>
  <c r="M9" i="6"/>
  <c r="J9" i="6"/>
  <c r="I9" i="6"/>
  <c r="H9" i="6"/>
  <c r="G9" i="6"/>
  <c r="E9" i="6"/>
  <c r="D9" i="6"/>
  <c r="C9" i="6"/>
  <c r="AB8" i="6"/>
  <c r="AA8" i="6"/>
  <c r="Z8" i="6"/>
  <c r="X8" i="6"/>
  <c r="W8" i="6"/>
  <c r="U8" i="6"/>
  <c r="T8" i="6"/>
  <c r="Q8" i="6"/>
  <c r="O8" i="6"/>
  <c r="M8" i="6"/>
  <c r="L8" i="6"/>
  <c r="J8" i="6"/>
  <c r="I8" i="6"/>
  <c r="H8" i="6"/>
  <c r="G8" i="6"/>
  <c r="F8" i="6"/>
  <c r="E8" i="6"/>
  <c r="D8" i="6"/>
  <c r="C8" i="6"/>
  <c r="AB7" i="6"/>
  <c r="AA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J7" i="6"/>
  <c r="I7" i="6"/>
  <c r="H7" i="6"/>
  <c r="G7" i="6"/>
  <c r="F7" i="6"/>
  <c r="E7" i="6"/>
  <c r="D7" i="6"/>
  <c r="C7" i="6"/>
  <c r="AB6" i="6"/>
  <c r="AA6" i="6"/>
  <c r="Z6" i="6"/>
  <c r="Y6" i="6"/>
  <c r="X6" i="6"/>
  <c r="W6" i="6"/>
  <c r="U6" i="6"/>
  <c r="T6" i="6"/>
  <c r="S6" i="6"/>
  <c r="R6" i="6"/>
  <c r="P6" i="6"/>
  <c r="O6" i="6"/>
  <c r="N6" i="6"/>
  <c r="M6" i="6"/>
  <c r="L6" i="6"/>
  <c r="J6" i="6"/>
  <c r="I6" i="6"/>
  <c r="H6" i="6"/>
  <c r="G6" i="6"/>
  <c r="F6" i="6"/>
  <c r="AB5" i="6"/>
  <c r="AA5" i="6"/>
  <c r="Z5" i="6"/>
  <c r="V5" i="6"/>
  <c r="T5" i="6"/>
  <c r="R5" i="6"/>
  <c r="M5" i="6"/>
  <c r="J5" i="6"/>
  <c r="I5" i="6"/>
  <c r="H5" i="6"/>
  <c r="G5" i="6"/>
  <c r="F5" i="6"/>
  <c r="E5" i="6"/>
  <c r="D5" i="6"/>
  <c r="C5" i="6"/>
  <c r="AB4" i="6"/>
  <c r="AA4" i="6"/>
  <c r="Z4" i="6"/>
  <c r="W4" i="6"/>
  <c r="V4" i="6"/>
  <c r="U4" i="6"/>
  <c r="T4" i="6"/>
  <c r="R4" i="6"/>
  <c r="Q4" i="6"/>
  <c r="M4" i="6"/>
  <c r="J4" i="6"/>
  <c r="I4" i="6"/>
  <c r="H4" i="6"/>
  <c r="G4" i="6"/>
  <c r="F4" i="6"/>
  <c r="E4" i="6"/>
  <c r="D4" i="6"/>
  <c r="C4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M3" i="6"/>
  <c r="J3" i="6"/>
  <c r="I3" i="6"/>
  <c r="H3" i="6"/>
  <c r="G3" i="6"/>
  <c r="F3" i="6"/>
  <c r="E3" i="6"/>
  <c r="C3" i="6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C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B5" i="5"/>
  <c r="AA5" i="5"/>
  <c r="Z5" i="5"/>
  <c r="Y5" i="5"/>
  <c r="X5" i="5"/>
  <c r="W5" i="5"/>
  <c r="V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25" i="2"/>
  <c r="E225" i="2"/>
  <c r="G218" i="2"/>
  <c r="E218" i="2"/>
  <c r="G217" i="2"/>
  <c r="E217" i="2"/>
  <c r="G211" i="2"/>
  <c r="G209" i="2"/>
  <c r="E209" i="2"/>
  <c r="G208" i="2"/>
  <c r="E208" i="2"/>
  <c r="G207" i="2"/>
  <c r="E207" i="2"/>
  <c r="G181" i="2"/>
  <c r="E181" i="2"/>
  <c r="G163" i="2"/>
  <c r="E163" i="2"/>
  <c r="G162" i="2"/>
  <c r="G153" i="2"/>
  <c r="E153" i="2"/>
  <c r="G152" i="2"/>
  <c r="E152" i="2"/>
  <c r="G151" i="2"/>
  <c r="E151" i="2"/>
  <c r="G141" i="2"/>
  <c r="G140" i="2"/>
  <c r="E140" i="2"/>
  <c r="G139" i="2"/>
  <c r="E139" i="2"/>
  <c r="G138" i="2"/>
  <c r="E138" i="2"/>
  <c r="G137" i="2"/>
  <c r="E137" i="2"/>
  <c r="G136" i="2"/>
  <c r="E136" i="2"/>
  <c r="C132" i="2"/>
  <c r="G132" i="2" s="1"/>
  <c r="E129" i="2"/>
  <c r="G75" i="2"/>
  <c r="E75" i="2"/>
  <c r="C64" i="2"/>
  <c r="G64" i="2" s="1"/>
  <c r="C55" i="2"/>
  <c r="E55" i="2" s="1"/>
  <c r="G17" i="2"/>
  <c r="G16" i="2"/>
  <c r="G15" i="2"/>
  <c r="C11" i="2"/>
  <c r="G11" i="2" s="1"/>
  <c r="B118" i="1"/>
  <c r="B117" i="1"/>
  <c r="C117" i="1" s="1"/>
  <c r="C116" i="1"/>
  <c r="C273" i="2" s="1"/>
  <c r="C115" i="1"/>
  <c r="C270" i="2" s="1"/>
  <c r="C114" i="1"/>
  <c r="C271" i="2" s="1"/>
  <c r="C113" i="1"/>
  <c r="C274" i="2" s="1"/>
  <c r="C112" i="1"/>
  <c r="C272" i="2" s="1"/>
  <c r="B111" i="1"/>
  <c r="C111" i="1" s="1"/>
  <c r="C280" i="2" s="1"/>
  <c r="B110" i="1"/>
  <c r="C110" i="1" s="1"/>
  <c r="C275" i="2" s="1"/>
  <c r="B106" i="1"/>
  <c r="C105" i="1"/>
  <c r="B104" i="1"/>
  <c r="C104" i="1" s="1"/>
  <c r="C103" i="1"/>
  <c r="B102" i="1"/>
  <c r="C102" i="1" s="1"/>
  <c r="C101" i="1"/>
  <c r="B101" i="1"/>
  <c r="B100" i="1"/>
  <c r="C100" i="1" s="1"/>
  <c r="D17" i="10" s="1"/>
  <c r="Z7" i="6" s="1"/>
  <c r="C99" i="1"/>
  <c r="B99" i="1"/>
  <c r="B98" i="1"/>
  <c r="C98" i="1" s="1"/>
  <c r="L5" i="10" s="1"/>
  <c r="H28" i="6" s="1"/>
  <c r="C93" i="1"/>
  <c r="B93" i="1"/>
  <c r="B92" i="1"/>
  <c r="C92" i="1" s="1"/>
  <c r="B91" i="1"/>
  <c r="B90" i="1"/>
  <c r="C90" i="1" s="1"/>
  <c r="B89" i="1"/>
  <c r="C88" i="1"/>
  <c r="C86" i="1"/>
  <c r="B85" i="1"/>
  <c r="B84" i="1"/>
  <c r="C84" i="1" s="1"/>
  <c r="B81" i="1"/>
  <c r="C81" i="1" s="1"/>
  <c r="H5" i="9" s="1"/>
  <c r="G36" i="6" s="1"/>
  <c r="C80" i="1"/>
  <c r="B79" i="1"/>
  <c r="C79" i="1" s="1"/>
  <c r="B78" i="1"/>
  <c r="B76" i="1"/>
  <c r="C76" i="1" s="1"/>
  <c r="D23" i="7" s="1"/>
  <c r="AA16" i="6" s="1"/>
  <c r="B74" i="1"/>
  <c r="C74" i="1" s="1"/>
  <c r="H11" i="11" s="1"/>
  <c r="R16" i="6" s="1"/>
  <c r="B72" i="1"/>
  <c r="B68" i="1"/>
  <c r="C68" i="1" s="1"/>
  <c r="D8" i="10" s="1"/>
  <c r="D16" i="6" s="1"/>
  <c r="B65" i="1"/>
  <c r="C65" i="1" s="1"/>
  <c r="C64" i="1"/>
  <c r="C154" i="2" s="1"/>
  <c r="E154" i="2" s="1"/>
  <c r="C63" i="1"/>
  <c r="C155" i="2" s="1"/>
  <c r="C62" i="1"/>
  <c r="C61" i="1"/>
  <c r="C60" i="1"/>
  <c r="C59" i="1"/>
  <c r="C219" i="2" s="1"/>
  <c r="C58" i="1"/>
  <c r="C224" i="2" s="1"/>
  <c r="C57" i="1"/>
  <c r="C56" i="1"/>
  <c r="C55" i="1"/>
  <c r="C221" i="2" s="1"/>
  <c r="C54" i="1"/>
  <c r="C220" i="2" s="1"/>
  <c r="C53" i="1"/>
  <c r="C130" i="2" s="1"/>
  <c r="E130" i="2" s="1"/>
  <c r="C52" i="1"/>
  <c r="C51" i="1"/>
  <c r="C129" i="2" s="1"/>
  <c r="G129" i="2" s="1"/>
  <c r="C50" i="1"/>
  <c r="C49" i="1"/>
  <c r="C145" i="2" s="1"/>
  <c r="E145" i="2" s="1"/>
  <c r="C48" i="1"/>
  <c r="C160" i="2" s="1"/>
  <c r="C47" i="1"/>
  <c r="C46" i="1"/>
  <c r="C45" i="1"/>
  <c r="C142" i="2" s="1"/>
  <c r="C44" i="1"/>
  <c r="C43" i="1"/>
  <c r="C141" i="2" s="1"/>
  <c r="E141" i="2" s="1"/>
  <c r="B42" i="1"/>
  <c r="C42" i="1" s="1"/>
  <c r="C41" i="1"/>
  <c r="C65" i="2" s="1"/>
  <c r="C40" i="1"/>
  <c r="C39" i="1"/>
  <c r="B38" i="1"/>
  <c r="C38" i="1" s="1"/>
  <c r="B37" i="1"/>
  <c r="B36" i="1"/>
  <c r="C36" i="1" s="1"/>
  <c r="D19" i="9" s="1"/>
  <c r="U17" i="6" s="1"/>
  <c r="B35" i="1"/>
  <c r="B34" i="1"/>
  <c r="C34" i="1" s="1"/>
  <c r="H12" i="11" s="1"/>
  <c r="R17" i="6" s="1"/>
  <c r="B33" i="1"/>
  <c r="B32" i="1"/>
  <c r="C32" i="1" s="1"/>
  <c r="L27" i="7" s="1"/>
  <c r="Y17" i="6" s="1"/>
  <c r="B31" i="1"/>
  <c r="B30" i="1"/>
  <c r="C30" i="1" s="1"/>
  <c r="B29" i="1"/>
  <c r="B28" i="1"/>
  <c r="C28" i="1" s="1"/>
  <c r="H10" i="10" s="1"/>
  <c r="E17" i="6" s="1"/>
  <c r="B27" i="1"/>
  <c r="B26" i="1"/>
  <c r="C26" i="1" s="1"/>
  <c r="H6" i="11" s="1"/>
  <c r="R30" i="6" s="1"/>
  <c r="B25" i="1"/>
  <c r="B24" i="1"/>
  <c r="C24" i="1" s="1"/>
  <c r="B23" i="1"/>
  <c r="B22" i="1"/>
  <c r="C22" i="1" s="1"/>
  <c r="B20" i="1"/>
  <c r="C20" i="1" s="1"/>
  <c r="C19" i="1"/>
  <c r="C66" i="2" s="1"/>
  <c r="G66" i="2" s="1"/>
  <c r="B18" i="1"/>
  <c r="B17" i="1"/>
  <c r="C17" i="1" s="1"/>
  <c r="H7" i="11" s="1"/>
  <c r="R31" i="6" s="1"/>
  <c r="C16" i="1"/>
  <c r="C54" i="2" s="1"/>
  <c r="G54" i="2" s="1"/>
  <c r="B15" i="1"/>
  <c r="C15" i="1" s="1"/>
  <c r="C13" i="1"/>
  <c r="B12" i="1"/>
  <c r="C12" i="1" s="1"/>
  <c r="B11" i="1"/>
  <c r="C10" i="1"/>
  <c r="C12" i="2" s="1"/>
  <c r="B8" i="1"/>
  <c r="B5" i="1"/>
  <c r="B4" i="1"/>
  <c r="C4" i="1" s="1"/>
  <c r="C4" i="2" s="1"/>
  <c r="C3" i="1"/>
  <c r="C3" i="2" s="1"/>
  <c r="B3" i="1"/>
  <c r="B2" i="1"/>
  <c r="C2" i="1" s="1"/>
  <c r="C2" i="2" s="1"/>
  <c r="G1" i="1"/>
  <c r="C109" i="1" s="1"/>
  <c r="B14" i="5" l="1"/>
  <c r="B8" i="5"/>
  <c r="B24" i="5"/>
  <c r="B40" i="6"/>
  <c r="B40" i="5"/>
  <c r="B21" i="5"/>
  <c r="B30" i="5"/>
  <c r="B9" i="5"/>
  <c r="B25" i="5"/>
  <c r="B41" i="5"/>
  <c r="B37" i="5"/>
  <c r="B5" i="5"/>
  <c r="B3" i="5"/>
  <c r="B17" i="5"/>
  <c r="B19" i="5"/>
  <c r="B33" i="5"/>
  <c r="B35" i="5"/>
  <c r="B13" i="5"/>
  <c r="B29" i="5"/>
  <c r="B23" i="6"/>
  <c r="B21" i="6"/>
  <c r="B29" i="6"/>
  <c r="B22" i="6"/>
  <c r="B12" i="5"/>
  <c r="B18" i="5"/>
  <c r="B23" i="5"/>
  <c r="B28" i="5"/>
  <c r="B34" i="5"/>
  <c r="B39" i="5"/>
  <c r="B6" i="5"/>
  <c r="B11" i="5"/>
  <c r="B16" i="5"/>
  <c r="B22" i="5"/>
  <c r="B27" i="5"/>
  <c r="B32" i="5"/>
  <c r="B38" i="5"/>
  <c r="B7" i="5"/>
  <c r="B4" i="5"/>
  <c r="B10" i="5"/>
  <c r="B15" i="5"/>
  <c r="B20" i="5"/>
  <c r="B26" i="5"/>
  <c r="B31" i="5"/>
  <c r="B36" i="5"/>
  <c r="B42" i="5"/>
  <c r="D16" i="9"/>
  <c r="U5" i="6" s="1"/>
  <c r="H23" i="7"/>
  <c r="X5" i="6" s="1"/>
  <c r="H6" i="7"/>
  <c r="P5" i="6" s="1"/>
  <c r="D6" i="11"/>
  <c r="S5" i="6" s="1"/>
  <c r="L28" i="9"/>
  <c r="L17" i="9"/>
  <c r="Q5" i="6" s="1"/>
  <c r="L23" i="7"/>
  <c r="Y5" i="6" s="1"/>
  <c r="L6" i="7"/>
  <c r="O5" i="6" s="1"/>
  <c r="H37" i="9"/>
  <c r="W5" i="6" s="1"/>
  <c r="D6" i="8"/>
  <c r="D37" i="7"/>
  <c r="L5" i="6" s="1"/>
  <c r="D6" i="7"/>
  <c r="N5" i="6" s="1"/>
  <c r="C259" i="2"/>
  <c r="H7" i="8"/>
  <c r="C53" i="2"/>
  <c r="C52" i="2"/>
  <c r="D6" i="10"/>
  <c r="D32" i="6" s="1"/>
  <c r="H8" i="11"/>
  <c r="R32" i="6" s="1"/>
  <c r="D8" i="11"/>
  <c r="S32" i="6" s="1"/>
  <c r="H5" i="8"/>
  <c r="L19" i="9"/>
  <c r="Q32" i="6" s="1"/>
  <c r="C161" i="2"/>
  <c r="L16" i="9"/>
  <c r="Q20" i="6" s="1"/>
  <c r="B20" i="6" s="1"/>
  <c r="L27" i="9"/>
  <c r="C279" i="2"/>
  <c r="C277" i="2"/>
  <c r="E275" i="2"/>
  <c r="C278" i="2"/>
  <c r="C276" i="2"/>
  <c r="G275" i="2"/>
  <c r="G2" i="2"/>
  <c r="E2" i="2"/>
  <c r="C13" i="2"/>
  <c r="C14" i="2"/>
  <c r="H9" i="11"/>
  <c r="R9" i="6" s="1"/>
  <c r="L7" i="9"/>
  <c r="T9" i="6" s="1"/>
  <c r="D29" i="9"/>
  <c r="F9" i="6" s="1"/>
  <c r="H19" i="9"/>
  <c r="V9" i="6" s="1"/>
  <c r="H8" i="8"/>
  <c r="H25" i="7"/>
  <c r="X9" i="6" s="1"/>
  <c r="D24" i="7"/>
  <c r="AA9" i="6" s="1"/>
  <c r="H8" i="7"/>
  <c r="P9" i="6" s="1"/>
  <c r="D20" i="10"/>
  <c r="Z9" i="6" s="1"/>
  <c r="D8" i="8"/>
  <c r="D39" i="7"/>
  <c r="L9" i="6" s="1"/>
  <c r="D8" i="7"/>
  <c r="N9" i="6" s="1"/>
  <c r="D9" i="11"/>
  <c r="S9" i="6" s="1"/>
  <c r="L8" i="8"/>
  <c r="L25" i="7"/>
  <c r="Y9" i="6" s="1"/>
  <c r="L8" i="7"/>
  <c r="O9" i="6" s="1"/>
  <c r="D11" i="7"/>
  <c r="H21" i="9"/>
  <c r="C106" i="2"/>
  <c r="C107" i="2"/>
  <c r="C126" i="2"/>
  <c r="C128" i="2"/>
  <c r="C127" i="2"/>
  <c r="G3" i="2"/>
  <c r="E3" i="2"/>
  <c r="G12" i="2"/>
  <c r="E12" i="2"/>
  <c r="C99" i="2"/>
  <c r="C49" i="2"/>
  <c r="C47" i="2"/>
  <c r="C77" i="2"/>
  <c r="C76" i="2"/>
  <c r="C78" i="2"/>
  <c r="C268" i="2"/>
  <c r="C269" i="2"/>
  <c r="E280" i="2"/>
  <c r="G280" i="2"/>
  <c r="C281" i="2"/>
  <c r="H26" i="7"/>
  <c r="X12" i="6" s="1"/>
  <c r="L9" i="7"/>
  <c r="O12" i="6" s="1"/>
  <c r="D10" i="11"/>
  <c r="S12" i="6" s="1"/>
  <c r="H6" i="10"/>
  <c r="E12" i="6" s="1"/>
  <c r="L26" i="7"/>
  <c r="Y12" i="6" s="1"/>
  <c r="H11" i="7"/>
  <c r="P12" i="6" s="1"/>
  <c r="D10" i="7"/>
  <c r="N12" i="6" s="1"/>
  <c r="E4" i="2"/>
  <c r="G4" i="2"/>
  <c r="H36" i="9"/>
  <c r="W10" i="6" s="1"/>
  <c r="D9" i="8"/>
  <c r="L7" i="8"/>
  <c r="D40" i="7"/>
  <c r="L10" i="6" s="1"/>
  <c r="H9" i="7"/>
  <c r="P10" i="6" s="1"/>
  <c r="D17" i="9"/>
  <c r="U10" i="6" s="1"/>
  <c r="D43" i="9"/>
  <c r="E65" i="2"/>
  <c r="G65" i="2"/>
  <c r="G142" i="2"/>
  <c r="E142" i="2"/>
  <c r="L18" i="9"/>
  <c r="Q6" i="6" s="1"/>
  <c r="H5" i="10"/>
  <c r="E6" i="6" s="1"/>
  <c r="D5" i="10"/>
  <c r="D6" i="6" s="1"/>
  <c r="H16" i="9"/>
  <c r="V6" i="6" s="1"/>
  <c r="L29" i="9"/>
  <c r="H26" i="9"/>
  <c r="C146" i="2"/>
  <c r="D12" i="8"/>
  <c r="H28" i="7"/>
  <c r="X35" i="6" s="1"/>
  <c r="D13" i="7"/>
  <c r="N35" i="6" s="1"/>
  <c r="H10" i="11"/>
  <c r="R35" i="6" s="1"/>
  <c r="H8" i="10"/>
  <c r="E35" i="6" s="1"/>
  <c r="D18" i="9"/>
  <c r="U35" i="6" s="1"/>
  <c r="L28" i="7"/>
  <c r="Y35" i="6" s="1"/>
  <c r="H13" i="7"/>
  <c r="P35" i="6" s="1"/>
  <c r="L10" i="7"/>
  <c r="O35" i="6" s="1"/>
  <c r="D13" i="11"/>
  <c r="S35" i="6" s="1"/>
  <c r="D7" i="10"/>
  <c r="D35" i="6" s="1"/>
  <c r="D18" i="10"/>
  <c r="Z35" i="6" s="1"/>
  <c r="L9" i="9"/>
  <c r="T35" i="6" s="1"/>
  <c r="C5" i="1"/>
  <c r="C8" i="1"/>
  <c r="L5" i="8" s="1"/>
  <c r="C11" i="1"/>
  <c r="C14" i="1"/>
  <c r="C222" i="2"/>
  <c r="C133" i="2"/>
  <c r="C67" i="1"/>
  <c r="C78" i="1"/>
  <c r="C205" i="2"/>
  <c r="C204" i="2"/>
  <c r="C206" i="2"/>
  <c r="C91" i="1"/>
  <c r="H20" i="9" s="1"/>
  <c r="V26" i="6" s="1"/>
  <c r="C227" i="2"/>
  <c r="C226" i="2"/>
  <c r="C97" i="1"/>
  <c r="C249" i="2"/>
  <c r="C236" i="2"/>
  <c r="C258" i="2"/>
  <c r="C257" i="2"/>
  <c r="C106" i="1"/>
  <c r="D15" i="7" s="1"/>
  <c r="N15" i="6" s="1"/>
  <c r="B15" i="6" s="1"/>
  <c r="C118" i="1"/>
  <c r="C9" i="1"/>
  <c r="L6" i="8" s="1"/>
  <c r="C71" i="1"/>
  <c r="E274" i="2"/>
  <c r="G274" i="2"/>
  <c r="G55" i="2"/>
  <c r="E64" i="2"/>
  <c r="E66" i="2"/>
  <c r="E132" i="2"/>
  <c r="C135" i="2"/>
  <c r="C70" i="1"/>
  <c r="L29" i="7" s="1"/>
  <c r="Y16" i="6" s="1"/>
  <c r="C89" i="1"/>
  <c r="D5" i="9" s="1"/>
  <c r="M37" i="6" s="1"/>
  <c r="E272" i="2"/>
  <c r="G272" i="2"/>
  <c r="G154" i="2"/>
  <c r="C6" i="1"/>
  <c r="C7" i="2" s="1"/>
  <c r="C157" i="2"/>
  <c r="C158" i="2"/>
  <c r="C156" i="2"/>
  <c r="C134" i="2"/>
  <c r="C223" i="2"/>
  <c r="C87" i="1"/>
  <c r="C94" i="1"/>
  <c r="C228" i="2" s="1"/>
  <c r="C107" i="1"/>
  <c r="D6" i="9" s="1"/>
  <c r="M38" i="6" s="1"/>
  <c r="E11" i="2"/>
  <c r="C7" i="1"/>
  <c r="G220" i="2"/>
  <c r="E220" i="2"/>
  <c r="G224" i="2"/>
  <c r="E224" i="2"/>
  <c r="C77" i="1"/>
  <c r="D19" i="10" s="1"/>
  <c r="Z16" i="6" s="1"/>
  <c r="C82" i="1"/>
  <c r="H17" i="9" s="1"/>
  <c r="V25" i="6" s="1"/>
  <c r="C214" i="2"/>
  <c r="C216" i="2"/>
  <c r="C215" i="2"/>
  <c r="C95" i="1"/>
  <c r="C229" i="2" s="1"/>
  <c r="C108" i="1"/>
  <c r="D7" i="9" s="1"/>
  <c r="M39" i="6" s="1"/>
  <c r="B39" i="6" s="1"/>
  <c r="G271" i="2"/>
  <c r="E271" i="2"/>
  <c r="E54" i="2"/>
  <c r="G130" i="2"/>
  <c r="C143" i="2"/>
  <c r="G145" i="2"/>
  <c r="E160" i="2"/>
  <c r="G160" i="2"/>
  <c r="C73" i="1"/>
  <c r="G273" i="2"/>
  <c r="E273" i="2"/>
  <c r="L26" i="9"/>
  <c r="H4" i="11"/>
  <c r="D16" i="10"/>
  <c r="H4" i="10"/>
  <c r="H27" i="9"/>
  <c r="C27" i="6" s="1"/>
  <c r="D26" i="9"/>
  <c r="H4" i="9"/>
  <c r="H35" i="9"/>
  <c r="D21" i="7"/>
  <c r="D36" i="9"/>
  <c r="I27" i="6" s="1"/>
  <c r="D15" i="9"/>
  <c r="D4" i="8"/>
  <c r="L21" i="7"/>
  <c r="D4" i="7"/>
  <c r="L15" i="9"/>
  <c r="L4" i="8"/>
  <c r="L4" i="7"/>
  <c r="C18" i="1"/>
  <c r="C21" i="1"/>
  <c r="C23" i="1"/>
  <c r="D22" i="7" s="1"/>
  <c r="AA11" i="6" s="1"/>
  <c r="B11" i="6" s="1"/>
  <c r="C25" i="1"/>
  <c r="C27" i="1"/>
  <c r="H27" i="7" s="1"/>
  <c r="X17" i="6" s="1"/>
  <c r="C29" i="1"/>
  <c r="D9" i="10" s="1"/>
  <c r="D17" i="6" s="1"/>
  <c r="C31" i="1"/>
  <c r="C33" i="1"/>
  <c r="L8" i="9" s="1"/>
  <c r="T17" i="6" s="1"/>
  <c r="C35" i="1"/>
  <c r="C37" i="1"/>
  <c r="D35" i="9" s="1"/>
  <c r="C159" i="2"/>
  <c r="C144" i="2"/>
  <c r="E221" i="2"/>
  <c r="G221" i="2"/>
  <c r="E219" i="2"/>
  <c r="G219" i="2"/>
  <c r="G155" i="2"/>
  <c r="E155" i="2"/>
  <c r="C66" i="1"/>
  <c r="H29" i="7" s="1"/>
  <c r="X16" i="6" s="1"/>
  <c r="C69" i="1"/>
  <c r="D14" i="7" s="1"/>
  <c r="N16" i="6" s="1"/>
  <c r="C72" i="1"/>
  <c r="D14" i="11" s="1"/>
  <c r="S16" i="6" s="1"/>
  <c r="C75" i="1"/>
  <c r="L11" i="7" s="1"/>
  <c r="O16" i="6" s="1"/>
  <c r="C83" i="1"/>
  <c r="C85" i="1"/>
  <c r="L30" i="9" s="1"/>
  <c r="C96" i="1"/>
  <c r="C230" i="2" s="1"/>
  <c r="C261" i="2"/>
  <c r="C260" i="2"/>
  <c r="G270" i="2"/>
  <c r="E270" i="2"/>
  <c r="C131" i="2"/>
  <c r="B31" i="6"/>
  <c r="B25" i="6"/>
  <c r="B7" i="6"/>
  <c r="B37" i="6"/>
  <c r="H21" i="7"/>
  <c r="D4" i="9"/>
  <c r="L35" i="9"/>
  <c r="B26" i="6"/>
  <c r="B30" i="6"/>
  <c r="B36" i="6"/>
  <c r="D35" i="7"/>
  <c r="L4" i="9"/>
  <c r="L4" i="10"/>
  <c r="D4" i="11"/>
  <c r="B28" i="6"/>
  <c r="B38" i="6"/>
  <c r="D44" i="9"/>
  <c r="J27" i="6" s="1"/>
  <c r="H4" i="7"/>
  <c r="H4" i="8"/>
  <c r="H15" i="9"/>
  <c r="D4" i="10"/>
  <c r="H16" i="10"/>
  <c r="K24" i="6" l="1"/>
  <c r="L9" i="8"/>
  <c r="B5" i="6"/>
  <c r="B9" i="6"/>
  <c r="B32" i="6"/>
  <c r="B35" i="6"/>
  <c r="S27" i="6"/>
  <c r="AB27" i="6"/>
  <c r="N27" i="6"/>
  <c r="R27" i="6"/>
  <c r="L10" i="9"/>
  <c r="T16" i="6" s="1"/>
  <c r="C210" i="2"/>
  <c r="G158" i="2"/>
  <c r="E158" i="2"/>
  <c r="G135" i="2"/>
  <c r="E135" i="2"/>
  <c r="E258" i="2"/>
  <c r="G258" i="2"/>
  <c r="E226" i="2"/>
  <c r="G226" i="2"/>
  <c r="E204" i="2"/>
  <c r="G204" i="2"/>
  <c r="G133" i="2"/>
  <c r="E133" i="2"/>
  <c r="C6" i="6"/>
  <c r="C18" i="2"/>
  <c r="E76" i="2"/>
  <c r="G76" i="2"/>
  <c r="G99" i="2"/>
  <c r="E99" i="2"/>
  <c r="G107" i="2"/>
  <c r="E107" i="2"/>
  <c r="G14" i="2"/>
  <c r="E14" i="2"/>
  <c r="G277" i="2"/>
  <c r="E277" i="2"/>
  <c r="E53" i="2"/>
  <c r="G53" i="2"/>
  <c r="H9" i="8"/>
  <c r="E230" i="2"/>
  <c r="G230" i="2"/>
  <c r="D12" i="11"/>
  <c r="S17" i="6" s="1"/>
  <c r="D12" i="7"/>
  <c r="C57" i="2"/>
  <c r="C56" i="2"/>
  <c r="D31" i="9"/>
  <c r="F27" i="6"/>
  <c r="F42" i="6" s="1"/>
  <c r="G143" i="2"/>
  <c r="E143" i="2"/>
  <c r="C8" i="2"/>
  <c r="C9" i="2"/>
  <c r="C10" i="2"/>
  <c r="C212" i="2"/>
  <c r="C213" i="2"/>
  <c r="P27" i="6"/>
  <c r="L6" i="10"/>
  <c r="H27" i="6"/>
  <c r="H42" i="6" s="1"/>
  <c r="C67" i="2"/>
  <c r="M27" i="6"/>
  <c r="M42" i="6" s="1"/>
  <c r="D8" i="9"/>
  <c r="C100" i="2"/>
  <c r="C81" i="2"/>
  <c r="C80" i="2"/>
  <c r="C79" i="2"/>
  <c r="C82" i="2"/>
  <c r="O27" i="6"/>
  <c r="Y27" i="6"/>
  <c r="D25" i="7"/>
  <c r="AA27" i="6"/>
  <c r="AA42" i="6" s="1"/>
  <c r="C262" i="2"/>
  <c r="L31" i="9"/>
  <c r="G214" i="2"/>
  <c r="E214" i="2"/>
  <c r="E223" i="2"/>
  <c r="G223" i="2"/>
  <c r="G157" i="2"/>
  <c r="E157" i="2"/>
  <c r="H5" i="11"/>
  <c r="R8" i="6" s="1"/>
  <c r="L24" i="7"/>
  <c r="Y8" i="6" s="1"/>
  <c r="D7" i="7"/>
  <c r="N8" i="6" s="1"/>
  <c r="H18" i="9"/>
  <c r="V8" i="6" s="1"/>
  <c r="H7" i="7"/>
  <c r="P8" i="6" s="1"/>
  <c r="D7" i="11"/>
  <c r="S8" i="6" s="1"/>
  <c r="E236" i="2"/>
  <c r="G236" i="2"/>
  <c r="G227" i="2"/>
  <c r="E227" i="2"/>
  <c r="G205" i="2"/>
  <c r="E205" i="2"/>
  <c r="G222" i="2"/>
  <c r="E222" i="2"/>
  <c r="L36" i="9"/>
  <c r="AB18" i="6" s="1"/>
  <c r="C5" i="2"/>
  <c r="C6" i="2"/>
  <c r="G269" i="2"/>
  <c r="E269" i="2"/>
  <c r="G77" i="2"/>
  <c r="E77" i="2"/>
  <c r="G127" i="2"/>
  <c r="E127" i="2"/>
  <c r="E106" i="2"/>
  <c r="G106" i="2"/>
  <c r="E13" i="2"/>
  <c r="G13" i="2"/>
  <c r="E276" i="2"/>
  <c r="G276" i="2"/>
  <c r="G279" i="2"/>
  <c r="E279" i="2"/>
  <c r="G161" i="2"/>
  <c r="E161" i="2"/>
  <c r="G159" i="2"/>
  <c r="E159" i="2"/>
  <c r="H38" i="9"/>
  <c r="W27" i="6"/>
  <c r="W42" i="6" s="1"/>
  <c r="C231" i="2"/>
  <c r="E27" i="6"/>
  <c r="G229" i="2"/>
  <c r="E229" i="2"/>
  <c r="E134" i="2"/>
  <c r="G134" i="2"/>
  <c r="G7" i="2"/>
  <c r="E7" i="2"/>
  <c r="G249" i="2"/>
  <c r="E249" i="2"/>
  <c r="H7" i="10"/>
  <c r="H11" i="10" s="1"/>
  <c r="D38" i="7"/>
  <c r="L7" i="7"/>
  <c r="L6" i="9"/>
  <c r="L11" i="9" s="1"/>
  <c r="D7" i="8"/>
  <c r="D15" i="8" s="1"/>
  <c r="H24" i="7"/>
  <c r="L5" i="9"/>
  <c r="T41" i="6" s="1"/>
  <c r="B41" i="6" s="1"/>
  <c r="C25" i="2"/>
  <c r="J10" i="6"/>
  <c r="C89" i="2"/>
  <c r="B12" i="6"/>
  <c r="G281" i="2"/>
  <c r="E281" i="2"/>
  <c r="E268" i="2"/>
  <c r="G268" i="2"/>
  <c r="C50" i="2"/>
  <c r="E47" i="2"/>
  <c r="C51" i="2"/>
  <c r="G47" i="2"/>
  <c r="C48" i="2"/>
  <c r="G128" i="2"/>
  <c r="E128" i="2"/>
  <c r="G278" i="2"/>
  <c r="E278" i="2"/>
  <c r="E259" i="2"/>
  <c r="G259" i="2"/>
  <c r="G216" i="2"/>
  <c r="E216" i="2"/>
  <c r="E144" i="2"/>
  <c r="G144" i="2"/>
  <c r="D27" i="6"/>
  <c r="D11" i="10"/>
  <c r="C26" i="2"/>
  <c r="T27" i="6"/>
  <c r="C187" i="2"/>
  <c r="H31" i="7"/>
  <c r="X27" i="6"/>
  <c r="E260" i="2"/>
  <c r="G260" i="2"/>
  <c r="H10" i="7"/>
  <c r="P13" i="6" s="1"/>
  <c r="D9" i="7"/>
  <c r="N13" i="6" s="1"/>
  <c r="D10" i="8"/>
  <c r="D11" i="11"/>
  <c r="S13" i="6" s="1"/>
  <c r="H12" i="7"/>
  <c r="P33" i="6" s="1"/>
  <c r="B33" i="6" s="1"/>
  <c r="D11" i="8"/>
  <c r="H22" i="9"/>
  <c r="V27" i="6"/>
  <c r="C198" i="2"/>
  <c r="L27" i="6"/>
  <c r="D45" i="9"/>
  <c r="G131" i="2"/>
  <c r="E131" i="2"/>
  <c r="G261" i="2"/>
  <c r="E261" i="2"/>
  <c r="D37" i="9"/>
  <c r="I19" i="6"/>
  <c r="C83" i="2"/>
  <c r="H6" i="8"/>
  <c r="D15" i="11"/>
  <c r="S3" i="6" s="1"/>
  <c r="D14" i="8"/>
  <c r="D10" i="10"/>
  <c r="D3" i="6" s="1"/>
  <c r="D16" i="7"/>
  <c r="N3" i="6" s="1"/>
  <c r="L20" i="9"/>
  <c r="Q27" i="6"/>
  <c r="Q42" i="6" s="1"/>
  <c r="D20" i="9"/>
  <c r="U27" i="6"/>
  <c r="U42" i="6" s="1"/>
  <c r="C183" i="2"/>
  <c r="C193" i="2"/>
  <c r="H6" i="9"/>
  <c r="G27" i="6"/>
  <c r="G42" i="6" s="1"/>
  <c r="C58" i="2"/>
  <c r="D21" i="10"/>
  <c r="Z27" i="6"/>
  <c r="Z42" i="6" s="1"/>
  <c r="C250" i="2"/>
  <c r="E215" i="2"/>
  <c r="G215" i="2"/>
  <c r="E228" i="2"/>
  <c r="G228" i="2"/>
  <c r="E156" i="2"/>
  <c r="G156" i="2"/>
  <c r="H14" i="7"/>
  <c r="P34" i="6" s="1"/>
  <c r="B34" i="6" s="1"/>
  <c r="D13" i="8"/>
  <c r="G257" i="2"/>
  <c r="E257" i="2"/>
  <c r="H13" i="11"/>
  <c r="R14" i="6" s="1"/>
  <c r="H30" i="7"/>
  <c r="X14" i="6" s="1"/>
  <c r="H15" i="7"/>
  <c r="P14" i="6" s="1"/>
  <c r="L30" i="7"/>
  <c r="Y14" i="6" s="1"/>
  <c r="D41" i="7"/>
  <c r="L14" i="6" s="1"/>
  <c r="L12" i="7"/>
  <c r="O14" i="6" s="1"/>
  <c r="E206" i="2"/>
  <c r="G206" i="2"/>
  <c r="H9" i="10"/>
  <c r="E16" i="6" s="1"/>
  <c r="H17" i="10"/>
  <c r="C36" i="2" s="1"/>
  <c r="D5" i="7"/>
  <c r="N4" i="6" s="1"/>
  <c r="D36" i="7"/>
  <c r="L4" i="6" s="1"/>
  <c r="L22" i="7"/>
  <c r="Y4" i="6" s="1"/>
  <c r="L5" i="7"/>
  <c r="O4" i="6" s="1"/>
  <c r="O42" i="6" s="1"/>
  <c r="H22" i="7"/>
  <c r="X4" i="6" s="1"/>
  <c r="H5" i="7"/>
  <c r="P4" i="6" s="1"/>
  <c r="D5" i="11"/>
  <c r="S4" i="6" s="1"/>
  <c r="C148" i="2"/>
  <c r="G146" i="2"/>
  <c r="C149" i="2"/>
  <c r="E146" i="2"/>
  <c r="C150" i="2"/>
  <c r="C147" i="2"/>
  <c r="E78" i="2"/>
  <c r="G78" i="2"/>
  <c r="E49" i="2"/>
  <c r="G49" i="2"/>
  <c r="E126" i="2"/>
  <c r="G126" i="2"/>
  <c r="N17" i="6"/>
  <c r="B17" i="6" s="1"/>
  <c r="G52" i="2"/>
  <c r="E52" i="2"/>
  <c r="K42" i="6" l="1"/>
  <c r="B24" i="6"/>
  <c r="P42" i="6"/>
  <c r="B8" i="6"/>
  <c r="X42" i="6"/>
  <c r="B27" i="6"/>
  <c r="C38" i="2"/>
  <c r="G36" i="2"/>
  <c r="C37" i="2"/>
  <c r="E36" i="2"/>
  <c r="C39" i="2"/>
  <c r="G193" i="2"/>
  <c r="E193" i="2"/>
  <c r="C30" i="2"/>
  <c r="C28" i="2"/>
  <c r="E26" i="2"/>
  <c r="G26" i="2"/>
  <c r="C33" i="2"/>
  <c r="C31" i="2"/>
  <c r="C29" i="2"/>
  <c r="C27" i="2"/>
  <c r="C32" i="2"/>
  <c r="B10" i="6"/>
  <c r="J42" i="6"/>
  <c r="G231" i="2"/>
  <c r="E231" i="2"/>
  <c r="B18" i="6"/>
  <c r="AB42" i="6"/>
  <c r="E82" i="2"/>
  <c r="G82" i="2"/>
  <c r="C105" i="2"/>
  <c r="C101" i="2"/>
  <c r="C102" i="2"/>
  <c r="G100" i="2"/>
  <c r="C104" i="2"/>
  <c r="C103" i="2"/>
  <c r="E100" i="2"/>
  <c r="H16" i="7"/>
  <c r="G10" i="2"/>
  <c r="E10" i="2"/>
  <c r="G57" i="2"/>
  <c r="E57" i="2"/>
  <c r="G210" i="2"/>
  <c r="E210" i="2"/>
  <c r="H14" i="11"/>
  <c r="C282" i="2"/>
  <c r="E149" i="2"/>
  <c r="G149" i="2"/>
  <c r="B4" i="6"/>
  <c r="L42" i="6"/>
  <c r="C85" i="2"/>
  <c r="G83" i="2"/>
  <c r="C88" i="2"/>
  <c r="C86" i="2"/>
  <c r="E83" i="2"/>
  <c r="C84" i="2"/>
  <c r="C87" i="2"/>
  <c r="C92" i="2"/>
  <c r="S42" i="6"/>
  <c r="C191" i="2"/>
  <c r="C189" i="2"/>
  <c r="G187" i="2"/>
  <c r="C188" i="2"/>
  <c r="C190" i="2"/>
  <c r="E187" i="2"/>
  <c r="C192" i="2"/>
  <c r="G50" i="2"/>
  <c r="E50" i="2"/>
  <c r="G25" i="2"/>
  <c r="E25" i="2"/>
  <c r="C34" i="2"/>
  <c r="C108" i="2"/>
  <c r="G79" i="2"/>
  <c r="E79" i="2"/>
  <c r="E9" i="2"/>
  <c r="G9" i="2"/>
  <c r="T42" i="6"/>
  <c r="C114" i="2"/>
  <c r="D16" i="11"/>
  <c r="G147" i="2"/>
  <c r="E147" i="2"/>
  <c r="I42" i="6"/>
  <c r="B19" i="6"/>
  <c r="G48" i="2"/>
  <c r="E48" i="2"/>
  <c r="G148" i="2"/>
  <c r="E148" i="2"/>
  <c r="C255" i="2"/>
  <c r="C254" i="2"/>
  <c r="C251" i="2"/>
  <c r="C253" i="2"/>
  <c r="E250" i="2"/>
  <c r="G250" i="2"/>
  <c r="C256" i="2"/>
  <c r="C252" i="2"/>
  <c r="N42" i="6"/>
  <c r="D43" i="7"/>
  <c r="B13" i="6"/>
  <c r="C237" i="2"/>
  <c r="G6" i="2"/>
  <c r="E6" i="2"/>
  <c r="R42" i="6"/>
  <c r="C243" i="2"/>
  <c r="G80" i="2"/>
  <c r="E80" i="2"/>
  <c r="C120" i="2"/>
  <c r="E213" i="2"/>
  <c r="G213" i="2"/>
  <c r="E8" i="2"/>
  <c r="G8" i="2"/>
  <c r="C22" i="2"/>
  <c r="C21" i="2"/>
  <c r="C23" i="2"/>
  <c r="C19" i="2"/>
  <c r="C24" i="2"/>
  <c r="G18" i="2"/>
  <c r="E18" i="2"/>
  <c r="C20" i="2"/>
  <c r="C164" i="2"/>
  <c r="L37" i="9"/>
  <c r="C62" i="2"/>
  <c r="C60" i="2"/>
  <c r="E58" i="2"/>
  <c r="C63" i="2"/>
  <c r="C61" i="2"/>
  <c r="C59" i="2"/>
  <c r="G58" i="2"/>
  <c r="C195" i="2"/>
  <c r="C197" i="2"/>
  <c r="C185" i="2"/>
  <c r="G183" i="2"/>
  <c r="C194" i="2"/>
  <c r="C186" i="2"/>
  <c r="E183" i="2"/>
  <c r="C196" i="2"/>
  <c r="C182" i="2"/>
  <c r="C184" i="2"/>
  <c r="G150" i="2"/>
  <c r="E150" i="2"/>
  <c r="Y42" i="6"/>
  <c r="B16" i="6"/>
  <c r="E42" i="6"/>
  <c r="B14" i="6"/>
  <c r="D42" i="6"/>
  <c r="B3" i="6"/>
  <c r="C267" i="2"/>
  <c r="C263" i="2"/>
  <c r="C239" i="2"/>
  <c r="C235" i="2"/>
  <c r="C203" i="2"/>
  <c r="C199" i="2"/>
  <c r="C241" i="2"/>
  <c r="C233" i="2"/>
  <c r="C201" i="2"/>
  <c r="E198" i="2"/>
  <c r="C265" i="2"/>
  <c r="C238" i="2"/>
  <c r="C202" i="2"/>
  <c r="C264" i="2"/>
  <c r="C240" i="2"/>
  <c r="C232" i="2"/>
  <c r="G198" i="2"/>
  <c r="C242" i="2"/>
  <c r="C234" i="2"/>
  <c r="C266" i="2"/>
  <c r="C200" i="2"/>
  <c r="E51" i="2"/>
  <c r="G51" i="2"/>
  <c r="C90" i="2"/>
  <c r="G89" i="2"/>
  <c r="C91" i="2"/>
  <c r="E89" i="2"/>
  <c r="E5" i="2"/>
  <c r="G5" i="2"/>
  <c r="V42" i="6"/>
  <c r="G262" i="2"/>
  <c r="E262" i="2"/>
  <c r="L31" i="7"/>
  <c r="L13" i="7"/>
  <c r="E81" i="2"/>
  <c r="G81" i="2"/>
  <c r="C74" i="2"/>
  <c r="C70" i="2"/>
  <c r="E67" i="2"/>
  <c r="C69" i="2"/>
  <c r="C73" i="2"/>
  <c r="C72" i="2"/>
  <c r="C71" i="2"/>
  <c r="G67" i="2"/>
  <c r="C68" i="2"/>
  <c r="G212" i="2"/>
  <c r="E212" i="2"/>
  <c r="G56" i="2"/>
  <c r="E56" i="2"/>
  <c r="B6" i="6"/>
  <c r="C42" i="6"/>
  <c r="D17" i="7"/>
  <c r="C172" i="2"/>
  <c r="E90" i="2" l="1"/>
  <c r="G90" i="2"/>
  <c r="E232" i="2"/>
  <c r="G232" i="2"/>
  <c r="G72" i="2"/>
  <c r="E72" i="2"/>
  <c r="G70" i="2"/>
  <c r="E70" i="2"/>
  <c r="G91" i="2"/>
  <c r="E91" i="2"/>
  <c r="C180" i="2"/>
  <c r="C176" i="2"/>
  <c r="C178" i="2"/>
  <c r="C174" i="2"/>
  <c r="G172" i="2"/>
  <c r="C173" i="2"/>
  <c r="C175" i="2"/>
  <c r="E172" i="2"/>
  <c r="C177" i="2"/>
  <c r="C179" i="2"/>
  <c r="G68" i="2"/>
  <c r="E68" i="2"/>
  <c r="G73" i="2"/>
  <c r="E73" i="2"/>
  <c r="E74" i="2"/>
  <c r="G74" i="2"/>
  <c r="E200" i="2"/>
  <c r="G200" i="2"/>
  <c r="E202" i="2"/>
  <c r="G202" i="2"/>
  <c r="G201" i="2"/>
  <c r="E201" i="2"/>
  <c r="G203" i="2"/>
  <c r="E203" i="2"/>
  <c r="E267" i="2"/>
  <c r="G267" i="2"/>
  <c r="G185" i="2"/>
  <c r="E185" i="2"/>
  <c r="E59" i="2"/>
  <c r="G59" i="2"/>
  <c r="G60" i="2"/>
  <c r="E60" i="2"/>
  <c r="G20" i="2"/>
  <c r="E20" i="2"/>
  <c r="E19" i="2"/>
  <c r="G19" i="2"/>
  <c r="C125" i="2"/>
  <c r="C121" i="2"/>
  <c r="C122" i="2"/>
  <c r="G120" i="2"/>
  <c r="C123" i="2"/>
  <c r="E120" i="2"/>
  <c r="C124" i="2"/>
  <c r="E256" i="2"/>
  <c r="G256" i="2"/>
  <c r="G251" i="2"/>
  <c r="E251" i="2"/>
  <c r="C117" i="2"/>
  <c r="E114" i="2"/>
  <c r="C118" i="2"/>
  <c r="C115" i="2"/>
  <c r="G114" i="2"/>
  <c r="C116" i="2"/>
  <c r="C119" i="2"/>
  <c r="E192" i="2"/>
  <c r="G192" i="2"/>
  <c r="C97" i="2"/>
  <c r="C93" i="2"/>
  <c r="C94" i="2"/>
  <c r="C95" i="2"/>
  <c r="C96" i="2"/>
  <c r="C98" i="2"/>
  <c r="G92" i="2"/>
  <c r="E92" i="2"/>
  <c r="E86" i="2"/>
  <c r="G86" i="2"/>
  <c r="C283" i="2"/>
  <c r="C284" i="2"/>
  <c r="E282" i="2"/>
  <c r="C285" i="2"/>
  <c r="G282" i="2"/>
  <c r="G32" i="2"/>
  <c r="E32" i="2"/>
  <c r="E33" i="2"/>
  <c r="G33" i="2"/>
  <c r="E30" i="2"/>
  <c r="G30" i="2"/>
  <c r="E62" i="2"/>
  <c r="G62" i="2"/>
  <c r="E23" i="2"/>
  <c r="G23" i="2"/>
  <c r="G254" i="2"/>
  <c r="E254" i="2"/>
  <c r="G189" i="2"/>
  <c r="E189" i="2"/>
  <c r="G87" i="2"/>
  <c r="E87" i="2"/>
  <c r="E88" i="2"/>
  <c r="G88" i="2"/>
  <c r="E102" i="2"/>
  <c r="G102" i="2"/>
  <c r="E27" i="2"/>
  <c r="G27" i="2"/>
  <c r="G37" i="2"/>
  <c r="E37" i="2"/>
  <c r="E69" i="2"/>
  <c r="G69" i="2"/>
  <c r="E266" i="2"/>
  <c r="G266" i="2"/>
  <c r="E238" i="2"/>
  <c r="G238" i="2"/>
  <c r="G233" i="2"/>
  <c r="E233" i="2"/>
  <c r="G235" i="2"/>
  <c r="E235" i="2"/>
  <c r="B42" i="6"/>
  <c r="E184" i="2"/>
  <c r="G184" i="2"/>
  <c r="E186" i="2"/>
  <c r="G186" i="2"/>
  <c r="G197" i="2"/>
  <c r="E197" i="2"/>
  <c r="G61" i="2"/>
  <c r="E61" i="2"/>
  <c r="E71" i="2"/>
  <c r="G71" i="2"/>
  <c r="E234" i="2"/>
  <c r="G234" i="2"/>
  <c r="E240" i="2"/>
  <c r="G240" i="2"/>
  <c r="G265" i="2"/>
  <c r="E265" i="2"/>
  <c r="G241" i="2"/>
  <c r="E241" i="2"/>
  <c r="G239" i="2"/>
  <c r="E239" i="2"/>
  <c r="E182" i="2"/>
  <c r="G182" i="2"/>
  <c r="E194" i="2"/>
  <c r="G194" i="2"/>
  <c r="G195" i="2"/>
  <c r="E195" i="2"/>
  <c r="E63" i="2"/>
  <c r="G63" i="2"/>
  <c r="G21" i="2"/>
  <c r="E21" i="2"/>
  <c r="G255" i="2"/>
  <c r="E255" i="2"/>
  <c r="C113" i="2"/>
  <c r="C109" i="2"/>
  <c r="C110" i="2"/>
  <c r="G108" i="2"/>
  <c r="C112" i="2"/>
  <c r="C111" i="2"/>
  <c r="E108" i="2"/>
  <c r="E190" i="2"/>
  <c r="G190" i="2"/>
  <c r="G191" i="2"/>
  <c r="E191" i="2"/>
  <c r="G84" i="2"/>
  <c r="E84" i="2"/>
  <c r="G103" i="2"/>
  <c r="E103" i="2"/>
  <c r="G101" i="2"/>
  <c r="E101" i="2"/>
  <c r="G29" i="2"/>
  <c r="E29" i="2"/>
  <c r="E242" i="2"/>
  <c r="G242" i="2"/>
  <c r="E264" i="2"/>
  <c r="G264" i="2"/>
  <c r="G199" i="2"/>
  <c r="E199" i="2"/>
  <c r="G263" i="2"/>
  <c r="E263" i="2"/>
  <c r="E196" i="2"/>
  <c r="G196" i="2"/>
  <c r="C168" i="2"/>
  <c r="C170" i="2"/>
  <c r="C166" i="2"/>
  <c r="G164" i="2"/>
  <c r="C165" i="2"/>
  <c r="C167" i="2"/>
  <c r="E164" i="2"/>
  <c r="C169" i="2"/>
  <c r="C171" i="2"/>
  <c r="G24" i="2"/>
  <c r="E24" i="2"/>
  <c r="E22" i="2"/>
  <c r="G22" i="2"/>
  <c r="C247" i="2"/>
  <c r="C245" i="2"/>
  <c r="G243" i="2"/>
  <c r="C246" i="2"/>
  <c r="E243" i="2"/>
  <c r="C248" i="2"/>
  <c r="C244" i="2"/>
  <c r="G237" i="2"/>
  <c r="E237" i="2"/>
  <c r="E252" i="2"/>
  <c r="G252" i="2"/>
  <c r="G253" i="2"/>
  <c r="E253" i="2"/>
  <c r="C46" i="2"/>
  <c r="C42" i="2"/>
  <c r="C44" i="2"/>
  <c r="C35" i="2"/>
  <c r="C40" i="2"/>
  <c r="G34" i="2"/>
  <c r="C41" i="2"/>
  <c r="C45" i="2"/>
  <c r="C43" i="2"/>
  <c r="E34" i="2"/>
  <c r="E188" i="2"/>
  <c r="G188" i="2"/>
  <c r="E85" i="2"/>
  <c r="G85" i="2"/>
  <c r="G104" i="2"/>
  <c r="E104" i="2"/>
  <c r="E105" i="2"/>
  <c r="G105" i="2"/>
  <c r="E31" i="2"/>
  <c r="G31" i="2"/>
  <c r="G28" i="2"/>
  <c r="E28" i="2"/>
  <c r="E39" i="2"/>
  <c r="G39" i="2"/>
  <c r="G38" i="2"/>
  <c r="E38" i="2"/>
  <c r="G245" i="2" l="1"/>
  <c r="E245" i="2"/>
  <c r="E98" i="2"/>
  <c r="G98" i="2"/>
  <c r="E118" i="2"/>
  <c r="G118" i="2"/>
  <c r="E173" i="2"/>
  <c r="G173" i="2"/>
  <c r="G176" i="2"/>
  <c r="E176" i="2"/>
  <c r="E248" i="2"/>
  <c r="G248" i="2"/>
  <c r="G247" i="2"/>
  <c r="E247" i="2"/>
  <c r="E110" i="2"/>
  <c r="G110" i="2"/>
  <c r="E97" i="2"/>
  <c r="G97" i="2"/>
  <c r="G123" i="2"/>
  <c r="E123" i="2"/>
  <c r="G125" i="2"/>
  <c r="E125" i="2"/>
  <c r="E177" i="2"/>
  <c r="G177" i="2"/>
  <c r="G180" i="2"/>
  <c r="E180" i="2"/>
  <c r="E43" i="2"/>
  <c r="G43" i="2"/>
  <c r="G46" i="2"/>
  <c r="E46" i="2"/>
  <c r="G166" i="2"/>
  <c r="E166" i="2"/>
  <c r="G119" i="2"/>
  <c r="E119" i="2"/>
  <c r="E121" i="2"/>
  <c r="G121" i="2"/>
  <c r="G45" i="2"/>
  <c r="E45" i="2"/>
  <c r="E167" i="2"/>
  <c r="G167" i="2"/>
  <c r="G96" i="2"/>
  <c r="E96" i="2"/>
  <c r="G116" i="2"/>
  <c r="E116" i="2"/>
  <c r="G41" i="2"/>
  <c r="E41" i="2"/>
  <c r="G44" i="2"/>
  <c r="E44" i="2"/>
  <c r="E246" i="2"/>
  <c r="G246" i="2"/>
  <c r="E171" i="2"/>
  <c r="G171" i="2"/>
  <c r="E165" i="2"/>
  <c r="G165" i="2"/>
  <c r="G168" i="2"/>
  <c r="E168" i="2"/>
  <c r="G111" i="2"/>
  <c r="E111" i="2"/>
  <c r="G109" i="2"/>
  <c r="E109" i="2"/>
  <c r="E284" i="2"/>
  <c r="G284" i="2"/>
  <c r="G95" i="2"/>
  <c r="E95" i="2"/>
  <c r="G117" i="2"/>
  <c r="E117" i="2"/>
  <c r="G174" i="2"/>
  <c r="E174" i="2"/>
  <c r="G40" i="2"/>
  <c r="E40" i="2"/>
  <c r="G285" i="2"/>
  <c r="E285" i="2"/>
  <c r="G93" i="2"/>
  <c r="E93" i="2"/>
  <c r="E179" i="2"/>
  <c r="G179" i="2"/>
  <c r="E35" i="2"/>
  <c r="G35" i="2"/>
  <c r="G170" i="2"/>
  <c r="E170" i="2"/>
  <c r="E42" i="2"/>
  <c r="G42" i="2"/>
  <c r="E244" i="2"/>
  <c r="G244" i="2"/>
  <c r="E169" i="2"/>
  <c r="G169" i="2"/>
  <c r="G112" i="2"/>
  <c r="E112" i="2"/>
  <c r="E113" i="2"/>
  <c r="G113" i="2"/>
  <c r="E283" i="2"/>
  <c r="G283" i="2"/>
  <c r="E94" i="2"/>
  <c r="G94" i="2"/>
  <c r="G115" i="2"/>
  <c r="E115" i="2"/>
  <c r="G124" i="2"/>
  <c r="E124" i="2"/>
  <c r="E122" i="2"/>
  <c r="G122" i="2"/>
  <c r="E175" i="2"/>
  <c r="G175" i="2"/>
  <c r="G178" i="2"/>
  <c r="E178" i="2"/>
</calcChain>
</file>

<file path=xl/sharedStrings.xml><?xml version="1.0" encoding="utf-8"?>
<sst xmlns="http://schemas.openxmlformats.org/spreadsheetml/2006/main" count="1652" uniqueCount="830">
  <si>
    <t>NOMBRE</t>
  </si>
  <si>
    <t>Costo M.P. (Kg)</t>
  </si>
  <si>
    <t>Precio M.P (Kg)</t>
  </si>
  <si>
    <t>PROVEEDOR</t>
  </si>
  <si>
    <t>Valor transporte Bogotá:</t>
  </si>
  <si>
    <t>Aceite de coco</t>
  </si>
  <si>
    <t>QUIMIENVASES ROSE</t>
  </si>
  <si>
    <t>Valor transporte Bucaramanga:</t>
  </si>
  <si>
    <t>Aceite de Naranja</t>
  </si>
  <si>
    <t>Valor IVA:</t>
  </si>
  <si>
    <t>Aceite de Ricino</t>
  </si>
  <si>
    <t>Ácido Acético 33%</t>
  </si>
  <si>
    <t>CIACOMEQ</t>
  </si>
  <si>
    <t>Ácido Acético Glacial 99%</t>
  </si>
  <si>
    <t>Ácido Bórico</t>
  </si>
  <si>
    <t>Ácido Nítrico</t>
  </si>
  <si>
    <t>Ácido Oxálico</t>
  </si>
  <si>
    <t>Ácido Sórbico</t>
  </si>
  <si>
    <t>NUEVA ESTER</t>
  </si>
  <si>
    <t>Ácido sulfónico</t>
  </si>
  <si>
    <t>Acondicionador</t>
  </si>
  <si>
    <t>PROKBELL</t>
  </si>
  <si>
    <t>Agua</t>
  </si>
  <si>
    <t>Alcohol propilico</t>
  </si>
  <si>
    <t>Amonio Cuaternario</t>
  </si>
  <si>
    <t>Benzoato de Sodio</t>
  </si>
  <si>
    <t>Betaina</t>
  </si>
  <si>
    <t>Bicarbonato de sodio</t>
  </si>
  <si>
    <t>Borax</t>
  </si>
  <si>
    <t>Butilglicol</t>
  </si>
  <si>
    <t>Celulosa</t>
  </si>
  <si>
    <t>Ciacogal</t>
  </si>
  <si>
    <t>Ciacoproblend</t>
  </si>
  <si>
    <t>Cloro 70%</t>
  </si>
  <si>
    <t>Cloruro de magnesio</t>
  </si>
  <si>
    <t>Cocoamida</t>
  </si>
  <si>
    <t>Color Alfombras</t>
  </si>
  <si>
    <t>Color Amb Spray</t>
  </si>
  <si>
    <t>Color Ambientador</t>
  </si>
  <si>
    <t>Color azul</t>
  </si>
  <si>
    <t>Color azul rey</t>
  </si>
  <si>
    <t>Color Carros</t>
  </si>
  <si>
    <t>Color Limpiador</t>
  </si>
  <si>
    <t>Color manos</t>
  </si>
  <si>
    <t>Color verde limón</t>
  </si>
  <si>
    <t>Color Verde Piranina</t>
  </si>
  <si>
    <t>Creolina</t>
  </si>
  <si>
    <t>Detergente en polvo</t>
  </si>
  <si>
    <t>Doy pack x 1000ml</t>
  </si>
  <si>
    <t>UNIVERSO MERCANTIL</t>
  </si>
  <si>
    <t>Doy pack x 250ml</t>
  </si>
  <si>
    <t>Doy pack x 500ml</t>
  </si>
  <si>
    <t>Eliminador de olores</t>
  </si>
  <si>
    <t>Envase 0,5L</t>
  </si>
  <si>
    <t>PLASTIVIDRIOS</t>
  </si>
  <si>
    <t>Envase 0,4L</t>
  </si>
  <si>
    <t>Envase 1L</t>
  </si>
  <si>
    <t>Envase 20L</t>
  </si>
  <si>
    <t>Envase 2L</t>
  </si>
  <si>
    <t>Envase 4L</t>
  </si>
  <si>
    <t>Envase 800ml</t>
  </si>
  <si>
    <t>Envase Ambar x 25 ml</t>
  </si>
  <si>
    <t>Envase Ambar x 250 ml</t>
  </si>
  <si>
    <t>Envase Ambar x 500 ml</t>
  </si>
  <si>
    <t>Envase atomizador x 500ml</t>
  </si>
  <si>
    <t>Envase Bomba x 120ml</t>
  </si>
  <si>
    <t>Envase Bomba x 20ml</t>
  </si>
  <si>
    <t>Envase Bomba x 250ml</t>
  </si>
  <si>
    <t>Envase Bomba x 30ml</t>
  </si>
  <si>
    <t>Envase Bomba x 60ml</t>
  </si>
  <si>
    <t>Envase Perfume Vidrio x 30ml</t>
  </si>
  <si>
    <t>EL FRANCES</t>
  </si>
  <si>
    <t>Envase gotero x 60 ml</t>
  </si>
  <si>
    <t>Envase Llavero</t>
  </si>
  <si>
    <t>Envase Polipropileno x 500ml</t>
  </si>
  <si>
    <t>Envase válvula x 0,5L</t>
  </si>
  <si>
    <t>Envase válvula x 1L</t>
  </si>
  <si>
    <t>Etanol</t>
  </si>
  <si>
    <t>Fragancia Alfombras</t>
  </si>
  <si>
    <t>Fragancia Amb spray</t>
  </si>
  <si>
    <t>Fragancia Ambientador</t>
  </si>
  <si>
    <t>Fragancia Lavadora</t>
  </si>
  <si>
    <t>Fragancia Carros</t>
  </si>
  <si>
    <t>Fragancia Citronela</t>
  </si>
  <si>
    <t>Fragancia Limón</t>
  </si>
  <si>
    <t>Fragancia limpiador</t>
  </si>
  <si>
    <t>Fragancia manos</t>
  </si>
  <si>
    <t>Fragancia Multiusos</t>
  </si>
  <si>
    <t>Fragancia suavizante</t>
  </si>
  <si>
    <t>Fragancia Talco</t>
  </si>
  <si>
    <t>Genapol 28</t>
  </si>
  <si>
    <t>Glicerina</t>
  </si>
  <si>
    <t>Guantes de latex caja x 100 unidades</t>
  </si>
  <si>
    <t>LA MUELA</t>
  </si>
  <si>
    <t>Hipoclorito de sodio</t>
  </si>
  <si>
    <t>Isobutanol</t>
  </si>
  <si>
    <t>Metasilicato de sodio</t>
  </si>
  <si>
    <t>Metil parabeno sodio</t>
  </si>
  <si>
    <t>Monoethilenglicol</t>
  </si>
  <si>
    <t>Naftalina</t>
  </si>
  <si>
    <t>FARMAQUIMICOS</t>
  </si>
  <si>
    <t>Oxigeno activo</t>
  </si>
  <si>
    <t>Pastillas de Cloro</t>
  </si>
  <si>
    <t>Peroxido de hidrogeno</t>
  </si>
  <si>
    <t>Poligel</t>
  </si>
  <si>
    <t>Polyquart ampho</t>
  </si>
  <si>
    <t>Problend DT 612</t>
  </si>
  <si>
    <t>Propianato de Calcio</t>
  </si>
  <si>
    <t>Quita manchas</t>
  </si>
  <si>
    <t>Quita oxido</t>
  </si>
  <si>
    <t>Quita tintas</t>
  </si>
  <si>
    <t>Sal</t>
  </si>
  <si>
    <t>Sellante</t>
  </si>
  <si>
    <t>Shampoo</t>
  </si>
  <si>
    <t>Silicona Emulsionada</t>
  </si>
  <si>
    <t>Soda Caustica en escamas</t>
  </si>
  <si>
    <t>Soda líquida</t>
  </si>
  <si>
    <t>Sorbato de Potasio</t>
  </si>
  <si>
    <t>Sulfato de Aluminio - Alumbre</t>
  </si>
  <si>
    <t>Tapabocas caja x 50 unidades</t>
  </si>
  <si>
    <t>Tinopal</t>
  </si>
  <si>
    <t>Trilon B (tetrasódico)</t>
  </si>
  <si>
    <t>Turpiquelant</t>
  </si>
  <si>
    <t>Urea</t>
  </si>
  <si>
    <t>Varsol Ecológico</t>
  </si>
  <si>
    <t>BARRANCA</t>
  </si>
  <si>
    <t>Varsol Industrial</t>
  </si>
  <si>
    <t>Sulfato de Manganeso x Kg</t>
  </si>
  <si>
    <t>DISMAPRIN</t>
  </si>
  <si>
    <t>Sulfato de Zinc 35% x Kg</t>
  </si>
  <si>
    <t>Sulfato de Hierro x Kg</t>
  </si>
  <si>
    <t>Sulfato de Amonio x Kg</t>
  </si>
  <si>
    <t>Sulfato de Potasio x Kg</t>
  </si>
  <si>
    <t>Azufre X Kg</t>
  </si>
  <si>
    <t>Genapol 40</t>
  </si>
  <si>
    <t>CODIGO</t>
  </si>
  <si>
    <t>PRODUCTO</t>
  </si>
  <si>
    <t>COSTO</t>
  </si>
  <si>
    <t>GANANCIA</t>
  </si>
  <si>
    <t>PRECIO</t>
  </si>
  <si>
    <t>PRECIO VENTA</t>
  </si>
  <si>
    <t>GANANCIA FINAL</t>
  </si>
  <si>
    <t>Peso</t>
  </si>
  <si>
    <t>AC-02</t>
  </si>
  <si>
    <t>Aceite de coco x 120 ml</t>
  </si>
  <si>
    <t>AC-00</t>
  </si>
  <si>
    <t>Aceite de Naranja x 120 ml</t>
  </si>
  <si>
    <t>AC-01</t>
  </si>
  <si>
    <t>Aceite de Ricino x 120 ml</t>
  </si>
  <si>
    <t>AA-00</t>
  </si>
  <si>
    <t>Ácido Acético 33% (Granel)</t>
  </si>
  <si>
    <t>AA-01</t>
  </si>
  <si>
    <t>Ácido Acético 33% x KG</t>
  </si>
  <si>
    <t>AG-00</t>
  </si>
  <si>
    <t>Ácido Acétio Glacial 99% KG</t>
  </si>
  <si>
    <t>AB-00</t>
  </si>
  <si>
    <t>Ácido Bórico x 200 gr</t>
  </si>
  <si>
    <t>AB-01</t>
  </si>
  <si>
    <t>Ácido Bórico x 500 gr</t>
  </si>
  <si>
    <t>AB-02</t>
  </si>
  <si>
    <t>Ácido Bórico x 100 gr</t>
  </si>
  <si>
    <t>ASB-00</t>
  </si>
  <si>
    <t>Ácido Sorbico x 200 gr</t>
  </si>
  <si>
    <t>ASB-01</t>
  </si>
  <si>
    <t>Ácido Sorbico x 500 gr</t>
  </si>
  <si>
    <t>MS-02</t>
  </si>
  <si>
    <t>Acondicionador (Granel)</t>
  </si>
  <si>
    <t>MS-03</t>
  </si>
  <si>
    <t>Acondicionador x 240ml</t>
  </si>
  <si>
    <t>AO-00</t>
  </si>
  <si>
    <t>Agua Oxigenada (Granel)</t>
  </si>
  <si>
    <t>AO-01</t>
  </si>
  <si>
    <t>Agua Oxigenada x 240ml</t>
  </si>
  <si>
    <t>AO-02</t>
  </si>
  <si>
    <t>Agua Oxigenada x 500ml</t>
  </si>
  <si>
    <t>AH-00</t>
  </si>
  <si>
    <t>Alcohol Industrial (Granel)</t>
  </si>
  <si>
    <t>AH-01</t>
  </si>
  <si>
    <t>Alcohol Industrial 0,4L</t>
  </si>
  <si>
    <t>AH-02</t>
  </si>
  <si>
    <t>Alcohol Industrial 0,8L</t>
  </si>
  <si>
    <t>AH-03</t>
  </si>
  <si>
    <t>Alcohol Industrial 1L</t>
  </si>
  <si>
    <t>AH-04</t>
  </si>
  <si>
    <t>Alcohol Industrial 20L GF</t>
  </si>
  <si>
    <t>AH-05</t>
  </si>
  <si>
    <t>Alcohol Industrial 2L</t>
  </si>
  <si>
    <t>AH-06</t>
  </si>
  <si>
    <t>Alcohol Industrial 4L</t>
  </si>
  <si>
    <t>AP-00</t>
  </si>
  <si>
    <t>Alcohol Propilico (Granel)</t>
  </si>
  <si>
    <t>AD-00</t>
  </si>
  <si>
    <t>Ambientador Desinfectante (Granel)</t>
  </si>
  <si>
    <t>AD-01</t>
  </si>
  <si>
    <t>Ambientador Desinfectante Doy Pack x 250ml</t>
  </si>
  <si>
    <t>AD-02</t>
  </si>
  <si>
    <t>Ambientador Desinfectante Doy Pack x 500ml</t>
  </si>
  <si>
    <t>AD-03</t>
  </si>
  <si>
    <t>Ambientador Desinfectante x 0,5L</t>
  </si>
  <si>
    <t>AD-04</t>
  </si>
  <si>
    <t>Ambientador Desinfectante x 0,8L</t>
  </si>
  <si>
    <t>AD-05</t>
  </si>
  <si>
    <t>Ambientador Desinfectante x 1L</t>
  </si>
  <si>
    <t>AD-06</t>
  </si>
  <si>
    <t>Ambientador Desinfectante x 2L</t>
  </si>
  <si>
    <t>AD-07</t>
  </si>
  <si>
    <t>Ambientador Desinfectante x 4L GL</t>
  </si>
  <si>
    <t>AS-00</t>
  </si>
  <si>
    <t>Ambientador en Spray (Granel)</t>
  </si>
  <si>
    <t>AS-01</t>
  </si>
  <si>
    <t>Ambientador en Spray Atomizador x 500ml</t>
  </si>
  <si>
    <t>ASC-00</t>
  </si>
  <si>
    <t>Ambientador en Spray Concentrado (Granel)</t>
  </si>
  <si>
    <t>ASC-01</t>
  </si>
  <si>
    <t>Ambientador en Spray Concentrado x 120ml</t>
  </si>
  <si>
    <t>ASC-02</t>
  </si>
  <si>
    <t>Ambientador en Spray Concentrado x 30ml</t>
  </si>
  <si>
    <t>ASC-03</t>
  </si>
  <si>
    <t>Ambientador en Spray Concentrado x 60ml</t>
  </si>
  <si>
    <t>AS-02</t>
  </si>
  <si>
    <t>Ambientador en Spray x 0,120L</t>
  </si>
  <si>
    <t>AS-03</t>
  </si>
  <si>
    <t>Ambientador en Spray x 0,25L</t>
  </si>
  <si>
    <t>AS-04</t>
  </si>
  <si>
    <t>Ambientador en Spray x 0,5L</t>
  </si>
  <si>
    <t>AS-05</t>
  </si>
  <si>
    <t>Ambientador en Spray x 0,8L</t>
  </si>
  <si>
    <t>AS-06</t>
  </si>
  <si>
    <t>Ambientador en Spray x 1L</t>
  </si>
  <si>
    <t>AS-07</t>
  </si>
  <si>
    <t>Ambientador en Spray x 2L</t>
  </si>
  <si>
    <t>AS-08</t>
  </si>
  <si>
    <t>Ambientador en Spray x 4L GL</t>
  </si>
  <si>
    <t>AQ-00</t>
  </si>
  <si>
    <t>Amonio Cuaternario (Granel)</t>
  </si>
  <si>
    <t>AQ-03</t>
  </si>
  <si>
    <t>Amonio Cuaternario x 2L</t>
  </si>
  <si>
    <t>AQ-05</t>
  </si>
  <si>
    <t>Amonio Cuaternario x 400ml</t>
  </si>
  <si>
    <t>AQ-02</t>
  </si>
  <si>
    <t>Amonio Cuaternario x 500ml</t>
  </si>
  <si>
    <t>AQ-01</t>
  </si>
  <si>
    <t>Amonio Cuaternario x 60ml</t>
  </si>
  <si>
    <t>SF-07</t>
  </si>
  <si>
    <t>Azufre x 500g</t>
  </si>
  <si>
    <t>SF-06</t>
  </si>
  <si>
    <t>Azufre x Kg</t>
  </si>
  <si>
    <t>BZ-00</t>
  </si>
  <si>
    <t>Benzoato de sodio x 200 gr</t>
  </si>
  <si>
    <t>BZ-01</t>
  </si>
  <si>
    <t>Benzoato de sodio x 500 gr</t>
  </si>
  <si>
    <t>BS-00</t>
  </si>
  <si>
    <t>Bicarbonato de sodio x 200 gr</t>
  </si>
  <si>
    <t>BS-01</t>
  </si>
  <si>
    <t>Bicarbonato de sodio x 500 gr</t>
  </si>
  <si>
    <t>BD-00</t>
  </si>
  <si>
    <t>Blanqueador Desinfectante (Granel)</t>
  </si>
  <si>
    <t>BD-01</t>
  </si>
  <si>
    <t>Blanqueador Desinfectante x 0,5L</t>
  </si>
  <si>
    <t>BD-02</t>
  </si>
  <si>
    <t>Blanqueador Desinfectante x 1L</t>
  </si>
  <si>
    <t>BD-05</t>
  </si>
  <si>
    <t>Blanqueador Desinfectante x 20L GF</t>
  </si>
  <si>
    <t>BD-03</t>
  </si>
  <si>
    <t>Blanqueador Desinfectante x 2L</t>
  </si>
  <si>
    <t>BD-04</t>
  </si>
  <si>
    <t>Blanqueador Desinfectante x 4L GL</t>
  </si>
  <si>
    <t>DY-02</t>
  </si>
  <si>
    <t>Bolsa DoyPack x 1000ml</t>
  </si>
  <si>
    <t>DY-01</t>
  </si>
  <si>
    <t>Bolsa DoyPack x 500ml</t>
  </si>
  <si>
    <t>BX-00</t>
  </si>
  <si>
    <t>Borax en Polvo x kg</t>
  </si>
  <si>
    <t>CA-00</t>
  </si>
  <si>
    <t xml:space="preserve">Cera Autobrillante (Granel) </t>
  </si>
  <si>
    <t>CA-01</t>
  </si>
  <si>
    <t>Cera Autobrillante Atomizador x 500ml</t>
  </si>
  <si>
    <t>CA-02</t>
  </si>
  <si>
    <t>Cera Autobrillante x 0,120L</t>
  </si>
  <si>
    <t>CA-03</t>
  </si>
  <si>
    <t>Cera Autobrillante x 0,25L</t>
  </si>
  <si>
    <t>CA-04</t>
  </si>
  <si>
    <t>Cera Autobrillante x 0,800L</t>
  </si>
  <si>
    <t>CA-05</t>
  </si>
  <si>
    <t>Cera Autobrillante x 1L</t>
  </si>
  <si>
    <t>CA-06</t>
  </si>
  <si>
    <t>Cera Autobrillante x 2L</t>
  </si>
  <si>
    <t>CA-07</t>
  </si>
  <si>
    <t>Cera Autobrillante x 4L</t>
  </si>
  <si>
    <t>CH-00</t>
  </si>
  <si>
    <t>Chupo</t>
  </si>
  <si>
    <t>CL-02</t>
  </si>
  <si>
    <t>Cloro 70% x 2KG</t>
  </si>
  <si>
    <t>CL-00</t>
  </si>
  <si>
    <t>Cloro 70% x 500 gr</t>
  </si>
  <si>
    <t>CL-01</t>
  </si>
  <si>
    <t>Cloro 70% x KG</t>
  </si>
  <si>
    <t>CM-00</t>
  </si>
  <si>
    <t>Cloruro de magnesio (Granel)</t>
  </si>
  <si>
    <t>CM-02</t>
  </si>
  <si>
    <t>Cloruro de magnesio x 250g</t>
  </si>
  <si>
    <t>CM-01</t>
  </si>
  <si>
    <t>Cloruro de magnesio x 33g</t>
  </si>
  <si>
    <t>CM-03</t>
  </si>
  <si>
    <t>Cloruro de magnesio x 500g</t>
  </si>
  <si>
    <t>CR-00</t>
  </si>
  <si>
    <t>Creolina (Granel)</t>
  </si>
  <si>
    <t>CR-04</t>
  </si>
  <si>
    <t>Creolina x 1 L</t>
  </si>
  <si>
    <t>CR-01</t>
  </si>
  <si>
    <t>Creolina x 120 ml</t>
  </si>
  <si>
    <t>CR-02</t>
  </si>
  <si>
    <t>Creolina x 250 ml</t>
  </si>
  <si>
    <t>CR-05</t>
  </si>
  <si>
    <t>Creolina x 4 L</t>
  </si>
  <si>
    <t>CR-03</t>
  </si>
  <si>
    <t>Creolina x 500 ml</t>
  </si>
  <si>
    <t>DE-00</t>
  </si>
  <si>
    <t>Desencrustante (Granel)</t>
  </si>
  <si>
    <t>DE-01</t>
  </si>
  <si>
    <t>Desencrustante x 20L GL</t>
  </si>
  <si>
    <t>DE-02</t>
  </si>
  <si>
    <t>Desencrustante x 4L GL</t>
  </si>
  <si>
    <t>DS-00</t>
  </si>
  <si>
    <t>Desengrasante Manchas Dificiles (Granel)</t>
  </si>
  <si>
    <t>DS-01</t>
  </si>
  <si>
    <t>Desengrasante Manchas Dificiles x 0,5L</t>
  </si>
  <si>
    <t>DS-02</t>
  </si>
  <si>
    <t>Desengrasante Manchas Dificiles x 0,8L</t>
  </si>
  <si>
    <t>DS-03</t>
  </si>
  <si>
    <t>Desengrasante Manchas Dificiles x 1L</t>
  </si>
  <si>
    <t>DS-04</t>
  </si>
  <si>
    <t>Desengrasante Manchas Dificiles x 2L</t>
  </si>
  <si>
    <t>DS-05</t>
  </si>
  <si>
    <t>Desengrasante Manchas Dificiles x 4L</t>
  </si>
  <si>
    <t>DS-06</t>
  </si>
  <si>
    <t>Desengrasante Manchas Dificiles x GF</t>
  </si>
  <si>
    <t>AQ-04</t>
  </si>
  <si>
    <t>Desinfectante Multiusos – AmonQuat x 500 ml</t>
  </si>
  <si>
    <t>DC-00</t>
  </si>
  <si>
    <t>Desmanchador Ropa Color (Granel)</t>
  </si>
  <si>
    <t>DC-01</t>
  </si>
  <si>
    <t>Desmanchador Ropa Color x 0,5L</t>
  </si>
  <si>
    <t>DC-02</t>
  </si>
  <si>
    <t>Desmanchador Ropa Color x 0,8L</t>
  </si>
  <si>
    <t>DC-03</t>
  </si>
  <si>
    <t>Desmanchador Ropa Color x 1L</t>
  </si>
  <si>
    <t>DC-04</t>
  </si>
  <si>
    <t>Desmanchador Ropa Color x 2L</t>
  </si>
  <si>
    <t>DC-05</t>
  </si>
  <si>
    <t>Desmanchador Ropa Color x 4L</t>
  </si>
  <si>
    <t>DP-00</t>
  </si>
  <si>
    <t>Detergente en polvo x 500gr</t>
  </si>
  <si>
    <t>DP-01</t>
  </si>
  <si>
    <t>Detergente en polvo x Kg</t>
  </si>
  <si>
    <t>DM-00</t>
  </si>
  <si>
    <t>Detergente Multiusos (Granel)</t>
  </si>
  <si>
    <t>DM-01</t>
  </si>
  <si>
    <t>Detergente Multiusos x 0,5L</t>
  </si>
  <si>
    <t>DM-02</t>
  </si>
  <si>
    <t>Detergente Multiusos x 0,8L</t>
  </si>
  <si>
    <t>DM-03</t>
  </si>
  <si>
    <t>Detergente Multiusos x 1L</t>
  </si>
  <si>
    <t>DM-04</t>
  </si>
  <si>
    <t>Detergente Multiusos x 2L</t>
  </si>
  <si>
    <t>DM-05</t>
  </si>
  <si>
    <t>Detergente Multiusos x 4L</t>
  </si>
  <si>
    <t>DL-00</t>
  </si>
  <si>
    <t>Detergente para lavadora (Granel)</t>
  </si>
  <si>
    <t>DL-01</t>
  </si>
  <si>
    <t>Detergente para lavadora x 0,5L</t>
  </si>
  <si>
    <t>DL-02</t>
  </si>
  <si>
    <t>Detergente para lavadora x 0,8L</t>
  </si>
  <si>
    <t>DL-03</t>
  </si>
  <si>
    <t>Detergente para lavadora x 1L</t>
  </si>
  <si>
    <t>DL-04</t>
  </si>
  <si>
    <t>Detergente para lavadora x 2L</t>
  </si>
  <si>
    <t>DL-05</t>
  </si>
  <si>
    <t>Detergente para lavadora x 4L</t>
  </si>
  <si>
    <t>DR-00</t>
  </si>
  <si>
    <t>Detergente Tipo Rey (Granel)</t>
  </si>
  <si>
    <t>DR-01</t>
  </si>
  <si>
    <t>Detergente Tipo Rey x 0,5L</t>
  </si>
  <si>
    <t>DR-02</t>
  </si>
  <si>
    <t>Detergente Tipo Rey x 0,8L</t>
  </si>
  <si>
    <t>DR-03</t>
  </si>
  <si>
    <t>Detergente Tipo Rey x 1L</t>
  </si>
  <si>
    <t>DR-04</t>
  </si>
  <si>
    <t>Detergente Tipo Rey x 2L</t>
  </si>
  <si>
    <t>DR-05</t>
  </si>
  <si>
    <t>Detergente Tipo Rey x 4L</t>
  </si>
  <si>
    <t>QC-04</t>
  </si>
  <si>
    <t>Eliminador de Olores x 120 ml</t>
  </si>
  <si>
    <t>QC-05</t>
  </si>
  <si>
    <t>Eliminador de Olores x 250 ml</t>
  </si>
  <si>
    <t>QC-03</t>
  </si>
  <si>
    <t>Eliminador de Olores x 60 ml</t>
  </si>
  <si>
    <t>EA-00</t>
  </si>
  <si>
    <t>EA-01</t>
  </si>
  <si>
    <t>Envase Atomizador x 500 ml</t>
  </si>
  <si>
    <t>EB-00</t>
  </si>
  <si>
    <t>Envase Bomba x 120 ml</t>
  </si>
  <si>
    <t>EB-01</t>
  </si>
  <si>
    <t>Envase Bomba x 20 ml</t>
  </si>
  <si>
    <t>EB-02</t>
  </si>
  <si>
    <t>Envase Bomba x 250 ml</t>
  </si>
  <si>
    <t>EB-03</t>
  </si>
  <si>
    <t>Envase Bomba x 30 ml</t>
  </si>
  <si>
    <t>EB-04</t>
  </si>
  <si>
    <t>Envase Bomba x 60 ml</t>
  </si>
  <si>
    <t>EC-00</t>
  </si>
  <si>
    <t>Envase Campana x 500ml</t>
  </si>
  <si>
    <t>EV-01</t>
  </si>
  <si>
    <t>Envase Perfume Vidrio x30ml</t>
  </si>
  <si>
    <t>EV-02</t>
  </si>
  <si>
    <t>Envase Perfume Vidrio x50ml</t>
  </si>
  <si>
    <t>EV-03</t>
  </si>
  <si>
    <t>Envase Perfume Vidrio x55ml</t>
  </si>
  <si>
    <t>EP-00</t>
  </si>
  <si>
    <t>Envase Polipropileno x 500 ml</t>
  </si>
  <si>
    <t>ER-00</t>
  </si>
  <si>
    <t>Envase Recuperado x 0,5L</t>
  </si>
  <si>
    <t>ER-01</t>
  </si>
  <si>
    <t>Envase Recuperado x 1L</t>
  </si>
  <si>
    <t>ER-02</t>
  </si>
  <si>
    <t>Envase Recuperado x 4L</t>
  </si>
  <si>
    <t>EN-00</t>
  </si>
  <si>
    <t>Envase x 2L</t>
  </si>
  <si>
    <t>EN-01</t>
  </si>
  <si>
    <t>Envase x 800 ml</t>
  </si>
  <si>
    <t>ET-00</t>
  </si>
  <si>
    <t>Etanol (Granel)</t>
  </si>
  <si>
    <t>ET-01</t>
  </si>
  <si>
    <t>Etanol x 0,8L</t>
  </si>
  <si>
    <t>ET-02</t>
  </si>
  <si>
    <t>Etanol x 1L</t>
  </si>
  <si>
    <t>ET-03</t>
  </si>
  <si>
    <t>Etanol x 2L</t>
  </si>
  <si>
    <t>ET-04</t>
  </si>
  <si>
    <t>Etanol x 4L</t>
  </si>
  <si>
    <t>EX-00</t>
  </si>
  <si>
    <t>Exterminador de Insectos x 500ml</t>
  </si>
  <si>
    <t>GA-00</t>
  </si>
  <si>
    <t>Gel Antibacterial (Granel)</t>
  </si>
  <si>
    <t>GA-08</t>
  </si>
  <si>
    <t>Gel Antibacterial (Llavero)</t>
  </si>
  <si>
    <t>GA-06</t>
  </si>
  <si>
    <t>Gel Antibacterial con válvula x 1L</t>
  </si>
  <si>
    <t>GA-07</t>
  </si>
  <si>
    <t>Gel Antibacterial con válvula x 500mL</t>
  </si>
  <si>
    <t>GA-01</t>
  </si>
  <si>
    <t>Gel Antibacterial x 0,25L</t>
  </si>
  <si>
    <t>GA-02</t>
  </si>
  <si>
    <t>Gel Antibacterial x 0,5L</t>
  </si>
  <si>
    <t>GA-03</t>
  </si>
  <si>
    <t>Gel Antibacterial x 1L</t>
  </si>
  <si>
    <t>GA-04</t>
  </si>
  <si>
    <t>Gel Antibacterial x 2L</t>
  </si>
  <si>
    <t>GA-05</t>
  </si>
  <si>
    <t>Gel Antibacterial x 4L</t>
  </si>
  <si>
    <t>GL-00</t>
  </si>
  <si>
    <t>Glicerina (Granel)</t>
  </si>
  <si>
    <t>GU-02</t>
  </si>
  <si>
    <t>Guante Eco</t>
  </si>
  <si>
    <t>GU-01</t>
  </si>
  <si>
    <t>Guantes Calibre 10</t>
  </si>
  <si>
    <t>JM-00</t>
  </si>
  <si>
    <t>Jabón Antibacterial Manos (Granel)</t>
  </si>
  <si>
    <t>JM-07</t>
  </si>
  <si>
    <t>Jabón Antibacterial Manos con válvula x 1L</t>
  </si>
  <si>
    <t>JM-08</t>
  </si>
  <si>
    <t>Jabón Antibacterial Manos con válvula x 500mL</t>
  </si>
  <si>
    <t>JM-01</t>
  </si>
  <si>
    <t>Jabón Antibacterial Manos Doy Pack x 500ml</t>
  </si>
  <si>
    <t>JM-02</t>
  </si>
  <si>
    <t>Jabón Antibacterial Manos x 0,8L</t>
  </si>
  <si>
    <t>JM-03</t>
  </si>
  <si>
    <t>Jabón Antibacterial Manos x 1L</t>
  </si>
  <si>
    <t>JM-04</t>
  </si>
  <si>
    <t>Jabón Antibacterial Manos x 2L</t>
  </si>
  <si>
    <t>JM-05</t>
  </si>
  <si>
    <t>Jabón Antibacterial Manos x 4L</t>
  </si>
  <si>
    <t>JL-00</t>
  </si>
  <si>
    <t>Jabón Lava Loza (Granel)</t>
  </si>
  <si>
    <t>JL-07</t>
  </si>
  <si>
    <t>Jabón Lava Loza con válvula x 1L</t>
  </si>
  <si>
    <t>JL-08</t>
  </si>
  <si>
    <t>Jabón Lava Loza con válvula x 500mL</t>
  </si>
  <si>
    <t>JL-02</t>
  </si>
  <si>
    <t>Jabón Lava Loza Doy Pack x 1000ml</t>
  </si>
  <si>
    <t>JL-01</t>
  </si>
  <si>
    <t>Jabón Lava Loza Doy Pack x 500ml</t>
  </si>
  <si>
    <t>JL-03</t>
  </si>
  <si>
    <t>Jabón Lava Loza x 1L</t>
  </si>
  <si>
    <t>JL-06</t>
  </si>
  <si>
    <t>Jabón Lava Loza x 20L GF</t>
  </si>
  <si>
    <t>JL-04</t>
  </si>
  <si>
    <t>Jabón Lava Loza x 2L</t>
  </si>
  <si>
    <t>JL-05</t>
  </si>
  <si>
    <t>Jabón Lava Loza x 4L</t>
  </si>
  <si>
    <t>KIT-CLPH</t>
  </si>
  <si>
    <t>Kit Medidor Cloro y Ph</t>
  </si>
  <si>
    <t>LH-01</t>
  </si>
  <si>
    <t>Limpiador de Hornos y Parrilla x 500ml</t>
  </si>
  <si>
    <t>LH-00</t>
  </si>
  <si>
    <t>Limpiador de Hornos y Parrillas (Granel)</t>
  </si>
  <si>
    <t>LH-02</t>
  </si>
  <si>
    <t>Limpiador de Hornos y Parrillas x 1L</t>
  </si>
  <si>
    <t>LH-03</t>
  </si>
  <si>
    <t>Limpiador de Hornos y Parrillas x 2L</t>
  </si>
  <si>
    <t>LH-04</t>
  </si>
  <si>
    <t>Limpiador de Hornos y Parrillas x 4L</t>
  </si>
  <si>
    <t>LS-00</t>
  </si>
  <si>
    <t>Limpiador de Superficies (Granel)</t>
  </si>
  <si>
    <t>LS-05</t>
  </si>
  <si>
    <t>Limpiador de Superficies Atomizador x 500ml</t>
  </si>
  <si>
    <t>LS-01</t>
  </si>
  <si>
    <t>Limpiador de Superficies x 0,8L</t>
  </si>
  <si>
    <t>LS-02</t>
  </si>
  <si>
    <t>Limpiador de Superficies x 1L</t>
  </si>
  <si>
    <t>LS-03</t>
  </si>
  <si>
    <t>Limpiador de Superficies x 2L</t>
  </si>
  <si>
    <t>LS-04</t>
  </si>
  <si>
    <t>Limpiador de Superficies x 4L</t>
  </si>
  <si>
    <t>LJ-00</t>
  </si>
  <si>
    <t>Limpiador Juntas y Brechas (Granel)</t>
  </si>
  <si>
    <t>LJ-02</t>
  </si>
  <si>
    <t>Limpiador Juntas y Brechas x 1L</t>
  </si>
  <si>
    <t>LJ-03</t>
  </si>
  <si>
    <t>Limpiador Juntas y Brechas x 2L</t>
  </si>
  <si>
    <t>LJ-04</t>
  </si>
  <si>
    <t>Limpiador Juntas y Brechas x 4L</t>
  </si>
  <si>
    <t>LJ-01</t>
  </si>
  <si>
    <t>Limpiador Juntas y Brechas x 500 ml</t>
  </si>
  <si>
    <t>LV-00</t>
  </si>
  <si>
    <t>Limpiavidrios Antiempañante (Granel)</t>
  </si>
  <si>
    <t>LV-05</t>
  </si>
  <si>
    <t>Limpiavidrios Antiempañante Atom. x 500ml</t>
  </si>
  <si>
    <t>LV-01</t>
  </si>
  <si>
    <t>Limpiavidrios Antiempañante x 0,8L</t>
  </si>
  <si>
    <t>LV-02</t>
  </si>
  <si>
    <t>Limpiavidrios Antiempañante x 1L</t>
  </si>
  <si>
    <t>LV-03</t>
  </si>
  <si>
    <t>Limpiavidrios Antiempañante x 2L</t>
  </si>
  <si>
    <t>LV-04</t>
  </si>
  <si>
    <t>Limpiavidrios Antiempañante x 4L</t>
  </si>
  <si>
    <t>NF-02</t>
  </si>
  <si>
    <t>Naftalina KG</t>
  </si>
  <si>
    <t>NF-01</t>
  </si>
  <si>
    <t>Naftalina Libra</t>
  </si>
  <si>
    <t>NF-00</t>
  </si>
  <si>
    <t>Naftalina x 4 Unidades</t>
  </si>
  <si>
    <t>NE-01</t>
  </si>
  <si>
    <t>Neutralizador de Cloro x 20L GF</t>
  </si>
  <si>
    <t>NE-00</t>
  </si>
  <si>
    <t>Neutralizador de Cloro x 4L GL</t>
  </si>
  <si>
    <t>OD-00</t>
  </si>
  <si>
    <t>Onza Difusora</t>
  </si>
  <si>
    <t>OF-00</t>
  </si>
  <si>
    <t>Onza Fragancia</t>
  </si>
  <si>
    <t>OS-00</t>
  </si>
  <si>
    <t>Onza Saborizante</t>
  </si>
  <si>
    <t>OA-00</t>
  </si>
  <si>
    <t>Oxigeno activo x 200 gr</t>
  </si>
  <si>
    <t>OA-01</t>
  </si>
  <si>
    <t>Oxigeno activo x 500 gr</t>
  </si>
  <si>
    <t>PC-00</t>
  </si>
  <si>
    <t>Pastillas de Cloro (Unidad)</t>
  </si>
  <si>
    <t>PC-02</t>
  </si>
  <si>
    <t>Pastillas de Cloro KG</t>
  </si>
  <si>
    <t>PC-01</t>
  </si>
  <si>
    <t>Pastillas de Cloro Libra</t>
  </si>
  <si>
    <t>PE-00</t>
  </si>
  <si>
    <t>Perfume Concentrado x Onza</t>
  </si>
  <si>
    <t>PE-01</t>
  </si>
  <si>
    <t>Perfume Preparado (Granel)</t>
  </si>
  <si>
    <t>PE-07</t>
  </si>
  <si>
    <t>Perfume Preparado Vidrio x 30ml</t>
  </si>
  <si>
    <t>PE-05</t>
  </si>
  <si>
    <t>Perfume Preparado x 120ml</t>
  </si>
  <si>
    <t>PE-02</t>
  </si>
  <si>
    <t>Perfume Preparado x 20ml</t>
  </si>
  <si>
    <t>PE-06</t>
  </si>
  <si>
    <t>Perfume Preparado x 250ml</t>
  </si>
  <si>
    <t>PE-03</t>
  </si>
  <si>
    <t>Perfume Preparado x 30ml</t>
  </si>
  <si>
    <t>PE-04</t>
  </si>
  <si>
    <t>Perfume Preparado x 60ml</t>
  </si>
  <si>
    <t>PS-00</t>
  </si>
  <si>
    <t>Pistola</t>
  </si>
  <si>
    <t>PP-00</t>
  </si>
  <si>
    <t>Propianato de calcio x 200 gr</t>
  </si>
  <si>
    <t>PP-01</t>
  </si>
  <si>
    <t>Propianato de calcio x 500 gr</t>
  </si>
  <si>
    <t>QC-00</t>
  </si>
  <si>
    <t>Quita Manchas</t>
  </si>
  <si>
    <t>QC-01</t>
  </si>
  <si>
    <t>Quita Óxido</t>
  </si>
  <si>
    <t>QC-02</t>
  </si>
  <si>
    <t>Quita Tinta</t>
  </si>
  <si>
    <t>RC-00</t>
  </si>
  <si>
    <t>Removedor Ceras y Sellantes (Granel)</t>
  </si>
  <si>
    <t>RC-01</t>
  </si>
  <si>
    <t>Removedor Ceras y Sellantes x 0,8L</t>
  </si>
  <si>
    <t>RC-02</t>
  </si>
  <si>
    <t>Removedor Ceras y Sellantes x 1L</t>
  </si>
  <si>
    <t>RC-03</t>
  </si>
  <si>
    <t>Removedor Ceras y Sellantes x 2L</t>
  </si>
  <si>
    <t>RC-04</t>
  </si>
  <si>
    <t>Removedor Ceras y Sellantes x 4L</t>
  </si>
  <si>
    <t>MS-00</t>
  </si>
  <si>
    <t>Shampoo (Granel)</t>
  </si>
  <si>
    <t>SA-00</t>
  </si>
  <si>
    <t>Shampoo Alfombras (Granel)</t>
  </si>
  <si>
    <t>SA-01</t>
  </si>
  <si>
    <t>Shampoo Alfombras x 0,5L</t>
  </si>
  <si>
    <t>SA-02</t>
  </si>
  <si>
    <t>Shampoo Alfombras x 0,8L</t>
  </si>
  <si>
    <t>SA-03</t>
  </si>
  <si>
    <t>Shampoo Alfombras x 1L</t>
  </si>
  <si>
    <t>SA-04</t>
  </si>
  <si>
    <t>Shampoo Alfombras x 2L</t>
  </si>
  <si>
    <t>SA-05</t>
  </si>
  <si>
    <t>Shampoo Alfombras x 4L</t>
  </si>
  <si>
    <t>SC-00</t>
  </si>
  <si>
    <t>Shampoo Carros (Granel)</t>
  </si>
  <si>
    <t>SC-01</t>
  </si>
  <si>
    <t>Shampoo Carros x 0,5L</t>
  </si>
  <si>
    <t>SC-02</t>
  </si>
  <si>
    <t>Shampoo Carros x 0,8L</t>
  </si>
  <si>
    <t>SC-03</t>
  </si>
  <si>
    <t>Shampoo Carros x 1L</t>
  </si>
  <si>
    <t>SC-04</t>
  </si>
  <si>
    <t>Shampoo Carros x 2L</t>
  </si>
  <si>
    <t>SC-05</t>
  </si>
  <si>
    <t>Shampoo Carros x 4L</t>
  </si>
  <si>
    <t>MS-01</t>
  </si>
  <si>
    <t>Shampoo x 240 ml</t>
  </si>
  <si>
    <t>SI-00</t>
  </si>
  <si>
    <t>Silicona Alto Brillo (Granel)</t>
  </si>
  <si>
    <t>SI-01</t>
  </si>
  <si>
    <t>Silicona Alto Brillo x 120 ml</t>
  </si>
  <si>
    <t>SI-02</t>
  </si>
  <si>
    <t>Silicona Alto Brillo x 250 ml</t>
  </si>
  <si>
    <t>SI-05</t>
  </si>
  <si>
    <t>Silicona Alto Brillo x 2L</t>
  </si>
  <si>
    <t>SI-06</t>
  </si>
  <si>
    <t>Silicona Alto Brillo x 4L</t>
  </si>
  <si>
    <t>SI-03</t>
  </si>
  <si>
    <t>Silicona Alto Brillo x 500 ml</t>
  </si>
  <si>
    <t>SI-04</t>
  </si>
  <si>
    <t>Silicona Alto Brillo x 800 ml</t>
  </si>
  <si>
    <t>SE-01</t>
  </si>
  <si>
    <t>Soda caustica en escamas x 2 KG</t>
  </si>
  <si>
    <t>SE-00</t>
  </si>
  <si>
    <t>Soda caustica en escamas x KG</t>
  </si>
  <si>
    <t>SL-00</t>
  </si>
  <si>
    <t>Soda Liquida (Granel)</t>
  </si>
  <si>
    <t>SP-00</t>
  </si>
  <si>
    <t>Sorbato de potasio x 200  gr</t>
  </si>
  <si>
    <t>SP-01</t>
  </si>
  <si>
    <t>Sorbato de potasio x 500  gr</t>
  </si>
  <si>
    <t>ST-00</t>
  </si>
  <si>
    <t>Suavizante Textil (Granel)</t>
  </si>
  <si>
    <t>ST-01</t>
  </si>
  <si>
    <t>Suavizante Textil x 0,5L</t>
  </si>
  <si>
    <t>ST-02</t>
  </si>
  <si>
    <t>Suavizante Textil x 0,8L</t>
  </si>
  <si>
    <t>ST-03</t>
  </si>
  <si>
    <t>Suavizante Textil x 1L</t>
  </si>
  <si>
    <t>ST-04</t>
  </si>
  <si>
    <t>Suavizante Textil x 2L</t>
  </si>
  <si>
    <t>ST-05</t>
  </si>
  <si>
    <t>Suavizante Textil x 4L</t>
  </si>
  <si>
    <t>AL-00</t>
  </si>
  <si>
    <t>Sulfato de Aluminio - Alumbre x 500 gr</t>
  </si>
  <si>
    <t>AL-01</t>
  </si>
  <si>
    <t>Sulfato de Aluminio - Alumbre x KG</t>
  </si>
  <si>
    <t>SF-04</t>
  </si>
  <si>
    <t>SF-02</t>
  </si>
  <si>
    <t>SF-01</t>
  </si>
  <si>
    <t>SF-05</t>
  </si>
  <si>
    <t>Sulfato de Potasio x kg</t>
  </si>
  <si>
    <t>SF-03</t>
  </si>
  <si>
    <t>Sulfato de Zinc x Kg</t>
  </si>
  <si>
    <t>VE-00</t>
  </si>
  <si>
    <t>Varsol Ecológico (Granel)</t>
  </si>
  <si>
    <t>VE-02</t>
  </si>
  <si>
    <t>Varsol Ecológico x 2L</t>
  </si>
  <si>
    <t>VE-03</t>
  </si>
  <si>
    <t>Varsol Ecológico x 4L</t>
  </si>
  <si>
    <t>VE-04</t>
  </si>
  <si>
    <t>Varsol Ecológico x 500ml</t>
  </si>
  <si>
    <t>VE-01</t>
  </si>
  <si>
    <t>Varsol Ecológico x 800ml</t>
  </si>
  <si>
    <t>VA-00</t>
  </si>
  <si>
    <t>Varsol Industrial (Granel)</t>
  </si>
  <si>
    <t>VA-01</t>
  </si>
  <si>
    <t>Varsol Industrial x 800 ml</t>
  </si>
  <si>
    <t>VI-00</t>
  </si>
  <si>
    <t>Vinagre Industrial (Granel)</t>
  </si>
  <si>
    <t>VI-02</t>
  </si>
  <si>
    <t>Vinagre Industrial x 2L</t>
  </si>
  <si>
    <t>VI-03</t>
  </si>
  <si>
    <t>Vinagre Industrial x 4L</t>
  </si>
  <si>
    <t>VI-01</t>
  </si>
  <si>
    <t>Vinagre Industrial x 800 ml</t>
  </si>
  <si>
    <t>CANTIDAD</t>
  </si>
  <si>
    <t>UMBRAL</t>
  </si>
  <si>
    <t>PEDIR</t>
  </si>
  <si>
    <t>Fragancia Ariel</t>
  </si>
  <si>
    <t>Producto</t>
  </si>
  <si>
    <t>Existencias</t>
  </si>
  <si>
    <t>Umbral</t>
  </si>
  <si>
    <t>Producir</t>
  </si>
  <si>
    <t>Acondiconador (Granel)</t>
  </si>
  <si>
    <t>Total M.P.</t>
  </si>
  <si>
    <t>Alcohol Industrial</t>
  </si>
  <si>
    <t>Ambientador Desinfectante Pisos</t>
  </si>
  <si>
    <t>Ambientador en Spray</t>
  </si>
  <si>
    <t>Biovarsol</t>
  </si>
  <si>
    <t>Blanqueador Desinfectante</t>
  </si>
  <si>
    <t>Cera Autobrillante</t>
  </si>
  <si>
    <t>Desencrustante</t>
  </si>
  <si>
    <t>Desengrasante Ácido</t>
  </si>
  <si>
    <t>Desengrasante Espumoso</t>
  </si>
  <si>
    <t>Desmanchador Ropa Color</t>
  </si>
  <si>
    <t>Detergente Lavadora</t>
  </si>
  <si>
    <t>Detergente Multiusos</t>
  </si>
  <si>
    <t>Detergente Tipo Rey</t>
  </si>
  <si>
    <t>Gel Antibacterial</t>
  </si>
  <si>
    <t>Jabón Antibacterial para Manos</t>
  </si>
  <si>
    <t>Jabón Lava Loza</t>
  </si>
  <si>
    <t>Limpiador de Superficies</t>
  </si>
  <si>
    <t>Limpiador Hornos y Parrillas</t>
  </si>
  <si>
    <t xml:space="preserve">Limpiavidrios </t>
  </si>
  <si>
    <t>Removedor Ceras y Sellantes</t>
  </si>
  <si>
    <t>Shampoo Alfombras</t>
  </si>
  <si>
    <t>Shampoo Automotríz</t>
  </si>
  <si>
    <t>Silicona de Alto Brillo</t>
  </si>
  <si>
    <t>Suavizante Textil</t>
  </si>
  <si>
    <t>Vinagre Industrial</t>
  </si>
  <si>
    <t>CANTIDAD (KG)</t>
  </si>
  <si>
    <t>Kg</t>
  </si>
  <si>
    <t>CELULOSA</t>
  </si>
  <si>
    <t>ÁCIDO SULFÓNICO</t>
  </si>
  <si>
    <t>SODA LÍQUIDA</t>
  </si>
  <si>
    <t>ETANOL</t>
  </si>
  <si>
    <t>SILICONA EMULSIONADA</t>
  </si>
  <si>
    <t>GENAPOL 40</t>
  </si>
  <si>
    <t>CIACOGAL</t>
  </si>
  <si>
    <t>BUTILGLICOL</t>
  </si>
  <si>
    <t>CIACOPROBLEND</t>
  </si>
  <si>
    <t>UREA</t>
  </si>
  <si>
    <t>METASILICATO DE SODIO</t>
  </si>
  <si>
    <t>SAL</t>
  </si>
  <si>
    <t>TINOPAL</t>
  </si>
  <si>
    <t>FRAGANCIA</t>
  </si>
  <si>
    <t>COLOR</t>
  </si>
  <si>
    <t>ÁCIDO ACÉTICO 33%</t>
  </si>
  <si>
    <t>CREOLINA</t>
  </si>
  <si>
    <t>POLIGEL</t>
  </si>
  <si>
    <t>MONOETHILENGLICOL</t>
  </si>
  <si>
    <t>REHOCARE</t>
  </si>
  <si>
    <t>LUTENSOL M7</t>
  </si>
  <si>
    <t>ÁCIDO NITRICO</t>
  </si>
  <si>
    <t>ISOBUTANOL</t>
  </si>
  <si>
    <t>POLYQUART AMPHO</t>
  </si>
  <si>
    <t>AGUA</t>
  </si>
  <si>
    <t>SELLANTE</t>
  </si>
  <si>
    <t>METIL PARABENO DE SODIO</t>
  </si>
  <si>
    <t>COCOAMIDA</t>
  </si>
  <si>
    <t>BETAINA</t>
  </si>
  <si>
    <t>GLICERINA</t>
  </si>
  <si>
    <t>COLOR AZUL REY</t>
  </si>
  <si>
    <t>FRAGANCIA CITRONELA</t>
  </si>
  <si>
    <t>PROBLEND DT 612</t>
  </si>
  <si>
    <t>HIPOCLORITO DE SODIO</t>
  </si>
  <si>
    <t>PEROXIDO DE HIDROGENO</t>
  </si>
  <si>
    <t>TRILON B (TETRASÓDICO)</t>
  </si>
  <si>
    <t>TURPIQUELANT</t>
  </si>
  <si>
    <t>ALCOHOL PROPILICO</t>
  </si>
  <si>
    <t>ÁCIDO NÍTRICO</t>
  </si>
  <si>
    <t>ÁCIDO OXÁLICO</t>
  </si>
  <si>
    <t>Costo M.P</t>
  </si>
  <si>
    <t>CANTIDAD KG</t>
  </si>
  <si>
    <t>TOTAL</t>
  </si>
  <si>
    <t>LAVADORA</t>
  </si>
  <si>
    <t>TIPO REY</t>
  </si>
  <si>
    <t>MULTIUSOS</t>
  </si>
  <si>
    <t>M.P.</t>
  </si>
  <si>
    <t>%</t>
  </si>
  <si>
    <t>Costo (Kg)</t>
  </si>
  <si>
    <t>SUAVIZANTE TEXTIL</t>
  </si>
  <si>
    <t>SHAMPOO ALFOMBRAS</t>
  </si>
  <si>
    <t>SHAMPOO AUTOMOTRIZ</t>
  </si>
  <si>
    <t>DESENGRASANTE ESPUMOSO</t>
  </si>
  <si>
    <t xml:space="preserve"> </t>
  </si>
  <si>
    <t>sal</t>
  </si>
  <si>
    <t>Color</t>
  </si>
  <si>
    <t>LLANTIN</t>
  </si>
  <si>
    <t>DESENGRASANTE ÁCIDO</t>
  </si>
  <si>
    <t>Acido sulfonico</t>
  </si>
  <si>
    <t>DESMANCHADOR ROPA COLOR</t>
  </si>
  <si>
    <t>BLANQUEADOR DESINFECTANTE</t>
  </si>
  <si>
    <t>LIMPIADOR DE SUPERFICIES</t>
  </si>
  <si>
    <t>Costo(Kg)</t>
  </si>
  <si>
    <t>LIMPIADOR DE HORNOS Y PARRILLAS</t>
  </si>
  <si>
    <t>LIMPIAVIDRIOS</t>
  </si>
  <si>
    <t>GEL ANTIBACTERIAL</t>
  </si>
  <si>
    <t>BIOVARSOL</t>
  </si>
  <si>
    <t>ALCOHOL INDUSTRIAL</t>
  </si>
  <si>
    <t>GEL samovares</t>
  </si>
  <si>
    <t>Rehocare</t>
  </si>
  <si>
    <t>lutensol m7</t>
  </si>
  <si>
    <t>ciacogal</t>
  </si>
  <si>
    <t>Fragancia</t>
  </si>
  <si>
    <t>REMOVEDOR DE CERAS Y SELLANTES</t>
  </si>
  <si>
    <t>VINAGRE INDUSTRIAL</t>
  </si>
  <si>
    <t>DESENCRUSTANTE</t>
  </si>
  <si>
    <t>Ácido Nitrico</t>
  </si>
  <si>
    <t>AMBIENTADOR DESINFECTANTE PISOS</t>
  </si>
  <si>
    <t>AMBIENTADOR EN SPRAY</t>
  </si>
  <si>
    <t>CERA AUTOBRILLANTE</t>
  </si>
  <si>
    <t>SILICONA DE ALTO BRILLO</t>
  </si>
  <si>
    <t>AMBIENTADOR EN SPRAY CONCENTRADO</t>
  </si>
  <si>
    <t>Fragancia talco</t>
  </si>
  <si>
    <t>JABON LAVA LOZA</t>
  </si>
  <si>
    <t>JABON ANTIBACTERIAL PARA MANOS</t>
  </si>
  <si>
    <t>Ácido Sulfónico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</si>
</sst>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$* #,##0.00_-;&quot;-$&quot;* #,##0.00_-;_-\$* \-??_-;_-@_-"/>
    <numFmt numFmtId="165" formatCode="_-\$* #,##0_-;&quot;-$&quot;* #,##0_-;_-\$* \-??_-;_-@_-"/>
    <numFmt numFmtId="166" formatCode="0.0"/>
    <numFmt numFmtId="167" formatCode="#,##0.0"/>
    <numFmt numFmtId="168" formatCode="0.000"/>
    <numFmt numFmtId="169" formatCode="0.0000"/>
    <numFmt numFmtId="170" formatCode="0.00000"/>
    <numFmt numFmtId="171" formatCode="_-\$* #,##0.0_-;&quot;-$&quot;* #,##0.0_-;_-\$* \-??_-;_-@_-"/>
    <numFmt numFmtId="172" formatCode="0.0%"/>
    <numFmt numFmtId="173" formatCode="_-&quot;$ &quot;* #,##0_-;&quot;-$ &quot;* #,##0_-;_-&quot;$ &quot;* \-_-;_-@_-"/>
  </numFmts>
  <fonts count="10">
    <font>
      <sz val="11"/>
      <color rgb="FF000000"/>
      <name val="Calibri"/>
      <family val="2"/>
      <charset val="1"/>
    </font>
    <font>
      <sz val="11"/>
      <color rgb="FF000000"/>
      <name val="Go Mono"/>
      <charset val="1"/>
    </font>
    <font>
      <b/>
      <sz val="11"/>
      <color rgb="FF000000"/>
      <name val="Go Mono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Go Mono"/>
    </font>
    <font>
      <b/>
      <sz val="11"/>
      <color rgb="FFFFFFFF"/>
      <name val="Go Mono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FreeMono"/>
      <family val="3"/>
      <charset val="1"/>
    </font>
    <font>
      <sz val="11"/>
      <color rgb="FF000000"/>
      <name val="Calibri"/>
      <family val="2"/>
      <charset val="1"/>
    </font>
    <font>
      <sz val="11"/>
      <name val="Go Mono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72BF44"/>
      </patternFill>
    </fill>
    <fill>
      <patternFill patternType="solid">
        <fgColor rgb="FFD9D9D9"/>
        <bgColor rgb="FFC0C0C0"/>
      </patternFill>
    </fill>
    <fill>
      <patternFill patternType="solid">
        <fgColor rgb="FF72BF44"/>
        <bgColor rgb="FF70AD47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8" fillId="0" borderId="0" applyBorder="0" applyProtection="0"/>
    <xf numFmtId="9" fontId="8" fillId="0" borderId="0" applyBorder="0" applyProtection="0"/>
  </cellStyleXfs>
  <cellXfs count="131">
    <xf numFmtId="0" fontId="0" fillId="0" borderId="0" xfId="0"/>
    <xf numFmtId="0" fontId="1" fillId="0" borderId="0" xfId="0" applyFont="1"/>
    <xf numFmtId="165" fontId="1" fillId="0" borderId="0" xfId="1" applyNumberFormat="1" applyFont="1" applyBorder="1" applyAlignment="1" applyProtection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165" fontId="2" fillId="0" borderId="2" xfId="1" applyNumberFormat="1" applyFont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5" fontId="1" fillId="0" borderId="4" xfId="1" applyNumberFormat="1" applyFont="1" applyBorder="1" applyAlignment="1" applyProtection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165" fontId="1" fillId="2" borderId="4" xfId="1" applyNumberFormat="1" applyFont="1" applyFill="1" applyBorder="1" applyAlignment="1" applyProtection="1">
      <alignment horizontal="center" vertical="center"/>
    </xf>
    <xf numFmtId="0" fontId="1" fillId="0" borderId="7" xfId="0" applyFont="1" applyBorder="1"/>
    <xf numFmtId="165" fontId="1" fillId="0" borderId="8" xfId="1" applyNumberFormat="1" applyFont="1" applyBorder="1" applyAlignment="1" applyProtection="1">
      <alignment horizontal="center" vertical="center"/>
    </xf>
    <xf numFmtId="0" fontId="1" fillId="0" borderId="9" xfId="0" applyFont="1" applyBorder="1"/>
    <xf numFmtId="0" fontId="3" fillId="0" borderId="0" xfId="0" applyFont="1" applyAlignment="1">
      <alignment horizontal="center" vertical="center"/>
    </xf>
    <xf numFmtId="166" fontId="0" fillId="0" borderId="0" xfId="0" applyNumberFormat="1"/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/>
    <xf numFmtId="165" fontId="1" fillId="0" borderId="4" xfId="1" applyNumberFormat="1" applyFont="1" applyBorder="1" applyAlignment="1" applyProtection="1"/>
    <xf numFmtId="166" fontId="1" fillId="0" borderId="4" xfId="1" applyNumberFormat="1" applyFont="1" applyBorder="1" applyAlignment="1" applyProtection="1"/>
    <xf numFmtId="4" fontId="1" fillId="0" borderId="4" xfId="1" applyNumberFormat="1" applyFont="1" applyBorder="1" applyAlignment="1" applyProtection="1"/>
    <xf numFmtId="3" fontId="1" fillId="0" borderId="6" xfId="1" applyNumberFormat="1" applyFont="1" applyBorder="1" applyAlignment="1" applyProtection="1"/>
    <xf numFmtId="165" fontId="4" fillId="0" borderId="4" xfId="1" applyNumberFormat="1" applyFont="1" applyBorder="1" applyAlignment="1" applyProtection="1"/>
    <xf numFmtId="165" fontId="0" fillId="0" borderId="0" xfId="0" applyNumberFormat="1"/>
    <xf numFmtId="0" fontId="2" fillId="0" borderId="5" xfId="0" applyFont="1" applyBorder="1" applyAlignment="1">
      <alignment horizontal="center"/>
    </xf>
    <xf numFmtId="167" fontId="1" fillId="0" borderId="4" xfId="1" applyNumberFormat="1" applyFont="1" applyBorder="1" applyProtection="1"/>
    <xf numFmtId="9" fontId="0" fillId="0" borderId="0" xfId="0" applyNumberFormat="1"/>
    <xf numFmtId="165" fontId="1" fillId="0" borderId="4" xfId="0" applyNumberFormat="1" applyFont="1" applyBorder="1" applyAlignment="1" applyProtection="1"/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165" fontId="1" fillId="0" borderId="8" xfId="1" applyNumberFormat="1" applyFont="1" applyBorder="1" applyAlignment="1" applyProtection="1"/>
    <xf numFmtId="166" fontId="1" fillId="0" borderId="8" xfId="1" applyNumberFormat="1" applyFont="1" applyBorder="1" applyAlignment="1" applyProtection="1"/>
    <xf numFmtId="4" fontId="1" fillId="0" borderId="8" xfId="1" applyNumberFormat="1" applyFont="1" applyBorder="1" applyAlignment="1" applyProtection="1"/>
    <xf numFmtId="3" fontId="1" fillId="0" borderId="9" xfId="1" applyNumberFormat="1" applyFont="1" applyBorder="1" applyAlignment="1" applyProtection="1"/>
    <xf numFmtId="0" fontId="5" fillId="3" borderId="1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1" fillId="4" borderId="5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1" fillId="4" borderId="5" xfId="0" applyFont="1" applyFill="1" applyBorder="1" applyAlignment="1"/>
    <xf numFmtId="0" fontId="1" fillId="4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8" fontId="1" fillId="0" borderId="4" xfId="0" applyNumberFormat="1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0" borderId="4" xfId="0" applyNumberFormat="1" applyFont="1" applyBorder="1"/>
    <xf numFmtId="0" fontId="1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64" fontId="1" fillId="0" borderId="0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10" xfId="1" applyFont="1" applyBorder="1" applyAlignment="1" applyProtection="1">
      <alignment horizontal="center"/>
    </xf>
    <xf numFmtId="0" fontId="1" fillId="0" borderId="10" xfId="0" applyFont="1" applyBorder="1" applyAlignment="1">
      <alignment horizontal="center"/>
    </xf>
    <xf numFmtId="10" fontId="1" fillId="0" borderId="10" xfId="2" applyNumberFormat="1" applyFont="1" applyBorder="1" applyAlignment="1" applyProtection="1">
      <alignment horizontal="center"/>
    </xf>
    <xf numFmtId="171" fontId="1" fillId="0" borderId="10" xfId="1" applyNumberFormat="1" applyFont="1" applyBorder="1" applyAlignment="1" applyProtection="1">
      <alignment horizontal="center"/>
    </xf>
    <xf numFmtId="165" fontId="1" fillId="0" borderId="10" xfId="1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2" applyNumberFormat="1" applyFont="1" applyBorder="1" applyAlignment="1" applyProtection="1">
      <alignment horizontal="center"/>
    </xf>
    <xf numFmtId="165" fontId="2" fillId="0" borderId="4" xfId="1" applyNumberFormat="1" applyFont="1" applyBorder="1" applyAlignment="1" applyProtection="1">
      <alignment horizontal="center"/>
    </xf>
    <xf numFmtId="165" fontId="2" fillId="0" borderId="10" xfId="1" applyNumberFormat="1" applyFont="1" applyBorder="1" applyAlignment="1" applyProtection="1">
      <alignment horizontal="center"/>
    </xf>
    <xf numFmtId="165" fontId="1" fillId="0" borderId="4" xfId="1" applyNumberFormat="1" applyFont="1" applyBorder="1" applyAlignment="1" applyProtection="1">
      <alignment horizontal="center"/>
    </xf>
    <xf numFmtId="168" fontId="1" fillId="0" borderId="0" xfId="0" applyNumberFormat="1" applyFont="1" applyAlignment="1">
      <alignment horizontal="center"/>
    </xf>
    <xf numFmtId="3" fontId="2" fillId="0" borderId="4" xfId="1" applyNumberFormat="1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8" fillId="0" borderId="4" xfId="2" applyNumberFormat="1" applyBorder="1" applyProtection="1"/>
    <xf numFmtId="164" fontId="1" fillId="0" borderId="10" xfId="1" applyFont="1" applyBorder="1" applyAlignment="1" applyProtection="1">
      <alignment horizontal="center"/>
    </xf>
    <xf numFmtId="10" fontId="8" fillId="0" borderId="8" xfId="2" applyNumberFormat="1" applyBorder="1" applyProtection="1"/>
    <xf numFmtId="172" fontId="1" fillId="0" borderId="10" xfId="2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73" fontId="1" fillId="0" borderId="10" xfId="0" applyNumberFormat="1" applyFont="1" applyBorder="1" applyAlignment="1">
      <alignment horizontal="center"/>
    </xf>
    <xf numFmtId="173" fontId="1" fillId="0" borderId="4" xfId="0" applyNumberFormat="1" applyFont="1" applyBorder="1"/>
    <xf numFmtId="10" fontId="1" fillId="0" borderId="1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4" xfId="2" applyNumberFormat="1" applyFont="1" applyBorder="1" applyAlignment="1" applyProtection="1">
      <alignment horizontal="center"/>
    </xf>
    <xf numFmtId="165" fontId="1" fillId="0" borderId="6" xfId="1" applyNumberFormat="1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10" fontId="1" fillId="0" borderId="8" xfId="2" applyNumberFormat="1" applyFont="1" applyBorder="1" applyAlignment="1" applyProtection="1">
      <alignment horizontal="center"/>
    </xf>
    <xf numFmtId="165" fontId="1" fillId="0" borderId="9" xfId="1" applyNumberFormat="1" applyFont="1" applyBorder="1" applyAlignment="1" applyProtection="1">
      <alignment horizontal="center"/>
    </xf>
    <xf numFmtId="0" fontId="7" fillId="0" borderId="0" xfId="0" applyFont="1"/>
    <xf numFmtId="2" fontId="1" fillId="0" borderId="0" xfId="0" applyNumberFormat="1" applyFont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0" fillId="0" borderId="12" xfId="0" applyBorder="1"/>
    <xf numFmtId="1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6">
    <dxf>
      <numFmt numFmtId="1" formatCode="0"/>
    </dxf>
    <dxf>
      <numFmt numFmtId="1" formatCode="0"/>
    </dxf>
    <dxf>
      <border diagonalUp="0" diagonalDown="0" outline="0">
        <left/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 Mon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 Mono"/>
        <charset val="1"/>
        <scheme val="none"/>
      </font>
      <numFmt numFmtId="168" formatCode="0.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0000000}" name="MateriasPrimas" displayName="MateriasPrimas" ref="A1:D118" totalsRowShown="0">
  <autoFilter ref="A1:D118" xr:uid="{00000000-0009-0000-0100-00001B000000}"/>
  <tableColumns count="4">
    <tableColumn id="1" xr3:uid="{00000000-0010-0000-0000-000001000000}" name="NOMBRE"/>
    <tableColumn id="2" xr3:uid="{00000000-0010-0000-0000-000002000000}" name="Costo M.P. (Kg)"/>
    <tableColumn id="3" xr3:uid="{00000000-0010-0000-0000-000003000000}" name="Precio M.P (Kg)"/>
    <tableColumn id="4" xr3:uid="{00000000-0010-0000-0000-000004000000}" name="PROVEED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ShampooAlfombras" displayName="ShampooAlfombras" ref="F20:H30" totalsRowShown="0">
  <autoFilter ref="F20:H30" xr:uid="{00000000-0009-0000-0100-00001E000000}"/>
  <tableColumns count="3">
    <tableColumn id="1" xr3:uid="{00000000-0010-0000-0900-000001000000}" name="M.P."/>
    <tableColumn id="2" xr3:uid="{00000000-0010-0000-0900-000002000000}" name="%"/>
    <tableColumn id="3" xr3:uid="{00000000-0010-0000-0900-000003000000}" name="Costo (Kg)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A000000}" name="ShampooAuto" displayName="ShampooAuto" ref="J20:L30" totalsRowShown="0">
  <autoFilter ref="J20:L30" xr:uid="{00000000-0009-0000-0100-00001F000000}"/>
  <tableColumns count="3">
    <tableColumn id="1" xr3:uid="{00000000-0010-0000-0A00-000001000000}" name="M.P."/>
    <tableColumn id="2" xr3:uid="{00000000-0010-0000-0A00-000002000000}" name="%"/>
    <tableColumn id="3" xr3:uid="{00000000-0010-0000-0A00-000003000000}" name="Costo (Kg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B000000}" name="Suavizante" displayName="Suavizante" ref="B20:D24" totalsRowShown="0">
  <autoFilter ref="B20:D24" xr:uid="{00000000-0009-0000-0100-000021000000}"/>
  <tableColumns count="3">
    <tableColumn id="1" xr3:uid="{00000000-0010-0000-0B00-000001000000}" name="M.P."/>
    <tableColumn id="2" xr3:uid="{00000000-0010-0000-0B00-000002000000}" name="%"/>
    <tableColumn id="3" xr3:uid="{00000000-0010-0000-0B00-000003000000}" name="Costo (Kg)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C000000}" name="TipoRey" displayName="TipoRey" ref="F3:H16" totalsRowShown="0">
  <autoFilter ref="F3:H16" xr:uid="{00000000-0009-0000-0100-000023000000}"/>
  <tableColumns count="3">
    <tableColumn id="1" xr3:uid="{00000000-0010-0000-0C00-000001000000}" name="M.P."/>
    <tableColumn id="2" xr3:uid="{00000000-0010-0000-0C00-000002000000}" name="%"/>
    <tableColumn id="3" xr3:uid="{00000000-0010-0000-0C00-000003000000}" name="Costo (Kg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DesengrasanteAcido" displayName="DesengrasanteAcido" ref="J3:L9" totalsRowCount="1">
  <autoFilter ref="J3:L8" xr:uid="{00000000-0009-0000-0100-00000C000000}"/>
  <tableColumns count="3">
    <tableColumn id="1" xr3:uid="{00000000-0010-0000-0D00-000001000000}" name="M.P." totalsRowDxfId="4"/>
    <tableColumn id="2" xr3:uid="{00000000-0010-0000-0D00-000002000000}" name="%" dataDxfId="3" totalsRowDxfId="2"/>
    <tableColumn id="3" xr3:uid="{00000000-0010-0000-0D00-000003000000}" name="Costo (Kg)" totalsRowFunction="custom" dataDxfId="1" totalsRowDxfId="0">
      <totalsRowFormula>SUM(DesengrasanteAcido[Costo (Kg)])</totalsRow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E000000}" name="Llantin" displayName="Llantin" ref="F3:H8" totalsRowShown="0">
  <autoFilter ref="F3:H8" xr:uid="{00000000-0009-0000-0100-00001A000000}"/>
  <tableColumns count="3">
    <tableColumn id="1" xr3:uid="{00000000-0010-0000-0E00-000001000000}" name="M.P."/>
    <tableColumn id="2" xr3:uid="{00000000-0010-0000-0E00-000002000000}" name="%"/>
    <tableColumn id="3" xr3:uid="{00000000-0010-0000-0E00-000003000000}" name="Costo (Kg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F000000}" name="Table10" displayName="Table10" ref="B3:D14" totalsRowShown="0">
  <autoFilter ref="B3:D14" xr:uid="{00000000-0009-0000-0100-000022000000}"/>
  <tableColumns count="3">
    <tableColumn id="1" xr3:uid="{00000000-0010-0000-0F00-000001000000}" name="M.P."/>
    <tableColumn id="2" xr3:uid="{00000000-0010-0000-0F00-000002000000}" name="%"/>
    <tableColumn id="3" xr3:uid="{00000000-0010-0000-0F00-000003000000}" name="Costo (Kg)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0000000}" name="AlcoholIndustrial" displayName="AlcoholIndustrial" ref="F25:H28" totalsRowShown="0">
  <autoFilter ref="F25:H28" xr:uid="{00000000-0009-0000-0100-000001000000}"/>
  <tableColumns count="3">
    <tableColumn id="1" xr3:uid="{00000000-0010-0000-1000-000001000000}" name="M.P."/>
    <tableColumn id="2" xr3:uid="{00000000-0010-0000-1000-000002000000}" name="%"/>
    <tableColumn id="3" xr3:uid="{00000000-0010-0000-1000-000003000000}" name="Costo (Kg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1000000}" name="Biovarsol" displayName="Biovarsol" ref="B25:D30" totalsRowShown="0">
  <autoFilter ref="B25:D30" xr:uid="{00000000-0009-0000-0100-000005000000}"/>
  <tableColumns count="3">
    <tableColumn id="1" xr3:uid="{00000000-0010-0000-1100-000001000000}" name="M.P."/>
    <tableColumn id="2" xr3:uid="{00000000-0010-0000-1100-000002000000}" name="%"/>
    <tableColumn id="3" xr3:uid="{00000000-0010-0000-1100-000003000000}" name="Costo (Kg)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2000000}" name="BlanqueadorDesinfectante" displayName="BlanqueadorDesinfectante" ref="F3:H5" totalsRowShown="0">
  <autoFilter ref="F3:H5" xr:uid="{00000000-0009-0000-0100-000006000000}"/>
  <tableColumns count="3">
    <tableColumn id="1" xr3:uid="{00000000-0010-0000-1200-000001000000}" name="M.P."/>
    <tableColumn id="2" xr3:uid="{00000000-0010-0000-1200-000002000000}" name="%"/>
    <tableColumn id="3" xr3:uid="{00000000-0010-0000-1200-000003000000}" name="Costo(Kg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Costos" displayName="Costos" ref="A1:H285" totalsRowShown="0">
  <autoFilter ref="A1:H285" xr:uid="{00000000-0009-0000-0100-000009000000}"/>
  <tableColumns count="8">
    <tableColumn id="1" xr3:uid="{00000000-0010-0000-0100-000001000000}" name="CODIGO"/>
    <tableColumn id="2" xr3:uid="{00000000-0010-0000-0100-000002000000}" name="PRODUCTO"/>
    <tableColumn id="3" xr3:uid="{00000000-0010-0000-0100-000003000000}" name="COSTO"/>
    <tableColumn id="4" xr3:uid="{00000000-0010-0000-0100-000004000000}" name="GANANCIA"/>
    <tableColumn id="5" xr3:uid="{00000000-0010-0000-0100-000005000000}" name="PRECIO"/>
    <tableColumn id="6" xr3:uid="{00000000-0010-0000-0100-000006000000}" name="PRECIO VENTA"/>
    <tableColumn id="7" xr3:uid="{00000000-0010-0000-0100-000007000000}" name="GANANCIA FINAL"/>
    <tableColumn id="8" xr3:uid="{00000000-0010-0000-0100-000008000000}" name="Peso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Creolina" displayName="Creolina" ref="B34:D36" totalsRowShown="0">
  <autoFilter ref="B34:D36" xr:uid="{00000000-0009-0000-0100-00000A000000}"/>
  <tableColumns count="3">
    <tableColumn id="1" xr3:uid="{00000000-0010-0000-1300-000001000000}" name="M.P."/>
    <tableColumn id="2" xr3:uid="{00000000-0010-0000-1300-000002000000}" name="%"/>
    <tableColumn id="3" xr3:uid="{00000000-0010-0000-1300-000003000000}" name="Costo (Kg)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4000000}" name="Desencrustante" displayName="Desencrustante" ref="B41:D44" totalsRowShown="0">
  <autoFilter ref="B41:D44" xr:uid="{00000000-0009-0000-0100-00000B000000}"/>
  <tableColumns count="3">
    <tableColumn id="1" xr3:uid="{00000000-0010-0000-1400-000001000000}" name="M.P."/>
    <tableColumn id="2" xr3:uid="{00000000-0010-0000-1400-000002000000}" name="%"/>
    <tableColumn id="3" xr3:uid="{00000000-0010-0000-1400-000003000000}" name="Costo (Kg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5000000}" name="DesmanchadorRopaColor" displayName="DesmanchadorRopaColor" ref="B3:D7" totalsRowShown="0">
  <autoFilter ref="B3:D7" xr:uid="{00000000-0009-0000-0100-00000E000000}"/>
  <tableColumns count="3">
    <tableColumn id="1" xr3:uid="{00000000-0010-0000-1500-000001000000}" name="M.P."/>
    <tableColumn id="2" xr3:uid="{00000000-0010-0000-1500-000002000000}" name="%"/>
    <tableColumn id="3" xr3:uid="{00000000-0010-0000-1500-000003000000}" name="Costo (Kg)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GelAntibacterial" displayName="GelAntibacterial" ref="J14:L19" totalsRowShown="0">
  <autoFilter ref="J14:L19" xr:uid="{00000000-0009-0000-0100-000011000000}"/>
  <tableColumns count="3">
    <tableColumn id="1" xr3:uid="{00000000-0010-0000-1600-000001000000}" name="M.P."/>
    <tableColumn id="2" xr3:uid="{00000000-0010-0000-1600-000002000000}" name="%"/>
    <tableColumn id="3" xr3:uid="{00000000-0010-0000-1600-000003000000}" name="Costo (Kg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7000000}" name="GelSamovares" displayName="GelSamovares" ref="J25:L30" totalsRowShown="0">
  <autoFilter ref="J25:L30" xr:uid="{00000000-0009-0000-0100-000012000000}"/>
  <tableColumns count="3">
    <tableColumn id="1" xr3:uid="{00000000-0010-0000-1700-000001000000}" name="M.P."/>
    <tableColumn id="2" xr3:uid="{00000000-0010-0000-1700-000002000000}" name="%"/>
    <tableColumn id="3" xr3:uid="{00000000-0010-0000-1700-000003000000}" name="Costo (Kg)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LimpiadorDeSuperficies" displayName="LimpiadorDeSuperficies" ref="J3:L10" totalsRowShown="0">
  <autoFilter ref="J3:L10" xr:uid="{00000000-0009-0000-0100-000017000000}"/>
  <tableColumns count="3">
    <tableColumn id="1" xr3:uid="{00000000-0010-0000-1800-000001000000}" name="M.P."/>
    <tableColumn id="2" xr3:uid="{00000000-0010-0000-1800-000002000000}" name="%"/>
    <tableColumn id="3" xr3:uid="{00000000-0010-0000-1800-000003000000}" name="Costo (Kg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LimpiadorHornos" displayName="LimpiadorHornos" ref="B14:D19" totalsRowShown="0">
  <autoFilter ref="B14:D19" xr:uid="{00000000-0009-0000-0100-000018000000}"/>
  <tableColumns count="3">
    <tableColumn id="1" xr3:uid="{00000000-0010-0000-1900-000001000000}" name="M.P."/>
    <tableColumn id="2" xr3:uid="{00000000-0010-0000-1900-000002000000}" name="%"/>
    <tableColumn id="3" xr3:uid="{00000000-0010-0000-1900-000003000000}" name="Costo (Kg)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A000000}" name="Limpiavidrios" displayName="Limpiavidrios" ref="F14:H21" totalsRowShown="0">
  <autoFilter ref="F14:H21" xr:uid="{00000000-0009-0000-0100-000019000000}"/>
  <tableColumns count="3">
    <tableColumn id="1" xr3:uid="{00000000-0010-0000-1A00-000001000000}" name="M.P."/>
    <tableColumn id="2" xr3:uid="{00000000-0010-0000-1A00-000002000000}" name="%"/>
    <tableColumn id="3" xr3:uid="{00000000-0010-0000-1A00-000003000000}" name="Costo (Kg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B000000}" name="RemovedorDeCeras" displayName="RemovedorDeCeras" ref="F34:H37" totalsRowShown="0">
  <autoFilter ref="F34:H37" xr:uid="{00000000-0009-0000-0100-00001D000000}"/>
  <tableColumns count="3">
    <tableColumn id="1" xr3:uid="{00000000-0010-0000-1B00-000001000000}" name="M.P."/>
    <tableColumn id="2" xr3:uid="{00000000-0010-0000-1B00-000002000000}" name="%"/>
    <tableColumn id="3" xr3:uid="{00000000-0010-0000-1B00-000003000000}" name="Costo (Kg)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C000000}" name="Vinagre" displayName="Vinagre" ref="J34:L36" totalsRowShown="0">
  <autoFilter ref="J34:L36" xr:uid="{00000000-0009-0000-0100-000024000000}"/>
  <tableColumns count="3">
    <tableColumn id="1" xr3:uid="{00000000-0010-0000-1C00-000001000000}" name="M.P."/>
    <tableColumn id="2" xr3:uid="{00000000-0010-0000-1C00-000002000000}" name="%"/>
    <tableColumn id="3" xr3:uid="{00000000-0010-0000-1C00-000003000000}" name="Costo (Kg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InventarioMP" displayName="InventarioMP" ref="A1:D115" totalsRowShown="0">
  <autoFilter ref="A1:D115" xr:uid="{00000000-0009-0000-0100-000013000000}"/>
  <tableColumns count="4">
    <tableColumn id="1" xr3:uid="{00000000-0010-0000-0200-000001000000}" name="NOMBRE"/>
    <tableColumn id="2" xr3:uid="{00000000-0010-0000-0200-000002000000}" name="CANTIDAD"/>
    <tableColumn id="3" xr3:uid="{00000000-0010-0000-0200-000003000000}" name="UMBRAL"/>
    <tableColumn id="4" xr3:uid="{00000000-0010-0000-0200-000004000000}" name="PEDIR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D000000}" name="AmbConcentrado" displayName="AmbConcentrado" ref="F15:H17" totalsRowShown="0">
  <autoFilter ref="F15:H17" xr:uid="{00000000-0009-0000-0100-000002000000}"/>
  <tableColumns count="3">
    <tableColumn id="1" xr3:uid="{00000000-0010-0000-1D00-000001000000}" name="M.P."/>
    <tableColumn id="2" xr3:uid="{00000000-0010-0000-1D00-000002000000}" name="%"/>
    <tableColumn id="3" xr3:uid="{00000000-0010-0000-1D00-000003000000}" name="Costo (Kg)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E000000}" name="AmbientadorPiso" displayName="AmbientadorPiso" ref="B3:D10" totalsRowShown="0">
  <autoFilter ref="B3:D10" xr:uid="{00000000-0009-0000-0100-000003000000}"/>
  <tableColumns count="3">
    <tableColumn id="1" xr3:uid="{00000000-0010-0000-1E00-000001000000}" name="M.P."/>
    <tableColumn id="2" xr3:uid="{00000000-0010-0000-1E00-000002000000}" name="%"/>
    <tableColumn id="3" xr3:uid="{00000000-0010-0000-1E00-000003000000}" name="Costo (Kg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F000000}" name="AmbientadorSpray" displayName="AmbientadorSpray" ref="F3:H10" totalsRowShown="0">
  <autoFilter ref="F3:H10" xr:uid="{00000000-0009-0000-0100-000004000000}"/>
  <tableColumns count="3">
    <tableColumn id="1" xr3:uid="{00000000-0010-0000-1F00-000001000000}" name="M.P."/>
    <tableColumn id="2" xr3:uid="{00000000-0010-0000-1F00-000002000000}" name="%"/>
    <tableColumn id="3" xr3:uid="{00000000-0010-0000-1F00-000003000000}" name="Costo (Kg)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0000000}" name="CeraAutobrillante" displayName="CeraAutobrillante" ref="J3:L5" totalsRowShown="0">
  <autoFilter ref="J3:L5" xr:uid="{00000000-0009-0000-0100-000007000000}"/>
  <tableColumns count="3">
    <tableColumn id="1" xr3:uid="{00000000-0010-0000-2000-000001000000}" name="M.P."/>
    <tableColumn id="2" xr3:uid="{00000000-0010-0000-2000-000002000000}" name="%"/>
    <tableColumn id="3" xr3:uid="{00000000-0010-0000-2000-000003000000}" name="Costo (Kg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1000000}" name="SiliconaAltoBrillo" displayName="SiliconaAltoBrillo" ref="B15:D20" totalsRowShown="0">
  <autoFilter ref="B15:D20" xr:uid="{00000000-0009-0000-0100-000020000000}"/>
  <tableColumns count="3">
    <tableColumn id="1" xr3:uid="{00000000-0010-0000-2100-000001000000}" name="M.P."/>
    <tableColumn id="2" xr3:uid="{00000000-0010-0000-2100-000002000000}" name="%"/>
    <tableColumn id="3" xr3:uid="{00000000-0010-0000-2100-000003000000}" name="Costo (Kg)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2000000}" name="JabonLavaLoza" displayName="JabonLavaLoza" ref="B3:D15" totalsRowShown="0">
  <autoFilter ref="B3:D15" xr:uid="{00000000-0009-0000-0100-000015000000}"/>
  <tableColumns count="3">
    <tableColumn id="1" xr3:uid="{00000000-0010-0000-2200-000001000000}" name="M.P."/>
    <tableColumn id="2" xr3:uid="{00000000-0010-0000-2200-000002000000}" name="%"/>
    <tableColumn id="3" xr3:uid="{00000000-0010-0000-2200-000003000000}" name="Costo (Kg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3000000}" name="JabonManos" displayName="JabonManos" ref="F3:H13" totalsRowShown="0">
  <autoFilter ref="F3:H13" xr:uid="{00000000-0009-0000-0100-000016000000}"/>
  <tableColumns count="3">
    <tableColumn id="1" xr3:uid="{00000000-0010-0000-2300-000001000000}" name="M.P."/>
    <tableColumn id="2" xr3:uid="{00000000-0010-0000-2300-000002000000}" name="%"/>
    <tableColumn id="3" xr3:uid="{00000000-0010-0000-2300-000003000000}" name="Costo (Kg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InventarioProductos" displayName="InventarioProductos" ref="A1:D271" totalsRowShown="0">
  <autoFilter ref="A1:D271" xr:uid="{00000000-0009-0000-0100-000014000000}"/>
  <tableColumns count="4">
    <tableColumn id="1" xr3:uid="{00000000-0010-0000-0300-000001000000}" name="Producto"/>
    <tableColumn id="2" xr3:uid="{00000000-0010-0000-0300-000002000000}" name="Existencias"/>
    <tableColumn id="3" xr3:uid="{00000000-0010-0000-0300-000003000000}" name="Umbral"/>
    <tableColumn id="4" xr3:uid="{00000000-0010-0000-0300-000004000000}" name="Produci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4000000}" name="Produccion" displayName="Produccion" ref="A1:AB42" totalsRowShown="0">
  <autoFilter ref="A1:AB42" xr:uid="{00000000-0009-0000-0100-00001C000000}">
    <filterColumn colId="17">
      <filters>
        <filter val="0,0040"/>
        <filter val="0,040"/>
        <filter val="0,060"/>
        <filter val="0,100"/>
        <filter val="0,800"/>
        <filter val="15,056"/>
        <filter val="2,940"/>
        <filter val="20"/>
      </filters>
    </filterColumn>
  </autoFilter>
  <tableColumns count="28">
    <tableColumn id="1" xr3:uid="{00000000-0010-0000-0400-000001000000}" name="PRODUCTO"/>
    <tableColumn id="2" xr3:uid="{00000000-0010-0000-0400-000002000000}" name="Total M.P."/>
    <tableColumn id="3" xr3:uid="{00000000-0010-0000-0400-000003000000}" name="Alcohol Industrial"/>
    <tableColumn id="4" xr3:uid="{00000000-0010-0000-0400-000004000000}" name="Ambientador Desinfectante Pisos"/>
    <tableColumn id="5" xr3:uid="{00000000-0010-0000-0400-000005000000}" name="Ambientador en Spray"/>
    <tableColumn id="6" xr3:uid="{00000000-0010-0000-0400-000006000000}" name="Biovarsol"/>
    <tableColumn id="7" xr3:uid="{00000000-0010-0000-0400-000007000000}" name="Blanqueador Desinfectante"/>
    <tableColumn id="8" xr3:uid="{00000000-0010-0000-0400-000008000000}" name="Cera Autobrillante"/>
    <tableColumn id="9" xr3:uid="{00000000-0010-0000-0400-000009000000}" name="Creolina"/>
    <tableColumn id="10" xr3:uid="{00000000-0010-0000-0400-00000A000000}" name="Desencrustante"/>
    <tableColumn id="11" xr3:uid="{00000000-0010-0000-0400-00000B000000}" name="Desengrasante Ácido"/>
    <tableColumn id="12" xr3:uid="{00000000-0010-0000-0400-00000C000000}" name="Desengrasante Espumoso"/>
    <tableColumn id="13" xr3:uid="{00000000-0010-0000-0400-00000D000000}" name="Desmanchador Ropa Color"/>
    <tableColumn id="14" xr3:uid="{00000000-0010-0000-0400-00000E000000}" name="Detergente Lavadora"/>
    <tableColumn id="15" xr3:uid="{00000000-0010-0000-0400-00000F000000}" name="Detergente Multiusos"/>
    <tableColumn id="16" xr3:uid="{00000000-0010-0000-0400-000010000000}" name="Detergente Tipo Rey"/>
    <tableColumn id="17" xr3:uid="{00000000-0010-0000-0400-000011000000}" name="Gel Antibacterial"/>
    <tableColumn id="18" xr3:uid="{00000000-0010-0000-0400-000012000000}" name="Jabón Antibacterial para Manos"/>
    <tableColumn id="19" xr3:uid="{00000000-0010-0000-0400-000013000000}" name="Jabón Lava Loza"/>
    <tableColumn id="20" xr3:uid="{00000000-0010-0000-0400-000014000000}" name="Limpiador de Superficies"/>
    <tableColumn id="21" xr3:uid="{00000000-0010-0000-0400-000015000000}" name="Limpiador Hornos y Parrillas"/>
    <tableColumn id="22" xr3:uid="{00000000-0010-0000-0400-000016000000}" name="Limpiavidrios "/>
    <tableColumn id="23" xr3:uid="{00000000-0010-0000-0400-000017000000}" name="Removedor Ceras y Sellantes"/>
    <tableColumn id="24" xr3:uid="{00000000-0010-0000-0400-000018000000}" name="Shampoo Alfombras"/>
    <tableColumn id="25" xr3:uid="{00000000-0010-0000-0400-000019000000}" name="Shampoo Automotríz"/>
    <tableColumn id="26" xr3:uid="{00000000-0010-0000-0400-00001A000000}" name="Silicona de Alto Brillo"/>
    <tableColumn id="27" xr3:uid="{00000000-0010-0000-0400-00001B000000}" name="Suavizante Textil"/>
    <tableColumn id="28" xr3:uid="{00000000-0010-0000-0400-00001C000000}" name="Vinagre Industri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CostoKg" displayName="CostoKg" ref="A1:AB41" totalsRowShown="0">
  <autoFilter ref="A1:AB41" xr:uid="{00000000-0009-0000-0100-000008000000}"/>
  <tableColumns count="28">
    <tableColumn id="1" xr3:uid="{00000000-0010-0000-0500-000001000000}" name="PRODUCTO"/>
    <tableColumn id="2" xr3:uid="{00000000-0010-0000-0500-000002000000}" name="Costo M.P"/>
    <tableColumn id="3" xr3:uid="{00000000-0010-0000-0500-000003000000}" name="Alcohol Industrial"/>
    <tableColumn id="4" xr3:uid="{00000000-0010-0000-0500-000004000000}" name="Ambientador Desinfectante Pisos"/>
    <tableColumn id="5" xr3:uid="{00000000-0010-0000-0500-000005000000}" name="Ambientador en Spray"/>
    <tableColumn id="6" xr3:uid="{00000000-0010-0000-0500-000006000000}" name="Biovarsol"/>
    <tableColumn id="7" xr3:uid="{00000000-0010-0000-0500-000007000000}" name="Blanqueador Desinfectante"/>
    <tableColumn id="8" xr3:uid="{00000000-0010-0000-0500-000008000000}" name="Cera Autobrillante"/>
    <tableColumn id="9" xr3:uid="{00000000-0010-0000-0500-000009000000}" name="Creolina"/>
    <tableColumn id="10" xr3:uid="{00000000-0010-0000-0500-00000A000000}" name="Desencrustante"/>
    <tableColumn id="29" xr3:uid="{52354AA7-600A-4E60-A253-5A99409CF30C}" name="Desengrasante Ácido" dataDxfId="5"/>
    <tableColumn id="11" xr3:uid="{00000000-0010-0000-0500-00000B000000}" name="Desengrasante Espumoso"/>
    <tableColumn id="12" xr3:uid="{00000000-0010-0000-0500-00000C000000}" name="Desmanchador Ropa Color"/>
    <tableColumn id="13" xr3:uid="{00000000-0010-0000-0500-00000D000000}" name="Detergente Lavadora"/>
    <tableColumn id="14" xr3:uid="{00000000-0010-0000-0500-00000E000000}" name="Detergente Multiusos"/>
    <tableColumn id="15" xr3:uid="{00000000-0010-0000-0500-00000F000000}" name="Detergente Tipo Rey"/>
    <tableColumn id="16" xr3:uid="{00000000-0010-0000-0500-000010000000}" name="Gel Antibacterial"/>
    <tableColumn id="17" xr3:uid="{00000000-0010-0000-0500-000011000000}" name="Jabón Antibacterial para Manos"/>
    <tableColumn id="18" xr3:uid="{00000000-0010-0000-0500-000012000000}" name="Jabón Lava Loza"/>
    <tableColumn id="19" xr3:uid="{00000000-0010-0000-0500-000013000000}" name="Limpiador de Superficies"/>
    <tableColumn id="20" xr3:uid="{00000000-0010-0000-0500-000014000000}" name="Limpiador Hornos y Parrillas"/>
    <tableColumn id="21" xr3:uid="{00000000-0010-0000-0500-000015000000}" name="Limpiavidrios "/>
    <tableColumn id="22" xr3:uid="{00000000-0010-0000-0500-000016000000}" name="Removedor Ceras y Sellantes"/>
    <tableColumn id="23" xr3:uid="{00000000-0010-0000-0500-000017000000}" name="Shampoo Alfombras"/>
    <tableColumn id="24" xr3:uid="{00000000-0010-0000-0500-000018000000}" name="Shampoo Automotríz"/>
    <tableColumn id="25" xr3:uid="{00000000-0010-0000-0500-000019000000}" name="Silicona de Alto Brillo"/>
    <tableColumn id="26" xr3:uid="{00000000-0010-0000-0500-00001A000000}" name="Suavizante Textil"/>
    <tableColumn id="27" xr3:uid="{00000000-0010-0000-0500-00001B000000}" name="Vinagre Industrial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DesengrasanteEspumoso" displayName="DesengrasanteEspumoso" ref="B34:D42" totalsRowShown="0">
  <autoFilter ref="B34:D42" xr:uid="{00000000-0009-0000-0100-00000D000000}"/>
  <tableColumns count="3">
    <tableColumn id="1" xr3:uid="{00000000-0010-0000-0600-000001000000}" name="M.P."/>
    <tableColumn id="2" xr3:uid="{00000000-0010-0000-0600-000002000000}" name="%"/>
    <tableColumn id="3" xr3:uid="{00000000-0010-0000-0600-000003000000}" name="Costo (Kg)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DetLavadora" displayName="DetLavadora" ref="B3:D16" totalsRowShown="0">
  <autoFilter ref="B3:D16" xr:uid="{00000000-0009-0000-0100-00000F000000}"/>
  <tableColumns count="3">
    <tableColumn id="1" xr3:uid="{00000000-0010-0000-0700-000001000000}" name="M.P."/>
    <tableColumn id="2" xr3:uid="{00000000-0010-0000-0700-000002000000}" name="%"/>
    <tableColumn id="3" xr3:uid="{00000000-0010-0000-0700-000003000000}" name="Costo (Kg)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DetMultiusos" displayName="DetMultiusos" ref="J3:L12" totalsRowShown="0">
  <autoFilter ref="J3:L12" xr:uid="{00000000-0009-0000-0100-000010000000}"/>
  <tableColumns count="3">
    <tableColumn id="1" xr3:uid="{00000000-0010-0000-0800-000001000000}" name="M.P."/>
    <tableColumn id="2" xr3:uid="{00000000-0010-0000-0800-000002000000}" name="%"/>
    <tableColumn id="3" xr3:uid="{00000000-0010-0000-0800-000003000000}" name="Costo (Kg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8"/>
  <sheetViews>
    <sheetView showGridLines="0" zoomScale="90" zoomScaleNormal="90" workbookViewId="0">
      <selection activeCell="B3" sqref="B3"/>
    </sheetView>
  </sheetViews>
  <sheetFormatPr baseColWidth="10" defaultColWidth="11.42578125" defaultRowHeight="15"/>
  <cols>
    <col min="1" max="1" width="36.7109375" style="1" customWidth="1"/>
    <col min="2" max="3" width="15.7109375" style="2" customWidth="1"/>
    <col min="4" max="4" width="25.7109375" style="1" customWidth="1"/>
    <col min="5" max="5" width="19.28515625" style="1" customWidth="1"/>
    <col min="6" max="6" width="39.5703125" style="1" customWidth="1"/>
    <col min="7" max="8" width="11.42578125" style="1"/>
    <col min="9" max="1024" width="11.42578125" style="3"/>
  </cols>
  <sheetData>
    <row r="1" spans="1:7" ht="24.2" customHeight="1">
      <c r="A1" s="4" t="s">
        <v>0</v>
      </c>
      <c r="B1" s="5" t="s">
        <v>1</v>
      </c>
      <c r="C1" s="5" t="s">
        <v>2</v>
      </c>
      <c r="D1" s="6" t="s">
        <v>3</v>
      </c>
      <c r="E1" s="7"/>
      <c r="F1" s="8" t="s">
        <v>4</v>
      </c>
      <c r="G1" s="8">
        <f>700+G2</f>
        <v>1050</v>
      </c>
    </row>
    <row r="2" spans="1:7">
      <c r="A2" s="9" t="s">
        <v>5</v>
      </c>
      <c r="B2" s="10">
        <f>8000*4</f>
        <v>32000</v>
      </c>
      <c r="C2" s="10">
        <f>IF(MateriasPrimas[[#This Row],[PROVEEDOR]]="CIACOMEQ",(MateriasPrimas[[#This Row],[Costo M.P. (Kg)]]*$G$3)+$G$1,MateriasPrimas[[#This Row],[Costo M.P. (Kg)]]+$G$2)</f>
        <v>32350</v>
      </c>
      <c r="D2" s="11" t="s">
        <v>6</v>
      </c>
      <c r="E2" s="12"/>
      <c r="F2" s="13" t="s">
        <v>7</v>
      </c>
      <c r="G2" s="8">
        <v>350</v>
      </c>
    </row>
    <row r="3" spans="1:7">
      <c r="A3" s="9" t="s">
        <v>8</v>
      </c>
      <c r="B3" s="10">
        <f>8000*4</f>
        <v>32000</v>
      </c>
      <c r="C3" s="10">
        <f>IF(MateriasPrimas[[#This Row],[PROVEEDOR]]="CIACOMEQ",(MateriasPrimas[[#This Row],[Costo M.P. (Kg)]]*$G$3)+$G$1,MateriasPrimas[[#This Row],[Costo M.P. (Kg)]]+$G$2)</f>
        <v>32350</v>
      </c>
      <c r="D3" s="11" t="s">
        <v>6</v>
      </c>
      <c r="E3" s="12"/>
      <c r="F3" s="8" t="s">
        <v>9</v>
      </c>
      <c r="G3" s="8">
        <v>1.19</v>
      </c>
    </row>
    <row r="4" spans="1:7">
      <c r="A4" s="9" t="s">
        <v>10</v>
      </c>
      <c r="B4" s="10">
        <f>8000*4</f>
        <v>32000</v>
      </c>
      <c r="C4" s="10">
        <f>IF(MateriasPrimas[[#This Row],[PROVEEDOR]]="CIACOMEQ",(MateriasPrimas[[#This Row],[Costo M.P. (Kg)]]*$G$3)+$G$1,MateriasPrimas[[#This Row],[Costo M.P. (Kg)]]+$G$2)</f>
        <v>32350</v>
      </c>
      <c r="D4" s="11" t="s">
        <v>6</v>
      </c>
      <c r="E4" s="12"/>
    </row>
    <row r="5" spans="1:7">
      <c r="A5" s="9" t="s">
        <v>11</v>
      </c>
      <c r="B5" s="10">
        <f>7647/4</f>
        <v>1911.75</v>
      </c>
      <c r="C5" s="10">
        <f>IF(MateriasPrimas[[#This Row],[PROVEEDOR]]="CIACOMEQ",(MateriasPrimas[[#This Row],[Costo M.P. (Kg)]]*$G$3)+$G$1,MateriasPrimas[[#This Row],[Costo M.P. (Kg)]]+$G$2)</f>
        <v>3324.9825000000001</v>
      </c>
      <c r="D5" s="14" t="s">
        <v>12</v>
      </c>
      <c r="E5" s="15"/>
    </row>
    <row r="6" spans="1:7">
      <c r="A6" s="9" t="s">
        <v>13</v>
      </c>
      <c r="B6" s="10">
        <v>4800</v>
      </c>
      <c r="C6" s="10">
        <f>IF(MateriasPrimas[[#This Row],[PROVEEDOR]]="CIACOMEQ",(MateriasPrimas[[#This Row],[Costo M.P. (Kg)]]*$G$3)+$G$1,MateriasPrimas[[#This Row],[Costo M.P. (Kg)]]+$G$2)</f>
        <v>6762</v>
      </c>
      <c r="D6" s="14" t="s">
        <v>12</v>
      </c>
      <c r="E6" s="12"/>
    </row>
    <row r="7" spans="1:7">
      <c r="A7" s="16" t="s">
        <v>14</v>
      </c>
      <c r="B7" s="10">
        <v>5800</v>
      </c>
      <c r="C7" s="10">
        <f>IF(MateriasPrimas[[#This Row],[PROVEEDOR]]="CIACOMEQ",(MateriasPrimas[[#This Row],[Costo M.P. (Kg)]]*$G$3)+$G$1,MateriasPrimas[[#This Row],[Costo M.P. (Kg)]]+$G$2)</f>
        <v>7952</v>
      </c>
      <c r="D7" s="17" t="s">
        <v>12</v>
      </c>
      <c r="E7" s="12"/>
    </row>
    <row r="8" spans="1:7">
      <c r="A8" s="9" t="s">
        <v>15</v>
      </c>
      <c r="B8" s="10">
        <f>11500/4</f>
        <v>2875</v>
      </c>
      <c r="C8" s="10">
        <f>IF(MateriasPrimas[[#This Row],[PROVEEDOR]]="CIACOMEQ",(MateriasPrimas[[#This Row],[Costo M.P. (Kg)]]*$G$3)+$G$1,MateriasPrimas[[#This Row],[Costo M.P. (Kg)]]+$G$2)</f>
        <v>4471.25</v>
      </c>
      <c r="D8" s="14" t="s">
        <v>12</v>
      </c>
      <c r="E8" s="12"/>
    </row>
    <row r="9" spans="1:7">
      <c r="A9" s="18" t="s">
        <v>16</v>
      </c>
      <c r="B9" s="10">
        <v>4500</v>
      </c>
      <c r="C9" s="10">
        <f>IF(MateriasPrimas[[#This Row],[PROVEEDOR]]="CIACOMEQ",(MateriasPrimas[[#This Row],[Costo M.P. (Kg)]]*$G$3)+$G$1,MateriasPrimas[[#This Row],[Costo M.P. (Kg)]]+$G$2)</f>
        <v>6405</v>
      </c>
      <c r="D9" s="14" t="s">
        <v>12</v>
      </c>
      <c r="E9" s="12"/>
    </row>
    <row r="10" spans="1:7">
      <c r="A10" s="9" t="s">
        <v>17</v>
      </c>
      <c r="B10" s="10">
        <v>37500</v>
      </c>
      <c r="C10" s="10">
        <f>IF(MateriasPrimas[[#This Row],[PROVEEDOR]]="CIACOMEQ",(MateriasPrimas[[#This Row],[Costo M.P. (Kg)]]*$G$3)+$G$1,MateriasPrimas[[#This Row],[Costo M.P. (Kg)]]+$G$2)</f>
        <v>37850</v>
      </c>
      <c r="D10" s="11" t="s">
        <v>18</v>
      </c>
      <c r="E10" s="15"/>
    </row>
    <row r="11" spans="1:7">
      <c r="A11" s="19" t="s">
        <v>19</v>
      </c>
      <c r="B11" s="10">
        <f>143000/20</f>
        <v>7150</v>
      </c>
      <c r="C11" s="10">
        <f>IF(MateriasPrimas[[#This Row],[PROVEEDOR]]="CIACOMEQ",(MateriasPrimas[[#This Row],[Costo M.P. (Kg)]]*$G$3)+$G$1,MateriasPrimas[[#This Row],[Costo M.P. (Kg)]]+$G$2)</f>
        <v>9558.5</v>
      </c>
      <c r="D11" s="11" t="s">
        <v>12</v>
      </c>
      <c r="E11" s="12"/>
    </row>
    <row r="12" spans="1:7">
      <c r="A12" s="9" t="s">
        <v>20</v>
      </c>
      <c r="B12" s="10">
        <f>19700/4</f>
        <v>4925</v>
      </c>
      <c r="C12" s="10">
        <f>IF(MateriasPrimas[[#This Row],[PROVEEDOR]]="CIACOMEQ",(MateriasPrimas[[#This Row],[Costo M.P. (Kg)]]*$G$3)+$G$1,MateriasPrimas[[#This Row],[Costo M.P. (Kg)]]+$G$2)</f>
        <v>5275</v>
      </c>
      <c r="D12" s="11" t="s">
        <v>21</v>
      </c>
      <c r="E12" s="15"/>
    </row>
    <row r="13" spans="1:7">
      <c r="A13" s="9" t="s">
        <v>22</v>
      </c>
      <c r="B13" s="10">
        <v>300</v>
      </c>
      <c r="C13" s="10">
        <f>IF(MateriasPrimas[[#This Row],[PROVEEDOR]]="CIACOMEQ",(MateriasPrimas[[#This Row],[Costo M.P. (Kg)]]*$G$3)+$G$1,MateriasPrimas[[#This Row],[Costo M.P. (Kg)]]+$G$2)</f>
        <v>650</v>
      </c>
      <c r="D13" s="11"/>
      <c r="E13" s="15"/>
    </row>
    <row r="14" spans="1:7">
      <c r="A14" s="16" t="s">
        <v>23</v>
      </c>
      <c r="B14" s="10">
        <v>7100</v>
      </c>
      <c r="C14" s="10">
        <f>IF(MateriasPrimas[[#This Row],[PROVEEDOR]]="CIACOMEQ",(MateriasPrimas[[#This Row],[Costo M.P. (Kg)]]*$G$3)+$G$1,MateriasPrimas[[#This Row],[Costo M.P. (Kg)]]+$G$2)</f>
        <v>9499</v>
      </c>
      <c r="D14" s="17" t="s">
        <v>12</v>
      </c>
      <c r="E14" s="15"/>
    </row>
    <row r="15" spans="1:7">
      <c r="A15" s="18" t="s">
        <v>24</v>
      </c>
      <c r="B15" s="10">
        <f>165000/20</f>
        <v>8250</v>
      </c>
      <c r="C15" s="10">
        <f>IF(MateriasPrimas[[#This Row],[PROVEEDOR]]="CIACOMEQ",(MateriasPrimas[[#This Row],[Costo M.P. (Kg)]]*$G$3)+$G$1,MateriasPrimas[[#This Row],[Costo M.P. (Kg)]]+$G$2)</f>
        <v>10867.5</v>
      </c>
      <c r="D15" s="14" t="s">
        <v>12</v>
      </c>
      <c r="E15" s="12"/>
    </row>
    <row r="16" spans="1:7">
      <c r="A16" s="9" t="s">
        <v>25</v>
      </c>
      <c r="B16" s="10">
        <v>6300</v>
      </c>
      <c r="C16" s="10">
        <f>IF(MateriasPrimas[[#This Row],[PROVEEDOR]]="CIACOMEQ",(MateriasPrimas[[#This Row],[Costo M.P. (Kg)]]*$G$3)+$G$1,MateriasPrimas[[#This Row],[Costo M.P. (Kg)]]+$G$2)</f>
        <v>6650</v>
      </c>
      <c r="D16" s="11" t="s">
        <v>18</v>
      </c>
      <c r="E16" s="12"/>
    </row>
    <row r="17" spans="1:5">
      <c r="A17" s="16" t="s">
        <v>26</v>
      </c>
      <c r="B17" s="10">
        <f>24250/4</f>
        <v>6062.5</v>
      </c>
      <c r="C17" s="10">
        <f>IF(MateriasPrimas[[#This Row],[PROVEEDOR]]="CIACOMEQ",(MateriasPrimas[[#This Row],[Costo M.P. (Kg)]]*$G$3)+$G$1,MateriasPrimas[[#This Row],[Costo M.P. (Kg)]]+$G$2)</f>
        <v>8264.375</v>
      </c>
      <c r="D17" s="17" t="s">
        <v>12</v>
      </c>
      <c r="E17" s="15"/>
    </row>
    <row r="18" spans="1:5">
      <c r="A18" s="16" t="s">
        <v>27</v>
      </c>
      <c r="B18" s="20">
        <f>56500/25</f>
        <v>2260</v>
      </c>
      <c r="C18" s="10">
        <f>IF(MateriasPrimas[[#This Row],[PROVEEDOR]]="CIACOMEQ",(MateriasPrimas[[#This Row],[Costo M.P. (Kg)]]*$G$3)+$G$1,MateriasPrimas[[#This Row],[Costo M.P. (Kg)]]+$G$2)</f>
        <v>3739.4</v>
      </c>
      <c r="D18" s="17" t="s">
        <v>12</v>
      </c>
      <c r="E18" s="12"/>
    </row>
    <row r="19" spans="1:5">
      <c r="A19" s="16" t="s">
        <v>28</v>
      </c>
      <c r="B19" s="20">
        <v>7500</v>
      </c>
      <c r="C19" s="10">
        <f>IF(MateriasPrimas[[#This Row],[PROVEEDOR]]="CIACOMEQ",(MateriasPrimas[[#This Row],[Costo M.P. (Kg)]]*$G$3)+$G$1,MateriasPrimas[[#This Row],[Costo M.P. (Kg)]]+$G$2)</f>
        <v>7850</v>
      </c>
      <c r="D19" s="17" t="s">
        <v>18</v>
      </c>
      <c r="E19" s="12"/>
    </row>
    <row r="20" spans="1:5">
      <c r="A20" s="16" t="s">
        <v>29</v>
      </c>
      <c r="B20" s="10">
        <f>7100</f>
        <v>7100</v>
      </c>
      <c r="C20" s="10">
        <f>IF(MateriasPrimas[[#This Row],[PROVEEDOR]]="CIACOMEQ",(MateriasPrimas[[#This Row],[Costo M.P. (Kg)]]*$G$3)+$G$1,MateriasPrimas[[#This Row],[Costo M.P. (Kg)]]+$G$2)</f>
        <v>9499</v>
      </c>
      <c r="D20" s="17" t="s">
        <v>12</v>
      </c>
      <c r="E20" s="15"/>
    </row>
    <row r="21" spans="1:5">
      <c r="A21" s="9" t="s">
        <v>30</v>
      </c>
      <c r="B21" s="10">
        <v>30070</v>
      </c>
      <c r="C21" s="10">
        <f>IF(MateriasPrimas[[#This Row],[PROVEEDOR]]="CIACOMEQ",(MateriasPrimas[[#This Row],[Costo M.P. (Kg)]]*$G$3)+$G$1,MateriasPrimas[[#This Row],[Costo M.P. (Kg)]]+$G$2)</f>
        <v>36833.299999999996</v>
      </c>
      <c r="D21" s="11" t="s">
        <v>12</v>
      </c>
      <c r="E21" s="15"/>
    </row>
    <row r="22" spans="1:5">
      <c r="A22" s="9" t="s">
        <v>31</v>
      </c>
      <c r="B22" s="20">
        <f>9500</f>
        <v>9500</v>
      </c>
      <c r="C22" s="10">
        <f>IF(MateriasPrimas[[#This Row],[PROVEEDOR]]="CIACOMEQ",(MateriasPrimas[[#This Row],[Costo M.P. (Kg)]]*$G$3)+$G$1,MateriasPrimas[[#This Row],[Costo M.P. (Kg)]]+$G$2)</f>
        <v>12355</v>
      </c>
      <c r="D22" s="11" t="s">
        <v>12</v>
      </c>
      <c r="E22" s="15"/>
    </row>
    <row r="23" spans="1:5">
      <c r="A23" s="16" t="s">
        <v>32</v>
      </c>
      <c r="B23" s="10">
        <f>48985/4</f>
        <v>12246.25</v>
      </c>
      <c r="C23" s="10">
        <f>IF(MateriasPrimas[[#This Row],[PROVEEDOR]]="CIACOMEQ",(MateriasPrimas[[#This Row],[Costo M.P. (Kg)]]*$G$3)+$G$1,MateriasPrimas[[#This Row],[Costo M.P. (Kg)]]+$G$2)</f>
        <v>15623.037499999999</v>
      </c>
      <c r="D23" s="17" t="s">
        <v>12</v>
      </c>
      <c r="E23" s="15"/>
    </row>
    <row r="24" spans="1:5">
      <c r="A24" s="9" t="s">
        <v>33</v>
      </c>
      <c r="B24" s="10">
        <f>285000/40</f>
        <v>7125</v>
      </c>
      <c r="C24" s="10">
        <f>IF(MateriasPrimas[[#This Row],[PROVEEDOR]]="CIACOMEQ",(MateriasPrimas[[#This Row],[Costo M.P. (Kg)]]*$G$3)+$G$1,MateriasPrimas[[#This Row],[Costo M.P. (Kg)]]+$G$2)</f>
        <v>7475</v>
      </c>
      <c r="D24" s="11" t="s">
        <v>18</v>
      </c>
      <c r="E24" s="15"/>
    </row>
    <row r="25" spans="1:5">
      <c r="A25" s="16" t="s">
        <v>34</v>
      </c>
      <c r="B25" s="10">
        <f>3950*2</f>
        <v>7900</v>
      </c>
      <c r="C25" s="10">
        <f>IF(MateriasPrimas[[#This Row],[PROVEEDOR]]="CIACOMEQ",(MateriasPrimas[[#This Row],[Costo M.P. (Kg)]]*$G$3)+$G$1,MateriasPrimas[[#This Row],[Costo M.P. (Kg)]]+$G$2)</f>
        <v>10451</v>
      </c>
      <c r="D25" s="17" t="s">
        <v>12</v>
      </c>
      <c r="E25" s="12"/>
    </row>
    <row r="26" spans="1:5">
      <c r="A26" s="16" t="s">
        <v>35</v>
      </c>
      <c r="B26" s="10">
        <f>37733/4</f>
        <v>9433.25</v>
      </c>
      <c r="C26" s="10">
        <f>IF(MateriasPrimas[[#This Row],[PROVEEDOR]]="CIACOMEQ",(MateriasPrimas[[#This Row],[Costo M.P. (Kg)]]*$G$3)+$G$1,MateriasPrimas[[#This Row],[Costo M.P. (Kg)]]+$G$2)</f>
        <v>12275.567499999999</v>
      </c>
      <c r="D26" s="17" t="s">
        <v>12</v>
      </c>
      <c r="E26" s="15"/>
    </row>
    <row r="27" spans="1:5">
      <c r="A27" s="16" t="s">
        <v>36</v>
      </c>
      <c r="B27" s="10">
        <f>4800*10</f>
        <v>48000</v>
      </c>
      <c r="C27" s="10">
        <f>IF(MateriasPrimas[[#This Row],[PROVEEDOR]]="CIACOMEQ",(MateriasPrimas[[#This Row],[Costo M.P. (Kg)]]*$G$3)+$G$1,MateriasPrimas[[#This Row],[Costo M.P. (Kg)]]+$G$2)</f>
        <v>58170</v>
      </c>
      <c r="D27" s="17" t="s">
        <v>12</v>
      </c>
      <c r="E27" s="15"/>
    </row>
    <row r="28" spans="1:5">
      <c r="A28" s="16" t="s">
        <v>37</v>
      </c>
      <c r="B28" s="10">
        <f>4800*10</f>
        <v>48000</v>
      </c>
      <c r="C28" s="10">
        <f>IF(MateriasPrimas[[#This Row],[PROVEEDOR]]="CIACOMEQ",(MateriasPrimas[[#This Row],[Costo M.P. (Kg)]]*$G$3)+$G$1,MateriasPrimas[[#This Row],[Costo M.P. (Kg)]]+$G$2)</f>
        <v>58170</v>
      </c>
      <c r="D28" s="17" t="s">
        <v>12</v>
      </c>
      <c r="E28" s="15"/>
    </row>
    <row r="29" spans="1:5">
      <c r="A29" s="16" t="s">
        <v>38</v>
      </c>
      <c r="B29" s="10">
        <f>4800*10</f>
        <v>48000</v>
      </c>
      <c r="C29" s="10">
        <f>IF(MateriasPrimas[[#This Row],[PROVEEDOR]]="CIACOMEQ",(MateriasPrimas[[#This Row],[Costo M.P. (Kg)]]*$G$3)+$G$1,MateriasPrimas[[#This Row],[Costo M.P. (Kg)]]+$G$2)</f>
        <v>58170</v>
      </c>
      <c r="D29" s="17" t="s">
        <v>12</v>
      </c>
      <c r="E29" s="15"/>
    </row>
    <row r="30" spans="1:5">
      <c r="A30" s="9" t="s">
        <v>39</v>
      </c>
      <c r="B30" s="10">
        <f>4800*10</f>
        <v>48000</v>
      </c>
      <c r="C30" s="10">
        <f>IF(MateriasPrimas[[#This Row],[PROVEEDOR]]="CIACOMEQ",(MateriasPrimas[[#This Row],[Costo M.P. (Kg)]]*$G$3)+$G$1,MateriasPrimas[[#This Row],[Costo M.P. (Kg)]]+$G$2)</f>
        <v>58170</v>
      </c>
      <c r="D30" s="11" t="s">
        <v>12</v>
      </c>
      <c r="E30" s="12"/>
    </row>
    <row r="31" spans="1:5">
      <c r="A31" s="16" t="s">
        <v>40</v>
      </c>
      <c r="B31" s="10">
        <f>2156*40</f>
        <v>86240</v>
      </c>
      <c r="C31" s="10">
        <f>IF(MateriasPrimas[[#This Row],[PROVEEDOR]]="CIACOMEQ",(MateriasPrimas[[#This Row],[Costo M.P. (Kg)]]*$G$3)+$G$1,MateriasPrimas[[#This Row],[Costo M.P. (Kg)]]+$G$2)</f>
        <v>103675.59999999999</v>
      </c>
      <c r="D31" s="17" t="s">
        <v>12</v>
      </c>
      <c r="E31" s="15"/>
    </row>
    <row r="32" spans="1:5">
      <c r="A32" s="16" t="s">
        <v>41</v>
      </c>
      <c r="B32" s="10">
        <f>4800*10</f>
        <v>48000</v>
      </c>
      <c r="C32" s="10">
        <f>IF(MateriasPrimas[[#This Row],[PROVEEDOR]]="CIACOMEQ",(MateriasPrimas[[#This Row],[Costo M.P. (Kg)]]*$G$3)+$G$1,MateriasPrimas[[#This Row],[Costo M.P. (Kg)]]+$G$2)</f>
        <v>58170</v>
      </c>
      <c r="D32" s="17" t="s">
        <v>12</v>
      </c>
      <c r="E32" s="12"/>
    </row>
    <row r="33" spans="1:5">
      <c r="A33" s="16" t="s">
        <v>42</v>
      </c>
      <c r="B33" s="10">
        <f>4800*10</f>
        <v>48000</v>
      </c>
      <c r="C33" s="10">
        <f>IF(MateriasPrimas[[#This Row],[PROVEEDOR]]="CIACOMEQ",(MateriasPrimas[[#This Row],[Costo M.P. (Kg)]]*$G$3)+$G$1,MateriasPrimas[[#This Row],[Costo M.P. (Kg)]]+$G$2)</f>
        <v>58170</v>
      </c>
      <c r="D33" s="17" t="s">
        <v>12</v>
      </c>
      <c r="E33" s="15"/>
    </row>
    <row r="34" spans="1:5">
      <c r="A34" s="16" t="s">
        <v>43</v>
      </c>
      <c r="B34" s="10">
        <f>4800*10</f>
        <v>48000</v>
      </c>
      <c r="C34" s="10">
        <f>IF(MateriasPrimas[[#This Row],[PROVEEDOR]]="CIACOMEQ",(MateriasPrimas[[#This Row],[Costo M.P. (Kg)]]*$G$3)+$G$1,MateriasPrimas[[#This Row],[Costo M.P. (Kg)]]+$G$2)</f>
        <v>58170</v>
      </c>
      <c r="D34" s="17" t="s">
        <v>12</v>
      </c>
      <c r="E34" s="12"/>
    </row>
    <row r="35" spans="1:5">
      <c r="A35" s="9" t="s">
        <v>44</v>
      </c>
      <c r="B35" s="10">
        <f>4800*10</f>
        <v>48000</v>
      </c>
      <c r="C35" s="10">
        <f>IF(MateriasPrimas[[#This Row],[PROVEEDOR]]="CIACOMEQ",(MateriasPrimas[[#This Row],[Costo M.P. (Kg)]]*$G$3)+$G$1,MateriasPrimas[[#This Row],[Costo M.P. (Kg)]]+$G$2)</f>
        <v>58170</v>
      </c>
      <c r="D35" s="11" t="s">
        <v>12</v>
      </c>
      <c r="E35" s="12"/>
    </row>
    <row r="36" spans="1:5">
      <c r="A36" s="16" t="s">
        <v>45</v>
      </c>
      <c r="B36" s="10">
        <f>17800*40</f>
        <v>712000</v>
      </c>
      <c r="C36" s="10">
        <f>IF(MateriasPrimas[[#This Row],[PROVEEDOR]]="CIACOMEQ",(MateriasPrimas[[#This Row],[Costo M.P. (Kg)]]*$G$3)+$G$1,MateriasPrimas[[#This Row],[Costo M.P. (Kg)]]+$G$2)</f>
        <v>848330</v>
      </c>
      <c r="D36" s="17" t="s">
        <v>12</v>
      </c>
      <c r="E36" s="12"/>
    </row>
    <row r="37" spans="1:5">
      <c r="A37" s="9" t="s">
        <v>46</v>
      </c>
      <c r="B37" s="10">
        <f>105000/20</f>
        <v>5250</v>
      </c>
      <c r="C37" s="10">
        <f>IF(MateriasPrimas[[#This Row],[PROVEEDOR]]="CIACOMEQ",(MateriasPrimas[[#This Row],[Costo M.P. (Kg)]]*$G$3)+$G$1,MateriasPrimas[[#This Row],[Costo M.P. (Kg)]]+$G$2)</f>
        <v>7297.5</v>
      </c>
      <c r="D37" s="11" t="s">
        <v>12</v>
      </c>
      <c r="E37" s="12"/>
    </row>
    <row r="38" spans="1:5">
      <c r="A38" s="16" t="s">
        <v>47</v>
      </c>
      <c r="B38" s="10">
        <f>55000/20</f>
        <v>2750</v>
      </c>
      <c r="C38" s="10">
        <f>IF(MateriasPrimas[[#This Row],[PROVEEDOR]]="CIACOMEQ",(MateriasPrimas[[#This Row],[Costo M.P. (Kg)]]*$G$3)+$G$1,MateriasPrimas[[#This Row],[Costo M.P. (Kg)]]+$G$2)</f>
        <v>4322.5</v>
      </c>
      <c r="D38" s="17" t="s">
        <v>12</v>
      </c>
      <c r="E38" s="12"/>
    </row>
    <row r="39" spans="1:5">
      <c r="A39" s="9" t="s">
        <v>48</v>
      </c>
      <c r="B39" s="10">
        <v>600</v>
      </c>
      <c r="C39" s="10">
        <f>IF(MateriasPrimas[[#This Row],[PROVEEDOR]]="CIACOMEQ",(MateriasPrimas[[#This Row],[Costo M.P. (Kg)]]*$G$3)+$G$1,MateriasPrimas[[#This Row],[Costo M.P. (Kg)]]+$G$2)</f>
        <v>950</v>
      </c>
      <c r="D39" s="11" t="s">
        <v>49</v>
      </c>
      <c r="E39" s="12"/>
    </row>
    <row r="40" spans="1:5">
      <c r="A40" s="9" t="s">
        <v>50</v>
      </c>
      <c r="B40" s="10">
        <v>400</v>
      </c>
      <c r="C40" s="10">
        <f>IF(MateriasPrimas[[#This Row],[PROVEEDOR]]="CIACOMEQ",(MateriasPrimas[[#This Row],[Costo M.P. (Kg)]]*$G$3)+$G$1,MateriasPrimas[[#This Row],[Costo M.P. (Kg)]]+$G$2)</f>
        <v>750</v>
      </c>
      <c r="D40" s="11" t="s">
        <v>49</v>
      </c>
      <c r="E40" s="12"/>
    </row>
    <row r="41" spans="1:5">
      <c r="A41" s="9" t="s">
        <v>51</v>
      </c>
      <c r="B41" s="10">
        <v>450</v>
      </c>
      <c r="C41" s="10">
        <f>IF(MateriasPrimas[[#This Row],[PROVEEDOR]]="CIACOMEQ",(MateriasPrimas[[#This Row],[Costo M.P. (Kg)]]*$G$3)+$G$1,MateriasPrimas[[#This Row],[Costo M.P. (Kg)]]+$G$2)</f>
        <v>800</v>
      </c>
      <c r="D41" s="11" t="s">
        <v>49</v>
      </c>
      <c r="E41" s="12"/>
    </row>
    <row r="42" spans="1:5">
      <c r="A42" s="9" t="s">
        <v>52</v>
      </c>
      <c r="B42" s="10">
        <f>11000*4</f>
        <v>44000</v>
      </c>
      <c r="C42" s="10">
        <f>IF(MateriasPrimas[[#This Row],[PROVEEDOR]]="CIACOMEQ",(MateriasPrimas[[#This Row],[Costo M.P. (Kg)]]*$G$3)+$G$1,MateriasPrimas[[#This Row],[Costo M.P. (Kg)]]+$G$2)</f>
        <v>53410</v>
      </c>
      <c r="D42" s="11" t="s">
        <v>12</v>
      </c>
      <c r="E42" s="12"/>
    </row>
    <row r="43" spans="1:5">
      <c r="A43" s="9" t="s">
        <v>53</v>
      </c>
      <c r="B43" s="10">
        <v>550</v>
      </c>
      <c r="C43" s="10">
        <f t="shared" ref="C43:C64" si="0">B43*1.1</f>
        <v>605</v>
      </c>
      <c r="D43" s="11" t="s">
        <v>54</v>
      </c>
      <c r="E43" s="12"/>
    </row>
    <row r="44" spans="1:5">
      <c r="A44" s="9" t="s">
        <v>55</v>
      </c>
      <c r="B44" s="10">
        <v>400</v>
      </c>
      <c r="C44" s="10">
        <f t="shared" si="0"/>
        <v>440.00000000000006</v>
      </c>
      <c r="D44" s="11" t="s">
        <v>54</v>
      </c>
      <c r="E44" s="12"/>
    </row>
    <row r="45" spans="1:5">
      <c r="A45" s="9" t="s">
        <v>56</v>
      </c>
      <c r="B45" s="10">
        <v>600</v>
      </c>
      <c r="C45" s="10">
        <f t="shared" si="0"/>
        <v>660</v>
      </c>
      <c r="D45" s="11" t="s">
        <v>54</v>
      </c>
      <c r="E45" s="12"/>
    </row>
    <row r="46" spans="1:5">
      <c r="A46" s="9" t="s">
        <v>57</v>
      </c>
      <c r="B46" s="10">
        <v>6500</v>
      </c>
      <c r="C46" s="10">
        <f t="shared" si="0"/>
        <v>7150.0000000000009</v>
      </c>
      <c r="D46" s="11" t="s">
        <v>54</v>
      </c>
      <c r="E46" s="12"/>
    </row>
    <row r="47" spans="1:5">
      <c r="A47" s="9" t="s">
        <v>58</v>
      </c>
      <c r="B47" s="10">
        <v>1200</v>
      </c>
      <c r="C47" s="10">
        <f t="shared" si="0"/>
        <v>1320</v>
      </c>
      <c r="D47" s="11" t="s">
        <v>54</v>
      </c>
      <c r="E47" s="12"/>
    </row>
    <row r="48" spans="1:5">
      <c r="A48" s="9" t="s">
        <v>59</v>
      </c>
      <c r="B48" s="10">
        <v>1350</v>
      </c>
      <c r="C48" s="10">
        <f t="shared" si="0"/>
        <v>1485.0000000000002</v>
      </c>
      <c r="D48" s="11" t="s">
        <v>54</v>
      </c>
      <c r="E48" s="12"/>
    </row>
    <row r="49" spans="1:5">
      <c r="A49" s="9" t="s">
        <v>60</v>
      </c>
      <c r="B49" s="10">
        <v>500</v>
      </c>
      <c r="C49" s="10">
        <f t="shared" si="0"/>
        <v>550</v>
      </c>
      <c r="D49" s="11" t="s">
        <v>54</v>
      </c>
      <c r="E49" s="12"/>
    </row>
    <row r="50" spans="1:5">
      <c r="A50" s="9" t="s">
        <v>61</v>
      </c>
      <c r="B50" s="10">
        <v>450</v>
      </c>
      <c r="C50" s="10">
        <f t="shared" si="0"/>
        <v>495.00000000000006</v>
      </c>
      <c r="D50" s="11" t="s">
        <v>54</v>
      </c>
      <c r="E50" s="12"/>
    </row>
    <row r="51" spans="1:5">
      <c r="A51" s="9" t="s">
        <v>62</v>
      </c>
      <c r="B51" s="10">
        <v>450</v>
      </c>
      <c r="C51" s="10">
        <f t="shared" si="0"/>
        <v>495.00000000000006</v>
      </c>
      <c r="D51" s="11" t="s">
        <v>54</v>
      </c>
      <c r="E51" s="12"/>
    </row>
    <row r="52" spans="1:5">
      <c r="A52" s="9" t="s">
        <v>63</v>
      </c>
      <c r="B52" s="10">
        <v>600</v>
      </c>
      <c r="C52" s="10">
        <f t="shared" si="0"/>
        <v>660</v>
      </c>
      <c r="D52" s="11" t="s">
        <v>54</v>
      </c>
      <c r="E52" s="12"/>
    </row>
    <row r="53" spans="1:5">
      <c r="A53" s="9" t="s">
        <v>64</v>
      </c>
      <c r="B53" s="10">
        <v>1000</v>
      </c>
      <c r="C53" s="10">
        <f t="shared" si="0"/>
        <v>1100</v>
      </c>
      <c r="D53" s="11" t="s">
        <v>54</v>
      </c>
      <c r="E53" s="12"/>
    </row>
    <row r="54" spans="1:5">
      <c r="A54" s="9" t="s">
        <v>65</v>
      </c>
      <c r="B54" s="10">
        <v>820</v>
      </c>
      <c r="C54" s="10">
        <f t="shared" si="0"/>
        <v>902.00000000000011</v>
      </c>
      <c r="D54" s="11" t="s">
        <v>54</v>
      </c>
      <c r="E54" s="12"/>
    </row>
    <row r="55" spans="1:5">
      <c r="A55" s="9" t="s">
        <v>66</v>
      </c>
      <c r="B55" s="10">
        <v>550</v>
      </c>
      <c r="C55" s="10">
        <f t="shared" si="0"/>
        <v>605</v>
      </c>
      <c r="D55" s="11" t="s">
        <v>54</v>
      </c>
      <c r="E55" s="12"/>
    </row>
    <row r="56" spans="1:5">
      <c r="A56" s="9" t="s">
        <v>67</v>
      </c>
      <c r="B56" s="10">
        <v>1000</v>
      </c>
      <c r="C56" s="10">
        <f t="shared" si="0"/>
        <v>1100</v>
      </c>
      <c r="D56" s="11" t="s">
        <v>54</v>
      </c>
      <c r="E56" s="12"/>
    </row>
    <row r="57" spans="1:5">
      <c r="A57" s="9" t="s">
        <v>68</v>
      </c>
      <c r="B57" s="10">
        <v>300</v>
      </c>
      <c r="C57" s="10">
        <f t="shared" si="0"/>
        <v>330</v>
      </c>
      <c r="D57" s="11" t="s">
        <v>54</v>
      </c>
      <c r="E57" s="12"/>
    </row>
    <row r="58" spans="1:5">
      <c r="A58" s="9" t="s">
        <v>69</v>
      </c>
      <c r="B58" s="10">
        <v>600</v>
      </c>
      <c r="C58" s="10">
        <f t="shared" si="0"/>
        <v>660</v>
      </c>
      <c r="D58" s="11" t="s">
        <v>54</v>
      </c>
      <c r="E58" s="12"/>
    </row>
    <row r="59" spans="1:5">
      <c r="A59" s="9" t="s">
        <v>70</v>
      </c>
      <c r="B59" s="10">
        <v>3500</v>
      </c>
      <c r="C59" s="10">
        <f t="shared" si="0"/>
        <v>3850.0000000000005</v>
      </c>
      <c r="D59" s="11" t="s">
        <v>71</v>
      </c>
      <c r="E59" s="12"/>
    </row>
    <row r="60" spans="1:5">
      <c r="A60" s="9" t="s">
        <v>72</v>
      </c>
      <c r="B60" s="10">
        <v>280</v>
      </c>
      <c r="C60" s="10">
        <f t="shared" si="0"/>
        <v>308</v>
      </c>
      <c r="D60" s="11" t="s">
        <v>54</v>
      </c>
      <c r="E60" s="15"/>
    </row>
    <row r="61" spans="1:5">
      <c r="A61" s="9" t="s">
        <v>73</v>
      </c>
      <c r="B61" s="10">
        <v>1300</v>
      </c>
      <c r="C61" s="10">
        <f t="shared" si="0"/>
        <v>1430.0000000000002</v>
      </c>
      <c r="D61" s="11" t="s">
        <v>54</v>
      </c>
      <c r="E61" s="15"/>
    </row>
    <row r="62" spans="1:5">
      <c r="A62" s="9" t="s">
        <v>74</v>
      </c>
      <c r="B62" s="10">
        <v>1800</v>
      </c>
      <c r="C62" s="10">
        <f t="shared" si="0"/>
        <v>1980.0000000000002</v>
      </c>
      <c r="D62" s="11" t="s">
        <v>6</v>
      </c>
      <c r="E62" s="15"/>
    </row>
    <row r="63" spans="1:5">
      <c r="A63" s="9" t="s">
        <v>75</v>
      </c>
      <c r="B63" s="10">
        <v>1000</v>
      </c>
      <c r="C63" s="10">
        <f t="shared" si="0"/>
        <v>1100</v>
      </c>
      <c r="D63" s="11" t="s">
        <v>54</v>
      </c>
      <c r="E63" s="15"/>
    </row>
    <row r="64" spans="1:5">
      <c r="A64" s="9" t="s">
        <v>76</v>
      </c>
      <c r="B64" s="10">
        <v>1200</v>
      </c>
      <c r="C64" s="10">
        <f t="shared" si="0"/>
        <v>1320</v>
      </c>
      <c r="D64" s="11" t="s">
        <v>54</v>
      </c>
      <c r="E64" s="12"/>
    </row>
    <row r="65" spans="1:5">
      <c r="A65" s="16" t="s">
        <v>77</v>
      </c>
      <c r="B65" s="10">
        <f>78279/20</f>
        <v>3913.95</v>
      </c>
      <c r="C65" s="10">
        <f>IF(MateriasPrimas[[#This Row],[PROVEEDOR]]="CIACOMEQ",(MateriasPrimas[[#This Row],[Costo M.P. (Kg)]]*$G$3)+$G$1,MateriasPrimas[[#This Row],[Costo M.P. (Kg)]]+$G$2)</f>
        <v>5707.6004999999996</v>
      </c>
      <c r="D65" s="17" t="s">
        <v>12</v>
      </c>
      <c r="E65" s="15"/>
    </row>
    <row r="66" spans="1:5">
      <c r="A66" s="16" t="s">
        <v>78</v>
      </c>
      <c r="B66" s="10">
        <v>49000</v>
      </c>
      <c r="C66" s="10">
        <f>IF(MateriasPrimas[[#This Row],[PROVEEDOR]]="CIACOMEQ",(MateriasPrimas[[#This Row],[Costo M.P. (Kg)]]*$G$3)+$G$1,MateriasPrimas[[#This Row],[Costo M.P. (Kg)]]+$G$2)</f>
        <v>59360</v>
      </c>
      <c r="D66" s="17" t="s">
        <v>12</v>
      </c>
      <c r="E66" s="15"/>
    </row>
    <row r="67" spans="1:5">
      <c r="A67" s="16" t="s">
        <v>79</v>
      </c>
      <c r="B67" s="10">
        <v>44000</v>
      </c>
      <c r="C67" s="10">
        <f>IF(MateriasPrimas[[#This Row],[PROVEEDOR]]="CIACOMEQ",(MateriasPrimas[[#This Row],[Costo M.P. (Kg)]]*$G$3)+$G$1,MateriasPrimas[[#This Row],[Costo M.P. (Kg)]]+$G$2)</f>
        <v>53410</v>
      </c>
      <c r="D67" s="17" t="s">
        <v>12</v>
      </c>
      <c r="E67" s="15"/>
    </row>
    <row r="68" spans="1:5">
      <c r="A68" s="16" t="s">
        <v>80</v>
      </c>
      <c r="B68" s="10">
        <f>52200/1.19</f>
        <v>43865.546218487398</v>
      </c>
      <c r="C68" s="10">
        <f>IF(MateriasPrimas[[#This Row],[PROVEEDOR]]="CIACOMEQ",(MateriasPrimas[[#This Row],[Costo M.P. (Kg)]]*$G$3)+$G$1,MateriasPrimas[[#This Row],[Costo M.P. (Kg)]]+$G$2)</f>
        <v>53250</v>
      </c>
      <c r="D68" s="17" t="s">
        <v>12</v>
      </c>
      <c r="E68" s="15"/>
    </row>
    <row r="69" spans="1:5">
      <c r="A69" s="9" t="s">
        <v>81</v>
      </c>
      <c r="B69" s="10">
        <v>66300</v>
      </c>
      <c r="C69" s="10">
        <f>IF(MateriasPrimas[[#This Row],[PROVEEDOR]]="CIACOMEQ",(MateriasPrimas[[#This Row],[Costo M.P. (Kg)]]*$G$3)+$G$1,MateriasPrimas[[#This Row],[Costo M.P. (Kg)]]+$G$2)</f>
        <v>79947</v>
      </c>
      <c r="D69" s="11" t="s">
        <v>12</v>
      </c>
      <c r="E69" s="15"/>
    </row>
    <row r="70" spans="1:5">
      <c r="A70" s="16" t="s">
        <v>82</v>
      </c>
      <c r="B70" s="10">
        <v>68000</v>
      </c>
      <c r="C70" s="10">
        <f>IF(MateriasPrimas[[#This Row],[PROVEEDOR]]="CIACOMEQ",(MateriasPrimas[[#This Row],[Costo M.P. (Kg)]]*$G$3)+$G$1,MateriasPrimas[[#This Row],[Costo M.P. (Kg)]]+$G$2)</f>
        <v>81970</v>
      </c>
      <c r="D70" s="17" t="s">
        <v>12</v>
      </c>
      <c r="E70" s="15"/>
    </row>
    <row r="71" spans="1:5">
      <c r="A71" s="16" t="s">
        <v>83</v>
      </c>
      <c r="B71" s="10">
        <v>58000</v>
      </c>
      <c r="C71" s="10">
        <f>IF(MateriasPrimas[[#This Row],[PROVEEDOR]]="CIACOMEQ",(MateriasPrimas[[#This Row],[Costo M.P. (Kg)]]*$G$3)+$G$1,MateriasPrimas[[#This Row],[Costo M.P. (Kg)]]+$G$2)</f>
        <v>70070</v>
      </c>
      <c r="D71" s="17" t="s">
        <v>12</v>
      </c>
      <c r="E71" s="15"/>
    </row>
    <row r="72" spans="1:5">
      <c r="A72" s="16" t="s">
        <v>84</v>
      </c>
      <c r="B72" s="10">
        <f>15126*2</f>
        <v>30252</v>
      </c>
      <c r="C72" s="10">
        <f>IF(MateriasPrimas[[#This Row],[PROVEEDOR]]="CIACOMEQ",(MateriasPrimas[[#This Row],[Costo M.P. (Kg)]]*$G$3)+$G$1,MateriasPrimas[[#This Row],[Costo M.P. (Kg)]]+$G$2)</f>
        <v>37049.879999999997</v>
      </c>
      <c r="D72" s="17" t="s">
        <v>12</v>
      </c>
      <c r="E72" s="12"/>
    </row>
    <row r="73" spans="1:5">
      <c r="A73" s="16" t="s">
        <v>85</v>
      </c>
      <c r="B73" s="10">
        <v>65600</v>
      </c>
      <c r="C73" s="10">
        <f>IF(MateriasPrimas[[#This Row],[PROVEEDOR]]="CIACOMEQ",(MateriasPrimas[[#This Row],[Costo M.P. (Kg)]]*$G$3)+$G$1,MateriasPrimas[[#This Row],[Costo M.P. (Kg)]]+$G$2)</f>
        <v>79114</v>
      </c>
      <c r="D73" s="17" t="s">
        <v>12</v>
      </c>
      <c r="E73" s="12"/>
    </row>
    <row r="74" spans="1:5">
      <c r="A74" s="16" t="s">
        <v>86</v>
      </c>
      <c r="B74" s="10">
        <f>30727*2</f>
        <v>61454</v>
      </c>
      <c r="C74" s="10">
        <f>IF(MateriasPrimas[[#This Row],[PROVEEDOR]]="CIACOMEQ",(MateriasPrimas[[#This Row],[Costo M.P. (Kg)]]*$G$3)+$G$1,MateriasPrimas[[#This Row],[Costo M.P. (Kg)]]+$G$2)</f>
        <v>74180.259999999995</v>
      </c>
      <c r="D74" s="17" t="s">
        <v>12</v>
      </c>
      <c r="E74" s="15"/>
    </row>
    <row r="75" spans="1:5">
      <c r="A75" s="16" t="s">
        <v>87</v>
      </c>
      <c r="B75" s="10">
        <v>45300</v>
      </c>
      <c r="C75" s="10">
        <f>IF(MateriasPrimas[[#This Row],[PROVEEDOR]]="CIACOMEQ",(MateriasPrimas[[#This Row],[Costo M.P. (Kg)]]*$G$3)+$G$1,MateriasPrimas[[#This Row],[Costo M.P. (Kg)]]+$G$2)</f>
        <v>54957</v>
      </c>
      <c r="D75" s="17" t="s">
        <v>12</v>
      </c>
      <c r="E75" s="15"/>
    </row>
    <row r="76" spans="1:5">
      <c r="A76" s="16" t="s">
        <v>88</v>
      </c>
      <c r="B76" s="20">
        <f>33571*2</f>
        <v>67142</v>
      </c>
      <c r="C76" s="10">
        <f>IF(MateriasPrimas[[#This Row],[PROVEEDOR]]="CIACOMEQ",(MateriasPrimas[[#This Row],[Costo M.P. (Kg)]]*$G$3)+$G$1,MateriasPrimas[[#This Row],[Costo M.P. (Kg)]]+$G$2)</f>
        <v>80948.98</v>
      </c>
      <c r="D76" s="17" t="s">
        <v>12</v>
      </c>
      <c r="E76" s="15"/>
    </row>
    <row r="77" spans="1:5">
      <c r="A77" s="9" t="s">
        <v>89</v>
      </c>
      <c r="B77" s="10">
        <v>43820</v>
      </c>
      <c r="C77" s="10">
        <f>IF(MateriasPrimas[[#This Row],[PROVEEDOR]]="CIACOMEQ",(MateriasPrimas[[#This Row],[Costo M.P. (Kg)]]*$G$3)+$G$1,MateriasPrimas[[#This Row],[Costo M.P. (Kg)]]+$G$2)</f>
        <v>53195.799999999996</v>
      </c>
      <c r="D77" s="11" t="s">
        <v>12</v>
      </c>
      <c r="E77" s="12"/>
    </row>
    <row r="78" spans="1:5">
      <c r="A78" s="9" t="s">
        <v>90</v>
      </c>
      <c r="B78" s="10">
        <f>66000/20</f>
        <v>3300</v>
      </c>
      <c r="C78" s="10">
        <f>IF(MateriasPrimas[[#This Row],[PROVEEDOR]]="CIACOMEQ",(MateriasPrimas[[#This Row],[Costo M.P. (Kg)]]*$G$3)+$G$1,MateriasPrimas[[#This Row],[Costo M.P. (Kg)]]+$G$2)</f>
        <v>4977</v>
      </c>
      <c r="D78" s="11" t="s">
        <v>12</v>
      </c>
      <c r="E78" s="15"/>
    </row>
    <row r="79" spans="1:5">
      <c r="A79" s="16" t="s">
        <v>91</v>
      </c>
      <c r="B79" s="10">
        <f>23500/4</f>
        <v>5875</v>
      </c>
      <c r="C79" s="10">
        <f>IF(MateriasPrimas[[#This Row],[PROVEEDOR]]="CIACOMEQ",(MateriasPrimas[[#This Row],[Costo M.P. (Kg)]]*$G$3)+$G$1,MateriasPrimas[[#This Row],[Costo M.P. (Kg)]]+$G$2)</f>
        <v>8041.25</v>
      </c>
      <c r="D79" s="17" t="s">
        <v>12</v>
      </c>
      <c r="E79" s="12"/>
    </row>
    <row r="80" spans="1:5">
      <c r="A80" s="18" t="s">
        <v>92</v>
      </c>
      <c r="B80" s="10">
        <v>25000</v>
      </c>
      <c r="C80" s="10">
        <f>IF(MateriasPrimas[[#This Row],[PROVEEDOR]]="CIACOMEQ",(MateriasPrimas[[#This Row],[Costo M.P. (Kg)]]*$G$3)+$G$1,MateriasPrimas[[#This Row],[Costo M.P. (Kg)]]+$G$2)</f>
        <v>25350</v>
      </c>
      <c r="D80" s="14" t="s">
        <v>93</v>
      </c>
      <c r="E80" s="15"/>
    </row>
    <row r="81" spans="1:5">
      <c r="A81" s="16" t="s">
        <v>94</v>
      </c>
      <c r="B81" s="10">
        <f>35295/24</f>
        <v>1470.625</v>
      </c>
      <c r="C81" s="10">
        <f>IF(MateriasPrimas[[#This Row],[PROVEEDOR]]="CIACOMEQ",(MateriasPrimas[[#This Row],[Costo M.P. (Kg)]]*$G$3)+$G$1,MateriasPrimas[[#This Row],[Costo M.P. (Kg)]]+$G$2)</f>
        <v>2800.0437499999998</v>
      </c>
      <c r="D81" s="17" t="s">
        <v>12</v>
      </c>
      <c r="E81" s="15"/>
    </row>
    <row r="82" spans="1:5">
      <c r="A82" s="16" t="s">
        <v>95</v>
      </c>
      <c r="B82" s="10">
        <v>5603</v>
      </c>
      <c r="C82" s="10">
        <f>IF(MateriasPrimas[[#This Row],[PROVEEDOR]]="CIACOMEQ",(MateriasPrimas[[#This Row],[Costo M.P. (Kg)]]*$G$3)+$G$1,MateriasPrimas[[#This Row],[Costo M.P. (Kg)]]+$G$2)</f>
        <v>7717.57</v>
      </c>
      <c r="D82" s="17" t="s">
        <v>12</v>
      </c>
      <c r="E82" s="15"/>
    </row>
    <row r="83" spans="1:5">
      <c r="A83" s="9" t="s">
        <v>96</v>
      </c>
      <c r="B83" s="10">
        <v>2300</v>
      </c>
      <c r="C83" s="10">
        <f>IF(MateriasPrimas[[#This Row],[PROVEEDOR]]="CIACOMEQ",(MateriasPrimas[[#This Row],[Costo M.P. (Kg)]]*$G$3)+$G$1,MateriasPrimas[[#This Row],[Costo M.P. (Kg)]]+$G$2)</f>
        <v>3787</v>
      </c>
      <c r="D83" s="11" t="s">
        <v>12</v>
      </c>
      <c r="E83" s="15"/>
    </row>
    <row r="84" spans="1:5">
      <c r="A84" s="16" t="s">
        <v>97</v>
      </c>
      <c r="B84" s="10">
        <f>16300*2</f>
        <v>32600</v>
      </c>
      <c r="C84" s="10">
        <f>IF(MateriasPrimas[[#This Row],[PROVEEDOR]]="CIACOMEQ",(MateriasPrimas[[#This Row],[Costo M.P. (Kg)]]*$G$3)+$G$1,MateriasPrimas[[#This Row],[Costo M.P. (Kg)]]+$G$2)</f>
        <v>39844</v>
      </c>
      <c r="D84" s="17" t="s">
        <v>12</v>
      </c>
      <c r="E84" s="15"/>
    </row>
    <row r="85" spans="1:5">
      <c r="A85" s="9" t="s">
        <v>98</v>
      </c>
      <c r="B85" s="10">
        <f>20500/4</f>
        <v>5125</v>
      </c>
      <c r="C85" s="10">
        <f>IF(MateriasPrimas[[#This Row],[PROVEEDOR]]="CIACOMEQ",(MateriasPrimas[[#This Row],[Costo M.P. (Kg)]]*$G$3)+$G$1,MateriasPrimas[[#This Row],[Costo M.P. (Kg)]]+$G$2)</f>
        <v>7148.75</v>
      </c>
      <c r="D85" s="11" t="s">
        <v>12</v>
      </c>
      <c r="E85" s="12"/>
    </row>
    <row r="86" spans="1:5">
      <c r="A86" s="9" t="s">
        <v>99</v>
      </c>
      <c r="B86" s="10">
        <v>25000</v>
      </c>
      <c r="C86" s="10">
        <f>IF(MateriasPrimas[[#This Row],[PROVEEDOR]]="CIACOMEQ",(MateriasPrimas[[#This Row],[Costo M.P. (Kg)]]*$G$3)+$G$1,MateriasPrimas[[#This Row],[Costo M.P. (Kg)]]+$G$2)</f>
        <v>25350</v>
      </c>
      <c r="D86" s="11" t="s">
        <v>100</v>
      </c>
      <c r="E86" s="12"/>
    </row>
    <row r="87" spans="1:5">
      <c r="A87" s="16" t="s">
        <v>101</v>
      </c>
      <c r="B87" s="10">
        <v>3450</v>
      </c>
      <c r="C87" s="10">
        <f>IF(MateriasPrimas[[#This Row],[PROVEEDOR]]="CIACOMEQ",(MateriasPrimas[[#This Row],[Costo M.P. (Kg)]]*$G$3)+$G$1,MateriasPrimas[[#This Row],[Costo M.P. (Kg)]]+$G$2)</f>
        <v>5155.5</v>
      </c>
      <c r="D87" s="17" t="s">
        <v>12</v>
      </c>
      <c r="E87" s="12"/>
    </row>
    <row r="88" spans="1:5">
      <c r="A88" s="16" t="s">
        <v>102</v>
      </c>
      <c r="B88" s="10">
        <v>11000</v>
      </c>
      <c r="C88" s="10">
        <f>IF(MateriasPrimas[[#This Row],[PROVEEDOR]]="CIACOMEQ",(MateriasPrimas[[#This Row],[Costo M.P. (Kg)]]*$G$3)+$G$1,MateriasPrimas[[#This Row],[Costo M.P. (Kg)]]+$G$2)</f>
        <v>11350</v>
      </c>
      <c r="D88" s="17" t="s">
        <v>18</v>
      </c>
      <c r="E88" s="12"/>
    </row>
    <row r="89" spans="1:5">
      <c r="A89" s="16" t="s">
        <v>103</v>
      </c>
      <c r="B89" s="10">
        <f>69800/30</f>
        <v>2326.6666666666665</v>
      </c>
      <c r="C89" s="10">
        <f>IF(MateriasPrimas[[#This Row],[PROVEEDOR]]="CIACOMEQ",(MateriasPrimas[[#This Row],[Costo M.P. (Kg)]]*$G$3)+$G$1,MateriasPrimas[[#This Row],[Costo M.P. (Kg)]]+$G$2)</f>
        <v>3818.7333333333331</v>
      </c>
      <c r="D89" s="17" t="s">
        <v>12</v>
      </c>
      <c r="E89" s="12"/>
    </row>
    <row r="90" spans="1:5">
      <c r="A90" s="16" t="s">
        <v>104</v>
      </c>
      <c r="B90" s="10">
        <f>20000*2</f>
        <v>40000</v>
      </c>
      <c r="C90" s="10">
        <f>IF(MateriasPrimas[[#This Row],[PROVEEDOR]]="CIACOMEQ",(MateriasPrimas[[#This Row],[Costo M.P. (Kg)]]*$G$3)+$G$1,MateriasPrimas[[#This Row],[Costo M.P. (Kg)]]+$G$2)</f>
        <v>48650</v>
      </c>
      <c r="D90" s="17" t="s">
        <v>12</v>
      </c>
      <c r="E90" s="12"/>
    </row>
    <row r="91" spans="1:5">
      <c r="A91" s="16" t="s">
        <v>105</v>
      </c>
      <c r="B91" s="10">
        <f>20500*4</f>
        <v>82000</v>
      </c>
      <c r="C91" s="10">
        <f>IF(MateriasPrimas[[#This Row],[PROVEEDOR]]="CIACOMEQ",(MateriasPrimas[[#This Row],[Costo M.P. (Kg)]]*$G$3)+$G$1,MateriasPrimas[[#This Row],[Costo M.P. (Kg)]]+$G$2)</f>
        <v>98630</v>
      </c>
      <c r="D91" s="17" t="s">
        <v>12</v>
      </c>
      <c r="E91" s="15"/>
    </row>
    <row r="92" spans="1:5">
      <c r="A92" s="9" t="s">
        <v>106</v>
      </c>
      <c r="B92" s="10">
        <f>67124/4</f>
        <v>16781</v>
      </c>
      <c r="C92" s="10">
        <f>IF(MateriasPrimas[[#This Row],[PROVEEDOR]]="CIACOMEQ",(MateriasPrimas[[#This Row],[Costo M.P. (Kg)]]*$G$3)+$G$1,MateriasPrimas[[#This Row],[Costo M.P. (Kg)]]+$G$2)</f>
        <v>21019.39</v>
      </c>
      <c r="D92" s="11" t="s">
        <v>12</v>
      </c>
      <c r="E92" s="12"/>
    </row>
    <row r="93" spans="1:5">
      <c r="A93" s="9" t="s">
        <v>107</v>
      </c>
      <c r="B93" s="10">
        <f>266500/25</f>
        <v>10660</v>
      </c>
      <c r="C93" s="10">
        <f>IF(MateriasPrimas[[#This Row],[PROVEEDOR]]="CIACOMEQ",(MateriasPrimas[[#This Row],[Costo M.P. (Kg)]]*$G$3)+$G$1,MateriasPrimas[[#This Row],[Costo M.P. (Kg)]]+$G$2)</f>
        <v>11010</v>
      </c>
      <c r="D93" s="11" t="s">
        <v>18</v>
      </c>
      <c r="E93" s="12"/>
    </row>
    <row r="94" spans="1:5">
      <c r="A94" s="9" t="s">
        <v>108</v>
      </c>
      <c r="B94" s="10">
        <v>15000</v>
      </c>
      <c r="C94" s="10">
        <f>IF(MateriasPrimas[[#This Row],[PROVEEDOR]]="CIACOMEQ",(MateriasPrimas[[#This Row],[Costo M.P. (Kg)]]*$G$3)+$G$1,MateriasPrimas[[#This Row],[Costo M.P. (Kg)]]+$G$2)</f>
        <v>18900</v>
      </c>
      <c r="D94" s="11" t="s">
        <v>12</v>
      </c>
      <c r="E94" s="12"/>
    </row>
    <row r="95" spans="1:5">
      <c r="A95" s="9" t="s">
        <v>109</v>
      </c>
      <c r="B95" s="10">
        <v>13700</v>
      </c>
      <c r="C95" s="10">
        <f>IF(MateriasPrimas[[#This Row],[PROVEEDOR]]="CIACOMEQ",(MateriasPrimas[[#This Row],[Costo M.P. (Kg)]]*$G$3)+$G$1,MateriasPrimas[[#This Row],[Costo M.P. (Kg)]]+$G$2)</f>
        <v>17353</v>
      </c>
      <c r="D95" s="11" t="s">
        <v>12</v>
      </c>
      <c r="E95" s="12"/>
    </row>
    <row r="96" spans="1:5">
      <c r="A96" s="9" t="s">
        <v>110</v>
      </c>
      <c r="B96" s="10">
        <v>24000</v>
      </c>
      <c r="C96" s="10">
        <f>IF(MateriasPrimas[[#This Row],[PROVEEDOR]]="CIACOMEQ",(MateriasPrimas[[#This Row],[Costo M.P. (Kg)]]*$G$3)+$G$1,MateriasPrimas[[#This Row],[Costo M.P. (Kg)]]+$G$2)</f>
        <v>29610</v>
      </c>
      <c r="D96" s="11" t="s">
        <v>12</v>
      </c>
      <c r="E96" s="12"/>
    </row>
    <row r="97" spans="1:5">
      <c r="A97" s="9" t="s">
        <v>111</v>
      </c>
      <c r="B97" s="10">
        <v>1600</v>
      </c>
      <c r="C97" s="10">
        <f>IF(MateriasPrimas[[#This Row],[PROVEEDOR]]="CIACOMEQ",(MateriasPrimas[[#This Row],[Costo M.P. (Kg)]]*$G$3)+$G$1,MateriasPrimas[[#This Row],[Costo M.P. (Kg)]]+$G$2)</f>
        <v>2954</v>
      </c>
      <c r="D97" s="11" t="s">
        <v>12</v>
      </c>
      <c r="E97" s="12"/>
    </row>
    <row r="98" spans="1:5">
      <c r="A98" s="16" t="s">
        <v>112</v>
      </c>
      <c r="B98" s="10">
        <f>142000/20</f>
        <v>7100</v>
      </c>
      <c r="C98" s="10">
        <f>IF(MateriasPrimas[[#This Row],[PROVEEDOR]]="CIACOMEQ",(MateriasPrimas[[#This Row],[Costo M.P. (Kg)]]*$G$3)+$G$1,MateriasPrimas[[#This Row],[Costo M.P. (Kg)]]+$G$2)</f>
        <v>9499</v>
      </c>
      <c r="D98" s="17" t="s">
        <v>12</v>
      </c>
      <c r="E98" s="12"/>
    </row>
    <row r="99" spans="1:5">
      <c r="A99" s="9" t="s">
        <v>113</v>
      </c>
      <c r="B99" s="10">
        <f>17950/4</f>
        <v>4487.5</v>
      </c>
      <c r="C99" s="10">
        <f>IF(MateriasPrimas[[#This Row],[PROVEEDOR]]="CIACOMEQ",(MateriasPrimas[[#This Row],[Costo M.P. (Kg)]]*$G$3)+$G$1,MateriasPrimas[[#This Row],[Costo M.P. (Kg)]]+$G$2)</f>
        <v>4837.5</v>
      </c>
      <c r="D99" s="11" t="s">
        <v>21</v>
      </c>
      <c r="E99" s="15"/>
    </row>
    <row r="100" spans="1:5">
      <c r="A100" s="9" t="s">
        <v>114</v>
      </c>
      <c r="B100" s="10">
        <f>44426/4</f>
        <v>11106.5</v>
      </c>
      <c r="C100" s="10">
        <f>IF(MateriasPrimas[[#This Row],[PROVEEDOR]]="CIACOMEQ",(MateriasPrimas[[#This Row],[Costo M.P. (Kg)]]*$G$3)+$G$1,MateriasPrimas[[#This Row],[Costo M.P. (Kg)]]+$G$2)</f>
        <v>14266.734999999999</v>
      </c>
      <c r="D100" s="11" t="s">
        <v>12</v>
      </c>
      <c r="E100" s="12"/>
    </row>
    <row r="101" spans="1:5">
      <c r="A101" s="9" t="s">
        <v>115</v>
      </c>
      <c r="B101" s="10">
        <f>25600/5</f>
        <v>5120</v>
      </c>
      <c r="C101" s="10">
        <f>IF(MateriasPrimas[[#This Row],[PROVEEDOR]]="CIACOMEQ",(MateriasPrimas[[#This Row],[Costo M.P. (Kg)]]*$G$3)+$G$1,MateriasPrimas[[#This Row],[Costo M.P. (Kg)]]+$G$2)</f>
        <v>5470</v>
      </c>
      <c r="D101" s="11" t="s">
        <v>18</v>
      </c>
      <c r="E101" s="12"/>
    </row>
    <row r="102" spans="1:5">
      <c r="A102" s="9" t="s">
        <v>116</v>
      </c>
      <c r="B102" s="10">
        <f>13000/4</f>
        <v>3250</v>
      </c>
      <c r="C102" s="10">
        <f>IF(MateriasPrimas[[#This Row],[PROVEEDOR]]="CIACOMEQ",(MateriasPrimas[[#This Row],[Costo M.P. (Kg)]]*$G$3)+$G$1,MateriasPrimas[[#This Row],[Costo M.P. (Kg)]]+$G$2)</f>
        <v>4917.5</v>
      </c>
      <c r="D102" s="11" t="s">
        <v>12</v>
      </c>
    </row>
    <row r="103" spans="1:5">
      <c r="A103" s="9" t="s">
        <v>117</v>
      </c>
      <c r="B103" s="10">
        <v>25500</v>
      </c>
      <c r="C103" s="10">
        <f>IF(MateriasPrimas[[#This Row],[PROVEEDOR]]="CIACOMEQ",(MateriasPrimas[[#This Row],[Costo M.P. (Kg)]]*$G$3)+$G$1,MateriasPrimas[[#This Row],[Costo M.P. (Kg)]]+$G$2)</f>
        <v>25850</v>
      </c>
      <c r="D103" s="11" t="s">
        <v>18</v>
      </c>
    </row>
    <row r="104" spans="1:5">
      <c r="A104" s="9" t="s">
        <v>118</v>
      </c>
      <c r="B104" s="10">
        <f>46000/25</f>
        <v>1840</v>
      </c>
      <c r="C104" s="10">
        <f>IF(MateriasPrimas[[#This Row],[PROVEEDOR]]="CIACOMEQ",(MateriasPrimas[[#This Row],[Costo M.P. (Kg)]]*$G$3)+$G$1,MateriasPrimas[[#This Row],[Costo M.P. (Kg)]]+$G$2)</f>
        <v>2190</v>
      </c>
      <c r="D104" s="11" t="s">
        <v>18</v>
      </c>
    </row>
    <row r="105" spans="1:5">
      <c r="A105" s="18" t="s">
        <v>119</v>
      </c>
      <c r="B105" s="10">
        <v>45000</v>
      </c>
      <c r="C105" s="10">
        <f>IF(MateriasPrimas[[#This Row],[PROVEEDOR]]="CIACOMEQ",(MateriasPrimas[[#This Row],[Costo M.P. (Kg)]]*$G$3)+$G$1,MateriasPrimas[[#This Row],[Costo M.P. (Kg)]]+$G$2)</f>
        <v>45350</v>
      </c>
      <c r="D105" s="14" t="s">
        <v>93</v>
      </c>
    </row>
    <row r="106" spans="1:5">
      <c r="A106" s="9" t="s">
        <v>120</v>
      </c>
      <c r="B106" s="10">
        <f>61000*2</f>
        <v>122000</v>
      </c>
      <c r="C106" s="10">
        <f>IF(MateriasPrimas[[#This Row],[PROVEEDOR]]="CIACOMEQ",(MateriasPrimas[[#This Row],[Costo M.P. (Kg)]]*$G$3)+$G$1,MateriasPrimas[[#This Row],[Costo M.P. (Kg)]]+$G$2)</f>
        <v>146230</v>
      </c>
      <c r="D106" s="11" t="s">
        <v>12</v>
      </c>
    </row>
    <row r="107" spans="1:5">
      <c r="A107" s="16" t="s">
        <v>121</v>
      </c>
      <c r="B107" s="10">
        <v>15900</v>
      </c>
      <c r="C107" s="10">
        <f>IF(MateriasPrimas[[#This Row],[PROVEEDOR]]="CIACOMEQ",(MateriasPrimas[[#This Row],[Costo M.P. (Kg)]]*$G$3)+$G$1,MateriasPrimas[[#This Row],[Costo M.P. (Kg)]]+$G$2)</f>
        <v>19971</v>
      </c>
      <c r="D107" s="17" t="s">
        <v>12</v>
      </c>
    </row>
    <row r="108" spans="1:5">
      <c r="A108" s="18" t="s">
        <v>122</v>
      </c>
      <c r="B108" s="10">
        <v>5000</v>
      </c>
      <c r="C108" s="10">
        <f>IF(MateriasPrimas[[#This Row],[PROVEEDOR]]="CIACOMEQ",(MateriasPrimas[[#This Row],[Costo M.P. (Kg)]]*$G$3)+$G$1,MateriasPrimas[[#This Row],[Costo M.P. (Kg)]]+$G$2)</f>
        <v>7000</v>
      </c>
      <c r="D108" s="14" t="s">
        <v>12</v>
      </c>
    </row>
    <row r="109" spans="1:5">
      <c r="A109" s="9" t="s">
        <v>123</v>
      </c>
      <c r="B109" s="10">
        <v>2000</v>
      </c>
      <c r="C109" s="10">
        <f>IF(MateriasPrimas[[#This Row],[PROVEEDOR]]="CIACOMEQ",(MateriasPrimas[[#This Row],[Costo M.P. (Kg)]]*$G$3)+$G$1,MateriasPrimas[[#This Row],[Costo M.P. (Kg)]]+$G$2)</f>
        <v>3430</v>
      </c>
      <c r="D109" s="11" t="s">
        <v>12</v>
      </c>
    </row>
    <row r="110" spans="1:5">
      <c r="A110" s="9" t="s">
        <v>124</v>
      </c>
      <c r="B110" s="10">
        <f>80000/20</f>
        <v>4000</v>
      </c>
      <c r="C110" s="10">
        <f>IF(MateriasPrimas[[#This Row],[PROVEEDOR]]="CIACOMEQ",(MateriasPrimas[[#This Row],[Costo M.P. (Kg)]]*$G$3)+$G$1,MateriasPrimas[[#This Row],[Costo M.P. (Kg)]]+$G$2)</f>
        <v>4350</v>
      </c>
      <c r="D110" s="14" t="s">
        <v>125</v>
      </c>
    </row>
    <row r="111" spans="1:5">
      <c r="A111" s="9" t="s">
        <v>126</v>
      </c>
      <c r="B111" s="10">
        <f>17000/4</f>
        <v>4250</v>
      </c>
      <c r="C111" s="10">
        <f>IF(MateriasPrimas[[#This Row],[PROVEEDOR]]="CIACOMEQ",(MateriasPrimas[[#This Row],[Costo M.P. (Kg)]]*$G$3)+$G$1,MateriasPrimas[[#This Row],[Costo M.P. (Kg)]]+$G$2)</f>
        <v>6107.5</v>
      </c>
      <c r="D111" s="14" t="s">
        <v>12</v>
      </c>
    </row>
    <row r="112" spans="1:5">
      <c r="A112" s="18" t="s">
        <v>127</v>
      </c>
      <c r="B112" s="10">
        <v>6800</v>
      </c>
      <c r="C112" s="10">
        <f>IF(MateriasPrimas[[#This Row],[PROVEEDOR]]="CIACOMEQ",(MateriasPrimas[[#This Row],[Costo M.P. (Kg)]]*$G$3)+$G$1,MateriasPrimas[[#This Row],[Costo M.P. (Kg)]]+$G$2)</f>
        <v>7150</v>
      </c>
      <c r="D112" s="14" t="s">
        <v>128</v>
      </c>
    </row>
    <row r="113" spans="1:4">
      <c r="A113" s="18" t="s">
        <v>129</v>
      </c>
      <c r="B113" s="10">
        <v>7000</v>
      </c>
      <c r="C113" s="10">
        <f>IF(MateriasPrimas[[#This Row],[PROVEEDOR]]="CIACOMEQ",(MateriasPrimas[[#This Row],[Costo M.P. (Kg)]]*$G$3)+$G$1,MateriasPrimas[[#This Row],[Costo M.P. (Kg)]]+$G$2)</f>
        <v>7350</v>
      </c>
      <c r="D113" s="14" t="s">
        <v>128</v>
      </c>
    </row>
    <row r="114" spans="1:4">
      <c r="A114" s="18" t="s">
        <v>130</v>
      </c>
      <c r="B114" s="10">
        <v>3800</v>
      </c>
      <c r="C114" s="10">
        <f>IF(MateriasPrimas[[#This Row],[PROVEEDOR]]="CIACOMEQ",(MateriasPrimas[[#This Row],[Costo M.P. (Kg)]]*$G$3)+$G$1,MateriasPrimas[[#This Row],[Costo M.P. (Kg)]]+$G$2)</f>
        <v>4150</v>
      </c>
      <c r="D114" s="14" t="s">
        <v>128</v>
      </c>
    </row>
    <row r="115" spans="1:4">
      <c r="A115" s="18" t="s">
        <v>131</v>
      </c>
      <c r="B115" s="10">
        <v>3500</v>
      </c>
      <c r="C115" s="10">
        <f>IF(MateriasPrimas[[#This Row],[PROVEEDOR]]="CIACOMEQ",(MateriasPrimas[[#This Row],[Costo M.P. (Kg)]]*$G$3)+$G$1,MateriasPrimas[[#This Row],[Costo M.P. (Kg)]]+$G$2)</f>
        <v>3850</v>
      </c>
      <c r="D115" s="14" t="s">
        <v>128</v>
      </c>
    </row>
    <row r="116" spans="1:4">
      <c r="A116" s="18" t="s">
        <v>132</v>
      </c>
      <c r="B116" s="10">
        <v>5500</v>
      </c>
      <c r="C116" s="10">
        <f>IF(MateriasPrimas[[#This Row],[PROVEEDOR]]="CIACOMEQ",(MateriasPrimas[[#This Row],[Costo M.P. (Kg)]]*$G$3)+$G$1,MateriasPrimas[[#This Row],[Costo M.P. (Kg)]]+$G$2)</f>
        <v>5850</v>
      </c>
      <c r="D116" s="14" t="s">
        <v>128</v>
      </c>
    </row>
    <row r="117" spans="1:4">
      <c r="A117" s="18" t="s">
        <v>133</v>
      </c>
      <c r="B117" s="10">
        <f>7500/5</f>
        <v>1500</v>
      </c>
      <c r="C117" s="10">
        <f>IF(MateriasPrimas[[#This Row],[PROVEEDOR]]="CIACOMEQ",(MateriasPrimas[[#This Row],[Costo M.P. (Kg)]]*$G$3)+$G$1,MateriasPrimas[[#This Row],[Costo M.P. (Kg)]]+$G$2)</f>
        <v>1850</v>
      </c>
      <c r="D117" s="14" t="s">
        <v>18</v>
      </c>
    </row>
    <row r="118" spans="1:4">
      <c r="A118" s="21" t="s">
        <v>134</v>
      </c>
      <c r="B118" s="22">
        <f>80000/20</f>
        <v>4000</v>
      </c>
      <c r="C118" s="22">
        <f>IF(MateriasPrimas[[#This Row],[PROVEEDOR]]="CIACOMEQ",(MateriasPrimas[[#This Row],[Costo M.P. (Kg)]]*$G$3)+$G$1,MateriasPrimas[[#This Row],[Costo M.P. (Kg)]]+$G$2)</f>
        <v>5810</v>
      </c>
      <c r="D118" s="23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1"/>
  <sheetViews>
    <sheetView showGridLines="0" zoomScale="90" zoomScaleNormal="90" workbookViewId="0">
      <selection activeCell="H11" sqref="H11"/>
    </sheetView>
  </sheetViews>
  <sheetFormatPr baseColWidth="10" defaultColWidth="11.42578125" defaultRowHeight="15"/>
  <cols>
    <col min="1" max="1" width="11.42578125" style="80"/>
    <col min="2" max="2" width="28.28515625" style="80" customWidth="1"/>
    <col min="3" max="3" width="9.28515625" style="80" customWidth="1"/>
    <col min="4" max="4" width="12.140625" style="80" customWidth="1"/>
    <col min="5" max="5" width="11.42578125" style="80"/>
    <col min="6" max="6" width="26.28515625" style="80" customWidth="1"/>
    <col min="7" max="7" width="9.28515625" style="80" customWidth="1"/>
    <col min="8" max="8" width="13.28515625" style="80" customWidth="1"/>
    <col min="9" max="9" width="11.42578125" style="80"/>
    <col min="10" max="10" width="20.7109375" style="80" customWidth="1"/>
    <col min="11" max="11" width="9.28515625" style="80" customWidth="1"/>
    <col min="12" max="12" width="12.140625" style="80" customWidth="1"/>
    <col min="13" max="1024" width="11.42578125" style="80"/>
  </cols>
  <sheetData>
    <row r="1" spans="1:1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s="86" customFormat="1">
      <c r="A2" s="84"/>
      <c r="B2" s="127" t="s">
        <v>821</v>
      </c>
      <c r="C2" s="127"/>
      <c r="D2" s="127"/>
      <c r="E2" s="84"/>
      <c r="F2" s="127" t="s">
        <v>822</v>
      </c>
      <c r="G2" s="127"/>
      <c r="H2" s="127"/>
      <c r="I2" s="84"/>
      <c r="J2" s="127" t="s">
        <v>823</v>
      </c>
      <c r="K2" s="127"/>
      <c r="L2" s="127"/>
      <c r="M2" s="84"/>
    </row>
    <row r="3" spans="1:13" s="86" customFormat="1">
      <c r="A3" s="84"/>
      <c r="B3" s="85" t="s">
        <v>790</v>
      </c>
      <c r="C3" s="85" t="s">
        <v>791</v>
      </c>
      <c r="D3" s="85" t="s">
        <v>792</v>
      </c>
      <c r="E3" s="84"/>
      <c r="F3" s="85" t="s">
        <v>790</v>
      </c>
      <c r="G3" s="85" t="s">
        <v>791</v>
      </c>
      <c r="H3" s="85" t="s">
        <v>792</v>
      </c>
      <c r="I3" s="84"/>
      <c r="J3" s="85" t="s">
        <v>790</v>
      </c>
      <c r="K3" s="85" t="s">
        <v>791</v>
      </c>
      <c r="L3" s="85" t="s">
        <v>792</v>
      </c>
      <c r="M3" s="84"/>
    </row>
    <row r="4" spans="1:13">
      <c r="A4" s="82"/>
      <c r="B4" s="88" t="s">
        <v>22</v>
      </c>
      <c r="C4" s="89">
        <f>1-C5-C6-C7-C8-C9-C10</f>
        <v>0.92489999999999994</v>
      </c>
      <c r="D4" s="91">
        <f>IFERROR(C4*VLOOKUP(B4,MateriasPrimas[],3,0),0)</f>
        <v>601.18499999999995</v>
      </c>
      <c r="E4" s="82"/>
      <c r="F4" s="88" t="s">
        <v>22</v>
      </c>
      <c r="G4" s="89">
        <f>1-G5-G6-G7-G8-G9-G10</f>
        <v>0.90489999999999993</v>
      </c>
      <c r="H4" s="91">
        <f>IFERROR(G4*VLOOKUP(F4,MateriasPrimas[],3,0),0)</f>
        <v>588.18499999999995</v>
      </c>
      <c r="I4" s="82"/>
      <c r="J4" s="88" t="s">
        <v>22</v>
      </c>
      <c r="K4" s="89">
        <f>1-K5</f>
        <v>0.30000000000000004</v>
      </c>
      <c r="L4" s="91">
        <f>IFERROR(K4*VLOOKUP(J4,MateriasPrimas[],3,0),0)</f>
        <v>195.00000000000003</v>
      </c>
      <c r="M4" s="82"/>
    </row>
    <row r="5" spans="1:13">
      <c r="A5" s="82"/>
      <c r="B5" s="88" t="s">
        <v>77</v>
      </c>
      <c r="C5" s="89">
        <v>0.02</v>
      </c>
      <c r="D5" s="91">
        <f>IFERROR(C5*VLOOKUP(B5,MateriasPrimas[],3,0),0)</f>
        <v>114.15200999999999</v>
      </c>
      <c r="E5" s="82"/>
      <c r="F5" s="88" t="s">
        <v>77</v>
      </c>
      <c r="G5" s="89">
        <v>0.03</v>
      </c>
      <c r="H5" s="91">
        <f>IFERROR(G5*VLOOKUP(F5,MateriasPrimas[],3,0),0)</f>
        <v>171.22801499999997</v>
      </c>
      <c r="I5" s="82"/>
      <c r="J5" s="88" t="s">
        <v>112</v>
      </c>
      <c r="K5" s="89">
        <v>0.7</v>
      </c>
      <c r="L5" s="91">
        <f>IFERROR(K5*VLOOKUP(J5,MateriasPrimas[],3,0),0)</f>
        <v>6649.2999999999993</v>
      </c>
      <c r="M5" s="82"/>
    </row>
    <row r="6" spans="1:13">
      <c r="A6" s="82"/>
      <c r="B6" s="88" t="s">
        <v>91</v>
      </c>
      <c r="C6" s="89">
        <v>2E-3</v>
      </c>
      <c r="D6" s="91">
        <f>IFERROR(C6*VLOOKUP(B6,MateriasPrimas[],3,0),0)</f>
        <v>16.0825</v>
      </c>
      <c r="E6" s="82"/>
      <c r="F6" s="88" t="s">
        <v>123</v>
      </c>
      <c r="G6" s="89">
        <v>0.01</v>
      </c>
      <c r="H6" s="91">
        <f>IFERROR(G6*VLOOKUP(F6,MateriasPrimas[],3,0),0)</f>
        <v>34.300000000000004</v>
      </c>
      <c r="I6" s="82"/>
      <c r="J6" s="82"/>
      <c r="K6" s="82"/>
      <c r="L6" s="96">
        <f>SUM(L4:L5)</f>
        <v>6844.2999999999993</v>
      </c>
      <c r="M6" s="82"/>
    </row>
    <row r="7" spans="1:13">
      <c r="A7" s="82"/>
      <c r="B7" s="88" t="s">
        <v>106</v>
      </c>
      <c r="C7" s="89">
        <v>0.03</v>
      </c>
      <c r="D7" s="91">
        <f>IFERROR(C7*VLOOKUP(B7,MateriasPrimas[],3,0),0)</f>
        <v>630.58169999999996</v>
      </c>
      <c r="E7" s="82"/>
      <c r="F7" s="88" t="s">
        <v>90</v>
      </c>
      <c r="G7" s="89">
        <v>0.01</v>
      </c>
      <c r="H7" s="91">
        <f>IFERROR(G7*VLOOKUP(F7,MateriasPrimas[],3,0),0)</f>
        <v>49.77</v>
      </c>
      <c r="I7" s="82"/>
      <c r="J7" s="82"/>
      <c r="K7" s="82"/>
      <c r="L7" s="82"/>
      <c r="M7" s="82"/>
    </row>
    <row r="8" spans="1:13">
      <c r="A8" s="82"/>
      <c r="B8" s="88" t="s">
        <v>80</v>
      </c>
      <c r="C8" s="89">
        <v>0.02</v>
      </c>
      <c r="D8" s="91">
        <f>IFERROR(C8*VLOOKUP(B8,MateriasPrimas[],3,0),0)</f>
        <v>1065</v>
      </c>
      <c r="E8" s="82"/>
      <c r="F8" s="88" t="s">
        <v>106</v>
      </c>
      <c r="G8" s="89">
        <v>2.5000000000000001E-2</v>
      </c>
      <c r="H8" s="91">
        <f>IFERROR(G8*VLOOKUP(F8,MateriasPrimas[],3,0),0)</f>
        <v>525.48474999999996</v>
      </c>
      <c r="I8" s="82"/>
      <c r="J8" s="82"/>
      <c r="K8" s="82"/>
      <c r="L8" s="82"/>
      <c r="M8" s="82"/>
    </row>
    <row r="9" spans="1:13">
      <c r="A9" s="82"/>
      <c r="B9" s="88" t="s">
        <v>38</v>
      </c>
      <c r="C9" s="89">
        <v>1E-4</v>
      </c>
      <c r="D9" s="91">
        <f>IFERROR(C9*VLOOKUP(B9,MateriasPrimas[],3,0),0)</f>
        <v>5.8170000000000002</v>
      </c>
      <c r="E9" s="82"/>
      <c r="F9" s="88" t="s">
        <v>79</v>
      </c>
      <c r="G9" s="89">
        <v>0.02</v>
      </c>
      <c r="H9" s="91">
        <f>IFERROR(G9*VLOOKUP(F9,MateriasPrimas[],3,0),0)</f>
        <v>1068.2</v>
      </c>
      <c r="I9" s="82"/>
      <c r="J9" s="82"/>
      <c r="K9" s="82"/>
      <c r="L9" s="82"/>
      <c r="M9" s="82"/>
    </row>
    <row r="10" spans="1:13">
      <c r="A10" s="82"/>
      <c r="B10" s="88" t="s">
        <v>30</v>
      </c>
      <c r="C10" s="113">
        <v>3.0000000000000001E-3</v>
      </c>
      <c r="D10" s="91">
        <f>IFERROR(C10*VLOOKUP(B10,MateriasPrimas[],3,0),0)</f>
        <v>110.49989999999998</v>
      </c>
      <c r="E10" s="82"/>
      <c r="F10" s="88" t="s">
        <v>37</v>
      </c>
      <c r="G10" s="89">
        <v>1E-4</v>
      </c>
      <c r="H10" s="91">
        <f>IFERROR(G10*VLOOKUP(F10,MateriasPrimas[],3,0),0)</f>
        <v>5.8170000000000002</v>
      </c>
      <c r="I10" s="82"/>
      <c r="J10" s="82"/>
      <c r="K10" s="82"/>
      <c r="L10" s="82"/>
      <c r="M10" s="82"/>
    </row>
    <row r="11" spans="1:13">
      <c r="A11" s="82"/>
      <c r="B11" s="82"/>
      <c r="C11" s="82"/>
      <c r="D11" s="96">
        <f>SUM(D4:D10)</f>
        <v>2543.3181099999997</v>
      </c>
      <c r="E11" s="82"/>
      <c r="F11" s="82"/>
      <c r="G11" s="82"/>
      <c r="H11" s="96">
        <f>SUM(H4:H10)</f>
        <v>2442.9847650000002</v>
      </c>
      <c r="I11" s="82"/>
      <c r="J11" s="82"/>
      <c r="K11" s="82"/>
      <c r="L11" s="82"/>
      <c r="M11" s="82"/>
    </row>
    <row r="12" spans="1:1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1:13">
      <c r="A13" s="82"/>
      <c r="B13" s="82"/>
      <c r="C13" s="82"/>
      <c r="D13" s="82"/>
      <c r="E13" s="82"/>
      <c r="F13" s="82"/>
      <c r="G13" s="82"/>
      <c r="H13" s="114"/>
      <c r="I13" s="82"/>
      <c r="J13" s="82"/>
      <c r="K13" s="82"/>
      <c r="L13" s="82"/>
      <c r="M13" s="82"/>
    </row>
    <row r="14" spans="1:13">
      <c r="A14" s="82"/>
      <c r="B14" s="127" t="s">
        <v>824</v>
      </c>
      <c r="C14" s="127"/>
      <c r="D14" s="127"/>
      <c r="E14" s="82"/>
      <c r="F14" s="130" t="s">
        <v>825</v>
      </c>
      <c r="G14" s="130"/>
      <c r="H14" s="130"/>
      <c r="I14" s="82"/>
      <c r="J14" s="82"/>
      <c r="K14" s="82"/>
      <c r="L14" s="82"/>
      <c r="M14" s="82"/>
    </row>
    <row r="15" spans="1:13">
      <c r="A15" s="82"/>
      <c r="B15" s="85" t="s">
        <v>790</v>
      </c>
      <c r="C15" s="85" t="s">
        <v>791</v>
      </c>
      <c r="D15" s="85" t="s">
        <v>792</v>
      </c>
      <c r="E15" s="82"/>
      <c r="F15" s="99" t="s">
        <v>790</v>
      </c>
      <c r="G15" s="100" t="s">
        <v>791</v>
      </c>
      <c r="H15" s="101" t="s">
        <v>792</v>
      </c>
      <c r="I15" s="82"/>
      <c r="J15" s="82"/>
      <c r="K15" s="82"/>
      <c r="L15" s="82"/>
      <c r="M15" s="82"/>
    </row>
    <row r="16" spans="1:13">
      <c r="A16" s="82"/>
      <c r="B16" s="88" t="s">
        <v>22</v>
      </c>
      <c r="C16" s="89">
        <f>1-C17-C19-C20</f>
        <v>0.84199999999999997</v>
      </c>
      <c r="D16" s="91">
        <f>IFERROR(C16*VLOOKUP(B16,MateriasPrimas[],3,0),0)</f>
        <v>547.29999999999995</v>
      </c>
      <c r="E16" s="82"/>
      <c r="F16" s="115" t="s">
        <v>77</v>
      </c>
      <c r="G16" s="116">
        <f>1-G17-G18-G19-G20-G21-G22</f>
        <v>0.6</v>
      </c>
      <c r="H16" s="117">
        <f>IFERROR(G16*VLOOKUP(F16,MateriasPrimas[],3,0),0)</f>
        <v>3424.5602999999996</v>
      </c>
      <c r="I16" s="82"/>
      <c r="J16" s="82"/>
      <c r="K16" s="82"/>
      <c r="L16" s="82"/>
      <c r="M16" s="82"/>
    </row>
    <row r="17" spans="1:13">
      <c r="A17" s="82"/>
      <c r="B17" s="88" t="s">
        <v>114</v>
      </c>
      <c r="C17" s="89">
        <v>0.15</v>
      </c>
      <c r="D17" s="91">
        <f>IFERROR(C17*VLOOKUP(B17,MateriasPrimas[],3,0),0)</f>
        <v>2140.0102499999998</v>
      </c>
      <c r="E17" s="82"/>
      <c r="F17" s="118" t="s">
        <v>79</v>
      </c>
      <c r="G17" s="119">
        <v>0.4</v>
      </c>
      <c r="H17" s="120">
        <f>IFERROR(G17*VLOOKUP(F17,MateriasPrimas[],3,0),0)</f>
        <v>21364</v>
      </c>
      <c r="I17" s="82"/>
      <c r="J17" s="82"/>
      <c r="K17" s="82"/>
      <c r="L17" s="82"/>
      <c r="M17" s="82"/>
    </row>
    <row r="18" spans="1:13">
      <c r="A18" s="82"/>
      <c r="B18" s="88" t="s">
        <v>106</v>
      </c>
      <c r="C18" s="89">
        <v>5.0000000000000001E-3</v>
      </c>
      <c r="D18" s="91">
        <f>IFERROR(C18*VLOOKUP(B18,MateriasPrimas[],3,0),0)</f>
        <v>105.09694999999999</v>
      </c>
      <c r="E18" s="82"/>
      <c r="F18" s="82"/>
      <c r="G18" s="82"/>
      <c r="H18" s="82"/>
      <c r="I18" s="82"/>
      <c r="J18" s="82"/>
      <c r="K18" s="82"/>
      <c r="L18" s="82"/>
      <c r="M18" s="82"/>
    </row>
    <row r="19" spans="1:13">
      <c r="A19" s="82"/>
      <c r="B19" s="88" t="s">
        <v>826</v>
      </c>
      <c r="C19" s="89">
        <v>5.0000000000000001E-3</v>
      </c>
      <c r="D19" s="91">
        <f>IFERROR(C19*VLOOKUP(B19,MateriasPrimas[],3,0),0)</f>
        <v>265.97899999999998</v>
      </c>
      <c r="E19" s="82"/>
      <c r="F19" s="82"/>
      <c r="G19" s="82"/>
      <c r="H19" s="82"/>
      <c r="I19" s="82"/>
      <c r="J19" s="82"/>
      <c r="K19" s="82"/>
      <c r="L19" s="82"/>
      <c r="M19" s="82"/>
    </row>
    <row r="20" spans="1:13">
      <c r="A20" s="82"/>
      <c r="B20" s="88" t="s">
        <v>31</v>
      </c>
      <c r="C20" s="89">
        <v>3.0000000000000001E-3</v>
      </c>
      <c r="D20" s="91">
        <f>IFERROR(C20*VLOOKUP(B20,MateriasPrimas[],3,0),0)</f>
        <v>37.064999999999998</v>
      </c>
      <c r="E20" s="82"/>
      <c r="F20" s="82"/>
      <c r="G20" s="82"/>
      <c r="H20" s="82"/>
      <c r="I20" s="82"/>
      <c r="J20" s="82"/>
      <c r="K20" s="82"/>
      <c r="L20" s="82"/>
      <c r="M20" s="82"/>
    </row>
    <row r="21" spans="1:13">
      <c r="A21" s="82"/>
      <c r="B21" s="82"/>
      <c r="C21" s="82"/>
      <c r="D21" s="96">
        <f>SUM(D16:D20)</f>
        <v>3095.4511999999995</v>
      </c>
      <c r="E21" s="82"/>
      <c r="F21" s="82"/>
      <c r="G21" s="82"/>
      <c r="H21" s="82"/>
      <c r="I21" s="82"/>
      <c r="J21" s="82"/>
      <c r="K21" s="82"/>
      <c r="L21" s="82"/>
      <c r="M21" s="82"/>
    </row>
  </sheetData>
  <mergeCells count="5">
    <mergeCell ref="B2:D2"/>
    <mergeCell ref="F2:H2"/>
    <mergeCell ref="J2:L2"/>
    <mergeCell ref="B14:D14"/>
    <mergeCell ref="F14:H14"/>
  </mergeCells>
  <pageMargins left="0.7" right="0.7" top="0.75" bottom="0.75" header="0.51180555555555496" footer="0.51180555555555496"/>
  <pageSetup paperSize="9" firstPageNumber="0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showGridLines="0" zoomScale="90" zoomScaleNormal="90" workbookViewId="0">
      <selection activeCell="C8" sqref="C8"/>
    </sheetView>
  </sheetViews>
  <sheetFormatPr baseColWidth="10" defaultColWidth="11.42578125" defaultRowHeight="15"/>
  <cols>
    <col min="2" max="2" width="30.5703125" customWidth="1"/>
    <col min="3" max="3" width="9.28515625" customWidth="1"/>
    <col min="4" max="4" width="12.140625" customWidth="1"/>
    <col min="6" max="6" width="20.7109375" customWidth="1"/>
    <col min="7" max="7" width="9.28515625" customWidth="1"/>
    <col min="8" max="8" width="12.1406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21"/>
    </row>
    <row r="2" spans="1:10">
      <c r="A2" s="1"/>
      <c r="B2" s="127" t="s">
        <v>827</v>
      </c>
      <c r="C2" s="127"/>
      <c r="D2" s="127"/>
      <c r="E2" s="1"/>
      <c r="F2" s="127" t="s">
        <v>828</v>
      </c>
      <c r="G2" s="127"/>
      <c r="H2" s="127"/>
      <c r="I2" s="1"/>
      <c r="J2" s="121"/>
    </row>
    <row r="3" spans="1:10">
      <c r="A3" s="1"/>
      <c r="B3" s="85" t="s">
        <v>790</v>
      </c>
      <c r="C3" s="85" t="s">
        <v>791</v>
      </c>
      <c r="D3" s="85" t="s">
        <v>792</v>
      </c>
      <c r="E3" s="1"/>
      <c r="F3" s="85" t="s">
        <v>790</v>
      </c>
      <c r="G3" s="85" t="s">
        <v>791</v>
      </c>
      <c r="H3" s="85" t="s">
        <v>792</v>
      </c>
      <c r="I3" s="1"/>
      <c r="J3" s="121"/>
    </row>
    <row r="4" spans="1:10">
      <c r="A4" s="1"/>
      <c r="B4" s="88" t="s">
        <v>22</v>
      </c>
      <c r="C4" s="89">
        <f>1-SUM(C5:C15)</f>
        <v>0.74229999999999996</v>
      </c>
      <c r="D4" s="91">
        <f>IFERROR(C4*VLOOKUP(B4,MateriasPrimas[],3,0),0)</f>
        <v>482.49499999999995</v>
      </c>
      <c r="E4" s="1"/>
      <c r="F4" s="88" t="s">
        <v>22</v>
      </c>
      <c r="G4" s="89">
        <f>1-SUM(G5:G15)</f>
        <v>0.75279999999999991</v>
      </c>
      <c r="H4" s="91">
        <f>IFERROR(G4*VLOOKUP(F4,MateriasPrimas[],3,0),0)</f>
        <v>489.31999999999994</v>
      </c>
      <c r="I4" s="1"/>
      <c r="J4" s="121"/>
    </row>
    <row r="5" spans="1:10">
      <c r="A5" s="1"/>
      <c r="B5" s="88" t="s">
        <v>829</v>
      </c>
      <c r="C5" s="89">
        <v>0.13</v>
      </c>
      <c r="D5" s="91">
        <f>IFERROR(C5*VLOOKUP(B5,MateriasPrimas[],3,0),0)</f>
        <v>1242.605</v>
      </c>
      <c r="E5" s="1"/>
      <c r="F5" s="88" t="s">
        <v>134</v>
      </c>
      <c r="G5" s="89">
        <v>0.14699999999999999</v>
      </c>
      <c r="H5" s="91">
        <f>IFERROR(G5*VLOOKUP(F5,MateriasPrimas[],3,0),0)</f>
        <v>854.06999999999994</v>
      </c>
      <c r="I5" s="1"/>
      <c r="J5" s="121"/>
    </row>
    <row r="6" spans="1:10">
      <c r="A6" s="1"/>
      <c r="B6" s="88" t="s">
        <v>116</v>
      </c>
      <c r="C6" s="89">
        <v>3.5000000000000003E-2</v>
      </c>
      <c r="D6" s="91">
        <f>IFERROR(C6*VLOOKUP(B6,MateriasPrimas[],3,0),0)</f>
        <v>172.11250000000001</v>
      </c>
      <c r="E6" s="1"/>
      <c r="F6" s="88" t="s">
        <v>35</v>
      </c>
      <c r="G6" s="89">
        <v>0.04</v>
      </c>
      <c r="H6" s="91">
        <f>IFERROR(G6*VLOOKUP(F6,MateriasPrimas[],3,0),0)</f>
        <v>491.02269999999999</v>
      </c>
      <c r="I6" s="1"/>
      <c r="J6" s="121"/>
    </row>
    <row r="7" spans="1:10">
      <c r="A7" s="1"/>
      <c r="B7" s="88" t="s">
        <v>134</v>
      </c>
      <c r="C7" s="89">
        <v>5.9499999999999997E-2</v>
      </c>
      <c r="D7" s="91">
        <f>IFERROR(C7*VLOOKUP(B7,MateriasPrimas[],3,0),0)</f>
        <v>345.69499999999999</v>
      </c>
      <c r="E7" s="1"/>
      <c r="F7" s="88" t="s">
        <v>26</v>
      </c>
      <c r="G7" s="89">
        <v>0.04</v>
      </c>
      <c r="H7" s="91">
        <f>IFERROR(G7*VLOOKUP(F7,MateriasPrimas[],3,0),0)</f>
        <v>330.57499999999999</v>
      </c>
      <c r="I7" s="1"/>
      <c r="J7" s="121"/>
    </row>
    <row r="8" spans="1:10">
      <c r="A8" s="1"/>
      <c r="B8" s="88" t="s">
        <v>91</v>
      </c>
      <c r="C8" s="89">
        <v>0.01</v>
      </c>
      <c r="D8" s="91">
        <f>IFERROR(C8*VLOOKUP(B8,MateriasPrimas[],3,0),0)</f>
        <v>80.412500000000009</v>
      </c>
      <c r="E8" s="1"/>
      <c r="F8" s="88" t="s">
        <v>91</v>
      </c>
      <c r="G8" s="89">
        <v>5.0000000000000001E-3</v>
      </c>
      <c r="H8" s="91">
        <f>IFERROR(G8*VLOOKUP(F8,MateriasPrimas[],3,0),0)</f>
        <v>40.206250000000004</v>
      </c>
      <c r="I8" s="1"/>
      <c r="J8" s="121"/>
    </row>
    <row r="9" spans="1:10">
      <c r="A9" s="1"/>
      <c r="B9" s="88" t="s">
        <v>31</v>
      </c>
      <c r="C9" s="89">
        <v>3.0000000000000001E-3</v>
      </c>
      <c r="D9" s="91">
        <f>IFERROR(C9*VLOOKUP(B9,MateriasPrimas[],3,0),0)</f>
        <v>37.064999999999998</v>
      </c>
      <c r="E9" s="1"/>
      <c r="F9" s="88" t="s">
        <v>31</v>
      </c>
      <c r="G9" s="89">
        <v>3.0000000000000001E-3</v>
      </c>
      <c r="H9" s="91">
        <f>IFERROR(G9*VLOOKUP(F9,MateriasPrimas[],3,0),0)</f>
        <v>37.064999999999998</v>
      </c>
      <c r="I9" s="1"/>
      <c r="J9" s="121"/>
    </row>
    <row r="10" spans="1:10">
      <c r="A10" s="1"/>
      <c r="B10" s="88" t="s">
        <v>123</v>
      </c>
      <c r="C10" s="89">
        <v>3.0000000000000001E-3</v>
      </c>
      <c r="D10" s="91">
        <f>IFERROR(C10*VLOOKUP(B10,MateriasPrimas[],3,0),0)</f>
        <v>10.290000000000001</v>
      </c>
      <c r="E10" s="1"/>
      <c r="F10" s="88" t="s">
        <v>106</v>
      </c>
      <c r="G10" s="89">
        <v>5.0000000000000001E-3</v>
      </c>
      <c r="H10" s="91">
        <f>IFERROR(G10*VLOOKUP(F10,MateriasPrimas[],3,0),0)</f>
        <v>105.09694999999999</v>
      </c>
      <c r="I10" s="1"/>
      <c r="J10" s="121"/>
    </row>
    <row r="11" spans="1:10">
      <c r="A11" s="1"/>
      <c r="B11" s="88" t="s">
        <v>96</v>
      </c>
      <c r="C11" s="89">
        <v>1E-3</v>
      </c>
      <c r="D11" s="91">
        <f>IFERROR(C11*VLOOKUP(B11,MateriasPrimas[],3,0),0)</f>
        <v>3.7869999999999999</v>
      </c>
      <c r="E11" s="1"/>
      <c r="F11" s="88" t="s">
        <v>86</v>
      </c>
      <c r="G11" s="89">
        <v>5.0000000000000001E-3</v>
      </c>
      <c r="H11" s="91">
        <f>IFERROR(G11*VLOOKUP(F11,MateriasPrimas[],3,0),0)</f>
        <v>370.90129999999999</v>
      </c>
      <c r="I11" s="1"/>
      <c r="J11" s="121"/>
    </row>
    <row r="12" spans="1:10">
      <c r="A12" s="1"/>
      <c r="B12" s="88" t="s">
        <v>44</v>
      </c>
      <c r="C12" s="89">
        <v>2.0000000000000001E-4</v>
      </c>
      <c r="D12" s="91">
        <f>IFERROR(C12*VLOOKUP(B12,MateriasPrimas[],3,0),0)</f>
        <v>11.634</v>
      </c>
      <c r="E12" s="1"/>
      <c r="F12" s="88" t="s">
        <v>43</v>
      </c>
      <c r="G12" s="89">
        <v>2.0000000000000001E-4</v>
      </c>
      <c r="H12" s="91">
        <f>IFERROR(G12*VLOOKUP(F12,MateriasPrimas[],3,0),0)</f>
        <v>11.634</v>
      </c>
      <c r="I12" s="1"/>
      <c r="J12" s="121"/>
    </row>
    <row r="13" spans="1:10">
      <c r="A13" s="1"/>
      <c r="B13" s="88" t="s">
        <v>106</v>
      </c>
      <c r="C13" s="89">
        <v>5.0000000000000001E-3</v>
      </c>
      <c r="D13" s="91">
        <f>IFERROR(C13*VLOOKUP(B13,MateriasPrimas[],3,0),0)</f>
        <v>105.09694999999999</v>
      </c>
      <c r="E13" s="1"/>
      <c r="F13" s="88" t="s">
        <v>111</v>
      </c>
      <c r="G13" s="89">
        <v>2E-3</v>
      </c>
      <c r="H13" s="91">
        <f>IFERROR(G13*VLOOKUP(F13,MateriasPrimas[],3,0),0)</f>
        <v>5.9080000000000004</v>
      </c>
      <c r="I13" s="1"/>
      <c r="J13" s="121"/>
    </row>
    <row r="14" spans="1:10">
      <c r="A14" s="1"/>
      <c r="B14" s="88" t="s">
        <v>84</v>
      </c>
      <c r="C14" s="89">
        <v>5.0000000000000001E-3</v>
      </c>
      <c r="D14" s="91">
        <f>IFERROR(C14*VLOOKUP(B14,MateriasPrimas[],3,0),0)</f>
        <v>185.24939999999998</v>
      </c>
      <c r="E14" s="1"/>
      <c r="F14" s="92"/>
      <c r="G14" s="93"/>
      <c r="H14" s="96">
        <f>SUM(H4:H13)</f>
        <v>2735.7991999999999</v>
      </c>
      <c r="I14" s="1"/>
      <c r="J14" s="121"/>
    </row>
    <row r="15" spans="1:10">
      <c r="A15" s="1"/>
      <c r="B15" s="88" t="s">
        <v>30</v>
      </c>
      <c r="C15" s="89">
        <v>6.0000000000000001E-3</v>
      </c>
      <c r="D15" s="91">
        <f>IFERROR(C15*VLOOKUP(B15,MateriasPrimas[],3,0),0)</f>
        <v>220.99979999999996</v>
      </c>
      <c r="E15" s="1"/>
      <c r="F15" s="92"/>
      <c r="G15" s="93"/>
      <c r="H15" s="122"/>
      <c r="I15" s="1"/>
      <c r="J15" s="121"/>
    </row>
    <row r="16" spans="1:10">
      <c r="A16" s="1"/>
      <c r="B16" s="1"/>
      <c r="C16" s="1"/>
      <c r="D16" s="32">
        <f>SUM(D4:D15)</f>
        <v>2897.4421499999999</v>
      </c>
      <c r="E16" s="1"/>
      <c r="F16" s="1"/>
      <c r="G16" s="1"/>
      <c r="H16" s="1"/>
      <c r="I16" s="1"/>
      <c r="J16" s="121"/>
    </row>
  </sheetData>
  <mergeCells count="2">
    <mergeCell ref="B2:D2"/>
    <mergeCell ref="F2:H2"/>
  </mergeCells>
  <pageMargins left="0.7" right="0.7" top="0.75" bottom="0.75" header="0.51180555555555496" footer="0.51180555555555496"/>
  <pageSetup firstPageNumber="0" orientation="portrait" horizontalDpi="300" verticalDpi="30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5"/>
  <sheetViews>
    <sheetView showGridLines="0" zoomScale="90" zoomScaleNormal="90" workbookViewId="0">
      <selection activeCell="C3" sqref="C3"/>
    </sheetView>
  </sheetViews>
  <sheetFormatPr baseColWidth="10" defaultColWidth="11.42578125" defaultRowHeight="15"/>
  <cols>
    <col min="1" max="1" width="10.7109375" style="24" customWidth="1"/>
    <col min="2" max="2" width="57.42578125" style="3" customWidth="1"/>
    <col min="3" max="3" width="15.28515625" customWidth="1"/>
    <col min="4" max="4" width="15.28515625" style="25" customWidth="1"/>
    <col min="5" max="7" width="15.28515625" customWidth="1"/>
  </cols>
  <sheetData>
    <row r="1" spans="1:8" ht="30" customHeight="1">
      <c r="A1" s="4" t="s">
        <v>135</v>
      </c>
      <c r="B1" s="26" t="s">
        <v>136</v>
      </c>
      <c r="C1" s="26" t="s">
        <v>137</v>
      </c>
      <c r="D1" s="27" t="s">
        <v>138</v>
      </c>
      <c r="E1" s="28" t="s">
        <v>139</v>
      </c>
      <c r="F1" s="28" t="s">
        <v>140</v>
      </c>
      <c r="G1" s="28" t="s">
        <v>141</v>
      </c>
      <c r="H1" s="29" t="s">
        <v>142</v>
      </c>
    </row>
    <row r="2" spans="1:8">
      <c r="A2" s="30" t="s">
        <v>143</v>
      </c>
      <c r="B2" s="31" t="s">
        <v>144</v>
      </c>
      <c r="C2" s="32">
        <f>0.12*INDEX(MateriasPrimas[],MATCH("Aceite de coco",MateriasPrimas[NOMBRE],0),3)</f>
        <v>3882</v>
      </c>
      <c r="D2" s="33">
        <v>1.5</v>
      </c>
      <c r="E2" s="32">
        <f t="shared" ref="E2:E14" si="0">C2*D2</f>
        <v>5823</v>
      </c>
      <c r="F2" s="32">
        <v>5000</v>
      </c>
      <c r="G2" s="34">
        <f>Costos[[#This Row],[PRECIO VENTA]]/Costos[[#This Row],[COSTO]]</f>
        <v>1.2879958784131891</v>
      </c>
      <c r="H2" s="35">
        <v>120</v>
      </c>
    </row>
    <row r="3" spans="1:8">
      <c r="A3" s="30" t="s">
        <v>145</v>
      </c>
      <c r="B3" s="31" t="s">
        <v>146</v>
      </c>
      <c r="C3" s="32">
        <f>0.12*INDEX(MateriasPrimas[],MATCH("Aceite de Naranja",MateriasPrimas[NOMBRE],0),3)</f>
        <v>3882</v>
      </c>
      <c r="D3" s="33">
        <v>1.5</v>
      </c>
      <c r="E3" s="32">
        <f t="shared" si="0"/>
        <v>5823</v>
      </c>
      <c r="F3" s="32">
        <v>5000</v>
      </c>
      <c r="G3" s="34">
        <f>Costos[[#This Row],[PRECIO VENTA]]/Costos[[#This Row],[COSTO]]</f>
        <v>1.2879958784131891</v>
      </c>
      <c r="H3" s="35">
        <v>120</v>
      </c>
    </row>
    <row r="4" spans="1:8">
      <c r="A4" s="30" t="s">
        <v>147</v>
      </c>
      <c r="B4" s="31" t="s">
        <v>148</v>
      </c>
      <c r="C4" s="32">
        <f>0.12*INDEX(MateriasPrimas[],MATCH("Aceite de ricino",MateriasPrimas[NOMBRE],0),3)</f>
        <v>3882</v>
      </c>
      <c r="D4" s="33">
        <v>1.5</v>
      </c>
      <c r="E4" s="32">
        <f t="shared" si="0"/>
        <v>5823</v>
      </c>
      <c r="F4" s="32">
        <v>5000</v>
      </c>
      <c r="G4" s="34">
        <f>Costos[[#This Row],[PRECIO VENTA]]/Costos[[#This Row],[COSTO]]</f>
        <v>1.2879958784131891</v>
      </c>
      <c r="H4" s="35">
        <v>120</v>
      </c>
    </row>
    <row r="5" spans="1:8">
      <c r="A5" s="30" t="s">
        <v>149</v>
      </c>
      <c r="B5" s="31" t="s">
        <v>150</v>
      </c>
      <c r="C5" s="32">
        <f>INDEX(MateriasPrimas[],MATCH("Ácido Acético 33%",MateriasPrimas[NOMBRE],0),3)</f>
        <v>3324.9825000000001</v>
      </c>
      <c r="D5" s="33">
        <v>1.5</v>
      </c>
      <c r="E5" s="32">
        <f t="shared" si="0"/>
        <v>4987.4737500000001</v>
      </c>
      <c r="F5" s="32">
        <v>8000</v>
      </c>
      <c r="G5" s="34">
        <f>Costos[[#This Row],[PRECIO VENTA]]/Costos[[#This Row],[COSTO]]</f>
        <v>2.406027700897674</v>
      </c>
      <c r="H5" s="35"/>
    </row>
    <row r="6" spans="1:8">
      <c r="A6" s="30" t="s">
        <v>151</v>
      </c>
      <c r="B6" s="31" t="s">
        <v>152</v>
      </c>
      <c r="C6" s="32">
        <f>INDEX(MateriasPrimas[],MATCH("Ácido Acético 33%",MateriasPrimas[NOMBRE],0),3)+INDEX(MateriasPrimas[],MATCH("Envase 1L",MateriasPrimas[NOMBRE],0),3)+100</f>
        <v>4084.9825000000001</v>
      </c>
      <c r="D6" s="33">
        <v>1.5</v>
      </c>
      <c r="E6" s="32">
        <f t="shared" si="0"/>
        <v>6127.4737500000001</v>
      </c>
      <c r="F6" s="32">
        <v>9000</v>
      </c>
      <c r="G6" s="34">
        <f>Costos[[#This Row],[PRECIO VENTA]]/Costos[[#This Row],[COSTO]]</f>
        <v>2.2031918129392229</v>
      </c>
      <c r="H6" s="35"/>
    </row>
    <row r="7" spans="1:8">
      <c r="A7" s="30" t="s">
        <v>153</v>
      </c>
      <c r="B7" s="31" t="s">
        <v>154</v>
      </c>
      <c r="C7" s="32">
        <f>INDEX(MateriasPrimas[],MATCH("Ácido Acético Glacial 99%",MateriasPrimas[NOMBRE],0),3)</f>
        <v>6762</v>
      </c>
      <c r="D7" s="33">
        <v>1.5</v>
      </c>
      <c r="E7" s="32">
        <f t="shared" si="0"/>
        <v>10143</v>
      </c>
      <c r="F7" s="32">
        <v>12000</v>
      </c>
      <c r="G7" s="34">
        <f>Costos[[#This Row],[PRECIO VENTA]]/Costos[[#This Row],[COSTO]]</f>
        <v>1.7746228926353149</v>
      </c>
      <c r="H7" s="35"/>
    </row>
    <row r="8" spans="1:8">
      <c r="A8" s="30" t="s">
        <v>155</v>
      </c>
      <c r="B8" s="31" t="s">
        <v>156</v>
      </c>
      <c r="C8" s="32">
        <f>0.2*INDEX(MateriasPrimas[],MATCH("Ácido Bórico",MateriasPrimas[NOMBRE],0),3)</f>
        <v>1590.4</v>
      </c>
      <c r="D8" s="33">
        <v>1.5</v>
      </c>
      <c r="E8" s="32">
        <f t="shared" si="0"/>
        <v>2385.6000000000004</v>
      </c>
      <c r="F8" s="32">
        <v>2500</v>
      </c>
      <c r="G8" s="34">
        <f>Costos[[#This Row],[PRECIO VENTA]]/Costos[[#This Row],[COSTO]]</f>
        <v>1.5719315895372232</v>
      </c>
      <c r="H8" s="35">
        <v>200</v>
      </c>
    </row>
    <row r="9" spans="1:8">
      <c r="A9" s="30" t="s">
        <v>157</v>
      </c>
      <c r="B9" s="31" t="s">
        <v>158</v>
      </c>
      <c r="C9" s="32">
        <f>0.5*INDEX(MateriasPrimas[],MATCH("Ácido Bórico",MateriasPrimas[NOMBRE],0),3)</f>
        <v>3976</v>
      </c>
      <c r="D9" s="33">
        <v>1.5</v>
      </c>
      <c r="E9" s="32">
        <f t="shared" si="0"/>
        <v>5964</v>
      </c>
      <c r="F9" s="32">
        <v>6000</v>
      </c>
      <c r="G9" s="34">
        <f>Costos[[#This Row],[PRECIO VENTA]]/Costos[[#This Row],[COSTO]]</f>
        <v>1.5090543259557343</v>
      </c>
      <c r="H9" s="35">
        <v>500</v>
      </c>
    </row>
    <row r="10" spans="1:8">
      <c r="A10" s="30" t="s">
        <v>159</v>
      </c>
      <c r="B10" s="31" t="s">
        <v>160</v>
      </c>
      <c r="C10" s="36">
        <f>0.1*INDEX(MateriasPrimas[],MATCH("Ácido Bórico",MateriasPrimas[NOMBRE],0),3)</f>
        <v>795.2</v>
      </c>
      <c r="D10" s="33">
        <v>1.5</v>
      </c>
      <c r="E10" s="32">
        <f t="shared" si="0"/>
        <v>1192.8000000000002</v>
      </c>
      <c r="F10" s="32">
        <v>1500</v>
      </c>
      <c r="G10" s="34">
        <f>Costos[[#This Row],[PRECIO VENTA]]/Costos[[#This Row],[COSTO]]</f>
        <v>1.8863179074446679</v>
      </c>
      <c r="H10" s="35">
        <v>100</v>
      </c>
    </row>
    <row r="11" spans="1:8">
      <c r="A11" s="30" t="s">
        <v>161</v>
      </c>
      <c r="B11" s="31" t="s">
        <v>162</v>
      </c>
      <c r="C11" s="32">
        <f>0.2*INDEX(MateriasPrimas[],MATCH("Ácido sórbico",MateriasPrimas[NOMBRE],0),3)</f>
        <v>7570</v>
      </c>
      <c r="D11" s="33">
        <v>1.5</v>
      </c>
      <c r="E11" s="32">
        <f t="shared" si="0"/>
        <v>11355</v>
      </c>
      <c r="F11" s="32">
        <v>9000</v>
      </c>
      <c r="G11" s="34">
        <f>Costos[[#This Row],[PRECIO VENTA]]/Costos[[#This Row],[COSTO]]</f>
        <v>1.1889035667107002</v>
      </c>
      <c r="H11" s="35">
        <v>200</v>
      </c>
    </row>
    <row r="12" spans="1:8">
      <c r="A12" s="30" t="s">
        <v>163</v>
      </c>
      <c r="B12" s="31" t="s">
        <v>164</v>
      </c>
      <c r="C12" s="32">
        <f>0.5*INDEX(MateriasPrimas[],MATCH("Ácido sórbico",MateriasPrimas[NOMBRE],0),3)</f>
        <v>18925</v>
      </c>
      <c r="D12" s="33">
        <v>1.5</v>
      </c>
      <c r="E12" s="32">
        <f t="shared" si="0"/>
        <v>28387.5</v>
      </c>
      <c r="F12" s="32">
        <v>22500</v>
      </c>
      <c r="G12" s="34">
        <f>Costos[[#This Row],[PRECIO VENTA]]/Costos[[#This Row],[COSTO]]</f>
        <v>1.1889035667107002</v>
      </c>
      <c r="H12" s="35">
        <v>500</v>
      </c>
    </row>
    <row r="13" spans="1:8">
      <c r="A13" s="30" t="s">
        <v>165</v>
      </c>
      <c r="B13" s="31" t="s">
        <v>166</v>
      </c>
      <c r="C13" s="32">
        <f>INDEX(MateriasPrimas[],MATCH("Acondicionador",MateriasPrimas[NOMBRE],0),3)</f>
        <v>5275</v>
      </c>
      <c r="D13" s="33">
        <v>1.5</v>
      </c>
      <c r="E13" s="32">
        <f t="shared" si="0"/>
        <v>7912.5</v>
      </c>
      <c r="F13" s="32">
        <v>10000</v>
      </c>
      <c r="G13" s="34">
        <f>Costos[[#This Row],[PRECIO VENTA]]/Costos[[#This Row],[COSTO]]</f>
        <v>1.8957345971563981</v>
      </c>
      <c r="H13" s="35"/>
    </row>
    <row r="14" spans="1:8">
      <c r="A14" s="30" t="s">
        <v>167</v>
      </c>
      <c r="B14" s="31" t="s">
        <v>168</v>
      </c>
      <c r="C14" s="32">
        <f>0.25*INDEX(MateriasPrimas[],MATCH("Acondicionador",MateriasPrimas[NOMBRE],0),3)+INDEX(MateriasPrimas[],MATCH("Envase Bomba x 250ml",MateriasPrimas[NOMBRE],0),3)+100</f>
        <v>2518.75</v>
      </c>
      <c r="D14" s="33">
        <v>1.5</v>
      </c>
      <c r="E14" s="32">
        <f t="shared" si="0"/>
        <v>3778.125</v>
      </c>
      <c r="F14" s="32">
        <v>5000</v>
      </c>
      <c r="G14" s="34">
        <f>Costos[[#This Row],[PRECIO VENTA]]/Costos[[#This Row],[COSTO]]</f>
        <v>1.9851116625310175</v>
      </c>
      <c r="H14" s="35"/>
    </row>
    <row r="15" spans="1:8">
      <c r="A15" s="30" t="s">
        <v>169</v>
      </c>
      <c r="B15" s="31" t="s">
        <v>170</v>
      </c>
      <c r="C15" s="32">
        <v>4500</v>
      </c>
      <c r="D15" s="33">
        <v>1.5</v>
      </c>
      <c r="E15" s="32">
        <v>4500</v>
      </c>
      <c r="F15" s="32">
        <v>4500</v>
      </c>
      <c r="G15" s="34">
        <f>Costos[[#This Row],[PRECIO VENTA]]/Costos[[#This Row],[COSTO]]</f>
        <v>1</v>
      </c>
      <c r="H15" s="35"/>
    </row>
    <row r="16" spans="1:8">
      <c r="A16" s="30" t="s">
        <v>171</v>
      </c>
      <c r="B16" s="31" t="s">
        <v>172</v>
      </c>
      <c r="C16" s="32">
        <v>3500</v>
      </c>
      <c r="D16" s="33">
        <v>1.5</v>
      </c>
      <c r="E16" s="32">
        <v>3500</v>
      </c>
      <c r="F16" s="32">
        <v>3500</v>
      </c>
      <c r="G16" s="34">
        <f>Costos[[#This Row],[PRECIO VENTA]]/Costos[[#This Row],[COSTO]]</f>
        <v>1</v>
      </c>
      <c r="H16" s="35"/>
    </row>
    <row r="17" spans="1:8">
      <c r="A17" s="30" t="s">
        <v>173</v>
      </c>
      <c r="B17" s="31" t="s">
        <v>174</v>
      </c>
      <c r="C17" s="32">
        <v>2500</v>
      </c>
      <c r="D17" s="33">
        <v>1.5</v>
      </c>
      <c r="E17" s="32">
        <v>2500</v>
      </c>
      <c r="F17" s="32">
        <v>2500</v>
      </c>
      <c r="G17" s="34">
        <f>Costos[[#This Row],[PRECIO VENTA]]/Costos[[#This Row],[COSTO]]</f>
        <v>1</v>
      </c>
      <c r="H17" s="35"/>
    </row>
    <row r="18" spans="1:8">
      <c r="A18" s="30" t="s">
        <v>175</v>
      </c>
      <c r="B18" s="31" t="s">
        <v>176</v>
      </c>
      <c r="C18" s="32">
        <f>SUM(AlcoholIndustrial[Costo (Kg)])</f>
        <v>4443.2003749999994</v>
      </c>
      <c r="D18" s="33">
        <v>1.5</v>
      </c>
      <c r="E18" s="32">
        <f t="shared" ref="E18:E49" si="1">C18*D18</f>
        <v>6664.8005624999987</v>
      </c>
      <c r="F18" s="32">
        <v>10000</v>
      </c>
      <c r="G18" s="34">
        <f>Costos[[#This Row],[PRECIO VENTA]]/Costos[[#This Row],[COSTO]]</f>
        <v>2.2506299864993151</v>
      </c>
      <c r="H18" s="35"/>
    </row>
    <row r="19" spans="1:8">
      <c r="A19" s="30" t="s">
        <v>177</v>
      </c>
      <c r="B19" s="31" t="s">
        <v>178</v>
      </c>
      <c r="C19" s="32">
        <f>0.4*INDEX(Costos[],MATCH("Alcohol Industrial (Granel)",Costos[PRODUCTO],0),3)+INDEX(MateriasPrimas[],MATCH("Envase 800ml",MateriasPrimas[NOMBRE],0),3)+100</f>
        <v>2427.2801499999996</v>
      </c>
      <c r="D19" s="33">
        <v>1.5</v>
      </c>
      <c r="E19" s="32">
        <f t="shared" si="1"/>
        <v>3640.9202249999994</v>
      </c>
      <c r="F19" s="32">
        <v>5000</v>
      </c>
      <c r="G19" s="34">
        <f>Costos[[#This Row],[PRECIO VENTA]]/Costos[[#This Row],[COSTO]]</f>
        <v>2.0599187942932753</v>
      </c>
      <c r="H19" s="35">
        <v>400</v>
      </c>
    </row>
    <row r="20" spans="1:8">
      <c r="A20" s="30" t="s">
        <v>179</v>
      </c>
      <c r="B20" s="31" t="s">
        <v>180</v>
      </c>
      <c r="C20" s="32">
        <f>0.8*INDEX(Costos[],MATCH("Alcohol Industrial (Granel)",Costos[PRODUCTO],0),3)+INDEX(MateriasPrimas[],MATCH("Envase 800ml",MateriasPrimas[NOMBRE],0),3)+100</f>
        <v>4204.5602999999992</v>
      </c>
      <c r="D20" s="33">
        <v>1.5</v>
      </c>
      <c r="E20" s="32">
        <f t="shared" si="1"/>
        <v>6306.8404499999988</v>
      </c>
      <c r="F20" s="32">
        <v>10000</v>
      </c>
      <c r="G20" s="34">
        <f>Costos[[#This Row],[PRECIO VENTA]]/Costos[[#This Row],[COSTO]]</f>
        <v>2.3783699808039387</v>
      </c>
      <c r="H20" s="35">
        <v>800</v>
      </c>
    </row>
    <row r="21" spans="1:8">
      <c r="A21" s="30" t="s">
        <v>181</v>
      </c>
      <c r="B21" s="31" t="s">
        <v>182</v>
      </c>
      <c r="C21" s="32">
        <f>INDEX(Costos[],MATCH("Alcohol Industrial (Granel)",Costos[PRODUCTO],0),3)+INDEX(MateriasPrimas[],MATCH("Envase 1L",MateriasPrimas[NOMBRE],0),3)+100</f>
        <v>5203.2003749999994</v>
      </c>
      <c r="D21" s="33">
        <v>1.5</v>
      </c>
      <c r="E21" s="32">
        <f t="shared" si="1"/>
        <v>7804.8005624999987</v>
      </c>
      <c r="F21" s="32">
        <v>12000</v>
      </c>
      <c r="G21" s="34">
        <f>Costos[[#This Row],[PRECIO VENTA]]/Costos[[#This Row],[COSTO]]</f>
        <v>2.3062728965151571</v>
      </c>
      <c r="H21" s="35">
        <v>1000</v>
      </c>
    </row>
    <row r="22" spans="1:8">
      <c r="A22" s="30" t="s">
        <v>183</v>
      </c>
      <c r="B22" s="31" t="s">
        <v>184</v>
      </c>
      <c r="C22" s="32">
        <f>20*INDEX(Costos[],MATCH("Alcohol Industrial (Granel)",Costos[PRODUCTO],0),3)+INDEX(MateriasPrimas[],MATCH("Envase 20L",MateriasPrimas[NOMBRE],0),3)+100</f>
        <v>96114.007499999992</v>
      </c>
      <c r="D22" s="33">
        <v>1.5</v>
      </c>
      <c r="E22" s="32">
        <f t="shared" si="1"/>
        <v>144171.01124999998</v>
      </c>
      <c r="F22" s="32">
        <v>225000</v>
      </c>
      <c r="G22" s="34">
        <f>Costos[[#This Row],[PRECIO VENTA]]/Costos[[#This Row],[COSTO]]</f>
        <v>2.3409699153372627</v>
      </c>
      <c r="H22" s="35">
        <v>20000</v>
      </c>
    </row>
    <row r="23" spans="1:8">
      <c r="A23" s="30" t="s">
        <v>185</v>
      </c>
      <c r="B23" s="31" t="s">
        <v>186</v>
      </c>
      <c r="C23" s="32">
        <f>2*INDEX(Costos[],MATCH("Alcohol Industrial (Granel)",Costos[PRODUCTO],0),3)+INDEX(MateriasPrimas[],MATCH("Envase 2L",MateriasPrimas[NOMBRE],0),3)+100</f>
        <v>10306.400749999999</v>
      </c>
      <c r="D23" s="33">
        <v>1.5</v>
      </c>
      <c r="E23" s="32">
        <f t="shared" si="1"/>
        <v>15459.601124999997</v>
      </c>
      <c r="F23" s="32">
        <v>24000</v>
      </c>
      <c r="G23" s="34">
        <f>Costos[[#This Row],[PRECIO VENTA]]/Costos[[#This Row],[COSTO]]</f>
        <v>2.3286499896678285</v>
      </c>
      <c r="H23" s="35">
        <v>2000</v>
      </c>
    </row>
    <row r="24" spans="1:8">
      <c r="A24" s="30" t="s">
        <v>187</v>
      </c>
      <c r="B24" s="31" t="s">
        <v>188</v>
      </c>
      <c r="C24" s="32">
        <f>4*INDEX(Costos[],MATCH("Alcohol Industrial (Granel)",Costos[PRODUCTO],0),3)+INDEX(MateriasPrimas[],MATCH("Envase 4L",MateriasPrimas[NOMBRE],0),3)+100</f>
        <v>19357.801499999998</v>
      </c>
      <c r="D24" s="33">
        <v>1.5</v>
      </c>
      <c r="E24" s="32">
        <f t="shared" si="1"/>
        <v>29036.702249999995</v>
      </c>
      <c r="F24" s="32">
        <v>45000</v>
      </c>
      <c r="G24" s="34">
        <f>Costos[[#This Row],[PRECIO VENTA]]/Costos[[#This Row],[COSTO]]</f>
        <v>2.3246441492852381</v>
      </c>
      <c r="H24" s="35">
        <v>4000</v>
      </c>
    </row>
    <row r="25" spans="1:8">
      <c r="A25" s="30" t="s">
        <v>189</v>
      </c>
      <c r="B25" s="31" t="s">
        <v>190</v>
      </c>
      <c r="C25" s="32">
        <f>0.8*INDEX(MateriasPrimas[],MATCH("Alcohol propilico",MateriasPrimas[NOMBRE],0),3)</f>
        <v>7599.2000000000007</v>
      </c>
      <c r="D25" s="33">
        <v>1.5</v>
      </c>
      <c r="E25" s="32">
        <f t="shared" si="1"/>
        <v>11398.800000000001</v>
      </c>
      <c r="F25" s="32">
        <v>12000</v>
      </c>
      <c r="G25" s="34">
        <f>Costos[[#This Row],[PRECIO VENTA]]/Costos[[#This Row],[COSTO]]</f>
        <v>1.5791135909043055</v>
      </c>
      <c r="H25" s="35"/>
    </row>
    <row r="26" spans="1:8">
      <c r="A26" s="30" t="s">
        <v>191</v>
      </c>
      <c r="B26" s="31" t="s">
        <v>192</v>
      </c>
      <c r="C26" s="32">
        <f>SUM(AmbientadorPiso[Costo (Kg)])</f>
        <v>2543.3181099999997</v>
      </c>
      <c r="D26" s="33">
        <v>1.5</v>
      </c>
      <c r="E26" s="32">
        <f t="shared" si="1"/>
        <v>3814.9771649999993</v>
      </c>
      <c r="F26" s="32">
        <v>4000</v>
      </c>
      <c r="G26" s="34">
        <f>Costos[[#This Row],[PRECIO VENTA]]/Costos[[#This Row],[COSTO]]</f>
        <v>1.5727486012357299</v>
      </c>
      <c r="H26" s="35"/>
    </row>
    <row r="27" spans="1:8">
      <c r="A27" s="30" t="s">
        <v>193</v>
      </c>
      <c r="B27" s="31" t="s">
        <v>194</v>
      </c>
      <c r="C27" s="32">
        <f>INDEX(Costos[],MATCH("Ambientador Desinfectante (Granel)",Costos[PRODUCTO],0),3)/4+INDEX(MateriasPrimas[],MATCH("Doy pack x 250ml",MateriasPrimas[NOMBRE],0),3)+100</f>
        <v>1485.8295275</v>
      </c>
      <c r="D27" s="33">
        <v>1.5</v>
      </c>
      <c r="E27" s="32">
        <f t="shared" si="1"/>
        <v>2228.7442912500001</v>
      </c>
      <c r="F27" s="32">
        <v>1700</v>
      </c>
      <c r="G27" s="34">
        <f>Costos[[#This Row],[PRECIO VENTA]]/Costos[[#This Row],[COSTO]]</f>
        <v>1.1441420220396044</v>
      </c>
      <c r="H27" s="35">
        <v>250</v>
      </c>
    </row>
    <row r="28" spans="1:8">
      <c r="A28" s="30" t="s">
        <v>195</v>
      </c>
      <c r="B28" s="31" t="s">
        <v>196</v>
      </c>
      <c r="C28" s="32">
        <f>0.5*INDEX(Costos[],MATCH("Ambientador Desinfectante (Granel)",Costos[PRODUCTO],0),3)+INDEX(MateriasPrimas[],MATCH("Doy pack x 500ml",MateriasPrimas[NOMBRE],0),3)+100</f>
        <v>2171.6590550000001</v>
      </c>
      <c r="D28" s="33">
        <v>1.5</v>
      </c>
      <c r="E28" s="32">
        <f t="shared" si="1"/>
        <v>3257.4885825000001</v>
      </c>
      <c r="F28" s="32">
        <v>2500</v>
      </c>
      <c r="G28" s="34">
        <f>Costos[[#This Row],[PRECIO VENTA]]/Costos[[#This Row],[COSTO]]</f>
        <v>1.151193597468273</v>
      </c>
      <c r="H28" s="35">
        <v>500</v>
      </c>
    </row>
    <row r="29" spans="1:8">
      <c r="A29" s="30" t="s">
        <v>197</v>
      </c>
      <c r="B29" s="31" t="s">
        <v>198</v>
      </c>
      <c r="C29" s="32">
        <f>0.5*INDEX(Costos[],MATCH("Ambientador Desinfectante (Granel)",Costos[PRODUCTO],0),3)+INDEX(MateriasPrimas[],MATCH("Envase 0,5L",MateriasPrimas[NOMBRE],0),3)+100</f>
        <v>1976.6590549999999</v>
      </c>
      <c r="D29" s="33">
        <v>1.5</v>
      </c>
      <c r="E29" s="32">
        <f t="shared" si="1"/>
        <v>2964.9885824999997</v>
      </c>
      <c r="F29" s="32">
        <v>3000</v>
      </c>
      <c r="G29" s="34">
        <f>Costos[[#This Row],[PRECIO VENTA]]/Costos[[#This Row],[COSTO]]</f>
        <v>1.5177124210730415</v>
      </c>
      <c r="H29" s="35">
        <v>500</v>
      </c>
    </row>
    <row r="30" spans="1:8">
      <c r="A30" s="30" t="s">
        <v>199</v>
      </c>
      <c r="B30" s="31" t="s">
        <v>200</v>
      </c>
      <c r="C30" s="32">
        <f>0.8*INDEX(Costos[],MATCH("Ambientador Desinfectante (Granel)",Costos[PRODUCTO],0),3)+INDEX(MateriasPrimas[],MATCH("Envase 800ml",MateriasPrimas[NOMBRE],0),3)+100</f>
        <v>2684.6544880000001</v>
      </c>
      <c r="D30" s="33">
        <v>1.5</v>
      </c>
      <c r="E30" s="32">
        <f t="shared" si="1"/>
        <v>4026.9817320000002</v>
      </c>
      <c r="F30" s="32">
        <v>4000</v>
      </c>
      <c r="G30" s="34">
        <f>Costos[[#This Row],[PRECIO VENTA]]/Costos[[#This Row],[COSTO]]</f>
        <v>1.4899496444996536</v>
      </c>
      <c r="H30" s="35">
        <v>800</v>
      </c>
    </row>
    <row r="31" spans="1:8">
      <c r="A31" s="30" t="s">
        <v>201</v>
      </c>
      <c r="B31" s="31" t="s">
        <v>202</v>
      </c>
      <c r="C31" s="32">
        <f>INDEX(Costos[],MATCH("Ambientador Desinfectante (Granel)",Costos[PRODUCTO],0),3)+INDEX(MateriasPrimas[],MATCH("Envase 1L",MateriasPrimas[NOMBRE],0),3)+100</f>
        <v>3303.3181099999997</v>
      </c>
      <c r="D31" s="33">
        <v>1.5</v>
      </c>
      <c r="E31" s="32">
        <f t="shared" si="1"/>
        <v>4954.9771649999993</v>
      </c>
      <c r="F31" s="32">
        <v>5000</v>
      </c>
      <c r="G31" s="34">
        <f>Costos[[#This Row],[PRECIO VENTA]]/Costos[[#This Row],[COSTO]]</f>
        <v>1.5136295789568994</v>
      </c>
      <c r="H31" s="35">
        <v>1000</v>
      </c>
    </row>
    <row r="32" spans="1:8">
      <c r="A32" s="30" t="s">
        <v>203</v>
      </c>
      <c r="B32" s="31" t="s">
        <v>204</v>
      </c>
      <c r="C32" s="32">
        <f>2*INDEX(Costos[],MATCH("Ambientador Desinfectante (Granel)",Costos[PRODUCTO],0),3)+INDEX(MateriasPrimas[],MATCH("Envase 2L",MateriasPrimas[NOMBRE],0),3)+100</f>
        <v>6506.6362199999994</v>
      </c>
      <c r="D32" s="33">
        <v>1.5</v>
      </c>
      <c r="E32" s="32">
        <f t="shared" si="1"/>
        <v>9759.9543299999987</v>
      </c>
      <c r="F32" s="32">
        <v>9500</v>
      </c>
      <c r="G32" s="34">
        <f>Costos[[#This Row],[PRECIO VENTA]]/Costos[[#This Row],[COSTO]]</f>
        <v>1.4600478156130881</v>
      </c>
      <c r="H32" s="35">
        <v>2000</v>
      </c>
    </row>
    <row r="33" spans="1:8">
      <c r="A33" s="30" t="s">
        <v>205</v>
      </c>
      <c r="B33" s="31" t="s">
        <v>206</v>
      </c>
      <c r="C33" s="32">
        <f>4*INDEX(Costos[],MATCH("Ambientador Desinfectante (Granel)",Costos[PRODUCTO],0),3)+INDEX(MateriasPrimas[],MATCH("Envase 4L",MateriasPrimas[NOMBRE],0),3)+100</f>
        <v>11758.272439999999</v>
      </c>
      <c r="D33" s="33">
        <v>1.5</v>
      </c>
      <c r="E33" s="32">
        <f t="shared" si="1"/>
        <v>17637.408659999997</v>
      </c>
      <c r="F33" s="32">
        <v>18000</v>
      </c>
      <c r="G33" s="34">
        <f>Costos[[#This Row],[PRECIO VENTA]]/Costos[[#This Row],[COSTO]]</f>
        <v>1.5308371269546805</v>
      </c>
      <c r="H33" s="35">
        <v>4000</v>
      </c>
    </row>
    <row r="34" spans="1:8">
      <c r="A34" s="30" t="s">
        <v>207</v>
      </c>
      <c r="B34" s="31" t="s">
        <v>208</v>
      </c>
      <c r="C34" s="32">
        <f>SUM(AmbientadorSpray[])</f>
        <v>2443.9847650000002</v>
      </c>
      <c r="D34" s="33">
        <v>2.5</v>
      </c>
      <c r="E34" s="32">
        <f t="shared" si="1"/>
        <v>6109.9619125000008</v>
      </c>
      <c r="F34" s="32">
        <v>25000</v>
      </c>
      <c r="G34" s="34">
        <f>Costos[[#This Row],[PRECIO VENTA]]/Costos[[#This Row],[COSTO]]</f>
        <v>10.229196334617903</v>
      </c>
      <c r="H34" s="35"/>
    </row>
    <row r="35" spans="1:8">
      <c r="A35" s="30" t="s">
        <v>209</v>
      </c>
      <c r="B35" s="31" t="s">
        <v>210</v>
      </c>
      <c r="C35" s="32">
        <f>0.5*INDEX(Costos[],MATCH("Ambientador en Spray (Granel)",Costos[PRODUCTO],0),3)+INDEX(MateriasPrimas[],MATCH("Envase Atomizador x 500ml",MateriasPrimas[NOMBRE],0),3)+100</f>
        <v>2421.9923825000001</v>
      </c>
      <c r="D35" s="33">
        <v>2.5</v>
      </c>
      <c r="E35" s="32">
        <f t="shared" si="1"/>
        <v>6054.9809562500004</v>
      </c>
      <c r="F35" s="32">
        <v>14000</v>
      </c>
      <c r="G35" s="34">
        <f>Costos[[#This Row],[PRECIO VENTA]]/Costos[[#This Row],[COSTO]]</f>
        <v>5.7803650007970244</v>
      </c>
      <c r="H35" s="35">
        <v>500</v>
      </c>
    </row>
    <row r="36" spans="1:8">
      <c r="A36" s="30" t="s">
        <v>211</v>
      </c>
      <c r="B36" s="31" t="s">
        <v>212</v>
      </c>
      <c r="C36" s="32">
        <f>SUM(AmbConcentrado[])</f>
        <v>24789.560300000001</v>
      </c>
      <c r="D36" s="33">
        <v>1.5</v>
      </c>
      <c r="E36" s="32">
        <f t="shared" si="1"/>
        <v>37184.340450000003</v>
      </c>
      <c r="F36" s="32">
        <v>60000</v>
      </c>
      <c r="G36" s="34">
        <f>Costos[[#This Row],[PRECIO VENTA]]/Costos[[#This Row],[COSTO]]</f>
        <v>2.4203737086857484</v>
      </c>
      <c r="H36" s="35"/>
    </row>
    <row r="37" spans="1:8">
      <c r="A37" s="30" t="s">
        <v>213</v>
      </c>
      <c r="B37" s="31" t="s">
        <v>214</v>
      </c>
      <c r="C37" s="32">
        <f>0.12*INDEX(Costos[],MATCH("Ambientador en Spray Concentrado (Granel)",Costos[PRODUCTO],0),3)+INDEX(MateriasPrimas[],MATCH("Envase Bomba x 120ml",MateriasPrimas[NOMBRE],0),3)+100</f>
        <v>3976.7472360000002</v>
      </c>
      <c r="D37" s="33">
        <v>1.5</v>
      </c>
      <c r="E37" s="32">
        <f t="shared" si="1"/>
        <v>5965.1208540000007</v>
      </c>
      <c r="F37" s="32">
        <v>8000</v>
      </c>
      <c r="G37" s="34">
        <f>Costos[[#This Row],[PRECIO VENTA]]/Costos[[#This Row],[COSTO]]</f>
        <v>2.0116943635690503</v>
      </c>
      <c r="H37" s="35">
        <v>120</v>
      </c>
    </row>
    <row r="38" spans="1:8">
      <c r="A38" s="30" t="s">
        <v>215</v>
      </c>
      <c r="B38" s="31" t="s">
        <v>216</v>
      </c>
      <c r="C38" s="32">
        <f>0.03*INDEX(Costos[],MATCH("Ambientador en Spray Concentrado (Granel)",Costos[PRODUCTO],0),3)+INDEX(MateriasPrimas[],MATCH("Envase Bomba x 30ml",MateriasPrimas[NOMBRE],0),3)+100</f>
        <v>1173.686809</v>
      </c>
      <c r="D38" s="33">
        <v>1.5</v>
      </c>
      <c r="E38" s="32">
        <f t="shared" si="1"/>
        <v>1760.5302135000002</v>
      </c>
      <c r="F38" s="32">
        <v>3000</v>
      </c>
      <c r="G38" s="34">
        <f>Costos[[#This Row],[PRECIO VENTA]]/Costos[[#This Row],[COSTO]]</f>
        <v>2.5560481527061278</v>
      </c>
      <c r="H38" s="35">
        <v>30</v>
      </c>
    </row>
    <row r="39" spans="1:8">
      <c r="A39" s="30" t="s">
        <v>217</v>
      </c>
      <c r="B39" s="31" t="s">
        <v>218</v>
      </c>
      <c r="C39" s="32">
        <f>0.06*INDEX(Costos[],MATCH("Ambientador en Spray Concentrado (Granel)",Costos[PRODUCTO],0),3)+INDEX(MateriasPrimas[],MATCH("Envase Bomba x 60ml",MateriasPrimas[NOMBRE],0),3)+100</f>
        <v>2247.3736180000001</v>
      </c>
      <c r="D39" s="33">
        <v>1.5</v>
      </c>
      <c r="E39" s="32">
        <f t="shared" si="1"/>
        <v>3371.0604270000003</v>
      </c>
      <c r="F39" s="32">
        <v>5000</v>
      </c>
      <c r="G39" s="34">
        <f>Costos[[#This Row],[PRECIO VENTA]]/Costos[[#This Row],[COSTO]]</f>
        <v>2.224819211168652</v>
      </c>
      <c r="H39" s="35">
        <v>60</v>
      </c>
    </row>
    <row r="40" spans="1:8">
      <c r="A40" s="30" t="s">
        <v>219</v>
      </c>
      <c r="B40" s="31" t="s">
        <v>220</v>
      </c>
      <c r="C40" s="32">
        <f>0.12*INDEX(Costos[],MATCH("Ambientador en Spray (Granel)",Costos[PRODUCTO],0),3)+INDEX(MateriasPrimas[],MATCH("Envase Bomba x 120ml",MateriasPrimas[NOMBRE],0),3)+100</f>
        <v>1295.2781718000001</v>
      </c>
      <c r="D40" s="33">
        <v>2.5</v>
      </c>
      <c r="E40" s="32">
        <f t="shared" si="1"/>
        <v>3238.1954295000005</v>
      </c>
      <c r="F40" s="32">
        <v>5000</v>
      </c>
      <c r="G40" s="34">
        <f>Costos[[#This Row],[PRECIO VENTA]]/Costos[[#This Row],[COSTO]]</f>
        <v>3.8601746781941713</v>
      </c>
      <c r="H40" s="35">
        <v>120</v>
      </c>
    </row>
    <row r="41" spans="1:8">
      <c r="A41" s="30" t="s">
        <v>221</v>
      </c>
      <c r="B41" s="31" t="s">
        <v>222</v>
      </c>
      <c r="C41" s="32">
        <f>0.25*INDEX(Costos[],MATCH("Ambientador en Spray (Granel)",Costos[PRODUCTO],0),3)+INDEX(MateriasPrimas[],MATCH("Envase Bomba x 250ml",MateriasPrimas[NOMBRE],0),3)+100</f>
        <v>1810.99619125</v>
      </c>
      <c r="D41" s="33">
        <v>2.5</v>
      </c>
      <c r="E41" s="32">
        <f t="shared" si="1"/>
        <v>4527.4904781249998</v>
      </c>
      <c r="F41" s="32">
        <v>8000</v>
      </c>
      <c r="G41" s="34">
        <f>Costos[[#This Row],[PRECIO VENTA]]/Costos[[#This Row],[COSTO]]</f>
        <v>4.4174582136907627</v>
      </c>
      <c r="H41" s="35">
        <v>250</v>
      </c>
    </row>
    <row r="42" spans="1:8">
      <c r="A42" s="30" t="s">
        <v>223</v>
      </c>
      <c r="B42" s="31" t="s">
        <v>224</v>
      </c>
      <c r="C42" s="32">
        <f>0.5*INDEX(Costos[],MATCH("Ambientador en Spray (Granel)",Costos[PRODUCTO],0),3)+INDEX(MateriasPrimas[],MATCH("Envase 0,5L",MateriasPrimas[NOMBRE],0),3)+100</f>
        <v>1926.9923825000001</v>
      </c>
      <c r="D42" s="33">
        <v>2.5</v>
      </c>
      <c r="E42" s="32">
        <f t="shared" si="1"/>
        <v>4817.4809562500004</v>
      </c>
      <c r="F42" s="32">
        <v>15000</v>
      </c>
      <c r="G42" s="34">
        <f>Costos[[#This Row],[PRECIO VENTA]]/Costos[[#This Row],[COSTO]]</f>
        <v>7.784151165423717</v>
      </c>
      <c r="H42" s="35">
        <v>500</v>
      </c>
    </row>
    <row r="43" spans="1:8">
      <c r="A43" s="30" t="s">
        <v>225</v>
      </c>
      <c r="B43" s="31" t="s">
        <v>226</v>
      </c>
      <c r="C43" s="32">
        <f>0.8*INDEX(Costos[],MATCH("Ambientador en Spray (Granel)",Costos[PRODUCTO],0),3)+INDEX(MateriasPrimas[],MATCH("Envase 800ml",MateriasPrimas[NOMBRE],0),3)+100</f>
        <v>2605.1878120000001</v>
      </c>
      <c r="D43" s="33">
        <v>2.5</v>
      </c>
      <c r="E43" s="32">
        <f t="shared" si="1"/>
        <v>6512.9695300000003</v>
      </c>
      <c r="F43" s="32">
        <v>20000</v>
      </c>
      <c r="G43" s="34">
        <f>Costos[[#This Row],[PRECIO VENTA]]/Costos[[#This Row],[COSTO]]</f>
        <v>7.6769897002727108</v>
      </c>
      <c r="H43" s="35">
        <v>800</v>
      </c>
    </row>
    <row r="44" spans="1:8">
      <c r="A44" s="30" t="s">
        <v>227</v>
      </c>
      <c r="B44" s="31" t="s">
        <v>228</v>
      </c>
      <c r="C44" s="32">
        <f>INDEX(Costos[],MATCH("Ambientador en Spray (Granel)",Costos[PRODUCTO],0),3)+INDEX(MateriasPrimas[],MATCH("Envase 1L",MateriasPrimas[NOMBRE],0),3)+100</f>
        <v>3203.9847650000002</v>
      </c>
      <c r="D44" s="33">
        <v>2.5</v>
      </c>
      <c r="E44" s="32">
        <f t="shared" si="1"/>
        <v>8009.9619125000008</v>
      </c>
      <c r="F44" s="32">
        <v>30000</v>
      </c>
      <c r="G44" s="34">
        <f>Costos[[#This Row],[PRECIO VENTA]]/Costos[[#This Row],[COSTO]]</f>
        <v>9.3633404027749805</v>
      </c>
      <c r="H44" s="35">
        <v>1000</v>
      </c>
    </row>
    <row r="45" spans="1:8">
      <c r="A45" s="30" t="s">
        <v>229</v>
      </c>
      <c r="B45" s="31" t="s">
        <v>230</v>
      </c>
      <c r="C45" s="32">
        <f>2*INDEX(Costos[],MATCH("Ambientador en Spray (Granel)",Costos[PRODUCTO],0),3)+INDEX(MateriasPrimas[],MATCH("Envase 2L",MateriasPrimas[NOMBRE],0),3)+100</f>
        <v>6307.9695300000003</v>
      </c>
      <c r="D45" s="33">
        <v>2.5</v>
      </c>
      <c r="E45" s="32">
        <f t="shared" si="1"/>
        <v>15769.923825000002</v>
      </c>
      <c r="F45" s="32">
        <v>60000</v>
      </c>
      <c r="G45" s="34">
        <f>Costos[[#This Row],[PRECIO VENTA]]/Costos[[#This Row],[COSTO]]</f>
        <v>9.5117770805085033</v>
      </c>
      <c r="H45" s="35">
        <v>2000</v>
      </c>
    </row>
    <row r="46" spans="1:8">
      <c r="A46" s="30" t="s">
        <v>231</v>
      </c>
      <c r="B46" s="31" t="s">
        <v>232</v>
      </c>
      <c r="C46" s="32">
        <f>4*INDEX(Costos[],MATCH("Ambientador en Spray (Granel)",Costos[PRODUCTO],0),3)+INDEX(MateriasPrimas[],MATCH("Envase 4L",MateriasPrimas[NOMBRE],0),3)+100</f>
        <v>11360.939060000001</v>
      </c>
      <c r="D46" s="33">
        <v>2.5</v>
      </c>
      <c r="E46" s="32">
        <f t="shared" si="1"/>
        <v>28402.347650000003</v>
      </c>
      <c r="F46" s="32">
        <v>120000</v>
      </c>
      <c r="G46" s="34">
        <f>Costos[[#This Row],[PRECIO VENTA]]/Costos[[#This Row],[COSTO]]</f>
        <v>10.562507145426057</v>
      </c>
      <c r="H46" s="35">
        <v>4000</v>
      </c>
    </row>
    <row r="47" spans="1:8">
      <c r="A47" s="30" t="s">
        <v>233</v>
      </c>
      <c r="B47" s="31" t="s">
        <v>234</v>
      </c>
      <c r="C47" s="32">
        <f>0.5*INDEX(MateriasPrimas[],MATCH("Amonio Cuaternario",MateriasPrimas[NOMBRE],0),3)</f>
        <v>5433.75</v>
      </c>
      <c r="D47" s="33">
        <v>2</v>
      </c>
      <c r="E47" s="32">
        <f t="shared" si="1"/>
        <v>10867.5</v>
      </c>
      <c r="F47" s="32">
        <v>13500</v>
      </c>
      <c r="G47" s="34">
        <f>Costos[[#This Row],[PRECIO VENTA]]/Costos[[#This Row],[COSTO]]</f>
        <v>2.4844720496894408</v>
      </c>
      <c r="H47" s="35"/>
    </row>
    <row r="48" spans="1:8">
      <c r="A48" s="30" t="s">
        <v>235</v>
      </c>
      <c r="B48" s="31" t="s">
        <v>236</v>
      </c>
      <c r="C48" s="32">
        <f>2*INDEX(Costos[],MATCH("Amonio Cuaternario (Granel)",Costos[PRODUCTO],0),3)+INDEX(MateriasPrimas[],MATCH("Envase 2L",MateriasPrimas[NOMBRE],0),3)+100</f>
        <v>12287.5</v>
      </c>
      <c r="D48" s="33">
        <v>2</v>
      </c>
      <c r="E48" s="32">
        <f t="shared" si="1"/>
        <v>24575</v>
      </c>
      <c r="F48" s="32">
        <v>28000</v>
      </c>
      <c r="G48" s="34">
        <f>Costos[[#This Row],[PRECIO VENTA]]/Costos[[#This Row],[COSTO]]</f>
        <v>2.2787385554425228</v>
      </c>
      <c r="H48" s="35">
        <v>2000</v>
      </c>
    </row>
    <row r="49" spans="1:9">
      <c r="A49" s="30" t="s">
        <v>237</v>
      </c>
      <c r="B49" s="31" t="s">
        <v>238</v>
      </c>
      <c r="C49" s="32">
        <f>0.5*0.4*INDEX(MateriasPrimas[],MATCH("Amonio Cuaternario",MateriasPrimas[NOMBRE],0),3)+INDEX(MateriasPrimas[],MATCH("Envase 0,4L",MateriasPrimas[NOMBRE],0),3)+100</f>
        <v>2713.5</v>
      </c>
      <c r="D49" s="33">
        <v>2</v>
      </c>
      <c r="E49" s="32">
        <f t="shared" si="1"/>
        <v>5427</v>
      </c>
      <c r="F49" s="32">
        <v>6000</v>
      </c>
      <c r="G49" s="34">
        <f>Costos[[#This Row],[PRECIO VENTA]]/Costos[[#This Row],[COSTO]]</f>
        <v>2.211166390270868</v>
      </c>
      <c r="H49" s="35">
        <v>400</v>
      </c>
    </row>
    <row r="50" spans="1:9">
      <c r="A50" s="30" t="s">
        <v>239</v>
      </c>
      <c r="B50" s="31" t="s">
        <v>240</v>
      </c>
      <c r="C50" s="32">
        <f>0.5*INDEX(Costos[],MATCH("Amonio Cuaternario (Granel)",Costos[PRODUCTO],0),3)+INDEX(MateriasPrimas[],MATCH("Envase 0,5L",MateriasPrimas[NOMBRE],0),3)+100</f>
        <v>3421.875</v>
      </c>
      <c r="D50" s="33">
        <v>2</v>
      </c>
      <c r="E50" s="32">
        <f t="shared" ref="E50:E81" si="2">C50*D50</f>
        <v>6843.75</v>
      </c>
      <c r="F50" s="32">
        <v>7000</v>
      </c>
      <c r="G50" s="34">
        <f>Costos[[#This Row],[PRECIO VENTA]]/Costos[[#This Row],[COSTO]]</f>
        <v>2.0456621004566209</v>
      </c>
      <c r="H50" s="35">
        <v>500</v>
      </c>
    </row>
    <row r="51" spans="1:9">
      <c r="A51" s="30" t="s">
        <v>241</v>
      </c>
      <c r="B51" s="31" t="s">
        <v>242</v>
      </c>
      <c r="C51" s="32">
        <f>0.06*INDEX(Costos[],MATCH("Amonio Cuaternario (Granel)",Costos[PRODUCTO],0),3)+INDEX(MateriasPrimas[],MATCH("Envase Bomba x 60ml",MateriasPrimas[NOMBRE],0),3)+100</f>
        <v>1086.0250000000001</v>
      </c>
      <c r="D51" s="33">
        <v>2</v>
      </c>
      <c r="E51" s="32">
        <f t="shared" si="2"/>
        <v>2172.0500000000002</v>
      </c>
      <c r="F51" s="32">
        <v>3000</v>
      </c>
      <c r="G51" s="34">
        <f>Costos[[#This Row],[PRECIO VENTA]]/Costos[[#This Row],[COSTO]]</f>
        <v>2.7623673488179366</v>
      </c>
      <c r="H51" s="35">
        <v>60</v>
      </c>
    </row>
    <row r="52" spans="1:9">
      <c r="A52" s="30" t="s">
        <v>243</v>
      </c>
      <c r="B52" s="31" t="s">
        <v>244</v>
      </c>
      <c r="C52" s="32">
        <f>0.5*INDEX(MateriasPrimas[],MATCH("Azufre x Kg",MateriasPrimas[NOMBRE],0),3)</f>
        <v>925</v>
      </c>
      <c r="D52" s="33">
        <v>2</v>
      </c>
      <c r="E52" s="32">
        <f t="shared" si="2"/>
        <v>1850</v>
      </c>
      <c r="F52" s="32">
        <v>2000</v>
      </c>
      <c r="G52" s="34">
        <f>Costos[[#This Row],[PRECIO VENTA]]/Costos[[#This Row],[COSTO]]</f>
        <v>2.1621621621621623</v>
      </c>
      <c r="H52" s="35"/>
    </row>
    <row r="53" spans="1:9">
      <c r="A53" s="30" t="s">
        <v>245</v>
      </c>
      <c r="B53" s="31" t="s">
        <v>246</v>
      </c>
      <c r="C53" s="32">
        <f>INDEX(MateriasPrimas[],MATCH("Azufre x Kg",MateriasPrimas[NOMBRE],0),3)</f>
        <v>1850</v>
      </c>
      <c r="D53" s="33">
        <v>2</v>
      </c>
      <c r="E53" s="32">
        <f t="shared" si="2"/>
        <v>3700</v>
      </c>
      <c r="F53" s="32">
        <v>4000</v>
      </c>
      <c r="G53" s="34">
        <f>Costos[[#This Row],[PRECIO VENTA]]/Costos[[#This Row],[COSTO]]</f>
        <v>2.1621621621621623</v>
      </c>
      <c r="H53" s="35"/>
    </row>
    <row r="54" spans="1:9">
      <c r="A54" s="30" t="s">
        <v>247</v>
      </c>
      <c r="B54" s="31" t="s">
        <v>248</v>
      </c>
      <c r="C54" s="32">
        <f>0.2*INDEX(MateriasPrimas[],MATCH("Benzoato de sodio",MateriasPrimas[NOMBRE],0),3)</f>
        <v>1330</v>
      </c>
      <c r="D54" s="33">
        <v>1.5</v>
      </c>
      <c r="E54" s="32">
        <f t="shared" si="2"/>
        <v>1995</v>
      </c>
      <c r="F54" s="32">
        <v>5000</v>
      </c>
      <c r="G54" s="34">
        <f>Costos[[#This Row],[PRECIO VENTA]]/Costos[[#This Row],[COSTO]]</f>
        <v>3.7593984962406015</v>
      </c>
      <c r="H54" s="35">
        <v>200</v>
      </c>
    </row>
    <row r="55" spans="1:9">
      <c r="A55" s="30" t="s">
        <v>249</v>
      </c>
      <c r="B55" s="31" t="s">
        <v>250</v>
      </c>
      <c r="C55" s="32">
        <f>0.5*INDEX(MateriasPrimas[],MATCH("Benzoato de sodio",MateriasPrimas[NOMBRE],0),3)</f>
        <v>3325</v>
      </c>
      <c r="D55" s="33">
        <v>1.5</v>
      </c>
      <c r="E55" s="32">
        <f t="shared" si="2"/>
        <v>4987.5</v>
      </c>
      <c r="F55" s="32">
        <v>9500</v>
      </c>
      <c r="G55" s="34">
        <f>Costos[[#This Row],[PRECIO VENTA]]/Costos[[#This Row],[COSTO]]</f>
        <v>2.8571428571428572</v>
      </c>
      <c r="H55" s="35">
        <v>500</v>
      </c>
    </row>
    <row r="56" spans="1:9">
      <c r="A56" s="30" t="s">
        <v>251</v>
      </c>
      <c r="B56" s="31" t="s">
        <v>252</v>
      </c>
      <c r="C56" s="32">
        <f>0.2*INDEX(MateriasPrimas[],MATCH("Bicarbonato de Sodio",MateriasPrimas[NOMBRE],0),3)</f>
        <v>747.88000000000011</v>
      </c>
      <c r="D56" s="33">
        <v>1.5</v>
      </c>
      <c r="E56" s="32">
        <f t="shared" si="2"/>
        <v>1121.8200000000002</v>
      </c>
      <c r="F56" s="32">
        <v>1200</v>
      </c>
      <c r="G56" s="34">
        <f>Costos[[#This Row],[PRECIO VENTA]]/Costos[[#This Row],[COSTO]]</f>
        <v>1.60453548697652</v>
      </c>
      <c r="H56" s="35">
        <v>200</v>
      </c>
    </row>
    <row r="57" spans="1:9">
      <c r="A57" s="30" t="s">
        <v>253</v>
      </c>
      <c r="B57" s="31" t="s">
        <v>254</v>
      </c>
      <c r="C57" s="32">
        <f>0.5*INDEX(MateriasPrimas[],MATCH("Bicarbonato de Sodio",MateriasPrimas[NOMBRE],0),3)</f>
        <v>1869.7</v>
      </c>
      <c r="D57" s="33">
        <v>1.5</v>
      </c>
      <c r="E57" s="32">
        <f t="shared" si="2"/>
        <v>2804.55</v>
      </c>
      <c r="F57" s="32">
        <v>2500</v>
      </c>
      <c r="G57" s="34">
        <f>Costos[[#This Row],[PRECIO VENTA]]/Costos[[#This Row],[COSTO]]</f>
        <v>1.337112905813767</v>
      </c>
      <c r="H57" s="35">
        <v>500</v>
      </c>
    </row>
    <row r="58" spans="1:9">
      <c r="A58" s="30" t="s">
        <v>255</v>
      </c>
      <c r="B58" s="31" t="s">
        <v>256</v>
      </c>
      <c r="C58" s="32">
        <f>SUM(BlanqueadorDesinfectante[Costo(Kg)])</f>
        <v>1295.0131249999999</v>
      </c>
      <c r="D58" s="33">
        <v>2</v>
      </c>
      <c r="E58" s="32">
        <f t="shared" si="2"/>
        <v>2590.0262499999999</v>
      </c>
      <c r="F58" s="32">
        <v>2500</v>
      </c>
      <c r="G58" s="34">
        <f>Costos[[#This Row],[PRECIO VENTA]]/Costos[[#This Row],[COSTO]]</f>
        <v>1.9304823648022873</v>
      </c>
      <c r="H58" s="35"/>
    </row>
    <row r="59" spans="1:9">
      <c r="A59" s="30" t="s">
        <v>257</v>
      </c>
      <c r="B59" s="31" t="s">
        <v>258</v>
      </c>
      <c r="C59" s="32">
        <f>0.5*INDEX(Costos[],MATCH("Blanqueador Desinfectante (Granel)",Costos[PRODUCTO],0),3)+INDEX(MateriasPrimas[],MATCH("Envase 0,5L",MateriasPrimas[NOMBRE],0),3)+100</f>
        <v>1352.5065625</v>
      </c>
      <c r="D59" s="33">
        <v>1.5</v>
      </c>
      <c r="E59" s="32">
        <f t="shared" si="2"/>
        <v>2028.7598437500001</v>
      </c>
      <c r="F59" s="32">
        <v>2000</v>
      </c>
      <c r="G59" s="34">
        <f>Costos[[#This Row],[PRECIO VENTA]]/Costos[[#This Row],[COSTO]]</f>
        <v>1.4787358933794452</v>
      </c>
      <c r="H59" s="35">
        <v>500</v>
      </c>
    </row>
    <row r="60" spans="1:9">
      <c r="A60" s="30" t="s">
        <v>259</v>
      </c>
      <c r="B60" s="31" t="s">
        <v>260</v>
      </c>
      <c r="C60" s="32">
        <f>INDEX(Costos[],MATCH("Blanqueador Desinfectante (Granel)",Costos[PRODUCTO],0),3)+INDEX(MateriasPrimas[],MATCH("Envase 1L",MateriasPrimas[NOMBRE],0),3)+100</f>
        <v>2055.0131249999999</v>
      </c>
      <c r="D60" s="33">
        <v>1.5</v>
      </c>
      <c r="E60" s="32">
        <f t="shared" si="2"/>
        <v>3082.5196875000001</v>
      </c>
      <c r="F60" s="32">
        <v>3000</v>
      </c>
      <c r="G60" s="34">
        <f>Costos[[#This Row],[PRECIO VENTA]]/Costos[[#This Row],[COSTO]]</f>
        <v>1.4598446907729605</v>
      </c>
      <c r="H60" s="35">
        <v>1000</v>
      </c>
    </row>
    <row r="61" spans="1:9">
      <c r="A61" s="30" t="s">
        <v>261</v>
      </c>
      <c r="B61" s="31" t="s">
        <v>262</v>
      </c>
      <c r="C61" s="32">
        <f>20*INDEX(Costos[],MATCH("Blanqueador Desinfectante (Granel)",Costos[PRODUCTO],0),3)+INDEX(MateriasPrimas[],MATCH("Envase 20L",MateriasPrimas[NOMBRE],0),3)+100</f>
        <v>33150.262499999997</v>
      </c>
      <c r="D61" s="33">
        <v>1.5</v>
      </c>
      <c r="E61" s="32">
        <f t="shared" si="2"/>
        <v>49725.393749999996</v>
      </c>
      <c r="F61" s="32">
        <v>55000</v>
      </c>
      <c r="G61" s="34">
        <f>Costos[[#This Row],[PRECIO VENTA]]/Costos[[#This Row],[COSTO]]</f>
        <v>1.6591120507718455</v>
      </c>
      <c r="H61" s="35">
        <v>20000</v>
      </c>
      <c r="I61" s="37"/>
    </row>
    <row r="62" spans="1:9">
      <c r="A62" s="30" t="s">
        <v>263</v>
      </c>
      <c r="B62" s="31" t="s">
        <v>264</v>
      </c>
      <c r="C62" s="32">
        <f>2*INDEX(Costos[],MATCH("Blanqueador Desinfectante (Granel)",Costos[PRODUCTO],0),3)+INDEX(MateriasPrimas[],MATCH("Envase 2L",MateriasPrimas[NOMBRE],0),3)+100</f>
        <v>4010.0262499999999</v>
      </c>
      <c r="D62" s="33">
        <v>1.5</v>
      </c>
      <c r="E62" s="32">
        <f t="shared" si="2"/>
        <v>6015.0393750000003</v>
      </c>
      <c r="F62" s="32">
        <v>6500</v>
      </c>
      <c r="G62" s="34">
        <f>Costos[[#This Row],[PRECIO VENTA]]/Costos[[#This Row],[COSTO]]</f>
        <v>1.6209370200506792</v>
      </c>
      <c r="H62" s="35">
        <v>2000</v>
      </c>
    </row>
    <row r="63" spans="1:9">
      <c r="A63" s="30" t="s">
        <v>265</v>
      </c>
      <c r="B63" s="31" t="s">
        <v>266</v>
      </c>
      <c r="C63" s="32">
        <f>4*INDEX(Costos[],MATCH("Blanqueador Desinfectante (Granel)",Costos[PRODUCTO],0),3)+INDEX(MateriasPrimas[],MATCH("Envase 4L",MateriasPrimas[NOMBRE],0),3)+100</f>
        <v>6765.0524999999998</v>
      </c>
      <c r="D63" s="33">
        <v>1.5</v>
      </c>
      <c r="E63" s="32">
        <f t="shared" si="2"/>
        <v>10147.578750000001</v>
      </c>
      <c r="F63" s="32">
        <v>13000</v>
      </c>
      <c r="G63" s="34">
        <f>Costos[[#This Row],[PRECIO VENTA]]/Costos[[#This Row],[COSTO]]</f>
        <v>1.9216406672379853</v>
      </c>
      <c r="H63" s="35">
        <v>4000</v>
      </c>
    </row>
    <row r="64" spans="1:9">
      <c r="A64" s="30" t="s">
        <v>267</v>
      </c>
      <c r="B64" s="31" t="s">
        <v>268</v>
      </c>
      <c r="C64" s="32">
        <f>INDEX(MateriasPrimas[],MATCH("Doy pack x 1000ml",MateriasPrimas[NOMBRE],0),3)</f>
        <v>950</v>
      </c>
      <c r="D64" s="33">
        <v>1.5</v>
      </c>
      <c r="E64" s="32">
        <f t="shared" si="2"/>
        <v>1425</v>
      </c>
      <c r="F64" s="32">
        <v>1500</v>
      </c>
      <c r="G64" s="34">
        <f>Costos[[#This Row],[PRECIO VENTA]]/Costos[[#This Row],[COSTO]]</f>
        <v>1.5789473684210527</v>
      </c>
      <c r="H64" s="35"/>
    </row>
    <row r="65" spans="1:8">
      <c r="A65" s="30" t="s">
        <v>269</v>
      </c>
      <c r="B65" s="31" t="s">
        <v>270</v>
      </c>
      <c r="C65" s="32">
        <f>INDEX(MateriasPrimas[],MATCH("Doy pack x 500ml",MateriasPrimas[NOMBRE],0),3)</f>
        <v>800</v>
      </c>
      <c r="D65" s="33">
        <v>1.4</v>
      </c>
      <c r="E65" s="32">
        <f t="shared" si="2"/>
        <v>1120</v>
      </c>
      <c r="F65" s="32">
        <v>1000</v>
      </c>
      <c r="G65" s="34">
        <f>Costos[[#This Row],[PRECIO VENTA]]/Costos[[#This Row],[COSTO]]</f>
        <v>1.25</v>
      </c>
      <c r="H65" s="35"/>
    </row>
    <row r="66" spans="1:8">
      <c r="A66" s="30" t="s">
        <v>271</v>
      </c>
      <c r="B66" s="31" t="s">
        <v>272</v>
      </c>
      <c r="C66" s="32">
        <f>INDEX(MateriasPrimas[],MATCH("Borax",MateriasPrimas[NOMBRE],0),3)</f>
        <v>7850</v>
      </c>
      <c r="D66" s="33">
        <v>1.5</v>
      </c>
      <c r="E66" s="32">
        <f t="shared" si="2"/>
        <v>11775</v>
      </c>
      <c r="F66" s="32">
        <v>10000</v>
      </c>
      <c r="G66" s="34">
        <f>Costos[[#This Row],[PRECIO VENTA]]/Costos[[#This Row],[COSTO]]</f>
        <v>1.2738853503184713</v>
      </c>
      <c r="H66" s="35">
        <v>1000</v>
      </c>
    </row>
    <row r="67" spans="1:8">
      <c r="A67" s="30" t="s">
        <v>273</v>
      </c>
      <c r="B67" s="31" t="s">
        <v>274</v>
      </c>
      <c r="C67" s="32">
        <f>SUM(CeraAutobrillante[Costo (Kg)])</f>
        <v>6844.2999999999993</v>
      </c>
      <c r="D67" s="33">
        <v>2</v>
      </c>
      <c r="E67" s="32">
        <f t="shared" si="2"/>
        <v>13688.599999999999</v>
      </c>
      <c r="F67" s="32">
        <v>10000</v>
      </c>
      <c r="G67" s="34">
        <f>Costos[[#This Row],[PRECIO VENTA]]/Costos[[#This Row],[COSTO]]</f>
        <v>1.4610697953041218</v>
      </c>
      <c r="H67" s="35"/>
    </row>
    <row r="68" spans="1:8">
      <c r="A68" s="30" t="s">
        <v>275</v>
      </c>
      <c r="B68" s="31" t="s">
        <v>276</v>
      </c>
      <c r="C68" s="32">
        <f>0.5*INDEX(Costos[],MATCH("Cera Autobrillante (Granel) ",Costos[PRODUCTO],0),3)+INDEX(MateriasPrimas[],MATCH("Envase Atomizador x 500ml",MateriasPrimas[NOMBRE],0),3)+100</f>
        <v>4622.1499999999996</v>
      </c>
      <c r="D68" s="33">
        <v>2</v>
      </c>
      <c r="E68" s="32">
        <f t="shared" si="2"/>
        <v>9244.2999999999993</v>
      </c>
      <c r="F68" s="32">
        <v>8500</v>
      </c>
      <c r="G68" s="34">
        <f>Costos[[#This Row],[PRECIO VENTA]]/Costos[[#This Row],[COSTO]]</f>
        <v>1.838971041614833</v>
      </c>
      <c r="H68" s="35">
        <v>500</v>
      </c>
    </row>
    <row r="69" spans="1:8">
      <c r="A69" s="30" t="s">
        <v>277</v>
      </c>
      <c r="B69" s="31" t="s">
        <v>278</v>
      </c>
      <c r="C69" s="32">
        <f>0.12*INDEX(Costos[],MATCH("Cera Autobrillante (Granel) ",Costos[PRODUCTO],0),3)+INDEX(MateriasPrimas[],MATCH("Envase Bomba x 120ml",MateriasPrimas[NOMBRE],0),3)+100</f>
        <v>1823.316</v>
      </c>
      <c r="D69" s="33">
        <v>2</v>
      </c>
      <c r="E69" s="32">
        <f t="shared" si="2"/>
        <v>3646.6320000000001</v>
      </c>
      <c r="F69" s="32">
        <v>3500</v>
      </c>
      <c r="G69" s="34">
        <f>Costos[[#This Row],[PRECIO VENTA]]/Costos[[#This Row],[COSTO]]</f>
        <v>1.9195794914320941</v>
      </c>
      <c r="H69" s="35">
        <v>120</v>
      </c>
    </row>
    <row r="70" spans="1:8">
      <c r="A70" s="30" t="s">
        <v>279</v>
      </c>
      <c r="B70" s="31" t="s">
        <v>280</v>
      </c>
      <c r="C70" s="32">
        <f>0.25*INDEX(Costos[],MATCH("Cera Autobrillante (Granel) ",Costos[PRODUCTO],0),3)+INDEX(MateriasPrimas[],MATCH("Envase Bomba x 250ml",MateriasPrimas[NOMBRE],0),3)+100</f>
        <v>2911.0749999999998</v>
      </c>
      <c r="D70" s="33">
        <v>2</v>
      </c>
      <c r="E70" s="32">
        <f t="shared" si="2"/>
        <v>5822.15</v>
      </c>
      <c r="F70" s="32">
        <v>5000</v>
      </c>
      <c r="G70" s="34">
        <f>Costos[[#This Row],[PRECIO VENTA]]/Costos[[#This Row],[COSTO]]</f>
        <v>1.7175785577492853</v>
      </c>
      <c r="H70" s="35">
        <v>250</v>
      </c>
    </row>
    <row r="71" spans="1:8">
      <c r="A71" s="30" t="s">
        <v>281</v>
      </c>
      <c r="B71" s="31" t="s">
        <v>282</v>
      </c>
      <c r="C71" s="32">
        <f>0.8*INDEX(Costos[],MATCH("Cera Autobrillante (Granel) ",Costos[PRODUCTO],0),3)+INDEX(MateriasPrimas[],MATCH("Envase 800ml",MateriasPrimas[NOMBRE],0),3)+100</f>
        <v>6125.44</v>
      </c>
      <c r="D71" s="33">
        <v>2</v>
      </c>
      <c r="E71" s="32">
        <f t="shared" si="2"/>
        <v>12250.88</v>
      </c>
      <c r="F71" s="32">
        <v>10000</v>
      </c>
      <c r="G71" s="34">
        <f>Costos[[#This Row],[PRECIO VENTA]]/Costos[[#This Row],[COSTO]]</f>
        <v>1.6325357851844113</v>
      </c>
      <c r="H71" s="35">
        <v>800</v>
      </c>
    </row>
    <row r="72" spans="1:8">
      <c r="A72" s="30" t="s">
        <v>283</v>
      </c>
      <c r="B72" s="31" t="s">
        <v>284</v>
      </c>
      <c r="C72" s="32">
        <f>INDEX(Costos[],MATCH("Cera Autobrillante (Granel) ",Costos[PRODUCTO],0),3)+INDEX(MateriasPrimas[],MATCH("Envase 1L",MateriasPrimas[NOMBRE],0),3)+100</f>
        <v>7604.2999999999993</v>
      </c>
      <c r="D72" s="33">
        <v>2</v>
      </c>
      <c r="E72" s="32">
        <f t="shared" si="2"/>
        <v>15208.599999999999</v>
      </c>
      <c r="F72" s="32">
        <v>13000</v>
      </c>
      <c r="G72" s="34">
        <f>Costos[[#This Row],[PRECIO VENTA]]/Costos[[#This Row],[COSTO]]</f>
        <v>1.7095590652657051</v>
      </c>
      <c r="H72" s="35">
        <v>1000</v>
      </c>
    </row>
    <row r="73" spans="1:8">
      <c r="A73" s="30" t="s">
        <v>285</v>
      </c>
      <c r="B73" s="31" t="s">
        <v>286</v>
      </c>
      <c r="C73" s="32">
        <f>2*INDEX(Costos[],MATCH("Cera Autobrillante (Granel) ",Costos[PRODUCTO],0),3)+INDEX(MateriasPrimas[],MATCH("Envase 2L",MateriasPrimas[NOMBRE],0),3)+100</f>
        <v>15108.599999999999</v>
      </c>
      <c r="D73" s="33">
        <v>2</v>
      </c>
      <c r="E73" s="32">
        <f t="shared" si="2"/>
        <v>30217.199999999997</v>
      </c>
      <c r="F73" s="32">
        <v>25000</v>
      </c>
      <c r="G73" s="34">
        <f>Costos[[#This Row],[PRECIO VENTA]]/Costos[[#This Row],[COSTO]]</f>
        <v>1.6546867347073853</v>
      </c>
      <c r="H73" s="35">
        <v>2000</v>
      </c>
    </row>
    <row r="74" spans="1:8">
      <c r="A74" s="30" t="s">
        <v>287</v>
      </c>
      <c r="B74" s="31" t="s">
        <v>288</v>
      </c>
      <c r="C74" s="32">
        <f>4*INDEX(Costos[],MATCH("Cera Autobrillante (Granel) ",Costos[PRODUCTO],0),3)+INDEX(MateriasPrimas[],MATCH("Envase 4L",MateriasPrimas[NOMBRE],0),3)+100</f>
        <v>28962.199999999997</v>
      </c>
      <c r="D74" s="33">
        <v>2</v>
      </c>
      <c r="E74" s="32">
        <f t="shared" si="2"/>
        <v>57924.399999999994</v>
      </c>
      <c r="F74" s="32">
        <v>48000</v>
      </c>
      <c r="G74" s="34">
        <f>Costos[[#This Row],[PRECIO VENTA]]/Costos[[#This Row],[COSTO]]</f>
        <v>1.6573326611928654</v>
      </c>
      <c r="H74" s="35">
        <v>4000</v>
      </c>
    </row>
    <row r="75" spans="1:8">
      <c r="A75" s="30" t="s">
        <v>289</v>
      </c>
      <c r="B75" s="31" t="s">
        <v>290</v>
      </c>
      <c r="C75" s="32">
        <v>300</v>
      </c>
      <c r="D75" s="33">
        <v>2</v>
      </c>
      <c r="E75" s="32">
        <f t="shared" si="2"/>
        <v>600</v>
      </c>
      <c r="F75" s="32">
        <v>500</v>
      </c>
      <c r="G75" s="34">
        <f>Costos[[#This Row],[PRECIO VENTA]]/Costos[[#This Row],[COSTO]]</f>
        <v>1.6666666666666667</v>
      </c>
      <c r="H75" s="35"/>
    </row>
    <row r="76" spans="1:8">
      <c r="A76" s="30" t="s">
        <v>291</v>
      </c>
      <c r="B76" s="31" t="s">
        <v>292</v>
      </c>
      <c r="C76" s="32">
        <f>2*INDEX(MateriasPrimas[],MATCH("Cloro 70%",MateriasPrimas[NOMBRE],0),3)</f>
        <v>14950</v>
      </c>
      <c r="D76" s="33">
        <v>1.25</v>
      </c>
      <c r="E76" s="32">
        <f t="shared" si="2"/>
        <v>18687.5</v>
      </c>
      <c r="F76" s="32">
        <v>22000</v>
      </c>
      <c r="G76" s="34">
        <f>Costos[[#This Row],[PRECIO VENTA]]/Costos[[#This Row],[COSTO]]</f>
        <v>1.471571906354515</v>
      </c>
      <c r="H76" s="35">
        <v>2000</v>
      </c>
    </row>
    <row r="77" spans="1:8">
      <c r="A77" s="30" t="s">
        <v>293</v>
      </c>
      <c r="B77" s="31" t="s">
        <v>294</v>
      </c>
      <c r="C77" s="32">
        <f>0.5*INDEX(MateriasPrimas[],MATCH("Cloro 70%",MateriasPrimas[NOMBRE],0),3)</f>
        <v>3737.5</v>
      </c>
      <c r="D77" s="33">
        <v>1.25</v>
      </c>
      <c r="E77" s="32">
        <f t="shared" si="2"/>
        <v>4671.875</v>
      </c>
      <c r="F77" s="32">
        <v>5500</v>
      </c>
      <c r="G77" s="34">
        <f>Costos[[#This Row],[PRECIO VENTA]]/Costos[[#This Row],[COSTO]]</f>
        <v>1.471571906354515</v>
      </c>
      <c r="H77" s="35">
        <v>500</v>
      </c>
    </row>
    <row r="78" spans="1:8">
      <c r="A78" s="30" t="s">
        <v>295</v>
      </c>
      <c r="B78" s="31" t="s">
        <v>296</v>
      </c>
      <c r="C78" s="32">
        <f>INDEX(MateriasPrimas[],MATCH("Cloro 70%",MateriasPrimas[NOMBRE],0),3)</f>
        <v>7475</v>
      </c>
      <c r="D78" s="33">
        <v>1.25</v>
      </c>
      <c r="E78" s="32">
        <f t="shared" si="2"/>
        <v>9343.75</v>
      </c>
      <c r="F78" s="32">
        <v>11000</v>
      </c>
      <c r="G78" s="34">
        <f>Costos[[#This Row],[PRECIO VENTA]]/Costos[[#This Row],[COSTO]]</f>
        <v>1.471571906354515</v>
      </c>
      <c r="H78" s="35">
        <v>1000</v>
      </c>
    </row>
    <row r="79" spans="1:8">
      <c r="A79" s="30" t="s">
        <v>297</v>
      </c>
      <c r="B79" s="31" t="s">
        <v>298</v>
      </c>
      <c r="C79" s="32">
        <f>INDEX(MateriasPrimas[],MATCH("Cloruro de magnesio",MateriasPrimas[NOMBRE],0),3)</f>
        <v>10451</v>
      </c>
      <c r="D79" s="33">
        <v>1.5</v>
      </c>
      <c r="E79" s="32">
        <f t="shared" si="2"/>
        <v>15676.5</v>
      </c>
      <c r="F79" s="32">
        <v>20000</v>
      </c>
      <c r="G79" s="34">
        <f>Costos[[#This Row],[PRECIO VENTA]]/Costos[[#This Row],[COSTO]]</f>
        <v>1.9136924696201321</v>
      </c>
      <c r="H79" s="35"/>
    </row>
    <row r="80" spans="1:8">
      <c r="A80" s="30" t="s">
        <v>299</v>
      </c>
      <c r="B80" s="31" t="s">
        <v>300</v>
      </c>
      <c r="C80" s="32">
        <f>0.25*INDEX(MateriasPrimas[],MATCH("Cloruro de magnesio",MateriasPrimas[NOMBRE],0),3)</f>
        <v>2612.75</v>
      </c>
      <c r="D80" s="33">
        <v>1.5</v>
      </c>
      <c r="E80" s="32">
        <f t="shared" si="2"/>
        <v>3919.125</v>
      </c>
      <c r="F80" s="32">
        <v>5000</v>
      </c>
      <c r="G80" s="34">
        <f>Costos[[#This Row],[PRECIO VENTA]]/Costos[[#This Row],[COSTO]]</f>
        <v>1.9136924696201321</v>
      </c>
      <c r="H80" s="35">
        <v>250</v>
      </c>
    </row>
    <row r="81" spans="1:8">
      <c r="A81" s="30" t="s">
        <v>301</v>
      </c>
      <c r="B81" s="31" t="s">
        <v>302</v>
      </c>
      <c r="C81" s="32">
        <f>0.03*INDEX(MateriasPrimas[],MATCH("Cloruro de magnesio",MateriasPrimas[NOMBRE],0),3)</f>
        <v>313.52999999999997</v>
      </c>
      <c r="D81" s="33">
        <v>1.5</v>
      </c>
      <c r="E81" s="32">
        <f t="shared" si="2"/>
        <v>470.29499999999996</v>
      </c>
      <c r="F81" s="32">
        <v>1000</v>
      </c>
      <c r="G81" s="34">
        <f>Costos[[#This Row],[PRECIO VENTA]]/Costos[[#This Row],[COSTO]]</f>
        <v>3.189487449366887</v>
      </c>
      <c r="H81" s="35">
        <v>33</v>
      </c>
    </row>
    <row r="82" spans="1:8">
      <c r="A82" s="30" t="s">
        <v>303</v>
      </c>
      <c r="B82" s="31" t="s">
        <v>304</v>
      </c>
      <c r="C82" s="32">
        <f>0.5*INDEX(MateriasPrimas[],MATCH("Cloruro de magnesio",MateriasPrimas[NOMBRE],0),3)</f>
        <v>5225.5</v>
      </c>
      <c r="D82" s="33">
        <v>1.5</v>
      </c>
      <c r="E82" s="32">
        <f t="shared" ref="E82:E113" si="3">C82*D82</f>
        <v>7838.25</v>
      </c>
      <c r="F82" s="32">
        <v>10000</v>
      </c>
      <c r="G82" s="34">
        <f>Costos[[#This Row],[PRECIO VENTA]]/Costos[[#This Row],[COSTO]]</f>
        <v>1.9136924696201321</v>
      </c>
      <c r="H82" s="35">
        <v>500</v>
      </c>
    </row>
    <row r="83" spans="1:8">
      <c r="A83" s="30" t="s">
        <v>305</v>
      </c>
      <c r="B83" s="31" t="s">
        <v>306</v>
      </c>
      <c r="C83" s="32">
        <f>SUM(Creolina[Costo (Kg)])</f>
        <v>2865.61175</v>
      </c>
      <c r="D83" s="33">
        <v>2</v>
      </c>
      <c r="E83" s="32">
        <f t="shared" si="3"/>
        <v>5731.2235000000001</v>
      </c>
      <c r="F83" s="32">
        <v>8000</v>
      </c>
      <c r="G83" s="34">
        <f>Costos[[#This Row],[PRECIO VENTA]]/Costos[[#This Row],[COSTO]]</f>
        <v>2.7917250129924263</v>
      </c>
      <c r="H83" s="35"/>
    </row>
    <row r="84" spans="1:8">
      <c r="A84" s="30" t="s">
        <v>307</v>
      </c>
      <c r="B84" s="31" t="s">
        <v>308</v>
      </c>
      <c r="C84" s="32">
        <f>INDEX(Costos[],MATCH("Creolina (Granel)",Costos[PRODUCTO],0),3)+INDEX(MateriasPrimas[],MATCH("Envase 1L",MateriasPrimas[NOMBRE],0),3)+100</f>
        <v>3625.61175</v>
      </c>
      <c r="D84" s="33">
        <v>2</v>
      </c>
      <c r="E84" s="32">
        <f t="shared" si="3"/>
        <v>7251.2235000000001</v>
      </c>
      <c r="F84" s="32">
        <v>10000</v>
      </c>
      <c r="G84" s="34">
        <f>Costos[[#This Row],[PRECIO VENTA]]/Costos[[#This Row],[COSTO]]</f>
        <v>2.7581552271833849</v>
      </c>
      <c r="H84" s="35">
        <v>1000</v>
      </c>
    </row>
    <row r="85" spans="1:8">
      <c r="A85" s="30" t="s">
        <v>309</v>
      </c>
      <c r="B85" s="31" t="s">
        <v>310</v>
      </c>
      <c r="C85" s="32">
        <f>0.12*INDEX(Costos[],MATCH("Creolina (Granel)",Costos[PRODUCTO],0),3)+INDEX(MateriasPrimas[],MATCH("Envase Ambar x 250 ml",MateriasPrimas[NOMBRE],0),3)+100</f>
        <v>938.87341000000004</v>
      </c>
      <c r="D85" s="33">
        <v>2</v>
      </c>
      <c r="E85" s="32">
        <f t="shared" si="3"/>
        <v>1877.7468200000001</v>
      </c>
      <c r="F85" s="32">
        <v>2000</v>
      </c>
      <c r="G85" s="34">
        <f>Costos[[#This Row],[PRECIO VENTA]]/Costos[[#This Row],[COSTO]]</f>
        <v>2.1302126343103058</v>
      </c>
      <c r="H85" s="35">
        <v>120</v>
      </c>
    </row>
    <row r="86" spans="1:8">
      <c r="A86" s="30" t="s">
        <v>311</v>
      </c>
      <c r="B86" s="31" t="s">
        <v>312</v>
      </c>
      <c r="C86" s="32">
        <f>0.25*INDEX(Costos[],MATCH("Creolina (Granel)",Costos[PRODUCTO],0),3)+INDEX(MateriasPrimas[],MATCH("Envase Ambar x 250 ml",MateriasPrimas[NOMBRE],0),3)+100</f>
        <v>1311.4029375</v>
      </c>
      <c r="D86" s="33">
        <v>2</v>
      </c>
      <c r="E86" s="32">
        <f t="shared" si="3"/>
        <v>2622.805875</v>
      </c>
      <c r="F86" s="32">
        <v>3500</v>
      </c>
      <c r="G86" s="34">
        <f>Costos[[#This Row],[PRECIO VENTA]]/Costos[[#This Row],[COSTO]]</f>
        <v>2.6688974836919641</v>
      </c>
      <c r="H86" s="35">
        <v>250</v>
      </c>
    </row>
    <row r="87" spans="1:8">
      <c r="A87" s="30" t="s">
        <v>313</v>
      </c>
      <c r="B87" s="31" t="s">
        <v>314</v>
      </c>
      <c r="C87" s="32">
        <f>4*INDEX(Costos[],MATCH("Creolina (Granel)",Costos[PRODUCTO],0),3)+INDEX(MateriasPrimas[],MATCH("Envase 4L",MateriasPrimas[NOMBRE],0),3)+100</f>
        <v>13047.447</v>
      </c>
      <c r="D87" s="33">
        <v>2</v>
      </c>
      <c r="E87" s="32">
        <f t="shared" si="3"/>
        <v>26094.894</v>
      </c>
      <c r="F87" s="32">
        <v>35000</v>
      </c>
      <c r="G87" s="34">
        <f>Costos[[#This Row],[PRECIO VENTA]]/Costos[[#This Row],[COSTO]]</f>
        <v>2.6825171238480601</v>
      </c>
      <c r="H87" s="35">
        <v>4000</v>
      </c>
    </row>
    <row r="88" spans="1:8">
      <c r="A88" s="30" t="s">
        <v>315</v>
      </c>
      <c r="B88" s="31" t="s">
        <v>316</v>
      </c>
      <c r="C88" s="32">
        <f>0.5*INDEX(Costos[],MATCH("Creolina (Granel)",Costos[PRODUCTO],0),3)+INDEX(MateriasPrimas[],MATCH("Envase 0,5L",MateriasPrimas[NOMBRE],0),3)+100</f>
        <v>2137.805875</v>
      </c>
      <c r="D88" s="33">
        <v>2</v>
      </c>
      <c r="E88" s="32">
        <f t="shared" si="3"/>
        <v>4275.61175</v>
      </c>
      <c r="F88" s="32">
        <v>5000</v>
      </c>
      <c r="G88" s="34">
        <f>Costos[[#This Row],[PRECIO VENTA]]/Costos[[#This Row],[COSTO]]</f>
        <v>2.3388465989691416</v>
      </c>
      <c r="H88" s="35">
        <v>500</v>
      </c>
    </row>
    <row r="89" spans="1:8">
      <c r="A89" s="30" t="s">
        <v>317</v>
      </c>
      <c r="B89" s="31" t="s">
        <v>318</v>
      </c>
      <c r="C89" s="32">
        <f>SUM(Desencrustante[Costo (Kg)])</f>
        <v>1059.95</v>
      </c>
      <c r="D89" s="33">
        <v>5</v>
      </c>
      <c r="E89" s="32">
        <f t="shared" si="3"/>
        <v>5299.75</v>
      </c>
      <c r="F89" s="32">
        <v>8000</v>
      </c>
      <c r="G89" s="34">
        <f>Costos[[#This Row],[PRECIO VENTA]]/Costos[[#This Row],[COSTO]]</f>
        <v>7.5475258266899381</v>
      </c>
      <c r="H89" s="35"/>
    </row>
    <row r="90" spans="1:8">
      <c r="A90" s="30" t="s">
        <v>319</v>
      </c>
      <c r="B90" s="31" t="s">
        <v>320</v>
      </c>
      <c r="C90" s="32">
        <f>20*INDEX(Costos[],MATCH("Desencrustante (Granel)",Costos[PRODUCTO],0),3)+INDEX(MateriasPrimas[],MATCH("Envase 20L",MateriasPrimas[NOMBRE],0),3)+100</f>
        <v>28449</v>
      </c>
      <c r="D90" s="33">
        <v>1.5</v>
      </c>
      <c r="E90" s="32">
        <f t="shared" si="3"/>
        <v>42673.5</v>
      </c>
      <c r="F90" s="32">
        <v>140000</v>
      </c>
      <c r="G90" s="34">
        <f>Costos[[#This Row],[PRECIO VENTA]]/Costos[[#This Row],[COSTO]]</f>
        <v>4.9210868571830293</v>
      </c>
      <c r="H90" s="35">
        <v>20000</v>
      </c>
    </row>
    <row r="91" spans="1:8">
      <c r="A91" s="30" t="s">
        <v>321</v>
      </c>
      <c r="B91" s="31" t="s">
        <v>322</v>
      </c>
      <c r="C91" s="32">
        <f>4*INDEX(Costos[],MATCH("Desencrustante (Granel)",Costos[PRODUCTO],0),3)+INDEX(MateriasPrimas[],MATCH("Envase 4L",MateriasPrimas[NOMBRE],0),3)+100</f>
        <v>5824.8</v>
      </c>
      <c r="D91" s="33">
        <v>4</v>
      </c>
      <c r="E91" s="32">
        <f t="shared" si="3"/>
        <v>23299.200000000001</v>
      </c>
      <c r="F91" s="32">
        <v>28600</v>
      </c>
      <c r="G91" s="34">
        <f>Costos[[#This Row],[PRECIO VENTA]]/Costos[[#This Row],[COSTO]]</f>
        <v>4.9100398296937229</v>
      </c>
      <c r="H91" s="35">
        <v>4000</v>
      </c>
    </row>
    <row r="92" spans="1:8">
      <c r="A92" s="38" t="s">
        <v>323</v>
      </c>
      <c r="B92" s="31" t="s">
        <v>324</v>
      </c>
      <c r="C92" s="32">
        <f>SUM(DesengrasanteEspumoso[Costo (Kg)])</f>
        <v>2106.1820000000002</v>
      </c>
      <c r="D92" s="39">
        <v>3.5</v>
      </c>
      <c r="E92" s="32">
        <f t="shared" si="3"/>
        <v>7371.6370000000006</v>
      </c>
      <c r="F92" s="32">
        <v>7000</v>
      </c>
      <c r="G92" s="34">
        <f>Costos[[#This Row],[PRECIO VENTA]]/Costos[[#This Row],[COSTO]]</f>
        <v>3.3235494368482872</v>
      </c>
      <c r="H92" s="35"/>
    </row>
    <row r="93" spans="1:8">
      <c r="A93" s="38" t="s">
        <v>325</v>
      </c>
      <c r="B93" s="31" t="s">
        <v>326</v>
      </c>
      <c r="C93" s="32">
        <f>0.5*INDEX(Costos[],MATCH("Desengrasante Manchas Dificiles (Granel)",Costos[PRODUCTO],0),3)+INDEX(MateriasPrimas[],MATCH("Envase 0,5L",MateriasPrimas[NOMBRE],0),3)+100</f>
        <v>1758.0910000000001</v>
      </c>
      <c r="D93" s="39">
        <v>3.5</v>
      </c>
      <c r="E93" s="32">
        <f t="shared" si="3"/>
        <v>6153.3185000000003</v>
      </c>
      <c r="F93" s="32">
        <v>4500</v>
      </c>
      <c r="G93" s="34">
        <f>Costos[[#This Row],[PRECIO VENTA]]/Costos[[#This Row],[COSTO]]</f>
        <v>2.5595944692282706</v>
      </c>
      <c r="H93" s="35">
        <v>500</v>
      </c>
    </row>
    <row r="94" spans="1:8">
      <c r="A94" s="38" t="s">
        <v>327</v>
      </c>
      <c r="B94" s="31" t="s">
        <v>328</v>
      </c>
      <c r="C94" s="32">
        <f>0.8*INDEX(Costos[],MATCH("Desengrasante Manchas Dificiles (Granel)",Costos[PRODUCTO],0),3)+INDEX(MateriasPrimas[],MATCH("Envase 800ml",MateriasPrimas[NOMBRE],0),3)+100</f>
        <v>2334.9456</v>
      </c>
      <c r="D94" s="39">
        <v>3.5</v>
      </c>
      <c r="E94" s="32">
        <f t="shared" si="3"/>
        <v>8172.3096000000005</v>
      </c>
      <c r="F94" s="32">
        <v>7000</v>
      </c>
      <c r="G94" s="34">
        <f>Costos[[#This Row],[PRECIO VENTA]]/Costos[[#This Row],[COSTO]]</f>
        <v>2.9979285170498189</v>
      </c>
      <c r="H94" s="35">
        <v>800</v>
      </c>
    </row>
    <row r="95" spans="1:8">
      <c r="A95" s="38" t="s">
        <v>329</v>
      </c>
      <c r="B95" s="31" t="s">
        <v>330</v>
      </c>
      <c r="C95" s="32">
        <f>1*INDEX(Costos[],MATCH("Desengrasante Manchas Dificiles (Granel)",Costos[PRODUCTO],0),3)+INDEX(MateriasPrimas[],MATCH("Envase 1L",MateriasPrimas[NOMBRE],0),3)+100</f>
        <v>2866.1820000000002</v>
      </c>
      <c r="D95" s="39">
        <v>3.5</v>
      </c>
      <c r="E95" s="32">
        <f t="shared" si="3"/>
        <v>10031.637000000001</v>
      </c>
      <c r="F95" s="32">
        <v>9000</v>
      </c>
      <c r="G95" s="34">
        <f>Costos[[#This Row],[PRECIO VENTA]]/Costos[[#This Row],[COSTO]]</f>
        <v>3.1400657739110773</v>
      </c>
      <c r="H95" s="35">
        <v>1000</v>
      </c>
    </row>
    <row r="96" spans="1:8">
      <c r="A96" s="38" t="s">
        <v>331</v>
      </c>
      <c r="B96" s="31" t="s">
        <v>332</v>
      </c>
      <c r="C96" s="32">
        <f>2*INDEX(Costos[],MATCH("Desengrasante Manchas Dificiles (Granel)",Costos[PRODUCTO],0),3)+INDEX(MateriasPrimas[],MATCH("Envase 2L",MateriasPrimas[NOMBRE],0),3)+100</f>
        <v>5632.3640000000005</v>
      </c>
      <c r="D96" s="39">
        <v>3.5</v>
      </c>
      <c r="E96" s="32">
        <f t="shared" si="3"/>
        <v>19713.274000000001</v>
      </c>
      <c r="F96" s="32">
        <v>17000</v>
      </c>
      <c r="G96" s="34">
        <f>Costos[[#This Row],[PRECIO VENTA]]/Costos[[#This Row],[COSTO]]</f>
        <v>3.0182708361888539</v>
      </c>
      <c r="H96" s="35">
        <v>2000</v>
      </c>
    </row>
    <row r="97" spans="1:8">
      <c r="A97" s="38" t="s">
        <v>333</v>
      </c>
      <c r="B97" s="31" t="s">
        <v>334</v>
      </c>
      <c r="C97" s="32">
        <f>4*INDEX(Costos[],MATCH("Desengrasante Manchas Dificiles (Granel)",Costos[PRODUCTO],0),3)+INDEX(MateriasPrimas[],MATCH("Envase 4L",MateriasPrimas[NOMBRE],0),3)+100</f>
        <v>10009.728000000001</v>
      </c>
      <c r="D97" s="39">
        <v>3.5</v>
      </c>
      <c r="E97" s="32">
        <f t="shared" si="3"/>
        <v>35034.048000000003</v>
      </c>
      <c r="F97" s="32">
        <v>32000</v>
      </c>
      <c r="G97" s="34">
        <f>Costos[[#This Row],[PRECIO VENTA]]/Costos[[#This Row],[COSTO]]</f>
        <v>3.1968900653444328</v>
      </c>
      <c r="H97" s="35">
        <v>4000</v>
      </c>
    </row>
    <row r="98" spans="1:8">
      <c r="A98" s="38" t="s">
        <v>335</v>
      </c>
      <c r="B98" s="31" t="s">
        <v>336</v>
      </c>
      <c r="C98" s="32">
        <f>20*INDEX(Costos[],MATCH("Desengrasante Manchas Dificiles (Granel)",Costos[PRODUCTO],0),3)+INDEX(MateriasPrimas[],MATCH("Envase 20L",MateriasPrimas[NOMBRE],0),3)+100</f>
        <v>49373.640000000007</v>
      </c>
      <c r="D98" s="39">
        <v>3.5</v>
      </c>
      <c r="E98" s="32">
        <f t="shared" si="3"/>
        <v>172807.74000000002</v>
      </c>
      <c r="F98" s="32">
        <v>125000</v>
      </c>
      <c r="G98" s="34">
        <f>Costos[[#This Row],[PRECIO VENTA]]/Costos[[#This Row],[COSTO]]</f>
        <v>2.5317153039557136</v>
      </c>
      <c r="H98" s="35">
        <v>20000</v>
      </c>
    </row>
    <row r="99" spans="1:8">
      <c r="A99" s="30" t="s">
        <v>337</v>
      </c>
      <c r="B99" s="31" t="s">
        <v>338</v>
      </c>
      <c r="C99" s="32">
        <f>0.05*INDEX(MateriasPrimas[],MATCH("Amonio Cuaternario",MateriasPrimas[NOMBRE],0),3) + INDEX(MateriasPrimas[],MATCH("Envase Atomizador x 500ml",MateriasPrimas[NOMBRE],0),3)</f>
        <v>1643.375</v>
      </c>
      <c r="D99" s="33">
        <v>2</v>
      </c>
      <c r="E99" s="32">
        <f t="shared" si="3"/>
        <v>3286.75</v>
      </c>
      <c r="F99" s="32">
        <v>4000</v>
      </c>
      <c r="G99" s="34">
        <f>Costos[[#This Row],[PRECIO VENTA]]/Costos[[#This Row],[COSTO]]</f>
        <v>2.43401536472199</v>
      </c>
      <c r="H99" s="35"/>
    </row>
    <row r="100" spans="1:8">
      <c r="A100" s="30" t="s">
        <v>339</v>
      </c>
      <c r="B100" s="31" t="s">
        <v>340</v>
      </c>
      <c r="C100" s="32">
        <f>SUM(DesmanchadorRopaColor[Costo (Kg)])</f>
        <v>1354.4096666666667</v>
      </c>
      <c r="D100" s="33">
        <v>1.5</v>
      </c>
      <c r="E100" s="32">
        <f t="shared" si="3"/>
        <v>2031.6145000000001</v>
      </c>
      <c r="F100" s="32">
        <v>3500</v>
      </c>
      <c r="G100" s="34">
        <f>Costos[[#This Row],[PRECIO VENTA]]/Costos[[#This Row],[COSTO]]</f>
        <v>2.5841516685375105</v>
      </c>
      <c r="H100" s="35"/>
    </row>
    <row r="101" spans="1:8">
      <c r="A101" s="30" t="s">
        <v>341</v>
      </c>
      <c r="B101" s="31" t="s">
        <v>342</v>
      </c>
      <c r="C101" s="32">
        <f>0.5*INDEX(Costos[],MATCH("Desmanchador Ropa Color (Granel)",Costos[PRODUCTO],0),3)+INDEX(MateriasPrimas[],MATCH("Envase 0,5L",MateriasPrimas[NOMBRE],0),3)+100</f>
        <v>1382.2048333333332</v>
      </c>
      <c r="D101" s="33">
        <v>1.5</v>
      </c>
      <c r="E101" s="32">
        <f t="shared" si="3"/>
        <v>2073.3072499999998</v>
      </c>
      <c r="F101" s="32">
        <v>2500</v>
      </c>
      <c r="G101" s="34">
        <f>Costos[[#This Row],[PRECIO VENTA]]/Costos[[#This Row],[COSTO]]</f>
        <v>1.8087044262252978</v>
      </c>
      <c r="H101" s="35">
        <v>500</v>
      </c>
    </row>
    <row r="102" spans="1:8">
      <c r="A102" s="30" t="s">
        <v>343</v>
      </c>
      <c r="B102" s="31" t="s">
        <v>344</v>
      </c>
      <c r="C102" s="32">
        <f>INDEX(Costos[],MATCH("Desmanchador Ropa Color (Granel)",Costos[PRODUCTO],0),3)+INDEX(MateriasPrimas[],MATCH("Envase 800ml",MateriasPrimas[NOMBRE],0),3)+100</f>
        <v>2004.4096666666667</v>
      </c>
      <c r="D102" s="33">
        <v>1.5</v>
      </c>
      <c r="E102" s="32">
        <f t="shared" si="3"/>
        <v>3006.6145000000001</v>
      </c>
      <c r="F102" s="32">
        <v>3500</v>
      </c>
      <c r="G102" s="34">
        <f>Costos[[#This Row],[PRECIO VENTA]]/Costos[[#This Row],[COSTO]]</f>
        <v>1.7461500302083954</v>
      </c>
      <c r="H102" s="35">
        <v>800</v>
      </c>
    </row>
    <row r="103" spans="1:8">
      <c r="A103" s="30" t="s">
        <v>345</v>
      </c>
      <c r="B103" s="31" t="s">
        <v>346</v>
      </c>
      <c r="C103" s="32">
        <f>INDEX(Costos[],MATCH("Desmanchador Ropa Color (Granel)",Costos[PRODUCTO],0),3)+INDEX(MateriasPrimas[],MATCH("Envase 1L",MateriasPrimas[NOMBRE],0),3)+100</f>
        <v>2114.4096666666665</v>
      </c>
      <c r="D103" s="33">
        <v>1.5</v>
      </c>
      <c r="E103" s="32">
        <f t="shared" si="3"/>
        <v>3171.6144999999997</v>
      </c>
      <c r="F103" s="32">
        <v>4000</v>
      </c>
      <c r="G103" s="34">
        <f>Costos[[#This Row],[PRECIO VENTA]]/Costos[[#This Row],[COSTO]]</f>
        <v>1.8917809841013151</v>
      </c>
      <c r="H103" s="35">
        <v>1000</v>
      </c>
    </row>
    <row r="104" spans="1:8">
      <c r="A104" s="30" t="s">
        <v>347</v>
      </c>
      <c r="B104" s="31" t="s">
        <v>348</v>
      </c>
      <c r="C104" s="32">
        <f>2*INDEX(Costos[],MATCH("Desmanchador Ropa Color (Granel)",Costos[PRODUCTO],0),3)+INDEX(MateriasPrimas[],MATCH("Envase 2L",MateriasPrimas[NOMBRE],0),3)+100</f>
        <v>4128.8193333333329</v>
      </c>
      <c r="D104" s="33">
        <v>1.5</v>
      </c>
      <c r="E104" s="32">
        <f t="shared" si="3"/>
        <v>6193.2289999999994</v>
      </c>
      <c r="F104" s="32">
        <v>7000</v>
      </c>
      <c r="G104" s="34">
        <f>Costos[[#This Row],[PRECIO VENTA]]/Costos[[#This Row],[COSTO]]</f>
        <v>1.69539992788899</v>
      </c>
      <c r="H104" s="35">
        <v>2000</v>
      </c>
    </row>
    <row r="105" spans="1:8">
      <c r="A105" s="30" t="s">
        <v>349</v>
      </c>
      <c r="B105" s="31" t="s">
        <v>350</v>
      </c>
      <c r="C105" s="32">
        <f>4*INDEX(Costos[],MATCH("Desmanchador Ropa Color (Granel)",Costos[PRODUCTO],0),3)+INDEX(MateriasPrimas[],MATCH("Envase 4L",MateriasPrimas[NOMBRE],0),3)+100</f>
        <v>7002.6386666666667</v>
      </c>
      <c r="D105" s="33">
        <v>1.5</v>
      </c>
      <c r="E105" s="32">
        <f t="shared" si="3"/>
        <v>10503.958000000001</v>
      </c>
      <c r="F105" s="32">
        <v>12000</v>
      </c>
      <c r="G105" s="34">
        <f>Costos[[#This Row],[PRECIO VENTA]]/Costos[[#This Row],[COSTO]]</f>
        <v>1.7136397537004622</v>
      </c>
      <c r="H105" s="35">
        <v>4000</v>
      </c>
    </row>
    <row r="106" spans="1:8">
      <c r="A106" s="30" t="s">
        <v>351</v>
      </c>
      <c r="B106" s="31" t="s">
        <v>352</v>
      </c>
      <c r="C106" s="32">
        <f>0.5*INDEX(MateriasPrimas[],MATCH("Detergente en polvo",MateriasPrimas[NOMBRE],0),3)</f>
        <v>2161.25</v>
      </c>
      <c r="D106" s="33">
        <v>2</v>
      </c>
      <c r="E106" s="32">
        <f t="shared" si="3"/>
        <v>4322.5</v>
      </c>
      <c r="F106" s="32">
        <v>2500</v>
      </c>
      <c r="G106" s="34">
        <f>Costos[[#This Row],[PRECIO VENTA]]/Costos[[#This Row],[COSTO]]</f>
        <v>1.156737998843262</v>
      </c>
      <c r="H106" s="35">
        <v>500</v>
      </c>
    </row>
    <row r="107" spans="1:8">
      <c r="A107" s="30" t="s">
        <v>353</v>
      </c>
      <c r="B107" s="31" t="s">
        <v>354</v>
      </c>
      <c r="C107" s="32">
        <f>INDEX(MateriasPrimas[],MATCH("Detergente en polvo",MateriasPrimas[NOMBRE],0),3)</f>
        <v>4322.5</v>
      </c>
      <c r="D107" s="33">
        <v>1.5</v>
      </c>
      <c r="E107" s="32">
        <f t="shared" si="3"/>
        <v>6483.75</v>
      </c>
      <c r="F107" s="32">
        <v>5000</v>
      </c>
      <c r="G107" s="34">
        <f>Costos[[#This Row],[PRECIO VENTA]]/Costos[[#This Row],[COSTO]]</f>
        <v>1.156737998843262</v>
      </c>
      <c r="H107" s="35">
        <v>1000</v>
      </c>
    </row>
    <row r="108" spans="1:8">
      <c r="A108" s="30" t="s">
        <v>355</v>
      </c>
      <c r="B108" s="31" t="s">
        <v>356</v>
      </c>
      <c r="C108" s="32">
        <f>SUM(DetMultiusos[Costo (Kg)])</f>
        <v>2521.8169499999999</v>
      </c>
      <c r="D108" s="33">
        <v>1.5</v>
      </c>
      <c r="E108" s="32">
        <f t="shared" si="3"/>
        <v>3782.7254249999996</v>
      </c>
      <c r="F108" s="32">
        <v>3800</v>
      </c>
      <c r="G108" s="34">
        <f>Costos[[#This Row],[PRECIO VENTA]]/Costos[[#This Row],[COSTO]]</f>
        <v>1.5068500511109659</v>
      </c>
      <c r="H108" s="35"/>
    </row>
    <row r="109" spans="1:8">
      <c r="A109" s="30" t="s">
        <v>357</v>
      </c>
      <c r="B109" s="31" t="s">
        <v>358</v>
      </c>
      <c r="C109" s="32">
        <f>0.5*INDEX(Costos[],MATCH("Detergente Multiusos (Granel)",Costos[PRODUCTO],0),3)+INDEX(MateriasPrimas[],MATCH("Envase 0,5L",MateriasPrimas[NOMBRE],0),3)+100</f>
        <v>1965.908475</v>
      </c>
      <c r="D109" s="33">
        <v>2</v>
      </c>
      <c r="E109" s="32">
        <f t="shared" si="3"/>
        <v>3931.8169499999999</v>
      </c>
      <c r="F109" s="32">
        <v>3000</v>
      </c>
      <c r="G109" s="34">
        <f>Costos[[#This Row],[PRECIO VENTA]]/Costos[[#This Row],[COSTO]]</f>
        <v>1.5260120387852747</v>
      </c>
      <c r="H109" s="35">
        <v>500</v>
      </c>
    </row>
    <row r="110" spans="1:8">
      <c r="A110" s="30" t="s">
        <v>359</v>
      </c>
      <c r="B110" s="31" t="s">
        <v>360</v>
      </c>
      <c r="C110" s="32">
        <f>0.8*INDEX(Costos[],MATCH("Detergente Multiusos (Granel)",Costos[PRODUCTO],0),3)+INDEX(MateriasPrimas[],MATCH("Envase 800ml",MateriasPrimas[NOMBRE],0),3)+100</f>
        <v>2667.4535599999999</v>
      </c>
      <c r="D110" s="33">
        <v>2</v>
      </c>
      <c r="E110" s="32">
        <f t="shared" si="3"/>
        <v>5334.9071199999998</v>
      </c>
      <c r="F110" s="32">
        <v>3800</v>
      </c>
      <c r="G110" s="34">
        <f>Costos[[#This Row],[PRECIO VENTA]]/Costos[[#This Row],[COSTO]]</f>
        <v>1.4245796279204952</v>
      </c>
      <c r="H110" s="35">
        <v>800</v>
      </c>
    </row>
    <row r="111" spans="1:8">
      <c r="A111" s="30" t="s">
        <v>361</v>
      </c>
      <c r="B111" s="31" t="s">
        <v>362</v>
      </c>
      <c r="C111" s="32">
        <f>INDEX(Costos[],MATCH("Detergente Multiusos (Granel)",Costos[PRODUCTO],0),3)+INDEX(MateriasPrimas[],MATCH("Envase 1L",MateriasPrimas[NOMBRE],0),3)+100</f>
        <v>3281.8169499999999</v>
      </c>
      <c r="D111" s="33">
        <v>2</v>
      </c>
      <c r="E111" s="32">
        <f t="shared" si="3"/>
        <v>6563.6338999999998</v>
      </c>
      <c r="F111" s="32">
        <v>5500</v>
      </c>
      <c r="G111" s="34">
        <f>Costos[[#This Row],[PRECIO VENTA]]/Costos[[#This Row],[COSTO]]</f>
        <v>1.6759009060514483</v>
      </c>
      <c r="H111" s="35">
        <v>1000</v>
      </c>
    </row>
    <row r="112" spans="1:8">
      <c r="A112" s="30" t="s">
        <v>363</v>
      </c>
      <c r="B112" s="31" t="s">
        <v>364</v>
      </c>
      <c r="C112" s="32">
        <f>2*INDEX(Costos[],MATCH("Detergente Multiusos (Granel)",Costos[PRODUCTO],0),3)+INDEX(MateriasPrimas[],MATCH("Envase 2L",MateriasPrimas[NOMBRE],0),3)+100</f>
        <v>6463.6338999999998</v>
      </c>
      <c r="D112" s="33">
        <v>2</v>
      </c>
      <c r="E112" s="32">
        <f t="shared" si="3"/>
        <v>12927.2678</v>
      </c>
      <c r="F112" s="32">
        <v>10500</v>
      </c>
      <c r="G112" s="34">
        <f>Costos[[#This Row],[PRECIO VENTA]]/Costos[[#This Row],[COSTO]]</f>
        <v>1.6244731930129892</v>
      </c>
      <c r="H112" s="35">
        <v>2000</v>
      </c>
    </row>
    <row r="113" spans="1:8">
      <c r="A113" s="30" t="s">
        <v>365</v>
      </c>
      <c r="B113" s="31" t="s">
        <v>366</v>
      </c>
      <c r="C113" s="32">
        <f>4*INDEX(Costos[],MATCH("Detergente Multiusos (Granel)",Costos[PRODUCTO],0),3)+INDEX(MateriasPrimas[],MATCH("Envase 4L",MateriasPrimas[NOMBRE],0),3)+100</f>
        <v>11672.2678</v>
      </c>
      <c r="D113" s="33">
        <v>2</v>
      </c>
      <c r="E113" s="32">
        <f t="shared" si="3"/>
        <v>23344.535599999999</v>
      </c>
      <c r="F113" s="32">
        <v>20000</v>
      </c>
      <c r="G113" s="34">
        <f>Costos[[#This Row],[PRECIO VENTA]]/Costos[[#This Row],[COSTO]]</f>
        <v>1.7134630855539488</v>
      </c>
      <c r="H113" s="35">
        <v>4000</v>
      </c>
    </row>
    <row r="114" spans="1:8">
      <c r="A114" s="30" t="s">
        <v>367</v>
      </c>
      <c r="B114" s="31" t="s">
        <v>368</v>
      </c>
      <c r="C114" s="32">
        <f>SUM(DetLavadora[Costo (Kg)])</f>
        <v>3417.1273000000006</v>
      </c>
      <c r="D114" s="33">
        <v>1.5</v>
      </c>
      <c r="E114" s="32">
        <f t="shared" ref="E114:E145" si="4">C114*D114</f>
        <v>5125.6909500000011</v>
      </c>
      <c r="F114" s="32">
        <v>5000</v>
      </c>
      <c r="G114" s="34">
        <f>Costos[[#This Row],[PRECIO VENTA]]/Costos[[#This Row],[COSTO]]</f>
        <v>1.4632173638951054</v>
      </c>
      <c r="H114" s="35"/>
    </row>
    <row r="115" spans="1:8">
      <c r="A115" s="30" t="s">
        <v>369</v>
      </c>
      <c r="B115" s="31" t="s">
        <v>370</v>
      </c>
      <c r="C115" s="32">
        <f>0.5*INDEX(Costos[],MATCH("Detergente para Lavadora (Granel)",Costos[PRODUCTO],0),3)+INDEX(MateriasPrimas[],MATCH("Envase 0,5L",MateriasPrimas[NOMBRE],0),3)+100</f>
        <v>2413.5636500000001</v>
      </c>
      <c r="D115" s="33">
        <v>1.5</v>
      </c>
      <c r="E115" s="32">
        <f t="shared" si="4"/>
        <v>3620.3454750000001</v>
      </c>
      <c r="F115" s="32">
        <v>3500</v>
      </c>
      <c r="G115" s="34">
        <f>Costos[[#This Row],[PRECIO VENTA]]/Costos[[#This Row],[COSTO]]</f>
        <v>1.4501378490681196</v>
      </c>
      <c r="H115" s="35">
        <v>500</v>
      </c>
    </row>
    <row r="116" spans="1:8">
      <c r="A116" s="30" t="s">
        <v>371</v>
      </c>
      <c r="B116" s="31" t="s">
        <v>372</v>
      </c>
      <c r="C116" s="32">
        <f>0.8*INDEX(Costos[],MATCH("Detergente para Lavadora (Granel)",Costos[PRODUCTO],0),3)+INDEX(MateriasPrimas[],MATCH("Envase 800ml",MateriasPrimas[NOMBRE],0),3)+100</f>
        <v>3383.7018400000006</v>
      </c>
      <c r="D116" s="33">
        <v>1.5</v>
      </c>
      <c r="E116" s="32">
        <f t="shared" si="4"/>
        <v>5075.5527600000005</v>
      </c>
      <c r="F116" s="32">
        <v>5000</v>
      </c>
      <c r="G116" s="34">
        <f>Costos[[#This Row],[PRECIO VENTA]]/Costos[[#This Row],[COSTO]]</f>
        <v>1.4776715669486999</v>
      </c>
      <c r="H116" s="35">
        <v>800</v>
      </c>
    </row>
    <row r="117" spans="1:8">
      <c r="A117" s="30" t="s">
        <v>373</v>
      </c>
      <c r="B117" s="31" t="s">
        <v>374</v>
      </c>
      <c r="C117" s="32">
        <f>INDEX(Costos[],MATCH("Detergente para Lavadora (Granel)",Costos[PRODUCTO],0),3)+INDEX(MateriasPrimas[],MATCH("Envase 1L",MateriasPrimas[NOMBRE],0),3)+100</f>
        <v>4177.1273000000001</v>
      </c>
      <c r="D117" s="33">
        <v>1.5</v>
      </c>
      <c r="E117" s="32">
        <f t="shared" si="4"/>
        <v>6265.6909500000002</v>
      </c>
      <c r="F117" s="32">
        <v>6000</v>
      </c>
      <c r="G117" s="34">
        <f>Costos[[#This Row],[PRECIO VENTA]]/Costos[[#This Row],[COSTO]]</f>
        <v>1.4363938585256906</v>
      </c>
      <c r="H117" s="35">
        <v>1000</v>
      </c>
    </row>
    <row r="118" spans="1:8">
      <c r="A118" s="30" t="s">
        <v>375</v>
      </c>
      <c r="B118" s="31" t="s">
        <v>376</v>
      </c>
      <c r="C118" s="32">
        <f>2*INDEX(Costos[],MATCH("Detergente para Lavadora (Granel)",Costos[PRODUCTO],0),3)+INDEX(MateriasPrimas[],MATCH("Envase 2L",MateriasPrimas[NOMBRE],0),3)+100</f>
        <v>8254.2546000000002</v>
      </c>
      <c r="D118" s="33">
        <v>1.5</v>
      </c>
      <c r="E118" s="32">
        <f t="shared" si="4"/>
        <v>12381.3819</v>
      </c>
      <c r="F118" s="32">
        <v>11500</v>
      </c>
      <c r="G118" s="34">
        <f>Costos[[#This Row],[PRECIO VENTA]]/Costos[[#This Row],[COSTO]]</f>
        <v>1.3932208972570339</v>
      </c>
      <c r="H118" s="35">
        <v>2000</v>
      </c>
    </row>
    <row r="119" spans="1:8">
      <c r="A119" s="30" t="s">
        <v>377</v>
      </c>
      <c r="B119" s="31" t="s">
        <v>378</v>
      </c>
      <c r="C119" s="32">
        <f>4*INDEX(Costos[],MATCH("Detergente para Lavadora (Granel)",Costos[PRODUCTO],0),3)+INDEX(MateriasPrimas[],MATCH("Envase 4L",MateriasPrimas[NOMBRE],0),3)+100</f>
        <v>15253.509200000002</v>
      </c>
      <c r="D119" s="33">
        <v>1.5</v>
      </c>
      <c r="E119" s="32">
        <f t="shared" si="4"/>
        <v>22880.263800000004</v>
      </c>
      <c r="F119" s="32">
        <v>22000</v>
      </c>
      <c r="G119" s="34">
        <f>Costos[[#This Row],[PRECIO VENTA]]/Costos[[#This Row],[COSTO]]</f>
        <v>1.4422910630951726</v>
      </c>
      <c r="H119" s="35">
        <v>4000</v>
      </c>
    </row>
    <row r="120" spans="1:8">
      <c r="A120" s="30" t="s">
        <v>379</v>
      </c>
      <c r="B120" s="31" t="s">
        <v>380</v>
      </c>
      <c r="C120" s="32">
        <f>SUM(TipoRey[Costo (Kg)])</f>
        <v>6490.8137999999999</v>
      </c>
      <c r="D120" s="33">
        <v>1.5</v>
      </c>
      <c r="E120" s="32">
        <f t="shared" si="4"/>
        <v>9736.2206999999999</v>
      </c>
      <c r="F120" s="32">
        <v>4800</v>
      </c>
      <c r="G120" s="34">
        <f>Costos[[#This Row],[PRECIO VENTA]]/Costos[[#This Row],[COSTO]]</f>
        <v>0.7395066547741671</v>
      </c>
      <c r="H120" s="35"/>
    </row>
    <row r="121" spans="1:8">
      <c r="A121" s="30" t="s">
        <v>381</v>
      </c>
      <c r="B121" s="31" t="s">
        <v>382</v>
      </c>
      <c r="C121" s="32">
        <f>0.5*INDEX(Costos[],MATCH("Detergente Tipo Rey (Granel)",Costos[PRODUCTO],0),3)+INDEX(MateriasPrimas[],MATCH("Envase 0,5L",MateriasPrimas[NOMBRE],0),3)+100</f>
        <v>3950.4069</v>
      </c>
      <c r="D121" s="33">
        <v>1.5</v>
      </c>
      <c r="E121" s="32">
        <f t="shared" si="4"/>
        <v>5925.6103499999999</v>
      </c>
      <c r="F121" s="32">
        <v>3400</v>
      </c>
      <c r="G121" s="34">
        <f>Costos[[#This Row],[PRECIO VENTA]]/Costos[[#This Row],[COSTO]]</f>
        <v>0.8606708336804495</v>
      </c>
      <c r="H121" s="35">
        <v>500</v>
      </c>
    </row>
    <row r="122" spans="1:8">
      <c r="A122" s="30" t="s">
        <v>383</v>
      </c>
      <c r="B122" s="31" t="s">
        <v>384</v>
      </c>
      <c r="C122" s="32">
        <f>0.8*INDEX(Costos[],MATCH("Detergente Tipo Rey (Granel)",Costos[PRODUCTO],0),3)+INDEX(MateriasPrimas[],MATCH("Envase 800ml",MateriasPrimas[NOMBRE],0),3)+100</f>
        <v>5842.6510400000006</v>
      </c>
      <c r="D122" s="33">
        <v>1.5</v>
      </c>
      <c r="E122" s="32">
        <f t="shared" si="4"/>
        <v>8763.976560000001</v>
      </c>
      <c r="F122" s="32">
        <v>4800</v>
      </c>
      <c r="G122" s="34">
        <f>Costos[[#This Row],[PRECIO VENTA]]/Costos[[#This Row],[COSTO]]</f>
        <v>0.82154487186350933</v>
      </c>
      <c r="H122" s="35">
        <v>800</v>
      </c>
    </row>
    <row r="123" spans="1:8">
      <c r="A123" s="30" t="s">
        <v>385</v>
      </c>
      <c r="B123" s="31" t="s">
        <v>386</v>
      </c>
      <c r="C123" s="32">
        <f>INDEX(Costos[],MATCH("Detergente Tipo Rey (Granel)",Costos[PRODUCTO],0),3)+INDEX(MateriasPrimas[],MATCH("Envase 1L",MateriasPrimas[NOMBRE],0),3)+100</f>
        <v>7250.8137999999999</v>
      </c>
      <c r="D123" s="33">
        <v>1.5</v>
      </c>
      <c r="E123" s="32">
        <f t="shared" si="4"/>
        <v>10876.2207</v>
      </c>
      <c r="F123" s="32">
        <v>5800</v>
      </c>
      <c r="G123" s="34">
        <f>Costos[[#This Row],[PRECIO VENTA]]/Costos[[#This Row],[COSTO]]</f>
        <v>0.79991021145791941</v>
      </c>
      <c r="H123" s="35">
        <v>1000</v>
      </c>
    </row>
    <row r="124" spans="1:8">
      <c r="A124" s="30" t="s">
        <v>387</v>
      </c>
      <c r="B124" s="31" t="s">
        <v>388</v>
      </c>
      <c r="C124" s="32">
        <f>2*INDEX(Costos[],MATCH("Detergente Tipo Rey (Granel)",Costos[PRODUCTO],0),3)+INDEX(MateriasPrimas[],MATCH("Envase 2L",MateriasPrimas[NOMBRE],0),3)+100</f>
        <v>14401.6276</v>
      </c>
      <c r="D124" s="33">
        <v>1.5</v>
      </c>
      <c r="E124" s="32">
        <f t="shared" si="4"/>
        <v>21602.4414</v>
      </c>
      <c r="F124" s="32">
        <v>11000</v>
      </c>
      <c r="G124" s="34">
        <f>Costos[[#This Row],[PRECIO VENTA]]/Costos[[#This Row],[COSTO]]</f>
        <v>0.76380255798309904</v>
      </c>
      <c r="H124" s="35">
        <v>2000</v>
      </c>
    </row>
    <row r="125" spans="1:8">
      <c r="A125" s="30" t="s">
        <v>389</v>
      </c>
      <c r="B125" s="31" t="s">
        <v>390</v>
      </c>
      <c r="C125" s="32">
        <f>4*INDEX(Costos[],MATCH("Detergente Tipo Rey (Granel)",Costos[PRODUCTO],0),3)+INDEX(MateriasPrimas[],MATCH("Envase 4L",MateriasPrimas[NOMBRE],0),3)+100</f>
        <v>27548.2552</v>
      </c>
      <c r="D125" s="33">
        <v>1.5</v>
      </c>
      <c r="E125" s="32">
        <f t="shared" si="4"/>
        <v>41322.382799999999</v>
      </c>
      <c r="F125" s="32">
        <v>21000</v>
      </c>
      <c r="G125" s="34">
        <f>Costos[[#This Row],[PRECIO VENTA]]/Costos[[#This Row],[COSTO]]</f>
        <v>0.76229873171786211</v>
      </c>
      <c r="H125" s="35">
        <v>4000</v>
      </c>
    </row>
    <row r="126" spans="1:8">
      <c r="A126" s="30" t="s">
        <v>391</v>
      </c>
      <c r="B126" s="31" t="s">
        <v>392</v>
      </c>
      <c r="C126" s="32">
        <f>0.12*INDEX(MateriasPrimas[],MATCH("Eliminador de olores",MateriasPrimas[NOMBRE],0),3)</f>
        <v>6409.2</v>
      </c>
      <c r="D126" s="33">
        <v>1.5</v>
      </c>
      <c r="E126" s="32">
        <f t="shared" si="4"/>
        <v>9613.7999999999993</v>
      </c>
      <c r="F126" s="32">
        <v>10000</v>
      </c>
      <c r="G126" s="34">
        <f>Costos[[#This Row],[PRECIO VENTA]]/Costos[[#This Row],[COSTO]]</f>
        <v>1.5602571303750858</v>
      </c>
      <c r="H126" s="35">
        <v>120</v>
      </c>
    </row>
    <row r="127" spans="1:8">
      <c r="A127" s="30" t="s">
        <v>393</v>
      </c>
      <c r="B127" s="31" t="s">
        <v>394</v>
      </c>
      <c r="C127" s="32">
        <f>0.25*INDEX(MateriasPrimas[],MATCH("Eliminador de olores",MateriasPrimas[NOMBRE],0),3)</f>
        <v>13352.5</v>
      </c>
      <c r="D127" s="33">
        <v>1.5</v>
      </c>
      <c r="E127" s="32">
        <f t="shared" si="4"/>
        <v>20028.75</v>
      </c>
      <c r="F127" s="32">
        <v>20000</v>
      </c>
      <c r="G127" s="34">
        <f>Costos[[#This Row],[PRECIO VENTA]]/Costos[[#This Row],[COSTO]]</f>
        <v>1.4978468451600824</v>
      </c>
      <c r="H127" s="35">
        <v>250</v>
      </c>
    </row>
    <row r="128" spans="1:8">
      <c r="A128" s="30" t="s">
        <v>395</v>
      </c>
      <c r="B128" s="31" t="s">
        <v>396</v>
      </c>
      <c r="C128" s="32">
        <f>0.06*INDEX(MateriasPrimas[],MATCH("Eliminador de olores",MateriasPrimas[NOMBRE],0),3)</f>
        <v>3204.6</v>
      </c>
      <c r="D128" s="33">
        <v>1.5</v>
      </c>
      <c r="E128" s="32">
        <f t="shared" si="4"/>
        <v>4806.8999999999996</v>
      </c>
      <c r="F128" s="32">
        <v>5000</v>
      </c>
      <c r="G128" s="34">
        <f>Costos[[#This Row],[PRECIO VENTA]]/Costos[[#This Row],[COSTO]]</f>
        <v>1.5602571303750858</v>
      </c>
      <c r="H128" s="35">
        <v>60</v>
      </c>
    </row>
    <row r="129" spans="1:8">
      <c r="A129" s="30" t="s">
        <v>397</v>
      </c>
      <c r="B129" s="31" t="s">
        <v>62</v>
      </c>
      <c r="C129" s="32">
        <f>INDEX(MateriasPrimas[],MATCH("Envase Ambar x 250 ml",MateriasPrimas[NOMBRE],0),3)</f>
        <v>495.00000000000006</v>
      </c>
      <c r="D129" s="33">
        <v>1.5</v>
      </c>
      <c r="E129" s="32">
        <f t="shared" si="4"/>
        <v>742.50000000000011</v>
      </c>
      <c r="F129" s="32">
        <v>2500</v>
      </c>
      <c r="G129" s="34">
        <f>Costos[[#This Row],[PRECIO VENTA]]/Costos[[#This Row],[COSTO]]</f>
        <v>5.0505050505050502</v>
      </c>
      <c r="H129" s="35"/>
    </row>
    <row r="130" spans="1:8">
      <c r="A130" s="30" t="s">
        <v>398</v>
      </c>
      <c r="B130" s="31" t="s">
        <v>399</v>
      </c>
      <c r="C130" s="32">
        <f>INDEX(MateriasPrimas[],MATCH("Envase Atomizador x 500ml",MateriasPrimas[NOMBRE],0),3)</f>
        <v>1100</v>
      </c>
      <c r="D130" s="33">
        <v>2</v>
      </c>
      <c r="E130" s="32">
        <f t="shared" si="4"/>
        <v>2200</v>
      </c>
      <c r="F130" s="32">
        <v>3000</v>
      </c>
      <c r="G130" s="34">
        <f>Costos[[#This Row],[PRECIO VENTA]]/Costos[[#This Row],[COSTO]]</f>
        <v>2.7272727272727271</v>
      </c>
      <c r="H130" s="35"/>
    </row>
    <row r="131" spans="1:8">
      <c r="A131" s="30" t="s">
        <v>400</v>
      </c>
      <c r="B131" s="31" t="s">
        <v>401</v>
      </c>
      <c r="C131" s="32">
        <f>INDEX(MateriasPrimas[],MATCH("Envase Bomba x 120ml",MateriasPrimas[NOMBRE],0),3)</f>
        <v>902.00000000000011</v>
      </c>
      <c r="D131" s="33">
        <v>1.5</v>
      </c>
      <c r="E131" s="32">
        <f t="shared" si="4"/>
        <v>1353.0000000000002</v>
      </c>
      <c r="F131" s="32">
        <v>2000</v>
      </c>
      <c r="G131" s="34">
        <f>Costos[[#This Row],[PRECIO VENTA]]/Costos[[#This Row],[COSTO]]</f>
        <v>2.217294900221729</v>
      </c>
      <c r="H131" s="35"/>
    </row>
    <row r="132" spans="1:8">
      <c r="A132" s="30" t="s">
        <v>402</v>
      </c>
      <c r="B132" s="31" t="s">
        <v>403</v>
      </c>
      <c r="C132" s="32">
        <f>INDEX(MateriasPrimas[],MATCH("Envase Bomba x 20ml",MateriasPrimas[NOMBRE],0),3)</f>
        <v>605</v>
      </c>
      <c r="D132" s="33">
        <v>1.5</v>
      </c>
      <c r="E132" s="32">
        <f t="shared" si="4"/>
        <v>907.5</v>
      </c>
      <c r="F132" s="32">
        <v>1500</v>
      </c>
      <c r="G132" s="34">
        <f>Costos[[#This Row],[PRECIO VENTA]]/Costos[[#This Row],[COSTO]]</f>
        <v>2.4793388429752068</v>
      </c>
      <c r="H132" s="35"/>
    </row>
    <row r="133" spans="1:8">
      <c r="A133" s="30" t="s">
        <v>404</v>
      </c>
      <c r="B133" s="31" t="s">
        <v>405</v>
      </c>
      <c r="C133" s="32">
        <f>INDEX(MateriasPrimas[],MATCH("Envase Bomba x 250ml",MateriasPrimas[NOMBRE],0),3)</f>
        <v>1100</v>
      </c>
      <c r="D133" s="33">
        <v>1.5</v>
      </c>
      <c r="E133" s="32">
        <f t="shared" si="4"/>
        <v>1650</v>
      </c>
      <c r="F133" s="32">
        <v>2500</v>
      </c>
      <c r="G133" s="34">
        <f>Costos[[#This Row],[PRECIO VENTA]]/Costos[[#This Row],[COSTO]]</f>
        <v>2.2727272727272729</v>
      </c>
      <c r="H133" s="35"/>
    </row>
    <row r="134" spans="1:8">
      <c r="A134" s="30" t="s">
        <v>406</v>
      </c>
      <c r="B134" s="31" t="s">
        <v>407</v>
      </c>
      <c r="C134" s="32">
        <f>INDEX(MateriasPrimas[],MATCH("Envase Bomba x 30ml",MateriasPrimas[NOMBRE],0),3)</f>
        <v>330</v>
      </c>
      <c r="D134" s="33">
        <v>1.5</v>
      </c>
      <c r="E134" s="32">
        <f t="shared" si="4"/>
        <v>495</v>
      </c>
      <c r="F134" s="32">
        <v>1700</v>
      </c>
      <c r="G134" s="34">
        <f>Costos[[#This Row],[PRECIO VENTA]]/Costos[[#This Row],[COSTO]]</f>
        <v>5.1515151515151514</v>
      </c>
      <c r="H134" s="35"/>
    </row>
    <row r="135" spans="1:8">
      <c r="A135" s="30" t="s">
        <v>408</v>
      </c>
      <c r="B135" s="31" t="s">
        <v>409</v>
      </c>
      <c r="C135" s="32">
        <f>INDEX(MateriasPrimas[],MATCH("Envase Bomba x 60ml",MateriasPrimas[NOMBRE],0),3)</f>
        <v>660</v>
      </c>
      <c r="D135" s="33">
        <v>1.5</v>
      </c>
      <c r="E135" s="32">
        <f t="shared" si="4"/>
        <v>990</v>
      </c>
      <c r="F135" s="32">
        <v>1800</v>
      </c>
      <c r="G135" s="34">
        <f>Costos[[#This Row],[PRECIO VENTA]]/Costos[[#This Row],[COSTO]]</f>
        <v>2.7272727272727271</v>
      </c>
      <c r="H135" s="35"/>
    </row>
    <row r="136" spans="1:8">
      <c r="A136" s="30" t="s">
        <v>410</v>
      </c>
      <c r="B136" s="31" t="s">
        <v>411</v>
      </c>
      <c r="C136" s="32">
        <v>1200</v>
      </c>
      <c r="D136" s="33">
        <v>2</v>
      </c>
      <c r="E136" s="32">
        <f t="shared" si="4"/>
        <v>2400</v>
      </c>
      <c r="F136" s="32">
        <v>3000</v>
      </c>
      <c r="G136" s="34">
        <f>Costos[[#This Row],[PRECIO VENTA]]/Costos[[#This Row],[COSTO]]</f>
        <v>2.5</v>
      </c>
      <c r="H136" s="35"/>
    </row>
    <row r="137" spans="1:8">
      <c r="A137" s="30" t="s">
        <v>412</v>
      </c>
      <c r="B137" s="31" t="s">
        <v>413</v>
      </c>
      <c r="C137" s="32">
        <v>2500</v>
      </c>
      <c r="D137" s="33">
        <v>1.5</v>
      </c>
      <c r="E137" s="32">
        <f t="shared" si="4"/>
        <v>3750</v>
      </c>
      <c r="F137" s="32">
        <v>4000</v>
      </c>
      <c r="G137" s="34">
        <f>Costos[[#This Row],[PRECIO VENTA]]/Costos[[#This Row],[COSTO]]</f>
        <v>1.6</v>
      </c>
      <c r="H137" s="35"/>
    </row>
    <row r="138" spans="1:8">
      <c r="A138" s="30" t="s">
        <v>414</v>
      </c>
      <c r="B138" s="31" t="s">
        <v>415</v>
      </c>
      <c r="C138" s="32">
        <v>4500</v>
      </c>
      <c r="D138" s="33">
        <v>1.5</v>
      </c>
      <c r="E138" s="32">
        <f t="shared" si="4"/>
        <v>6750</v>
      </c>
      <c r="F138" s="32">
        <v>7000</v>
      </c>
      <c r="G138" s="34">
        <f>Costos[[#This Row],[PRECIO VENTA]]/Costos[[#This Row],[COSTO]]</f>
        <v>1.5555555555555556</v>
      </c>
      <c r="H138" s="35"/>
    </row>
    <row r="139" spans="1:8">
      <c r="A139" s="30" t="s">
        <v>416</v>
      </c>
      <c r="B139" s="31" t="s">
        <v>417</v>
      </c>
      <c r="C139" s="32">
        <v>4500</v>
      </c>
      <c r="D139" s="33">
        <v>1.5</v>
      </c>
      <c r="E139" s="32">
        <f t="shared" si="4"/>
        <v>6750</v>
      </c>
      <c r="F139" s="32">
        <v>7000</v>
      </c>
      <c r="G139" s="34">
        <f>Costos[[#This Row],[PRECIO VENTA]]/Costos[[#This Row],[COSTO]]</f>
        <v>1.5555555555555556</v>
      </c>
      <c r="H139" s="35"/>
    </row>
    <row r="140" spans="1:8">
      <c r="A140" s="30" t="s">
        <v>418</v>
      </c>
      <c r="B140" s="31" t="s">
        <v>419</v>
      </c>
      <c r="C140" s="32">
        <v>3200</v>
      </c>
      <c r="D140" s="33">
        <v>1.5</v>
      </c>
      <c r="E140" s="32">
        <f t="shared" si="4"/>
        <v>4800</v>
      </c>
      <c r="F140" s="32">
        <v>3000</v>
      </c>
      <c r="G140" s="34">
        <f>Costos[[#This Row],[PRECIO VENTA]]/Costos[[#This Row],[COSTO]]</f>
        <v>0.9375</v>
      </c>
      <c r="H140" s="35"/>
    </row>
    <row r="141" spans="1:8">
      <c r="A141" s="30" t="s">
        <v>420</v>
      </c>
      <c r="B141" s="31" t="s">
        <v>421</v>
      </c>
      <c r="C141" s="32">
        <f>INDEX(MateriasPrimas[],MATCH("Envase 0,5L",MateriasPrimas[NOMBRE],0),3)</f>
        <v>605</v>
      </c>
      <c r="D141" s="33">
        <v>1.5</v>
      </c>
      <c r="E141" s="32">
        <f t="shared" si="4"/>
        <v>907.5</v>
      </c>
      <c r="F141" s="32">
        <v>1500</v>
      </c>
      <c r="G141" s="34">
        <f>Costos[[#This Row],[PRECIO VENTA]]/Costos[[#This Row],[COSTO]]</f>
        <v>2.4793388429752068</v>
      </c>
      <c r="H141" s="35"/>
    </row>
    <row r="142" spans="1:8">
      <c r="A142" s="30" t="s">
        <v>422</v>
      </c>
      <c r="B142" s="31" t="s">
        <v>423</v>
      </c>
      <c r="C142" s="32">
        <f>INDEX(MateriasPrimas[],MATCH("Envase 1L",MateriasPrimas[NOMBRE],0),3)</f>
        <v>660</v>
      </c>
      <c r="D142" s="33">
        <v>1.5</v>
      </c>
      <c r="E142" s="32">
        <f t="shared" si="4"/>
        <v>990</v>
      </c>
      <c r="F142" s="32">
        <v>2000</v>
      </c>
      <c r="G142" s="34">
        <f>Costos[[#This Row],[PRECIO VENTA]]/Costos[[#This Row],[COSTO]]</f>
        <v>3.0303030303030303</v>
      </c>
      <c r="H142" s="35"/>
    </row>
    <row r="143" spans="1:8">
      <c r="A143" s="30" t="s">
        <v>424</v>
      </c>
      <c r="B143" s="31" t="s">
        <v>425</v>
      </c>
      <c r="C143" s="32">
        <f>INDEX(MateriasPrimas[],MATCH("Envase 4L",MateriasPrimas[NOMBRE],0),3)</f>
        <v>1485.0000000000002</v>
      </c>
      <c r="D143" s="33">
        <v>1.5</v>
      </c>
      <c r="E143" s="32">
        <f t="shared" si="4"/>
        <v>2227.5000000000005</v>
      </c>
      <c r="F143" s="32">
        <v>3500</v>
      </c>
      <c r="G143" s="34">
        <f>Costos[[#This Row],[PRECIO VENTA]]/Costos[[#This Row],[COSTO]]</f>
        <v>2.3569023569023564</v>
      </c>
      <c r="H143" s="35"/>
    </row>
    <row r="144" spans="1:8">
      <c r="A144" s="30" t="s">
        <v>426</v>
      </c>
      <c r="B144" s="31" t="s">
        <v>427</v>
      </c>
      <c r="C144" s="32">
        <f>INDEX(MateriasPrimas[],MATCH("Envase 2L",MateriasPrimas[NOMBRE],0),3)</f>
        <v>1320</v>
      </c>
      <c r="D144" s="33">
        <v>1.5</v>
      </c>
      <c r="E144" s="32">
        <f t="shared" si="4"/>
        <v>1980</v>
      </c>
      <c r="F144" s="32">
        <v>3000</v>
      </c>
      <c r="G144" s="34">
        <f>Costos[[#This Row],[PRECIO VENTA]]/Costos[[#This Row],[COSTO]]</f>
        <v>2.2727272727272729</v>
      </c>
      <c r="H144" s="35"/>
    </row>
    <row r="145" spans="1:8">
      <c r="A145" s="30" t="s">
        <v>428</v>
      </c>
      <c r="B145" s="31" t="s">
        <v>429</v>
      </c>
      <c r="C145" s="32">
        <f>INDEX(MateriasPrimas[],MATCH("Envase 800ml",MateriasPrimas[NOMBRE],0),3)</f>
        <v>550</v>
      </c>
      <c r="D145" s="33">
        <v>1.5</v>
      </c>
      <c r="E145" s="32">
        <f t="shared" si="4"/>
        <v>825</v>
      </c>
      <c r="F145" s="32">
        <v>2000</v>
      </c>
      <c r="G145" s="34">
        <f>Costos[[#This Row],[PRECIO VENTA]]/Costos[[#This Row],[COSTO]]</f>
        <v>3.6363636363636362</v>
      </c>
      <c r="H145" s="35"/>
    </row>
    <row r="146" spans="1:8">
      <c r="A146" s="30" t="s">
        <v>430</v>
      </c>
      <c r="B146" s="31" t="s">
        <v>431</v>
      </c>
      <c r="C146" s="32">
        <f>INDEX(MateriasPrimas[],MATCH("Etanol",MateriasPrimas[NOMBRE],0),3)</f>
        <v>5707.6004999999996</v>
      </c>
      <c r="D146" s="33">
        <v>1.5</v>
      </c>
      <c r="E146" s="32">
        <f t="shared" ref="E146:E161" si="5">C146*D146</f>
        <v>8561.4007499999989</v>
      </c>
      <c r="F146" s="32">
        <v>12000</v>
      </c>
      <c r="G146" s="34">
        <f>Costos[[#This Row],[PRECIO VENTA]]/Costos[[#This Row],[COSTO]]</f>
        <v>2.1024596938766127</v>
      </c>
      <c r="H146" s="35"/>
    </row>
    <row r="147" spans="1:8">
      <c r="A147" s="30" t="s">
        <v>432</v>
      </c>
      <c r="B147" s="31" t="s">
        <v>433</v>
      </c>
      <c r="C147" s="32">
        <f>0.8*INDEX(Costos[],MATCH("Etanol (Granel)",Costos[PRODUCTO],0),3)+INDEX(MateriasPrimas[],MATCH("Envase 800ml",MateriasPrimas[NOMBRE],0),3)+100</f>
        <v>5216.0803999999998</v>
      </c>
      <c r="D147" s="33">
        <v>1.5</v>
      </c>
      <c r="E147" s="32">
        <f t="shared" si="5"/>
        <v>7824.1206000000002</v>
      </c>
      <c r="F147" s="32">
        <v>12000</v>
      </c>
      <c r="G147" s="34">
        <f>Costos[[#This Row],[PRECIO VENTA]]/Costos[[#This Row],[COSTO]]</f>
        <v>2.3005780355686234</v>
      </c>
      <c r="H147" s="35">
        <v>800</v>
      </c>
    </row>
    <row r="148" spans="1:8">
      <c r="A148" s="30" t="s">
        <v>434</v>
      </c>
      <c r="B148" s="31" t="s">
        <v>435</v>
      </c>
      <c r="C148" s="32">
        <f>INDEX(Costos[],MATCH("Etanol (Granel)",Costos[PRODUCTO],0),3)+INDEX(MateriasPrimas[],MATCH("Envase 1L",MateriasPrimas[NOMBRE],0),3)+100</f>
        <v>6467.6004999999996</v>
      </c>
      <c r="D148" s="33">
        <v>1.5</v>
      </c>
      <c r="E148" s="32">
        <f t="shared" si="5"/>
        <v>9701.4007499999989</v>
      </c>
      <c r="F148" s="32">
        <v>14000</v>
      </c>
      <c r="G148" s="34">
        <f>Costos[[#This Row],[PRECIO VENTA]]/Costos[[#This Row],[COSTO]]</f>
        <v>2.1646358645683201</v>
      </c>
      <c r="H148" s="35">
        <v>1000</v>
      </c>
    </row>
    <row r="149" spans="1:8">
      <c r="A149" s="30" t="s">
        <v>436</v>
      </c>
      <c r="B149" s="31" t="s">
        <v>437</v>
      </c>
      <c r="C149" s="32">
        <f>2*INDEX(Costos[],MATCH("Etanol (Granel)",Costos[PRODUCTO],0),3)+INDEX(MateriasPrimas[],MATCH("Envase 2L",MateriasPrimas[NOMBRE],0),3)+100</f>
        <v>12835.200999999999</v>
      </c>
      <c r="D149" s="33">
        <v>1.5</v>
      </c>
      <c r="E149" s="32">
        <f t="shared" si="5"/>
        <v>19252.801499999998</v>
      </c>
      <c r="F149" s="32">
        <v>28000</v>
      </c>
      <c r="G149" s="34">
        <f>Costos[[#This Row],[PRECIO VENTA]]/Costos[[#This Row],[COSTO]]</f>
        <v>2.1815007026380031</v>
      </c>
      <c r="H149" s="35">
        <v>2000</v>
      </c>
    </row>
    <row r="150" spans="1:8">
      <c r="A150" s="30" t="s">
        <v>438</v>
      </c>
      <c r="B150" s="31" t="s">
        <v>439</v>
      </c>
      <c r="C150" s="32">
        <f>4*INDEX(Costos[],MATCH("Etanol (Granel)",Costos[PRODUCTO],0),3)+INDEX(MateriasPrimas[],MATCH("Envase 4L",MateriasPrimas[NOMBRE],0),3)+100</f>
        <v>24415.401999999998</v>
      </c>
      <c r="D150" s="33">
        <v>1.5</v>
      </c>
      <c r="E150" s="32">
        <f t="shared" si="5"/>
        <v>36623.102999999996</v>
      </c>
      <c r="F150" s="32">
        <v>55000</v>
      </c>
      <c r="G150" s="34">
        <f>Costos[[#This Row],[PRECIO VENTA]]/Costos[[#This Row],[COSTO]]</f>
        <v>2.2526764048365866</v>
      </c>
      <c r="H150" s="35">
        <v>4000</v>
      </c>
    </row>
    <row r="151" spans="1:8">
      <c r="A151" s="30" t="s">
        <v>440</v>
      </c>
      <c r="B151" s="31" t="s">
        <v>441</v>
      </c>
      <c r="C151" s="32">
        <v>8000</v>
      </c>
      <c r="D151" s="33">
        <v>1.5</v>
      </c>
      <c r="E151" s="32">
        <f t="shared" si="5"/>
        <v>12000</v>
      </c>
      <c r="F151" s="32">
        <v>10000</v>
      </c>
      <c r="G151" s="34">
        <f>Costos[[#This Row],[PRECIO VENTA]]/Costos[[#This Row],[COSTO]]</f>
        <v>1.25</v>
      </c>
      <c r="H151" s="35"/>
    </row>
    <row r="152" spans="1:8">
      <c r="A152" s="30" t="s">
        <v>442</v>
      </c>
      <c r="B152" s="31" t="s">
        <v>443</v>
      </c>
      <c r="C152" s="32">
        <v>10000</v>
      </c>
      <c r="D152" s="33">
        <v>2</v>
      </c>
      <c r="E152" s="32">
        <f t="shared" si="5"/>
        <v>20000</v>
      </c>
      <c r="F152" s="32">
        <v>14000</v>
      </c>
      <c r="G152" s="34">
        <f>Costos[[#This Row],[PRECIO VENTA]]/Costos[[#This Row],[COSTO]]</f>
        <v>1.4</v>
      </c>
      <c r="H152" s="35"/>
    </row>
    <row r="153" spans="1:8">
      <c r="A153" s="30" t="s">
        <v>444</v>
      </c>
      <c r="B153" s="31" t="s">
        <v>445</v>
      </c>
      <c r="C153" s="32">
        <v>2500</v>
      </c>
      <c r="D153" s="33">
        <v>2</v>
      </c>
      <c r="E153" s="32">
        <f t="shared" si="5"/>
        <v>5000</v>
      </c>
      <c r="F153" s="32">
        <v>5000</v>
      </c>
      <c r="G153" s="34">
        <f>Costos[[#This Row],[PRECIO VENTA]]/Costos[[#This Row],[COSTO]]</f>
        <v>2</v>
      </c>
      <c r="H153" s="35"/>
    </row>
    <row r="154" spans="1:8">
      <c r="A154" s="30" t="s">
        <v>446</v>
      </c>
      <c r="B154" s="31" t="s">
        <v>447</v>
      </c>
      <c r="C154" s="32">
        <f>INDEX(Costos[],MATCH("Gel Antibacterial (Granel)",Costos[PRODUCTO],0),3)+INDEX(MateriasPrimas[],MATCH("Envase válvula x 1L",MateriasPrimas[NOMBRE],0),3)+100</f>
        <v>11420</v>
      </c>
      <c r="D154" s="33">
        <v>2</v>
      </c>
      <c r="E154" s="32">
        <f t="shared" si="5"/>
        <v>22840</v>
      </c>
      <c r="F154" s="32">
        <v>18000</v>
      </c>
      <c r="G154" s="34">
        <f>Costos[[#This Row],[PRECIO VENTA]]/Costos[[#This Row],[COSTO]]</f>
        <v>1.5761821366024518</v>
      </c>
      <c r="H154" s="35">
        <v>1000</v>
      </c>
    </row>
    <row r="155" spans="1:8">
      <c r="A155" s="30" t="s">
        <v>448</v>
      </c>
      <c r="B155" s="31" t="s">
        <v>449</v>
      </c>
      <c r="C155" s="32">
        <f>0.5*INDEX(Costos[],MATCH("Gel Antibacterial (Granel)",Costos[PRODUCTO],0),3)+INDEX(MateriasPrimas[],MATCH("Envase válvula x 0,5L",MateriasPrimas[NOMBRE],0),3)+100</f>
        <v>6200</v>
      </c>
      <c r="D155" s="33">
        <v>2</v>
      </c>
      <c r="E155" s="32">
        <f t="shared" si="5"/>
        <v>12400</v>
      </c>
      <c r="F155" s="32">
        <v>9000</v>
      </c>
      <c r="G155" s="34">
        <f>Costos[[#This Row],[PRECIO VENTA]]/Costos[[#This Row],[COSTO]]</f>
        <v>1.4516129032258065</v>
      </c>
      <c r="H155" s="35">
        <v>500</v>
      </c>
    </row>
    <row r="156" spans="1:8">
      <c r="A156" s="30" t="s">
        <v>450</v>
      </c>
      <c r="B156" s="31" t="s">
        <v>451</v>
      </c>
      <c r="C156" s="32">
        <f>0.25*INDEX(Costos[],MATCH("Gel Antibacterial (Granel)",Costos[PRODUCTO],0),3)+INDEX(MateriasPrimas[],MATCH("Envase 1L",MateriasPrimas[NOMBRE],0),3)+100</f>
        <v>3260</v>
      </c>
      <c r="D156" s="33">
        <v>2</v>
      </c>
      <c r="E156" s="32">
        <f t="shared" si="5"/>
        <v>6520</v>
      </c>
      <c r="F156" s="32">
        <v>3500</v>
      </c>
      <c r="G156" s="34">
        <f>Costos[[#This Row],[PRECIO VENTA]]/Costos[[#This Row],[COSTO]]</f>
        <v>1.0736196319018405</v>
      </c>
      <c r="H156" s="35">
        <v>250</v>
      </c>
    </row>
    <row r="157" spans="1:8">
      <c r="A157" s="30" t="s">
        <v>452</v>
      </c>
      <c r="B157" s="31" t="s">
        <v>453</v>
      </c>
      <c r="C157" s="32">
        <f>0.5*INDEX(Costos[],MATCH("Gel Antibacterial (Granel)",Costos[PRODUCTO],0),3)+INDEX(MateriasPrimas[],MATCH("Envase 1L",MateriasPrimas[NOMBRE],0),3)+100</f>
        <v>5760</v>
      </c>
      <c r="D157" s="33">
        <v>2</v>
      </c>
      <c r="E157" s="32">
        <f t="shared" si="5"/>
        <v>11520</v>
      </c>
      <c r="F157" s="32">
        <v>7000</v>
      </c>
      <c r="G157" s="34">
        <f>Costos[[#This Row],[PRECIO VENTA]]/Costos[[#This Row],[COSTO]]</f>
        <v>1.2152777777777777</v>
      </c>
      <c r="H157" s="35">
        <v>500</v>
      </c>
    </row>
    <row r="158" spans="1:8">
      <c r="A158" s="30" t="s">
        <v>454</v>
      </c>
      <c r="B158" s="31" t="s">
        <v>455</v>
      </c>
      <c r="C158" s="32">
        <f>INDEX(Costos[],MATCH("Gel Antibacterial (Granel)",Costos[PRODUCTO],0),3)+INDEX(MateriasPrimas[],MATCH("Envase 1L",MateriasPrimas[NOMBRE],0),3)+100</f>
        <v>10760</v>
      </c>
      <c r="D158" s="33">
        <v>2</v>
      </c>
      <c r="E158" s="32">
        <f t="shared" si="5"/>
        <v>21520</v>
      </c>
      <c r="F158" s="32">
        <v>14000</v>
      </c>
      <c r="G158" s="34">
        <f>Costos[[#This Row],[PRECIO VENTA]]/Costos[[#This Row],[COSTO]]</f>
        <v>1.3011152416356877</v>
      </c>
      <c r="H158" s="35">
        <v>1000</v>
      </c>
    </row>
    <row r="159" spans="1:8">
      <c r="A159" s="30" t="s">
        <v>456</v>
      </c>
      <c r="B159" s="31" t="s">
        <v>457</v>
      </c>
      <c r="C159" s="32">
        <f>2*INDEX(Costos[],MATCH("Gel Antibacterial (Granel)",Costos[PRODUCTO],0),3)+INDEX(MateriasPrimas[],MATCH("Envase 2L",MateriasPrimas[NOMBRE],0),3)+100</f>
        <v>21420</v>
      </c>
      <c r="D159" s="33">
        <v>2</v>
      </c>
      <c r="E159" s="32">
        <f t="shared" si="5"/>
        <v>42840</v>
      </c>
      <c r="F159" s="32">
        <v>28000</v>
      </c>
      <c r="G159" s="34">
        <f>Costos[[#This Row],[PRECIO VENTA]]/Costos[[#This Row],[COSTO]]</f>
        <v>1.3071895424836601</v>
      </c>
      <c r="H159" s="35">
        <v>2000</v>
      </c>
    </row>
    <row r="160" spans="1:8">
      <c r="A160" s="30" t="s">
        <v>458</v>
      </c>
      <c r="B160" s="31" t="s">
        <v>459</v>
      </c>
      <c r="C160" s="32">
        <f>4*INDEX(Costos[],MATCH("Gel Antibacterial (Granel)",Costos[PRODUCTO],0),3)+INDEX(MateriasPrimas[],MATCH("Envase 4L",MateriasPrimas[NOMBRE],0),3)+100</f>
        <v>41585</v>
      </c>
      <c r="D160" s="33">
        <v>2</v>
      </c>
      <c r="E160" s="32">
        <f t="shared" si="5"/>
        <v>83170</v>
      </c>
      <c r="F160" s="32">
        <v>55000</v>
      </c>
      <c r="G160" s="34">
        <f>Costos[[#This Row],[PRECIO VENTA]]/Costos[[#This Row],[COSTO]]</f>
        <v>1.3225922808705062</v>
      </c>
      <c r="H160" s="35">
        <v>4000</v>
      </c>
    </row>
    <row r="161" spans="1:8">
      <c r="A161" s="30" t="s">
        <v>460</v>
      </c>
      <c r="B161" s="31" t="s">
        <v>461</v>
      </c>
      <c r="C161" s="32">
        <f>INDEX(MateriasPrimas[],MATCH("Glicerina",MateriasPrimas[NOMBRE],0),3)</f>
        <v>8041.25</v>
      </c>
      <c r="D161" s="33">
        <v>2</v>
      </c>
      <c r="E161" s="32">
        <f t="shared" si="5"/>
        <v>16082.5</v>
      </c>
      <c r="F161" s="32">
        <v>40000</v>
      </c>
      <c r="G161" s="34">
        <f>Costos[[#This Row],[PRECIO VENTA]]/Costos[[#This Row],[COSTO]]</f>
        <v>4.9743510026426243</v>
      </c>
      <c r="H161" s="35"/>
    </row>
    <row r="162" spans="1:8">
      <c r="A162" s="30" t="s">
        <v>462</v>
      </c>
      <c r="B162" s="31" t="s">
        <v>463</v>
      </c>
      <c r="C162" s="32">
        <v>1500</v>
      </c>
      <c r="D162" s="32">
        <v>1500</v>
      </c>
      <c r="E162" s="32">
        <v>1500</v>
      </c>
      <c r="F162" s="32">
        <v>1500</v>
      </c>
      <c r="G162" s="34">
        <f>Costos[[#This Row],[PRECIO VENTA]]/Costos[[#This Row],[COSTO]]</f>
        <v>1</v>
      </c>
      <c r="H162" s="35"/>
    </row>
    <row r="163" spans="1:8">
      <c r="A163" s="30" t="s">
        <v>464</v>
      </c>
      <c r="B163" s="31" t="s">
        <v>465</v>
      </c>
      <c r="C163" s="32">
        <v>1600</v>
      </c>
      <c r="D163" s="33">
        <v>1.75</v>
      </c>
      <c r="E163" s="32">
        <f>Costos[[#This Row],[COSTO]]*Costos[[#This Row],[GANANCIA]]</f>
        <v>2800</v>
      </c>
      <c r="F163" s="32">
        <v>2800</v>
      </c>
      <c r="G163" s="34">
        <f>Costos[[#This Row],[PRECIO VENTA]]/Costos[[#This Row],[COSTO]]</f>
        <v>1.75</v>
      </c>
      <c r="H163" s="35"/>
    </row>
    <row r="164" spans="1:8">
      <c r="A164" s="30" t="s">
        <v>466</v>
      </c>
      <c r="B164" s="31" t="s">
        <v>467</v>
      </c>
      <c r="C164" s="32">
        <f>SUM(JabonManos[Costo (Kg)])</f>
        <v>2735.7991999999999</v>
      </c>
      <c r="D164" s="33">
        <v>2</v>
      </c>
      <c r="E164" s="32">
        <f t="shared" ref="E164:E210" si="6">C164*D164</f>
        <v>5471.5983999999999</v>
      </c>
      <c r="F164" s="32">
        <v>6000</v>
      </c>
      <c r="G164" s="34">
        <f>Costos[[#This Row],[PRECIO VENTA]]/Costos[[#This Row],[COSTO]]</f>
        <v>2.1931434149114453</v>
      </c>
      <c r="H164" s="35"/>
    </row>
    <row r="165" spans="1:8">
      <c r="A165" s="30" t="s">
        <v>468</v>
      </c>
      <c r="B165" s="31" t="s">
        <v>469</v>
      </c>
      <c r="C165" s="32">
        <f>INDEX(Costos[],MATCH("Jabón Antibacterial Manos (Granel)",Costos[PRODUCTO],0),3)+INDEX(MateriasPrimas[],MATCH("Envase válvula x 1L",MateriasPrimas[NOMBRE],0),3)+100</f>
        <v>4155.7991999999995</v>
      </c>
      <c r="D165" s="33">
        <v>2</v>
      </c>
      <c r="E165" s="32">
        <f t="shared" si="6"/>
        <v>8311.5983999999989</v>
      </c>
      <c r="F165" s="32">
        <v>9000</v>
      </c>
      <c r="G165" s="34">
        <f>Costos[[#This Row],[PRECIO VENTA]]/Costos[[#This Row],[COSTO]]</f>
        <v>2.1656484269018583</v>
      </c>
      <c r="H165" s="35">
        <v>1000</v>
      </c>
    </row>
    <row r="166" spans="1:8">
      <c r="A166" s="30" t="s">
        <v>470</v>
      </c>
      <c r="B166" s="31" t="s">
        <v>471</v>
      </c>
      <c r="C166" s="32">
        <f>0.5*INDEX(Costos[],MATCH("Jabón Antibacterial Manos (Granel)",Costos[PRODUCTO],0),3)+INDEX(MateriasPrimas[],MATCH("Envase válvula x 0,5L",MateriasPrimas[NOMBRE],0),3)+100</f>
        <v>2567.8995999999997</v>
      </c>
      <c r="D166" s="33">
        <v>2</v>
      </c>
      <c r="E166" s="32">
        <f t="shared" si="6"/>
        <v>5135.7991999999995</v>
      </c>
      <c r="F166" s="32">
        <v>6000</v>
      </c>
      <c r="G166" s="34">
        <f>Costos[[#This Row],[PRECIO VENTA]]/Costos[[#This Row],[COSTO]]</f>
        <v>2.3365399488360064</v>
      </c>
      <c r="H166" s="35">
        <v>500</v>
      </c>
    </row>
    <row r="167" spans="1:8">
      <c r="A167" s="30" t="s">
        <v>472</v>
      </c>
      <c r="B167" s="31" t="s">
        <v>473</v>
      </c>
      <c r="C167" s="32">
        <f>0.5*INDEX(Costos[],MATCH("Jabón Antibacterial Manos (Granel)",Costos[PRODUCTO],0),3)+INDEX(MateriasPrimas[],MATCH("Doy pack x 500ml",MateriasPrimas[NOMBRE],0),3)+100</f>
        <v>2267.8995999999997</v>
      </c>
      <c r="D167" s="33">
        <v>2</v>
      </c>
      <c r="E167" s="32">
        <f t="shared" si="6"/>
        <v>4535.7991999999995</v>
      </c>
      <c r="F167" s="32">
        <v>4000</v>
      </c>
      <c r="G167" s="34">
        <f>Costos[[#This Row],[PRECIO VENTA]]/Costos[[#This Row],[COSTO]]</f>
        <v>1.7637465080023826</v>
      </c>
      <c r="H167" s="35">
        <v>500</v>
      </c>
    </row>
    <row r="168" spans="1:8">
      <c r="A168" s="30" t="s">
        <v>474</v>
      </c>
      <c r="B168" s="31" t="s">
        <v>475</v>
      </c>
      <c r="C168" s="32">
        <f>0.8*INDEX(Costos[],MATCH("Jabón Antibacterial Manos (Granel)",Costos[PRODUCTO],0),3)+INDEX(MateriasPrimas[],MATCH("Envase 800ml",MateriasPrimas[NOMBRE],0),3)+100</f>
        <v>2838.6393600000001</v>
      </c>
      <c r="D168" s="33">
        <v>2</v>
      </c>
      <c r="E168" s="32">
        <f t="shared" si="6"/>
        <v>5677.2787200000002</v>
      </c>
      <c r="F168" s="32">
        <v>6000</v>
      </c>
      <c r="G168" s="34">
        <f>Costos[[#This Row],[PRECIO VENTA]]/Costos[[#This Row],[COSTO]]</f>
        <v>2.1136887216275335</v>
      </c>
      <c r="H168" s="35">
        <v>800</v>
      </c>
    </row>
    <row r="169" spans="1:8">
      <c r="A169" s="30" t="s">
        <v>476</v>
      </c>
      <c r="B169" s="31" t="s">
        <v>477</v>
      </c>
      <c r="C169" s="32">
        <f>INDEX(Costos[],MATCH("Jabón Antibacterial Manos (Granel)",Costos[PRODUCTO],0),3)+INDEX(MateriasPrimas[],MATCH("Envase 1L",MateriasPrimas[NOMBRE],0),3)+100</f>
        <v>3495.7991999999999</v>
      </c>
      <c r="D169" s="33">
        <v>2</v>
      </c>
      <c r="E169" s="32">
        <f t="shared" si="6"/>
        <v>6991.5983999999999</v>
      </c>
      <c r="F169" s="32">
        <v>8000</v>
      </c>
      <c r="G169" s="34">
        <f>Costos[[#This Row],[PRECIO VENTA]]/Costos[[#This Row],[COSTO]]</f>
        <v>2.2884609619454115</v>
      </c>
      <c r="H169" s="35">
        <v>1000</v>
      </c>
    </row>
    <row r="170" spans="1:8">
      <c r="A170" s="30" t="s">
        <v>478</v>
      </c>
      <c r="B170" s="31" t="s">
        <v>479</v>
      </c>
      <c r="C170" s="32">
        <f>2*INDEX(Costos[],MATCH("Jabón Antibacterial Manos (Granel)",Costos[PRODUCTO],0),3)+INDEX(MateriasPrimas[],MATCH("Envase 2L",MateriasPrimas[NOMBRE],0),3)+100</f>
        <v>6891.5983999999999</v>
      </c>
      <c r="D170" s="33">
        <v>2</v>
      </c>
      <c r="E170" s="32">
        <f t="shared" si="6"/>
        <v>13783.1968</v>
      </c>
      <c r="F170" s="32">
        <v>15000</v>
      </c>
      <c r="G170" s="34">
        <f>Costos[[#This Row],[PRECIO VENTA]]/Costos[[#This Row],[COSTO]]</f>
        <v>2.1765632773958505</v>
      </c>
      <c r="H170" s="35">
        <v>2000</v>
      </c>
    </row>
    <row r="171" spans="1:8">
      <c r="A171" s="30" t="s">
        <v>480</v>
      </c>
      <c r="B171" s="31" t="s">
        <v>481</v>
      </c>
      <c r="C171" s="32">
        <f>4*INDEX(Costos[],MATCH("Jabón Antibacterial Manos (Granel)",Costos[PRODUCTO],0),3)+INDEX(MateriasPrimas[],MATCH("Envase 4L",MateriasPrimas[NOMBRE],0),3)+100</f>
        <v>12528.1968</v>
      </c>
      <c r="D171" s="33">
        <v>2</v>
      </c>
      <c r="E171" s="32">
        <f t="shared" si="6"/>
        <v>25056.393599999999</v>
      </c>
      <c r="F171" s="32">
        <v>27000</v>
      </c>
      <c r="G171" s="34">
        <f>Costos[[#This Row],[PRECIO VENTA]]/Costos[[#This Row],[COSTO]]</f>
        <v>2.1551385591260828</v>
      </c>
      <c r="H171" s="35">
        <v>4000</v>
      </c>
    </row>
    <row r="172" spans="1:8">
      <c r="A172" s="30" t="s">
        <v>482</v>
      </c>
      <c r="B172" s="31" t="s">
        <v>483</v>
      </c>
      <c r="C172" s="32">
        <f>SUM(JabonLavaLoza[Costo (Kg)])</f>
        <v>2897.4421499999999</v>
      </c>
      <c r="D172" s="33">
        <v>2.5</v>
      </c>
      <c r="E172" s="32">
        <f t="shared" si="6"/>
        <v>7243.6053749999992</v>
      </c>
      <c r="F172" s="32">
        <v>5800</v>
      </c>
      <c r="G172" s="34">
        <f>Costos[[#This Row],[PRECIO VENTA]]/Costos[[#This Row],[COSTO]]</f>
        <v>2.0017655917651367</v>
      </c>
      <c r="H172" s="35"/>
    </row>
    <row r="173" spans="1:8">
      <c r="A173" s="30" t="s">
        <v>484</v>
      </c>
      <c r="B173" s="31" t="s">
        <v>485</v>
      </c>
      <c r="C173" s="32">
        <f>INDEX(Costos[],MATCH("Jabón Lava Loza (Granel)",Costos[PRODUCTO],0),3)+INDEX(MateriasPrimas[],MATCH("Envase válvula x 1L",MateriasPrimas[NOMBRE],0),3)+100</f>
        <v>4317.4421499999999</v>
      </c>
      <c r="D173" s="33">
        <v>2.5</v>
      </c>
      <c r="E173" s="32">
        <f t="shared" si="6"/>
        <v>10793.605374999999</v>
      </c>
      <c r="F173" s="32">
        <v>8000</v>
      </c>
      <c r="G173" s="34">
        <f>Costos[[#This Row],[PRECIO VENTA]]/Costos[[#This Row],[COSTO]]</f>
        <v>1.8529489735027487</v>
      </c>
      <c r="H173" s="35">
        <v>1000</v>
      </c>
    </row>
    <row r="174" spans="1:8">
      <c r="A174" s="30" t="s">
        <v>486</v>
      </c>
      <c r="B174" s="31" t="s">
        <v>487</v>
      </c>
      <c r="C174" s="32">
        <f>0.5*INDEX(Costos[],MATCH("Jabón Lava Loza (Granel)",Costos[PRODUCTO],0),3)+INDEX(MateriasPrimas[],MATCH("Envase válvula x 0,5L",MateriasPrimas[NOMBRE],0),3)+100</f>
        <v>2648.7210749999999</v>
      </c>
      <c r="D174" s="33">
        <v>2.5</v>
      </c>
      <c r="E174" s="32">
        <f t="shared" si="6"/>
        <v>6621.8026874999996</v>
      </c>
      <c r="F174" s="32">
        <v>6000</v>
      </c>
      <c r="G174" s="34">
        <f>Costos[[#This Row],[PRECIO VENTA]]/Costos[[#This Row],[COSTO]]</f>
        <v>2.2652441801558889</v>
      </c>
      <c r="H174" s="35">
        <v>500</v>
      </c>
    </row>
    <row r="175" spans="1:8">
      <c r="A175" s="30" t="s">
        <v>488</v>
      </c>
      <c r="B175" s="31" t="s">
        <v>489</v>
      </c>
      <c r="C175" s="32">
        <f>INDEX(Costos[],MATCH("Jabón Lava Loza (Granel)",Costos[PRODUCTO],0),3)+INDEX(MateriasPrimas[],MATCH("Doy pack x 1000ml",MateriasPrimas[NOMBRE],0),3)+100</f>
        <v>3947.4421499999999</v>
      </c>
      <c r="D175" s="33">
        <v>2.5</v>
      </c>
      <c r="E175" s="32">
        <f t="shared" si="6"/>
        <v>9868.6053749999992</v>
      </c>
      <c r="F175" s="32">
        <v>8000</v>
      </c>
      <c r="G175" s="34">
        <f>Costos[[#This Row],[PRECIO VENTA]]/Costos[[#This Row],[COSTO]]</f>
        <v>2.026628813293692</v>
      </c>
      <c r="H175" s="35">
        <v>1000</v>
      </c>
    </row>
    <row r="176" spans="1:8">
      <c r="A176" s="30" t="s">
        <v>490</v>
      </c>
      <c r="B176" s="31" t="s">
        <v>491</v>
      </c>
      <c r="C176" s="32">
        <f>0.5*INDEX(Costos[],MATCH("Jabón Lava Loza (Granel)",Costos[PRODUCTO],0),3)+INDEX(MateriasPrimas[],MATCH("Doy pack x 500ml",MateriasPrimas[NOMBRE],0),3)+100</f>
        <v>2348.7210749999999</v>
      </c>
      <c r="D176" s="33">
        <v>2.5</v>
      </c>
      <c r="E176" s="32">
        <f t="shared" si="6"/>
        <v>5871.8026874999996</v>
      </c>
      <c r="F176" s="32">
        <v>4000</v>
      </c>
      <c r="G176" s="34">
        <f>Costos[[#This Row],[PRECIO VENTA]]/Costos[[#This Row],[COSTO]]</f>
        <v>1.7030545016930119</v>
      </c>
      <c r="H176" s="35">
        <v>500</v>
      </c>
    </row>
    <row r="177" spans="1:10">
      <c r="A177" s="30" t="s">
        <v>492</v>
      </c>
      <c r="B177" s="31" t="s">
        <v>493</v>
      </c>
      <c r="C177" s="32">
        <f>INDEX(Costos[],MATCH("Jabón Lava Loza (Granel)",Costos[PRODUCTO],0),3)+INDEX(MateriasPrimas[],MATCH("Envase 1L",MateriasPrimas[NOMBRE],0),3)+100</f>
        <v>3657.4421499999999</v>
      </c>
      <c r="D177" s="33">
        <v>2.5</v>
      </c>
      <c r="E177" s="32">
        <f t="shared" si="6"/>
        <v>9143.6053749999992</v>
      </c>
      <c r="F177" s="32">
        <v>8000</v>
      </c>
      <c r="G177" s="34">
        <f>Costos[[#This Row],[PRECIO VENTA]]/Costos[[#This Row],[COSTO]]</f>
        <v>2.1873209942637097</v>
      </c>
      <c r="H177" s="35">
        <v>1000</v>
      </c>
    </row>
    <row r="178" spans="1:10">
      <c r="A178" s="30" t="s">
        <v>494</v>
      </c>
      <c r="B178" s="31" t="s">
        <v>495</v>
      </c>
      <c r="C178" s="32">
        <f>20*INDEX(Costos[],MATCH("Jabón Lava Loza (Granel)",Costos[PRODUCTO],0),3)+INDEX(MateriasPrimas[],MATCH("Envase 20L",MateriasPrimas[NOMBRE],0),3)+100</f>
        <v>65198.842999999993</v>
      </c>
      <c r="D178" s="33">
        <v>2.5</v>
      </c>
      <c r="E178" s="32">
        <f t="shared" si="6"/>
        <v>162997.10749999998</v>
      </c>
      <c r="F178" s="32">
        <v>124000</v>
      </c>
      <c r="G178" s="34">
        <f>Costos[[#This Row],[PRECIO VENTA]]/Costos[[#This Row],[COSTO]]</f>
        <v>1.9018742403143567</v>
      </c>
      <c r="H178" s="35">
        <v>20000</v>
      </c>
    </row>
    <row r="179" spans="1:10">
      <c r="A179" s="30" t="s">
        <v>496</v>
      </c>
      <c r="B179" s="31" t="s">
        <v>497</v>
      </c>
      <c r="C179" s="32">
        <f>2*INDEX(Costos[],MATCH("Jabón Lava Loza (Granel)",Costos[PRODUCTO],0),3)+INDEX(MateriasPrimas[],MATCH("Envase 2L",MateriasPrimas[NOMBRE],0),3)+100</f>
        <v>7214.8842999999997</v>
      </c>
      <c r="D179" s="33">
        <v>2.5</v>
      </c>
      <c r="E179" s="32">
        <f t="shared" si="6"/>
        <v>18037.210749999998</v>
      </c>
      <c r="F179" s="32">
        <v>13000</v>
      </c>
      <c r="G179" s="34">
        <f>Costos[[#This Row],[PRECIO VENTA]]/Costos[[#This Row],[COSTO]]</f>
        <v>1.8018306960237742</v>
      </c>
      <c r="H179" s="35">
        <v>2000</v>
      </c>
    </row>
    <row r="180" spans="1:10">
      <c r="A180" s="30" t="s">
        <v>498</v>
      </c>
      <c r="B180" s="31" t="s">
        <v>499</v>
      </c>
      <c r="C180" s="32">
        <f>4*INDEX(Costos[],MATCH("Jabón Lava Loza (Granel)",Costos[PRODUCTO],0),3)+INDEX(MateriasPrimas[],MATCH("Envase 4L",MateriasPrimas[NOMBRE],0),3)+100</f>
        <v>13174.768599999999</v>
      </c>
      <c r="D180" s="33">
        <v>2.5</v>
      </c>
      <c r="E180" s="32">
        <f t="shared" si="6"/>
        <v>32936.921499999997</v>
      </c>
      <c r="F180" s="32">
        <v>25000</v>
      </c>
      <c r="G180" s="34">
        <f>Costos[[#This Row],[PRECIO VENTA]]/Costos[[#This Row],[COSTO]]</f>
        <v>1.8975665348687796</v>
      </c>
      <c r="H180" s="35">
        <v>4000</v>
      </c>
    </row>
    <row r="181" spans="1:10">
      <c r="A181" s="30" t="s">
        <v>500</v>
      </c>
      <c r="B181" s="31" t="s">
        <v>501</v>
      </c>
      <c r="C181" s="32">
        <v>25000</v>
      </c>
      <c r="D181" s="33">
        <v>1.5</v>
      </c>
      <c r="E181" s="32">
        <f t="shared" si="6"/>
        <v>37500</v>
      </c>
      <c r="F181" s="32">
        <v>35000</v>
      </c>
      <c r="G181" s="34">
        <f>Costos[[#This Row],[PRECIO VENTA]]/Costos[[#This Row],[COSTO]]</f>
        <v>1.4</v>
      </c>
      <c r="H181" s="35"/>
    </row>
    <row r="182" spans="1:10">
      <c r="A182" s="30" t="s">
        <v>502</v>
      </c>
      <c r="B182" s="31" t="s">
        <v>503</v>
      </c>
      <c r="C182" s="32">
        <f>0.5*INDEX(Costos[],MATCH("Limpiador de Hornos y Parrillas (Granel)",Costos[PRODUCTO],0),3)+INDEX(MateriasPrimas[],MATCH("Envase Polipropileno x 500ml",MateriasPrimas[NOMBRE],0),3)+100</f>
        <v>2954.9220850000002</v>
      </c>
      <c r="D182" s="33">
        <v>1.5</v>
      </c>
      <c r="E182" s="32">
        <f t="shared" si="6"/>
        <v>4432.3831275000002</v>
      </c>
      <c r="F182" s="32">
        <v>6500</v>
      </c>
      <c r="G182" s="34">
        <f>Costos[[#This Row],[PRECIO VENTA]]/Costos[[#This Row],[COSTO]]</f>
        <v>2.1997195909143574</v>
      </c>
      <c r="H182" s="35">
        <v>500</v>
      </c>
    </row>
    <row r="183" spans="1:10">
      <c r="A183" s="30" t="s">
        <v>504</v>
      </c>
      <c r="B183" s="31" t="s">
        <v>505</v>
      </c>
      <c r="C183" s="32">
        <f>SUM(LimpiadorHornos[Costo (Kg)])</f>
        <v>1749.8441700000001</v>
      </c>
      <c r="D183" s="33">
        <v>2.5</v>
      </c>
      <c r="E183" s="32">
        <f t="shared" si="6"/>
        <v>4374.6104249999999</v>
      </c>
      <c r="F183" s="32">
        <v>6000</v>
      </c>
      <c r="G183" s="34">
        <f>Costos[[#This Row],[PRECIO VENTA]]/Costos[[#This Row],[COSTO]]</f>
        <v>3.4288767553513062</v>
      </c>
      <c r="H183" s="35"/>
    </row>
    <row r="184" spans="1:10">
      <c r="A184" s="30" t="s">
        <v>506</v>
      </c>
      <c r="B184" s="31" t="s">
        <v>507</v>
      </c>
      <c r="C184" s="32">
        <f>INDEX(Costos[],MATCH("Limpiador de Hornos y Parrillas (Granel)",Costos[PRODUCTO],0),3)+INDEX(MateriasPrimas[],MATCH("Envase 1L",MateriasPrimas[NOMBRE],0),3)+100</f>
        <v>2509.8441700000003</v>
      </c>
      <c r="D184" s="33">
        <v>2</v>
      </c>
      <c r="E184" s="32">
        <f t="shared" si="6"/>
        <v>5019.6883400000006</v>
      </c>
      <c r="F184" s="32">
        <v>6500</v>
      </c>
      <c r="G184" s="34">
        <f>Costos[[#This Row],[PRECIO VENTA]]/Costos[[#This Row],[COSTO]]</f>
        <v>2.5898022186771854</v>
      </c>
      <c r="H184" s="35">
        <v>1000</v>
      </c>
    </row>
    <row r="185" spans="1:10">
      <c r="A185" s="30" t="s">
        <v>508</v>
      </c>
      <c r="B185" s="31" t="s">
        <v>509</v>
      </c>
      <c r="C185" s="32">
        <f>2*INDEX(Costos[],MATCH("Limpiador de Hornos y Parrillas (Granel)",Costos[PRODUCTO],0),3)+INDEX(MateriasPrimas[],MATCH("Envase 2L",MateriasPrimas[NOMBRE],0),3)+100</f>
        <v>4919.6883400000006</v>
      </c>
      <c r="D185" s="33">
        <v>2</v>
      </c>
      <c r="E185" s="32">
        <f t="shared" si="6"/>
        <v>9839.3766800000012</v>
      </c>
      <c r="F185" s="32">
        <v>12000</v>
      </c>
      <c r="G185" s="34">
        <f>Costos[[#This Row],[PRECIO VENTA]]/Costos[[#This Row],[COSTO]]</f>
        <v>2.4391789013204033</v>
      </c>
      <c r="H185" s="35">
        <v>2000</v>
      </c>
    </row>
    <row r="186" spans="1:10">
      <c r="A186" s="30" t="s">
        <v>510</v>
      </c>
      <c r="B186" s="31" t="s">
        <v>511</v>
      </c>
      <c r="C186" s="32">
        <f>4*INDEX(Costos[],MATCH("Limpiador de Hornos y Parrillas (Granel)",Costos[PRODUCTO],0),3)+INDEX(MateriasPrimas[],MATCH("Envase 4L",MateriasPrimas[NOMBRE],0),3)+100</f>
        <v>8584.3766800000012</v>
      </c>
      <c r="D186" s="33">
        <v>2</v>
      </c>
      <c r="E186" s="32">
        <f t="shared" si="6"/>
        <v>17168.753360000002</v>
      </c>
      <c r="F186" s="32">
        <v>22000</v>
      </c>
      <c r="G186" s="34">
        <f>Costos[[#This Row],[PRECIO VENTA]]/Costos[[#This Row],[COSTO]]</f>
        <v>2.5627952756611792</v>
      </c>
      <c r="H186" s="35">
        <v>4000</v>
      </c>
    </row>
    <row r="187" spans="1:10">
      <c r="A187" s="30" t="s">
        <v>512</v>
      </c>
      <c r="B187" s="31" t="s">
        <v>513</v>
      </c>
      <c r="C187" s="32">
        <f>SUM(LimpiadorDeSuperficies[Costo (Kg)])</f>
        <v>3978.2307000000001</v>
      </c>
      <c r="D187" s="33">
        <v>2</v>
      </c>
      <c r="E187" s="32">
        <f t="shared" si="6"/>
        <v>7956.4614000000001</v>
      </c>
      <c r="F187" s="32">
        <v>7000</v>
      </c>
      <c r="G187" s="34">
        <f>Costos[[#This Row],[PRECIO VENTA]]/Costos[[#This Row],[COSTO]]</f>
        <v>1.759576185463553</v>
      </c>
      <c r="H187" s="35"/>
      <c r="J187" s="40"/>
    </row>
    <row r="188" spans="1:10">
      <c r="A188" s="30" t="s">
        <v>514</v>
      </c>
      <c r="B188" s="31" t="s">
        <v>515</v>
      </c>
      <c r="C188" s="32">
        <f>0.5*INDEX(Costos[],MATCH("Limpiador de Superficies (Granel)",Costos[PRODUCTO],0),3)+INDEX(MateriasPrimas[],MATCH("Envase Atomizador x 500ml",MateriasPrimas[NOMBRE],0),3)+100</f>
        <v>3189.11535</v>
      </c>
      <c r="D188" s="33">
        <v>2</v>
      </c>
      <c r="E188" s="32">
        <f t="shared" si="6"/>
        <v>6378.2307000000001</v>
      </c>
      <c r="F188" s="32">
        <v>7000</v>
      </c>
      <c r="G188" s="34">
        <f>Costos[[#This Row],[PRECIO VENTA]]/Costos[[#This Row],[COSTO]]</f>
        <v>2.1949660742123989</v>
      </c>
      <c r="H188" s="35">
        <v>500</v>
      </c>
      <c r="J188" s="40"/>
    </row>
    <row r="189" spans="1:10">
      <c r="A189" s="30" t="s">
        <v>516</v>
      </c>
      <c r="B189" s="31" t="s">
        <v>517</v>
      </c>
      <c r="C189" s="32">
        <f>0.8*INDEX(Costos[],MATCH("Limpiador de Superficies (Granel)",Costos[PRODUCTO],0),3)+INDEX(MateriasPrimas[],MATCH("Envase 800ml",MateriasPrimas[NOMBRE],0),3)+100</f>
        <v>3832.5845600000002</v>
      </c>
      <c r="D189" s="33">
        <v>2</v>
      </c>
      <c r="E189" s="32">
        <f t="shared" si="6"/>
        <v>7665.1691200000005</v>
      </c>
      <c r="F189" s="32">
        <v>7000</v>
      </c>
      <c r="G189" s="34">
        <f>Costos[[#This Row],[PRECIO VENTA]]/Costos[[#This Row],[COSTO]]</f>
        <v>1.8264437197440464</v>
      </c>
      <c r="H189" s="35">
        <v>800</v>
      </c>
      <c r="J189" s="40"/>
    </row>
    <row r="190" spans="1:10">
      <c r="A190" s="30" t="s">
        <v>518</v>
      </c>
      <c r="B190" s="31" t="s">
        <v>519</v>
      </c>
      <c r="C190" s="32">
        <f>INDEX(Costos[],MATCH("Limpiador de Superficies (Granel)",Costos[PRODUCTO],0),3)+INDEX(MateriasPrimas[],MATCH("Envase 1L",MateriasPrimas[NOMBRE],0),3)+100</f>
        <v>4738.2307000000001</v>
      </c>
      <c r="D190" s="33">
        <v>2</v>
      </c>
      <c r="E190" s="32">
        <f t="shared" si="6"/>
        <v>9476.4614000000001</v>
      </c>
      <c r="F190" s="32">
        <v>9000</v>
      </c>
      <c r="G190" s="34">
        <f>Costos[[#This Row],[PRECIO VENTA]]/Costos[[#This Row],[COSTO]]</f>
        <v>1.899443182452049</v>
      </c>
      <c r="H190" s="35">
        <v>1000</v>
      </c>
      <c r="J190" s="40"/>
    </row>
    <row r="191" spans="1:10">
      <c r="A191" s="30" t="s">
        <v>520</v>
      </c>
      <c r="B191" s="31" t="s">
        <v>521</v>
      </c>
      <c r="C191" s="32">
        <f>2*INDEX(Costos[],MATCH("Limpiador de Superficies (Granel)",Costos[PRODUCTO],0),3)+INDEX(MateriasPrimas[],MATCH("Envase 2L",MateriasPrimas[NOMBRE],0),3)+100</f>
        <v>9376.4614000000001</v>
      </c>
      <c r="D191" s="33">
        <v>2</v>
      </c>
      <c r="E191" s="32">
        <f t="shared" si="6"/>
        <v>18752.9228</v>
      </c>
      <c r="F191" s="32">
        <v>18000</v>
      </c>
      <c r="G191" s="34">
        <f>Costos[[#This Row],[PRECIO VENTA]]/Costos[[#This Row],[COSTO]]</f>
        <v>1.9197007519275875</v>
      </c>
      <c r="H191" s="35">
        <v>2000</v>
      </c>
      <c r="J191" s="40"/>
    </row>
    <row r="192" spans="1:10">
      <c r="A192" s="30" t="s">
        <v>522</v>
      </c>
      <c r="B192" s="31" t="s">
        <v>523</v>
      </c>
      <c r="C192" s="32">
        <f>4*INDEX(Costos[],MATCH("Limpiador de Superficies (Granel)",Costos[PRODUCTO],0),3)+INDEX(MateriasPrimas[],MATCH("Envase 4L",MateriasPrimas[NOMBRE],0),3)+100</f>
        <v>17497.9228</v>
      </c>
      <c r="D192" s="33">
        <v>2</v>
      </c>
      <c r="E192" s="32">
        <f t="shared" si="6"/>
        <v>34995.845600000001</v>
      </c>
      <c r="F192" s="32">
        <v>32000</v>
      </c>
      <c r="G192" s="34">
        <f>Costos[[#This Row],[PRECIO VENTA]]/Costos[[#This Row],[COSTO]]</f>
        <v>1.8287885005413329</v>
      </c>
      <c r="H192" s="35">
        <v>4000</v>
      </c>
    </row>
    <row r="193" spans="1:8">
      <c r="A193" s="30" t="s">
        <v>524</v>
      </c>
      <c r="B193" s="31" t="s">
        <v>525</v>
      </c>
      <c r="C193" s="32">
        <f>SUM(LimpiadorHornos[Costo (Kg)])</f>
        <v>1749.8441700000001</v>
      </c>
      <c r="D193" s="33">
        <v>2</v>
      </c>
      <c r="E193" s="32">
        <f t="shared" si="6"/>
        <v>3499.6883400000002</v>
      </c>
      <c r="F193" s="32">
        <v>6500</v>
      </c>
      <c r="G193" s="34">
        <f>Costos[[#This Row],[PRECIO VENTA]]/Costos[[#This Row],[COSTO]]</f>
        <v>3.7146164849639152</v>
      </c>
      <c r="H193" s="35"/>
    </row>
    <row r="194" spans="1:8">
      <c r="A194" s="30" t="s">
        <v>526</v>
      </c>
      <c r="B194" s="31" t="s">
        <v>527</v>
      </c>
      <c r="C194" s="32">
        <f>INDEX(Costos[],MATCH("Limpiador de Hornos y Parrillas (Granel)",Costos[PRODUCTO],0),3)+INDEX(MateriasPrimas[],MATCH("Envase 1L",MateriasPrimas[NOMBRE],0),3)+100</f>
        <v>2509.8441700000003</v>
      </c>
      <c r="D194" s="33">
        <v>2</v>
      </c>
      <c r="E194" s="32">
        <f t="shared" si="6"/>
        <v>5019.6883400000006</v>
      </c>
      <c r="F194" s="32">
        <v>7000</v>
      </c>
      <c r="G194" s="34">
        <f>Costos[[#This Row],[PRECIO VENTA]]/Costos[[#This Row],[COSTO]]</f>
        <v>2.7890177739600461</v>
      </c>
      <c r="H194" s="35">
        <v>1000</v>
      </c>
    </row>
    <row r="195" spans="1:8">
      <c r="A195" s="30" t="s">
        <v>528</v>
      </c>
      <c r="B195" s="31" t="s">
        <v>529</v>
      </c>
      <c r="C195" s="32">
        <f>2*INDEX(Costos[],MATCH("Limpiador de Hornos y Parrillas (Granel)",Costos[PRODUCTO],0),3)+INDEX(MateriasPrimas[],MATCH("Envase 2L",MateriasPrimas[NOMBRE],0),3)+100</f>
        <v>4919.6883400000006</v>
      </c>
      <c r="D195" s="33">
        <v>2</v>
      </c>
      <c r="E195" s="32">
        <f t="shared" si="6"/>
        <v>9839.3766800000012</v>
      </c>
      <c r="F195" s="32">
        <v>13000</v>
      </c>
      <c r="G195" s="34">
        <f>Costos[[#This Row],[PRECIO VENTA]]/Costos[[#This Row],[COSTO]]</f>
        <v>2.6424438097637704</v>
      </c>
      <c r="H195" s="35">
        <v>2000</v>
      </c>
    </row>
    <row r="196" spans="1:8">
      <c r="A196" s="30" t="s">
        <v>530</v>
      </c>
      <c r="B196" s="31" t="s">
        <v>531</v>
      </c>
      <c r="C196" s="32">
        <f>4*INDEX(Costos[],MATCH("Limpiador de Hornos y Parrillas (Granel)",Costos[PRODUCTO],0),3)+INDEX(MateriasPrimas[],MATCH("Envase 4L",MateriasPrimas[NOMBRE],0),3)+100</f>
        <v>8584.3766800000012</v>
      </c>
      <c r="D196" s="33">
        <v>2</v>
      </c>
      <c r="E196" s="32">
        <f t="shared" si="6"/>
        <v>17168.753360000002</v>
      </c>
      <c r="F196" s="32">
        <v>25000</v>
      </c>
      <c r="G196" s="34">
        <f>Costos[[#This Row],[PRECIO VENTA]]/Costos[[#This Row],[COSTO]]</f>
        <v>2.9122673587058854</v>
      </c>
      <c r="H196" s="35">
        <v>4000</v>
      </c>
    </row>
    <row r="197" spans="1:8">
      <c r="A197" s="30" t="s">
        <v>532</v>
      </c>
      <c r="B197" s="31" t="s">
        <v>533</v>
      </c>
      <c r="C197" s="32">
        <f>0.5*INDEX(Costos[],MATCH("Limpiador de Hornos y Parrillas (Granel)",Costos[PRODUCTO],0),3)+INDEX(MateriasPrimas[],MATCH("Envase Polipropileno x 500ml",MateriasPrimas[NOMBRE],0),3)+100</f>
        <v>2954.9220850000002</v>
      </c>
      <c r="D197" s="33">
        <v>2</v>
      </c>
      <c r="E197" s="32">
        <f t="shared" si="6"/>
        <v>5909.8441700000003</v>
      </c>
      <c r="F197" s="32">
        <v>7000</v>
      </c>
      <c r="G197" s="34">
        <f>Costos[[#This Row],[PRECIO VENTA]]/Costos[[#This Row],[COSTO]]</f>
        <v>2.3689287902154619</v>
      </c>
      <c r="H197" s="35">
        <v>500</v>
      </c>
    </row>
    <row r="198" spans="1:8">
      <c r="A198" s="30" t="s">
        <v>534</v>
      </c>
      <c r="B198" s="31" t="s">
        <v>535</v>
      </c>
      <c r="C198" s="32">
        <f>SUM(Limpiavidrios[Costo (Kg)])</f>
        <v>1898.7794050000002</v>
      </c>
      <c r="D198" s="33">
        <v>2</v>
      </c>
      <c r="E198" s="32">
        <f t="shared" si="6"/>
        <v>3797.5588100000004</v>
      </c>
      <c r="F198" s="32">
        <v>4500</v>
      </c>
      <c r="G198" s="34">
        <f>Costos[[#This Row],[PRECIO VENTA]]/Costos[[#This Row],[COSTO]]</f>
        <v>2.3699435480236839</v>
      </c>
      <c r="H198" s="35"/>
    </row>
    <row r="199" spans="1:8">
      <c r="A199" s="30" t="s">
        <v>536</v>
      </c>
      <c r="B199" s="31" t="s">
        <v>537</v>
      </c>
      <c r="C199" s="32">
        <f>0.5*INDEX(Costos[],MATCH("Limpiavidrios Antiempañante (Granel)",Costos[PRODUCTO],0),3)+INDEX(MateriasPrimas[],MATCH("Envase Atomizador x 500ml",MateriasPrimas[NOMBRE],0),3)+100</f>
        <v>2149.3897025000001</v>
      </c>
      <c r="D199" s="33">
        <v>2</v>
      </c>
      <c r="E199" s="32">
        <f t="shared" si="6"/>
        <v>4298.7794050000002</v>
      </c>
      <c r="F199" s="32">
        <v>4000</v>
      </c>
      <c r="G199" s="34">
        <f>Costos[[#This Row],[PRECIO VENTA]]/Costos[[#This Row],[COSTO]]</f>
        <v>1.8609933765605726</v>
      </c>
      <c r="H199" s="35">
        <v>500</v>
      </c>
    </row>
    <row r="200" spans="1:8">
      <c r="A200" s="30" t="s">
        <v>538</v>
      </c>
      <c r="B200" s="31" t="s">
        <v>539</v>
      </c>
      <c r="C200" s="32">
        <f>0.8*INDEX(Costos[],MATCH("Limpiavidrios Antiempañante (Granel)",Costos[PRODUCTO],0),3)+INDEX(MateriasPrimas[],MATCH("Envase 800ml",MateriasPrimas[NOMBRE],0),3)+100</f>
        <v>2169.0235240000002</v>
      </c>
      <c r="D200" s="33">
        <v>2</v>
      </c>
      <c r="E200" s="32">
        <f t="shared" si="6"/>
        <v>4338.0470480000004</v>
      </c>
      <c r="F200" s="32">
        <v>4500</v>
      </c>
      <c r="G200" s="34">
        <f>Costos[[#This Row],[PRECIO VENTA]]/Costos[[#This Row],[COSTO]]</f>
        <v>2.0746662957814928</v>
      </c>
      <c r="H200" s="35">
        <v>800</v>
      </c>
    </row>
    <row r="201" spans="1:8">
      <c r="A201" s="30" t="s">
        <v>540</v>
      </c>
      <c r="B201" s="31" t="s">
        <v>541</v>
      </c>
      <c r="C201" s="32">
        <f>INDEX(Costos[],MATCH("Limpiavidrios Antiempañante (Granel)",Costos[PRODUCTO],0),3)+INDEX(MateriasPrimas[],MATCH("Envase 1L",MateriasPrimas[NOMBRE],0),3)+100</f>
        <v>2658.7794050000002</v>
      </c>
      <c r="D201" s="33">
        <v>2</v>
      </c>
      <c r="E201" s="32">
        <f t="shared" si="6"/>
        <v>5317.5588100000004</v>
      </c>
      <c r="F201" s="32">
        <v>4500</v>
      </c>
      <c r="G201" s="34">
        <f>Costos[[#This Row],[PRECIO VENTA]]/Costos[[#This Row],[COSTO]]</f>
        <v>1.6925059640290088</v>
      </c>
      <c r="H201" s="35">
        <v>1000</v>
      </c>
    </row>
    <row r="202" spans="1:8">
      <c r="A202" s="30" t="s">
        <v>542</v>
      </c>
      <c r="B202" s="31" t="s">
        <v>543</v>
      </c>
      <c r="C202" s="32">
        <f>2*INDEX(Costos[],MATCH("Limpiavidrios Antiempañante (Granel)",Costos[PRODUCTO],0),3)+INDEX(MateriasPrimas[],MATCH("Envase 2L",MateriasPrimas[NOMBRE],0),3)+100</f>
        <v>5217.5588100000004</v>
      </c>
      <c r="D202" s="33">
        <v>2</v>
      </c>
      <c r="E202" s="32">
        <f t="shared" si="6"/>
        <v>10435.117620000001</v>
      </c>
      <c r="F202" s="32">
        <v>8500</v>
      </c>
      <c r="G202" s="34">
        <f>Costos[[#This Row],[PRECIO VENTA]]/Costos[[#This Row],[COSTO]]</f>
        <v>1.6291143635427463</v>
      </c>
      <c r="H202" s="35">
        <v>2000</v>
      </c>
    </row>
    <row r="203" spans="1:8">
      <c r="A203" s="30" t="s">
        <v>544</v>
      </c>
      <c r="B203" s="31" t="s">
        <v>545</v>
      </c>
      <c r="C203" s="32">
        <f>4*INDEX(Costos[],MATCH("Limpiavidrios Antiempañante (Granel)",Costos[PRODUCTO],0),3)+INDEX(MateriasPrimas[],MATCH("Envase 4L",MateriasPrimas[NOMBRE],0),3)+100</f>
        <v>9180.1176200000009</v>
      </c>
      <c r="D203" s="33">
        <v>2</v>
      </c>
      <c r="E203" s="32">
        <f t="shared" si="6"/>
        <v>18360.235240000002</v>
      </c>
      <c r="F203" s="32">
        <v>17000</v>
      </c>
      <c r="G203" s="34">
        <f>Costos[[#This Row],[PRECIO VENTA]]/Costos[[#This Row],[COSTO]]</f>
        <v>1.8518281250518442</v>
      </c>
      <c r="H203" s="35">
        <v>4000</v>
      </c>
    </row>
    <row r="204" spans="1:8">
      <c r="A204" s="30" t="s">
        <v>546</v>
      </c>
      <c r="B204" s="31" t="s">
        <v>547</v>
      </c>
      <c r="C204" s="32">
        <f>INDEX(MateriasPrimas[],MATCH("Naftalina",MateriasPrimas[NOMBRE],0),3)</f>
        <v>25350</v>
      </c>
      <c r="D204" s="33">
        <v>1.5</v>
      </c>
      <c r="E204" s="32">
        <f t="shared" si="6"/>
        <v>38025</v>
      </c>
      <c r="F204" s="32">
        <v>40000</v>
      </c>
      <c r="G204" s="34">
        <f>Costos[[#This Row],[PRECIO VENTA]]/Costos[[#This Row],[COSTO]]</f>
        <v>1.5779092702169626</v>
      </c>
      <c r="H204" s="35">
        <v>1000</v>
      </c>
    </row>
    <row r="205" spans="1:8">
      <c r="A205" s="30" t="s">
        <v>548</v>
      </c>
      <c r="B205" s="31" t="s">
        <v>549</v>
      </c>
      <c r="C205" s="32">
        <f>0.5*INDEX(MateriasPrimas[],MATCH("Naftalina",MateriasPrimas[NOMBRE],0),3)</f>
        <v>12675</v>
      </c>
      <c r="D205" s="33">
        <v>1.5</v>
      </c>
      <c r="E205" s="32">
        <f t="shared" si="6"/>
        <v>19012.5</v>
      </c>
      <c r="F205" s="32">
        <v>20000</v>
      </c>
      <c r="G205" s="34">
        <f>Costos[[#This Row],[PRECIO VENTA]]/Costos[[#This Row],[COSTO]]</f>
        <v>1.5779092702169626</v>
      </c>
      <c r="H205" s="35">
        <v>500</v>
      </c>
    </row>
    <row r="206" spans="1:8">
      <c r="A206" s="30" t="s">
        <v>550</v>
      </c>
      <c r="B206" s="31" t="s">
        <v>551</v>
      </c>
      <c r="C206" s="32">
        <f>0.015*INDEX(MateriasPrimas[],MATCH("Naftalina",MateriasPrimas[NOMBRE],0),3)</f>
        <v>380.25</v>
      </c>
      <c r="D206" s="33">
        <v>1.5</v>
      </c>
      <c r="E206" s="32">
        <f t="shared" si="6"/>
        <v>570.375</v>
      </c>
      <c r="F206" s="32">
        <v>1000</v>
      </c>
      <c r="G206" s="34">
        <f>Costos[[#This Row],[PRECIO VENTA]]/Costos[[#This Row],[COSTO]]</f>
        <v>2.6298487836949374</v>
      </c>
      <c r="H206" s="35"/>
    </row>
    <row r="207" spans="1:8">
      <c r="A207" s="30" t="s">
        <v>552</v>
      </c>
      <c r="B207" s="31" t="s">
        <v>553</v>
      </c>
      <c r="C207" s="32">
        <v>50000</v>
      </c>
      <c r="D207" s="33">
        <v>1.5</v>
      </c>
      <c r="E207" s="32">
        <f t="shared" si="6"/>
        <v>75000</v>
      </c>
      <c r="F207" s="32">
        <v>92000</v>
      </c>
      <c r="G207" s="34">
        <f>Costos[[#This Row],[PRECIO VENTA]]/Costos[[#This Row],[COSTO]]</f>
        <v>1.84</v>
      </c>
      <c r="H207" s="35">
        <v>20000</v>
      </c>
    </row>
    <row r="208" spans="1:8">
      <c r="A208" s="30" t="s">
        <v>554</v>
      </c>
      <c r="B208" s="31" t="s">
        <v>555</v>
      </c>
      <c r="C208" s="32">
        <v>10000</v>
      </c>
      <c r="D208" s="33">
        <v>1.5</v>
      </c>
      <c r="E208" s="32">
        <f t="shared" si="6"/>
        <v>15000</v>
      </c>
      <c r="F208" s="32">
        <v>20000</v>
      </c>
      <c r="G208" s="34">
        <f>Costos[[#This Row],[PRECIO VENTA]]/Costos[[#This Row],[COSTO]]</f>
        <v>2</v>
      </c>
      <c r="H208" s="35">
        <v>4000</v>
      </c>
    </row>
    <row r="209" spans="1:8">
      <c r="A209" s="30" t="s">
        <v>556</v>
      </c>
      <c r="B209" s="31" t="s">
        <v>557</v>
      </c>
      <c r="C209" s="32">
        <v>2500</v>
      </c>
      <c r="D209" s="33">
        <v>2</v>
      </c>
      <c r="E209" s="32">
        <f t="shared" si="6"/>
        <v>5000</v>
      </c>
      <c r="F209" s="32">
        <v>5000</v>
      </c>
      <c r="G209" s="34">
        <f>Costos[[#This Row],[PRECIO VENTA]]/Costos[[#This Row],[COSTO]]</f>
        <v>2</v>
      </c>
      <c r="H209" s="35">
        <v>30</v>
      </c>
    </row>
    <row r="210" spans="1:8">
      <c r="A210" s="30" t="s">
        <v>558</v>
      </c>
      <c r="B210" s="31" t="s">
        <v>559</v>
      </c>
      <c r="C210" s="32">
        <f>0.03*INDEX(MateriasPrimas[],MATCH("Fragancia Limpiador",MateriasPrimas[NOMBRE],0),3)</f>
        <v>2373.42</v>
      </c>
      <c r="D210" s="33">
        <v>2</v>
      </c>
      <c r="E210" s="32">
        <f t="shared" si="6"/>
        <v>4746.84</v>
      </c>
      <c r="F210" s="32">
        <v>4000</v>
      </c>
      <c r="G210" s="34">
        <f>Costos[[#This Row],[PRECIO VENTA]]/Costos[[#This Row],[COSTO]]</f>
        <v>1.6853317154148866</v>
      </c>
      <c r="H210" s="35">
        <v>30</v>
      </c>
    </row>
    <row r="211" spans="1:8">
      <c r="A211" s="30" t="s">
        <v>560</v>
      </c>
      <c r="B211" s="31" t="s">
        <v>561</v>
      </c>
      <c r="C211" s="32">
        <v>5000</v>
      </c>
      <c r="D211" s="32">
        <v>5000</v>
      </c>
      <c r="E211" s="32">
        <v>5000</v>
      </c>
      <c r="F211" s="32">
        <v>5000</v>
      </c>
      <c r="G211" s="34">
        <f>Costos[[#This Row],[PRECIO VENTA]]/Costos[[#This Row],[COSTO]]</f>
        <v>1</v>
      </c>
      <c r="H211" s="35"/>
    </row>
    <row r="212" spans="1:8">
      <c r="A212" s="30" t="s">
        <v>562</v>
      </c>
      <c r="B212" s="31" t="s">
        <v>563</v>
      </c>
      <c r="C212" s="32">
        <f>0.2*INDEX(MateriasPrimas[],MATCH("Oxigeno Activo",MateriasPrimas[NOMBRE],0),3)</f>
        <v>1031.1000000000001</v>
      </c>
      <c r="D212" s="33">
        <v>2</v>
      </c>
      <c r="E212" s="32">
        <f t="shared" ref="E212:E243" si="7">C212*D212</f>
        <v>2062.2000000000003</v>
      </c>
      <c r="F212" s="32">
        <v>2500</v>
      </c>
      <c r="G212" s="34">
        <f>Costos[[#This Row],[PRECIO VENTA]]/Costos[[#This Row],[COSTO]]</f>
        <v>2.4245950926195321</v>
      </c>
      <c r="H212" s="35">
        <v>200</v>
      </c>
    </row>
    <row r="213" spans="1:8">
      <c r="A213" s="30" t="s">
        <v>564</v>
      </c>
      <c r="B213" s="31" t="s">
        <v>565</v>
      </c>
      <c r="C213" s="32">
        <f>0.5*INDEX(MateriasPrimas[],MATCH("Oxigeno Activo",MateriasPrimas[NOMBRE],0),3)</f>
        <v>2577.75</v>
      </c>
      <c r="D213" s="33">
        <v>2</v>
      </c>
      <c r="E213" s="32">
        <f t="shared" si="7"/>
        <v>5155.5</v>
      </c>
      <c r="F213" s="32">
        <v>5000</v>
      </c>
      <c r="G213" s="34">
        <f>Costos[[#This Row],[PRECIO VENTA]]/Costos[[#This Row],[COSTO]]</f>
        <v>1.939676074095626</v>
      </c>
      <c r="H213" s="35">
        <v>500</v>
      </c>
    </row>
    <row r="214" spans="1:8">
      <c r="A214" s="30" t="s">
        <v>566</v>
      </c>
      <c r="B214" s="31" t="s">
        <v>567</v>
      </c>
      <c r="C214" s="32">
        <f>0.02*INDEX(MateriasPrimas[],MATCH("Pastillas de cloro",MateriasPrimas[NOMBRE],0),3)</f>
        <v>227</v>
      </c>
      <c r="D214" s="33">
        <v>2</v>
      </c>
      <c r="E214" s="32">
        <f t="shared" si="7"/>
        <v>454</v>
      </c>
      <c r="F214" s="32">
        <v>500</v>
      </c>
      <c r="G214" s="34">
        <f>Costos[[#This Row],[PRECIO VENTA]]/Costos[[#This Row],[COSTO]]</f>
        <v>2.2026431718061672</v>
      </c>
      <c r="H214" s="35"/>
    </row>
    <row r="215" spans="1:8">
      <c r="A215" s="30" t="s">
        <v>568</v>
      </c>
      <c r="B215" s="31" t="s">
        <v>569</v>
      </c>
      <c r="C215" s="32">
        <f>INDEX(MateriasPrimas[],MATCH("Pastillas de cloro",MateriasPrimas[NOMBRE],0),3)</f>
        <v>11350</v>
      </c>
      <c r="D215" s="33">
        <v>1.5</v>
      </c>
      <c r="E215" s="32">
        <f t="shared" si="7"/>
        <v>17025</v>
      </c>
      <c r="F215" s="32">
        <v>20000</v>
      </c>
      <c r="G215" s="34">
        <f>Costos[[#This Row],[PRECIO VENTA]]/Costos[[#This Row],[COSTO]]</f>
        <v>1.7621145374449338</v>
      </c>
      <c r="H215" s="35">
        <v>1000</v>
      </c>
    </row>
    <row r="216" spans="1:8">
      <c r="A216" s="30" t="s">
        <v>570</v>
      </c>
      <c r="B216" s="31" t="s">
        <v>571</v>
      </c>
      <c r="C216" s="32">
        <f>0.5*INDEX(MateriasPrimas[],MATCH("Pastillas de cloro",MateriasPrimas[NOMBRE],0),3)</f>
        <v>5675</v>
      </c>
      <c r="D216" s="33">
        <v>1.5</v>
      </c>
      <c r="E216" s="32">
        <f t="shared" si="7"/>
        <v>8512.5</v>
      </c>
      <c r="F216" s="32">
        <v>11000</v>
      </c>
      <c r="G216" s="34">
        <f>Costos[[#This Row],[PRECIO VENTA]]/Costos[[#This Row],[COSTO]]</f>
        <v>1.9383259911894273</v>
      </c>
      <c r="H216" s="35">
        <v>500</v>
      </c>
    </row>
    <row r="217" spans="1:8">
      <c r="A217" s="30" t="s">
        <v>572</v>
      </c>
      <c r="B217" s="31" t="s">
        <v>573</v>
      </c>
      <c r="C217" s="32">
        <v>8000</v>
      </c>
      <c r="D217" s="33">
        <v>2</v>
      </c>
      <c r="E217" s="32">
        <f t="shared" si="7"/>
        <v>16000</v>
      </c>
      <c r="F217" s="32">
        <v>20000</v>
      </c>
      <c r="G217" s="34">
        <f>Costos[[#This Row],[PRECIO VENTA]]/Costos[[#This Row],[COSTO]]</f>
        <v>2.5</v>
      </c>
      <c r="H217" s="35">
        <v>30</v>
      </c>
    </row>
    <row r="218" spans="1:8">
      <c r="A218" s="30" t="s">
        <v>574</v>
      </c>
      <c r="B218" s="31" t="s">
        <v>575</v>
      </c>
      <c r="C218" s="32">
        <v>100000</v>
      </c>
      <c r="D218" s="33">
        <v>2</v>
      </c>
      <c r="E218" s="32">
        <f t="shared" si="7"/>
        <v>200000</v>
      </c>
      <c r="F218" s="32">
        <v>300000</v>
      </c>
      <c r="G218" s="34">
        <f>Costos[[#This Row],[PRECIO VENTA]]/Costos[[#This Row],[COSTO]]</f>
        <v>3</v>
      </c>
      <c r="H218" s="35">
        <v>1000</v>
      </c>
    </row>
    <row r="219" spans="1:8">
      <c r="A219" s="30" t="s">
        <v>576</v>
      </c>
      <c r="B219" s="31" t="s">
        <v>577</v>
      </c>
      <c r="C219" s="32">
        <f>0.03*INDEX(Costos[],MATCH("Perfume Preparado (Granel)",Costos[PRODUCTO],0),3)+INDEX(MateriasPrimas[],MATCH("Envase Perfume Vidrio x 30ml",MateriasPrimas[NOMBRE],0),3)+100</f>
        <v>6950</v>
      </c>
      <c r="D219" s="33">
        <v>2</v>
      </c>
      <c r="E219" s="32">
        <f t="shared" si="7"/>
        <v>13900</v>
      </c>
      <c r="F219" s="32">
        <v>13000</v>
      </c>
      <c r="G219" s="34">
        <f>Costos[[#This Row],[PRECIO VENTA]]/Costos[[#This Row],[COSTO]]</f>
        <v>1.8705035971223021</v>
      </c>
      <c r="H219" s="35">
        <v>30</v>
      </c>
    </row>
    <row r="220" spans="1:8">
      <c r="A220" s="30" t="s">
        <v>578</v>
      </c>
      <c r="B220" s="31" t="s">
        <v>579</v>
      </c>
      <c r="C220" s="32">
        <f>0.12*INDEX(Costos[],MATCH("Perfume Preparado (Granel)",Costos[PRODUCTO],0),3)+INDEX(MateriasPrimas[],MATCH("Envase Bomba x 120ml",MateriasPrimas[NOMBRE],0),3)+100</f>
        <v>13002</v>
      </c>
      <c r="D220" s="33">
        <v>2</v>
      </c>
      <c r="E220" s="32">
        <f t="shared" si="7"/>
        <v>26004</v>
      </c>
      <c r="F220" s="32">
        <v>30000</v>
      </c>
      <c r="G220" s="34">
        <f>Costos[[#This Row],[PRECIO VENTA]]/Costos[[#This Row],[COSTO]]</f>
        <v>2.3073373327180433</v>
      </c>
      <c r="H220" s="35">
        <v>120</v>
      </c>
    </row>
    <row r="221" spans="1:8">
      <c r="A221" s="30" t="s">
        <v>580</v>
      </c>
      <c r="B221" s="31" t="s">
        <v>581</v>
      </c>
      <c r="C221" s="32">
        <f>0.02*INDEX(Costos[],MATCH("Perfume Preparado (Granel)",Costos[PRODUCTO],0),3)+INDEX(MateriasPrimas[],MATCH("Envase Bomba x 20ml",MateriasPrimas[NOMBRE],0),3)+100</f>
        <v>2705</v>
      </c>
      <c r="D221" s="33">
        <v>2</v>
      </c>
      <c r="E221" s="32">
        <f t="shared" si="7"/>
        <v>5410</v>
      </c>
      <c r="F221" s="32">
        <v>6000</v>
      </c>
      <c r="G221" s="34">
        <f>Costos[[#This Row],[PRECIO VENTA]]/Costos[[#This Row],[COSTO]]</f>
        <v>2.2181146025878005</v>
      </c>
      <c r="H221" s="35">
        <v>20</v>
      </c>
    </row>
    <row r="222" spans="1:8">
      <c r="A222" s="30" t="s">
        <v>582</v>
      </c>
      <c r="B222" s="31" t="s">
        <v>583</v>
      </c>
      <c r="C222" s="32">
        <f>0.25*INDEX(Costos[],MATCH("Perfume Preparado (Granel)",Costos[PRODUCTO],0),3)+INDEX(MateriasPrimas[],MATCH("Envase Bomba x 250ml",MateriasPrimas[NOMBRE],0),3)+100</f>
        <v>26200</v>
      </c>
      <c r="D222" s="33">
        <v>2</v>
      </c>
      <c r="E222" s="32">
        <f t="shared" si="7"/>
        <v>52400</v>
      </c>
      <c r="F222" s="32">
        <v>55000</v>
      </c>
      <c r="G222" s="34">
        <f>Costos[[#This Row],[PRECIO VENTA]]/Costos[[#This Row],[COSTO]]</f>
        <v>2.0992366412213741</v>
      </c>
      <c r="H222" s="35">
        <v>250</v>
      </c>
    </row>
    <row r="223" spans="1:8">
      <c r="A223" s="30" t="s">
        <v>584</v>
      </c>
      <c r="B223" s="31" t="s">
        <v>585</v>
      </c>
      <c r="C223" s="32">
        <f>0.03*INDEX(Costos[],MATCH("Perfume Preparado (Granel)",Costos[PRODUCTO],0),3)+INDEX(MateriasPrimas[],MATCH("Envase Bomba x 30ml",MateriasPrimas[NOMBRE],0),3)+100</f>
        <v>3430</v>
      </c>
      <c r="D223" s="33">
        <v>2</v>
      </c>
      <c r="E223" s="32">
        <f t="shared" si="7"/>
        <v>6860</v>
      </c>
      <c r="F223" s="32">
        <v>10000</v>
      </c>
      <c r="G223" s="34">
        <f>Costos[[#This Row],[PRECIO VENTA]]/Costos[[#This Row],[COSTO]]</f>
        <v>2.9154518950437316</v>
      </c>
      <c r="H223" s="35">
        <v>30</v>
      </c>
    </row>
    <row r="224" spans="1:8">
      <c r="A224" s="30" t="s">
        <v>586</v>
      </c>
      <c r="B224" s="31" t="s">
        <v>587</v>
      </c>
      <c r="C224" s="32">
        <f>0.06*INDEX(Costos[],MATCH("Perfume Preparado (Granel)",Costos[PRODUCTO],0),3)+INDEX(MateriasPrimas[],MATCH("Envase Bomba x 60ml",MateriasPrimas[NOMBRE],0),3)+100</f>
        <v>6760</v>
      </c>
      <c r="D224" s="33">
        <v>2</v>
      </c>
      <c r="E224" s="32">
        <f t="shared" si="7"/>
        <v>13520</v>
      </c>
      <c r="F224" s="32">
        <v>15000</v>
      </c>
      <c r="G224" s="34">
        <f>Costos[[#This Row],[PRECIO VENTA]]/Costos[[#This Row],[COSTO]]</f>
        <v>2.2189349112426036</v>
      </c>
      <c r="H224" s="35">
        <v>60</v>
      </c>
    </row>
    <row r="225" spans="1:8">
      <c r="A225" s="30" t="s">
        <v>588</v>
      </c>
      <c r="B225" s="31" t="s">
        <v>589</v>
      </c>
      <c r="C225" s="32">
        <v>1200</v>
      </c>
      <c r="D225" s="33">
        <v>2</v>
      </c>
      <c r="E225" s="32">
        <f t="shared" si="7"/>
        <v>2400</v>
      </c>
      <c r="F225" s="32">
        <v>2000</v>
      </c>
      <c r="G225" s="34">
        <f>Costos[[#This Row],[PRECIO VENTA]]/Costos[[#This Row],[COSTO]]</f>
        <v>1.6666666666666667</v>
      </c>
      <c r="H225" s="35"/>
    </row>
    <row r="226" spans="1:8">
      <c r="A226" s="30" t="s">
        <v>590</v>
      </c>
      <c r="B226" s="31" t="s">
        <v>591</v>
      </c>
      <c r="C226" s="32">
        <f>0.2*INDEX(MateriasPrimas[],MATCH("Propianato de calcio",MateriasPrimas[NOMBRE],0),3)</f>
        <v>2202</v>
      </c>
      <c r="D226" s="33">
        <v>1.5</v>
      </c>
      <c r="E226" s="32">
        <f t="shared" si="7"/>
        <v>3303</v>
      </c>
      <c r="F226" s="32">
        <v>3500</v>
      </c>
      <c r="G226" s="34">
        <f>Costos[[#This Row],[PRECIO VENTA]]/Costos[[#This Row],[COSTO]]</f>
        <v>1.589464123524069</v>
      </c>
      <c r="H226" s="35">
        <v>200</v>
      </c>
    </row>
    <row r="227" spans="1:8">
      <c r="A227" s="30" t="s">
        <v>592</v>
      </c>
      <c r="B227" s="31" t="s">
        <v>593</v>
      </c>
      <c r="C227" s="32">
        <f>0.5*INDEX(MateriasPrimas[],MATCH("Propianato de calcio",MateriasPrimas[NOMBRE],0),3)+135</f>
        <v>5640</v>
      </c>
      <c r="D227" s="33">
        <v>1.5</v>
      </c>
      <c r="E227" s="32">
        <f t="shared" si="7"/>
        <v>8460</v>
      </c>
      <c r="F227" s="32">
        <v>7000</v>
      </c>
      <c r="G227" s="34">
        <f>Costos[[#This Row],[PRECIO VENTA]]/Costos[[#This Row],[COSTO]]</f>
        <v>1.2411347517730495</v>
      </c>
      <c r="H227" s="35">
        <v>500</v>
      </c>
    </row>
    <row r="228" spans="1:8">
      <c r="A228" s="30" t="s">
        <v>594</v>
      </c>
      <c r="B228" s="31" t="s">
        <v>595</v>
      </c>
      <c r="C228" s="32">
        <f>0.12*INDEX(MateriasPrimas[],MATCH("Quita manchas",MateriasPrimas[NOMBRE],0),3)</f>
        <v>2268</v>
      </c>
      <c r="D228" s="33">
        <v>1.5</v>
      </c>
      <c r="E228" s="32">
        <f t="shared" si="7"/>
        <v>3402</v>
      </c>
      <c r="F228" s="32">
        <v>5000</v>
      </c>
      <c r="G228" s="34">
        <f>Costos[[#This Row],[PRECIO VENTA]]/Costos[[#This Row],[COSTO]]</f>
        <v>2.2045855379188715</v>
      </c>
      <c r="H228" s="35"/>
    </row>
    <row r="229" spans="1:8">
      <c r="A229" s="30" t="s">
        <v>596</v>
      </c>
      <c r="B229" s="31" t="s">
        <v>597</v>
      </c>
      <c r="C229" s="32">
        <f>0.12*INDEX(MateriasPrimas[],MATCH("Quita oxido",MateriasPrimas[NOMBRE],0),3)</f>
        <v>2082.36</v>
      </c>
      <c r="D229" s="33">
        <v>1.5</v>
      </c>
      <c r="E229" s="32">
        <f t="shared" si="7"/>
        <v>3123.54</v>
      </c>
      <c r="F229" s="32">
        <v>5000</v>
      </c>
      <c r="G229" s="34">
        <f>Costos[[#This Row],[PRECIO VENTA]]/Costos[[#This Row],[COSTO]]</f>
        <v>2.4011218041068787</v>
      </c>
      <c r="H229" s="35"/>
    </row>
    <row r="230" spans="1:8">
      <c r="A230" s="30" t="s">
        <v>598</v>
      </c>
      <c r="B230" s="31" t="s">
        <v>599</v>
      </c>
      <c r="C230" s="32">
        <f>0.12*INDEX(MateriasPrimas[],MATCH("Quita tintas",MateriasPrimas[NOMBRE],0),3)</f>
        <v>3553.2</v>
      </c>
      <c r="D230" s="33">
        <v>1.5</v>
      </c>
      <c r="E230" s="32">
        <f t="shared" si="7"/>
        <v>5329.7999999999993</v>
      </c>
      <c r="F230" s="32">
        <v>5000</v>
      </c>
      <c r="G230" s="34">
        <f>Costos[[#This Row],[PRECIO VENTA]]/Costos[[#This Row],[COSTO]]</f>
        <v>1.407182258246088</v>
      </c>
      <c r="H230" s="35"/>
    </row>
    <row r="231" spans="1:8">
      <c r="A231" s="30" t="s">
        <v>600</v>
      </c>
      <c r="B231" s="31" t="s">
        <v>601</v>
      </c>
      <c r="C231" s="32">
        <f>SUM(RemovedorDeCeras[Costo (Kg)])</f>
        <v>1748.2750000000001</v>
      </c>
      <c r="D231" s="33">
        <v>3</v>
      </c>
      <c r="E231" s="32">
        <f t="shared" si="7"/>
        <v>5244.8250000000007</v>
      </c>
      <c r="F231" s="32">
        <v>6000</v>
      </c>
      <c r="G231" s="34">
        <f>Costos[[#This Row],[PRECIO VENTA]]/Costos[[#This Row],[COSTO]]</f>
        <v>3.4319543550070781</v>
      </c>
      <c r="H231" s="35"/>
    </row>
    <row r="232" spans="1:8">
      <c r="A232" s="30" t="s">
        <v>602</v>
      </c>
      <c r="B232" s="31" t="s">
        <v>603</v>
      </c>
      <c r="C232" s="32">
        <f>0.8*INDEX(Costos[],MATCH("Limpiavidrios Antiempañante (Granel)",Costos[PRODUCTO],0),3)+INDEX(MateriasPrimas[],MATCH("Envase 800ml",MateriasPrimas[NOMBRE],0),3)+100</f>
        <v>2169.0235240000002</v>
      </c>
      <c r="D232" s="33">
        <v>3</v>
      </c>
      <c r="E232" s="32">
        <f t="shared" si="7"/>
        <v>6507.0705720000005</v>
      </c>
      <c r="F232" s="32">
        <v>6000</v>
      </c>
      <c r="G232" s="34">
        <f>Costos[[#This Row],[PRECIO VENTA]]/Costos[[#This Row],[COSTO]]</f>
        <v>2.7662217277086572</v>
      </c>
      <c r="H232" s="35">
        <v>800</v>
      </c>
    </row>
    <row r="233" spans="1:8">
      <c r="A233" s="30" t="s">
        <v>604</v>
      </c>
      <c r="B233" s="31" t="s">
        <v>605</v>
      </c>
      <c r="C233" s="32">
        <f>INDEX(Costos[],MATCH("Limpiavidrios Antiempañante (Granel)",Costos[PRODUCTO],0),3)+INDEX(MateriasPrimas[],MATCH("Envase 1L",MateriasPrimas[NOMBRE],0),3)+100</f>
        <v>2658.7794050000002</v>
      </c>
      <c r="D233" s="33">
        <v>3</v>
      </c>
      <c r="E233" s="32">
        <f t="shared" si="7"/>
        <v>7976.3382150000007</v>
      </c>
      <c r="F233" s="32">
        <v>7000</v>
      </c>
      <c r="G233" s="34">
        <f>Costos[[#This Row],[PRECIO VENTA]]/Costos[[#This Row],[COSTO]]</f>
        <v>2.632787055156236</v>
      </c>
      <c r="H233" s="35">
        <v>1000</v>
      </c>
    </row>
    <row r="234" spans="1:8">
      <c r="A234" s="30" t="s">
        <v>606</v>
      </c>
      <c r="B234" s="31" t="s">
        <v>607</v>
      </c>
      <c r="C234" s="32">
        <f>2*INDEX(Costos[],MATCH("Limpiavidrios Antiempañante (Granel)",Costos[PRODUCTO],0),3)+INDEX(MateriasPrimas[],MATCH("Envase 2L",MateriasPrimas[NOMBRE],0),3)+100</f>
        <v>5217.5588100000004</v>
      </c>
      <c r="D234" s="33">
        <v>3</v>
      </c>
      <c r="E234" s="32">
        <f t="shared" si="7"/>
        <v>15652.676430000001</v>
      </c>
      <c r="F234" s="32">
        <v>14000</v>
      </c>
      <c r="G234" s="34">
        <f>Costos[[#This Row],[PRECIO VENTA]]/Costos[[#This Row],[COSTO]]</f>
        <v>2.6832471870115824</v>
      </c>
      <c r="H234" s="35">
        <v>2000</v>
      </c>
    </row>
    <row r="235" spans="1:8">
      <c r="A235" s="30" t="s">
        <v>608</v>
      </c>
      <c r="B235" s="31" t="s">
        <v>609</v>
      </c>
      <c r="C235" s="32">
        <f>4*INDEX(Costos[],MATCH("Limpiavidrios Antiempañante (Granel)",Costos[PRODUCTO],0),3)+INDEX(MateriasPrimas[],MATCH("Envase 4L",MateriasPrimas[NOMBRE],0),3)+100</f>
        <v>9180.1176200000009</v>
      </c>
      <c r="D235" s="33">
        <v>3</v>
      </c>
      <c r="E235" s="32">
        <f t="shared" si="7"/>
        <v>27540.352860000003</v>
      </c>
      <c r="F235" s="32">
        <v>25000</v>
      </c>
      <c r="G235" s="34">
        <f>Costos[[#This Row],[PRECIO VENTA]]/Costos[[#This Row],[COSTO]]</f>
        <v>2.7232766544880063</v>
      </c>
      <c r="H235" s="35">
        <v>4000</v>
      </c>
    </row>
    <row r="236" spans="1:8">
      <c r="A236" s="30" t="s">
        <v>610</v>
      </c>
      <c r="B236" s="31" t="s">
        <v>611</v>
      </c>
      <c r="C236" s="32">
        <f>INDEX(MateriasPrimas[],MATCH("Shampoo",MateriasPrimas[NOMBRE],0),3)</f>
        <v>4837.5</v>
      </c>
      <c r="D236" s="33">
        <v>1.5</v>
      </c>
      <c r="E236" s="32">
        <f t="shared" si="7"/>
        <v>7256.25</v>
      </c>
      <c r="F236" s="32">
        <v>8000</v>
      </c>
      <c r="G236" s="34">
        <f>Costos[[#This Row],[PRECIO VENTA]]/Costos[[#This Row],[COSTO]]</f>
        <v>1.6537467700258397</v>
      </c>
      <c r="H236" s="35"/>
    </row>
    <row r="237" spans="1:8">
      <c r="A237" s="30" t="s">
        <v>612</v>
      </c>
      <c r="B237" s="31" t="s">
        <v>613</v>
      </c>
      <c r="C237" s="32">
        <f>SUM(ShampooAlfombras[Costo (Kg)])</f>
        <v>2773.9119499999997</v>
      </c>
      <c r="D237" s="33">
        <v>2.5</v>
      </c>
      <c r="E237" s="32">
        <f t="shared" si="7"/>
        <v>6934.7798749999993</v>
      </c>
      <c r="F237" s="32">
        <v>5500</v>
      </c>
      <c r="G237" s="34">
        <f>Costos[[#This Row],[PRECIO VENTA]]/Costos[[#This Row],[COSTO]]</f>
        <v>1.9827594022946549</v>
      </c>
      <c r="H237" s="35"/>
    </row>
    <row r="238" spans="1:8">
      <c r="A238" s="30" t="s">
        <v>614</v>
      </c>
      <c r="B238" s="31" t="s">
        <v>615</v>
      </c>
      <c r="C238" s="32">
        <f>0.5*INDEX(Costos[],MATCH("Limpiavidrios Antiempañante (Granel)",Costos[PRODUCTO],0),3)+INDEX(MateriasPrimas[],MATCH("Envase 0,5L",MateriasPrimas[NOMBRE],0),3)+100</f>
        <v>1654.3897025000001</v>
      </c>
      <c r="D238" s="33">
        <v>2.5</v>
      </c>
      <c r="E238" s="32">
        <f t="shared" si="7"/>
        <v>4135.9742562500005</v>
      </c>
      <c r="F238" s="32">
        <v>4000</v>
      </c>
      <c r="G238" s="34">
        <f>Costos[[#This Row],[PRECIO VENTA]]/Costos[[#This Row],[COSTO]]</f>
        <v>2.4178100201877917</v>
      </c>
      <c r="H238" s="35">
        <v>500</v>
      </c>
    </row>
    <row r="239" spans="1:8">
      <c r="A239" s="30" t="s">
        <v>616</v>
      </c>
      <c r="B239" s="31" t="s">
        <v>617</v>
      </c>
      <c r="C239" s="32">
        <f>0.8*INDEX(Costos[],MATCH("Limpiavidrios Antiempañante (Granel)",Costos[PRODUCTO],0),3)+INDEX(MateriasPrimas[],MATCH("Envase 800ml",MateriasPrimas[NOMBRE],0),3)+100</f>
        <v>2169.0235240000002</v>
      </c>
      <c r="D239" s="33">
        <v>2.5</v>
      </c>
      <c r="E239" s="32">
        <f t="shared" si="7"/>
        <v>5422.5588100000004</v>
      </c>
      <c r="F239" s="32">
        <v>5000</v>
      </c>
      <c r="G239" s="34">
        <f>Costos[[#This Row],[PRECIO VENTA]]/Costos[[#This Row],[COSTO]]</f>
        <v>2.3051847730905473</v>
      </c>
      <c r="H239" s="35">
        <v>800</v>
      </c>
    </row>
    <row r="240" spans="1:8">
      <c r="A240" s="30" t="s">
        <v>618</v>
      </c>
      <c r="B240" s="31" t="s">
        <v>619</v>
      </c>
      <c r="C240" s="32">
        <f>INDEX(Costos[],MATCH("Limpiavidrios Antiempañante (Granel)",Costos[PRODUCTO],0),3)+INDEX(MateriasPrimas[],MATCH("Envase 1L",MateriasPrimas[NOMBRE],0),3)+100</f>
        <v>2658.7794050000002</v>
      </c>
      <c r="D240" s="33">
        <v>2.5</v>
      </c>
      <c r="E240" s="32">
        <f t="shared" si="7"/>
        <v>6646.948512500001</v>
      </c>
      <c r="F240" s="32">
        <v>6500</v>
      </c>
      <c r="G240" s="34">
        <f>Costos[[#This Row],[PRECIO VENTA]]/Costos[[#This Row],[COSTO]]</f>
        <v>2.4447308369307907</v>
      </c>
      <c r="H240" s="35">
        <v>1000</v>
      </c>
    </row>
    <row r="241" spans="1:8">
      <c r="A241" s="30" t="s">
        <v>620</v>
      </c>
      <c r="B241" s="31" t="s">
        <v>621</v>
      </c>
      <c r="C241" s="32">
        <f>2*INDEX(Costos[],MATCH("Limpiavidrios Antiempañante (Granel)",Costos[PRODUCTO],0),3)+INDEX(MateriasPrimas[],MATCH("Envase 2L",MateriasPrimas[NOMBRE],0),3)+100</f>
        <v>5217.5588100000004</v>
      </c>
      <c r="D241" s="33">
        <v>2.5</v>
      </c>
      <c r="E241" s="32">
        <f t="shared" si="7"/>
        <v>13043.897025000002</v>
      </c>
      <c r="F241" s="32">
        <v>12000</v>
      </c>
      <c r="G241" s="34">
        <f>Costos[[#This Row],[PRECIO VENTA]]/Costos[[#This Row],[COSTO]]</f>
        <v>2.2999261602956418</v>
      </c>
      <c r="H241" s="35">
        <v>2000</v>
      </c>
    </row>
    <row r="242" spans="1:8">
      <c r="A242" s="30" t="s">
        <v>622</v>
      </c>
      <c r="B242" s="31" t="s">
        <v>623</v>
      </c>
      <c r="C242" s="32">
        <f>4*INDEX(Costos[],MATCH("Limpiavidrios Antiempañante (Granel)",Costos[PRODUCTO],0),3)+INDEX(MateriasPrimas[],MATCH("Envase 4L",MateriasPrimas[NOMBRE],0),3)+100</f>
        <v>9180.1176200000009</v>
      </c>
      <c r="D242" s="33">
        <v>2.5</v>
      </c>
      <c r="E242" s="32">
        <f t="shared" si="7"/>
        <v>22950.294050000004</v>
      </c>
      <c r="F242" s="32">
        <v>23000</v>
      </c>
      <c r="G242" s="34">
        <f>Costos[[#This Row],[PRECIO VENTA]]/Costos[[#This Row],[COSTO]]</f>
        <v>2.5054145221289659</v>
      </c>
      <c r="H242" s="35">
        <v>4000</v>
      </c>
    </row>
    <row r="243" spans="1:8">
      <c r="A243" s="30" t="s">
        <v>624</v>
      </c>
      <c r="B243" s="31" t="s">
        <v>625</v>
      </c>
      <c r="C243" s="32">
        <f>SUM(ShampooAuto[Costo (Kg)])</f>
        <v>2815.4619499999999</v>
      </c>
      <c r="D243" s="33">
        <v>2</v>
      </c>
      <c r="E243" s="32">
        <f t="shared" si="7"/>
        <v>5630.9238999999998</v>
      </c>
      <c r="F243" s="32">
        <v>4500</v>
      </c>
      <c r="G243" s="34">
        <f>Costos[[#This Row],[PRECIO VENTA]]/Costos[[#This Row],[COSTO]]</f>
        <v>1.5983167522473534</v>
      </c>
      <c r="H243" s="35"/>
    </row>
    <row r="244" spans="1:8">
      <c r="A244" s="30" t="s">
        <v>626</v>
      </c>
      <c r="B244" s="31" t="s">
        <v>627</v>
      </c>
      <c r="C244" s="32">
        <f>0.5*INDEX(Costos[],MATCH("Shampoo Carros (Granel)",Costos[PRODUCTO],0),3)+INDEX(MateriasPrimas[],MATCH("Envase 0,5L",MateriasPrimas[NOMBRE],0),3)+100</f>
        <v>2112.7309749999999</v>
      </c>
      <c r="D244" s="33">
        <v>2</v>
      </c>
      <c r="E244" s="32">
        <f t="shared" ref="E244:E275" si="8">C244*D244</f>
        <v>4225.4619499999999</v>
      </c>
      <c r="F244" s="32">
        <v>3500</v>
      </c>
      <c r="G244" s="34">
        <f>Costos[[#This Row],[PRECIO VENTA]]/Costos[[#This Row],[COSTO]]</f>
        <v>1.6566236030122103</v>
      </c>
      <c r="H244" s="35">
        <v>500</v>
      </c>
    </row>
    <row r="245" spans="1:8">
      <c r="A245" s="30" t="s">
        <v>628</v>
      </c>
      <c r="B245" s="31" t="s">
        <v>629</v>
      </c>
      <c r="C245" s="32">
        <f>0.8*INDEX(Costos[],MATCH("Shampoo Carros (Granel)",Costos[PRODUCTO],0),3)+INDEX(MateriasPrimas[],MATCH("Envase 800ml",MateriasPrimas[NOMBRE],0),3)+100</f>
        <v>2902.3695600000001</v>
      </c>
      <c r="D245" s="33">
        <v>2</v>
      </c>
      <c r="E245" s="32">
        <f t="shared" si="8"/>
        <v>5804.7391200000002</v>
      </c>
      <c r="F245" s="32">
        <v>4500</v>
      </c>
      <c r="G245" s="34">
        <f>Costos[[#This Row],[PRECIO VENTA]]/Costos[[#This Row],[COSTO]]</f>
        <v>1.550457275330575</v>
      </c>
      <c r="H245" s="35">
        <v>800</v>
      </c>
    </row>
    <row r="246" spans="1:8">
      <c r="A246" s="30" t="s">
        <v>630</v>
      </c>
      <c r="B246" s="31" t="s">
        <v>631</v>
      </c>
      <c r="C246" s="32">
        <f>INDEX(Costos[],MATCH("Shampoo Carros (Granel)",Costos[PRODUCTO],0),3)+INDEX(MateriasPrimas[],MATCH("Envase 1L",MateriasPrimas[NOMBRE],0),3)+100</f>
        <v>3575.4619499999999</v>
      </c>
      <c r="D246" s="33">
        <v>2</v>
      </c>
      <c r="E246" s="32">
        <f t="shared" si="8"/>
        <v>7150.9238999999998</v>
      </c>
      <c r="F246" s="32">
        <v>5500</v>
      </c>
      <c r="G246" s="34">
        <f>Costos[[#This Row],[PRECIO VENTA]]/Costos[[#This Row],[COSTO]]</f>
        <v>1.5382627690947739</v>
      </c>
      <c r="H246" s="35">
        <v>1000</v>
      </c>
    </row>
    <row r="247" spans="1:8">
      <c r="A247" s="30" t="s">
        <v>632</v>
      </c>
      <c r="B247" s="31" t="s">
        <v>633</v>
      </c>
      <c r="C247" s="32">
        <f>2*INDEX(Costos[],MATCH("Shampoo Carros (Granel)",Costos[PRODUCTO],0),3)+INDEX(MateriasPrimas[],MATCH("Envase 2L",MateriasPrimas[NOMBRE],0),3)+100</f>
        <v>7050.9238999999998</v>
      </c>
      <c r="D247" s="33">
        <v>2</v>
      </c>
      <c r="E247" s="32">
        <f t="shared" si="8"/>
        <v>14101.8478</v>
      </c>
      <c r="F247" s="32">
        <v>11000</v>
      </c>
      <c r="G247" s="34">
        <f>Costos[[#This Row],[PRECIO VENTA]]/Costos[[#This Row],[COSTO]]</f>
        <v>1.5600792401120653</v>
      </c>
      <c r="H247" s="35">
        <v>2000</v>
      </c>
    </row>
    <row r="248" spans="1:8">
      <c r="A248" s="30" t="s">
        <v>634</v>
      </c>
      <c r="B248" s="31" t="s">
        <v>635</v>
      </c>
      <c r="C248" s="32">
        <f>4*INDEX(Costos[],MATCH("Shampoo Carros (Granel)",Costos[PRODUCTO],0),3)+INDEX(MateriasPrimas[],MATCH("Envase 4L",MateriasPrimas[NOMBRE],0),3)+100</f>
        <v>12846.8478</v>
      </c>
      <c r="D248" s="33">
        <v>2</v>
      </c>
      <c r="E248" s="32">
        <f t="shared" si="8"/>
        <v>25693.695599999999</v>
      </c>
      <c r="F248" s="32">
        <v>20000</v>
      </c>
      <c r="G248" s="34">
        <f>Costos[[#This Row],[PRECIO VENTA]]/Costos[[#This Row],[COSTO]]</f>
        <v>1.5568021285345968</v>
      </c>
      <c r="H248" s="35">
        <v>4000</v>
      </c>
    </row>
    <row r="249" spans="1:8">
      <c r="A249" s="30" t="s">
        <v>636</v>
      </c>
      <c r="B249" s="31" t="s">
        <v>637</v>
      </c>
      <c r="C249" s="32">
        <f>0.25*INDEX(MateriasPrimas[],MATCH("Shampoo",MateriasPrimas[NOMBRE],0),3)+INDEX(MateriasPrimas[],MATCH("Envase Bomba x 250ml",MateriasPrimas[NOMBRE],0),3)+100</f>
        <v>2409.375</v>
      </c>
      <c r="D249" s="33">
        <v>2</v>
      </c>
      <c r="E249" s="32">
        <f t="shared" si="8"/>
        <v>4818.75</v>
      </c>
      <c r="F249" s="32">
        <v>5000</v>
      </c>
      <c r="G249" s="34">
        <f>Costos[[#This Row],[PRECIO VENTA]]/Costos[[#This Row],[COSTO]]</f>
        <v>2.0752269779507135</v>
      </c>
      <c r="H249" s="35"/>
    </row>
    <row r="250" spans="1:8">
      <c r="A250" s="30" t="s">
        <v>638</v>
      </c>
      <c r="B250" s="31" t="s">
        <v>639</v>
      </c>
      <c r="C250" s="32">
        <f>SUM(SiliconaAltoBrillo[Costo (Kg)])</f>
        <v>3095.4511999999995</v>
      </c>
      <c r="D250" s="33">
        <v>3.5</v>
      </c>
      <c r="E250" s="32">
        <f t="shared" si="8"/>
        <v>10834.079199999998</v>
      </c>
      <c r="F250" s="32">
        <v>11000</v>
      </c>
      <c r="G250" s="34">
        <f>Costos[[#This Row],[PRECIO VENTA]]/Costos[[#This Row],[COSTO]]</f>
        <v>3.5536014911170306</v>
      </c>
      <c r="H250" s="35"/>
    </row>
    <row r="251" spans="1:8">
      <c r="A251" s="30" t="s">
        <v>640</v>
      </c>
      <c r="B251" s="31" t="s">
        <v>641</v>
      </c>
      <c r="C251" s="32">
        <f>0.12*INDEX(Costos[],MATCH("Silicona Alto Brillo (Granel)",Costos[PRODUCTO],0),3)+INDEX(MateriasPrimas[],MATCH("Envase Bomba x 120ml",MateriasPrimas[NOMBRE],0),3)+100</f>
        <v>1373.454144</v>
      </c>
      <c r="D251" s="33">
        <v>3.5</v>
      </c>
      <c r="E251" s="32">
        <f t="shared" si="8"/>
        <v>4807.0895040000005</v>
      </c>
      <c r="F251" s="32">
        <v>3500</v>
      </c>
      <c r="G251" s="34">
        <f>Costos[[#This Row],[PRECIO VENTA]]/Costos[[#This Row],[COSTO]]</f>
        <v>2.5483195163740393</v>
      </c>
      <c r="H251" s="35">
        <v>120</v>
      </c>
    </row>
    <row r="252" spans="1:8">
      <c r="A252" s="30" t="s">
        <v>642</v>
      </c>
      <c r="B252" s="31" t="s">
        <v>643</v>
      </c>
      <c r="C252" s="32">
        <f>0.25*INDEX(Costos[],MATCH("Silicona Alto Brillo (Granel)",Costos[PRODUCTO],0),3)+INDEX(MateriasPrimas[],MATCH("Envase Bomba x 250ml",MateriasPrimas[NOMBRE],0),3)+100</f>
        <v>1973.8627999999999</v>
      </c>
      <c r="D252" s="33">
        <v>3.5</v>
      </c>
      <c r="E252" s="32">
        <f t="shared" si="8"/>
        <v>6908.5198</v>
      </c>
      <c r="F252" s="32">
        <v>5000</v>
      </c>
      <c r="G252" s="34">
        <f>Costos[[#This Row],[PRECIO VENTA]]/Costos[[#This Row],[COSTO]]</f>
        <v>2.5331041245622545</v>
      </c>
      <c r="H252" s="35">
        <v>250</v>
      </c>
    </row>
    <row r="253" spans="1:8">
      <c r="A253" s="30" t="s">
        <v>644</v>
      </c>
      <c r="B253" s="31" t="s">
        <v>645</v>
      </c>
      <c r="C253" s="32">
        <f>2*INDEX(Costos[],MATCH("Silicona Alto Brillo (Granel)",Costos[PRODUCTO],0),3)+INDEX(MateriasPrimas[],MATCH("Envase 2L",MateriasPrimas[NOMBRE],0),3)+100</f>
        <v>7610.902399999999</v>
      </c>
      <c r="D253" s="33">
        <v>3.5</v>
      </c>
      <c r="E253" s="32">
        <f t="shared" si="8"/>
        <v>26638.158399999997</v>
      </c>
      <c r="F253" s="32">
        <v>20000</v>
      </c>
      <c r="G253" s="34">
        <f>Costos[[#This Row],[PRECIO VENTA]]/Costos[[#This Row],[COSTO]]</f>
        <v>2.6278092857950726</v>
      </c>
      <c r="H253" s="35">
        <v>2000</v>
      </c>
    </row>
    <row r="254" spans="1:8">
      <c r="A254" s="30" t="s">
        <v>646</v>
      </c>
      <c r="B254" s="31" t="s">
        <v>647</v>
      </c>
      <c r="C254" s="32">
        <f>4*INDEX(Costos[],MATCH("Silicona Alto Brillo (Granel)",Costos[PRODUCTO],0),3)+INDEX(MateriasPrimas[],MATCH("Envase 4L",MateriasPrimas[NOMBRE],0),3)+100</f>
        <v>13966.804799999998</v>
      </c>
      <c r="D254" s="33">
        <v>3.5</v>
      </c>
      <c r="E254" s="32">
        <f t="shared" si="8"/>
        <v>48883.816799999993</v>
      </c>
      <c r="F254" s="32">
        <v>40000</v>
      </c>
      <c r="G254" s="34">
        <f>Costos[[#This Row],[PRECIO VENTA]]/Costos[[#This Row],[COSTO]]</f>
        <v>2.8639334889251122</v>
      </c>
      <c r="H254" s="35">
        <v>4000</v>
      </c>
    </row>
    <row r="255" spans="1:8">
      <c r="A255" s="30" t="s">
        <v>648</v>
      </c>
      <c r="B255" s="31" t="s">
        <v>649</v>
      </c>
      <c r="C255" s="32">
        <f>0.5*INDEX(Costos[],MATCH("Silicona Alto Brillo (Granel)",Costos[PRODUCTO],0),3)+INDEX(MateriasPrimas[],MATCH("Envase Atomizador x 500ml",MateriasPrimas[NOMBRE],0),3)+100</f>
        <v>2747.7255999999998</v>
      </c>
      <c r="D255" s="33">
        <v>3.5</v>
      </c>
      <c r="E255" s="32">
        <f t="shared" si="8"/>
        <v>9617.0396000000001</v>
      </c>
      <c r="F255" s="32">
        <v>8000</v>
      </c>
      <c r="G255" s="34">
        <f>Costos[[#This Row],[PRECIO VENTA]]/Costos[[#This Row],[COSTO]]</f>
        <v>2.9114988774716082</v>
      </c>
      <c r="H255" s="35">
        <v>500</v>
      </c>
    </row>
    <row r="256" spans="1:8">
      <c r="A256" s="30" t="s">
        <v>650</v>
      </c>
      <c r="B256" s="31" t="s">
        <v>651</v>
      </c>
      <c r="C256" s="32">
        <f>0.8*INDEX(Costos[],MATCH("Silicona Alto Brillo (Granel)",Costos[PRODUCTO],0),3)+INDEX(MateriasPrimas[],MATCH("Envase 800ml",MateriasPrimas[NOMBRE],0),3)+100</f>
        <v>3126.36096</v>
      </c>
      <c r="D256" s="33">
        <v>3.5</v>
      </c>
      <c r="E256" s="32">
        <f t="shared" si="8"/>
        <v>10942.263360000001</v>
      </c>
      <c r="F256" s="32">
        <v>8000</v>
      </c>
      <c r="G256" s="34">
        <f>Costos[[#This Row],[PRECIO VENTA]]/Costos[[#This Row],[COSTO]]</f>
        <v>2.5588855869029277</v>
      </c>
      <c r="H256" s="35">
        <v>800</v>
      </c>
    </row>
    <row r="257" spans="1:8">
      <c r="A257" s="30" t="s">
        <v>652</v>
      </c>
      <c r="B257" s="31" t="s">
        <v>653</v>
      </c>
      <c r="C257" s="32">
        <f>2*INDEX(MateriasPrimas[],MATCH("Soda caustica en escamas",MateriasPrimas[NOMBRE],0),3)</f>
        <v>10940</v>
      </c>
      <c r="D257" s="33">
        <v>1.5</v>
      </c>
      <c r="E257" s="32">
        <f t="shared" si="8"/>
        <v>16410</v>
      </c>
      <c r="F257" s="32">
        <v>17000</v>
      </c>
      <c r="G257" s="34">
        <f>Costos[[#This Row],[PRECIO VENTA]]/Costos[[#This Row],[COSTO]]</f>
        <v>1.5539305301645339</v>
      </c>
      <c r="H257" s="35">
        <v>2000</v>
      </c>
    </row>
    <row r="258" spans="1:8">
      <c r="A258" s="30" t="s">
        <v>654</v>
      </c>
      <c r="B258" s="31" t="s">
        <v>655</v>
      </c>
      <c r="C258" s="32">
        <f>INDEX(MateriasPrimas[],MATCH("Soda caustica en escamas",MateriasPrimas[NOMBRE],0),3)</f>
        <v>5470</v>
      </c>
      <c r="D258" s="33">
        <v>1.5</v>
      </c>
      <c r="E258" s="32">
        <f t="shared" si="8"/>
        <v>8205</v>
      </c>
      <c r="F258" s="32">
        <v>8500</v>
      </c>
      <c r="G258" s="34">
        <f>Costos[[#This Row],[PRECIO VENTA]]/Costos[[#This Row],[COSTO]]</f>
        <v>1.5539305301645339</v>
      </c>
      <c r="H258" s="35">
        <v>1000</v>
      </c>
    </row>
    <row r="259" spans="1:8">
      <c r="A259" s="30" t="s">
        <v>656</v>
      </c>
      <c r="B259" s="31" t="s">
        <v>657</v>
      </c>
      <c r="C259" s="32">
        <f>INDEX(MateriasPrimas[],MATCH("Soda líquida",MateriasPrimas[NOMBRE],0),3)</f>
        <v>4917.5</v>
      </c>
      <c r="D259" s="33">
        <v>1.5</v>
      </c>
      <c r="E259" s="32">
        <f t="shared" si="8"/>
        <v>7376.25</v>
      </c>
      <c r="F259" s="32">
        <v>7000</v>
      </c>
      <c r="G259" s="34">
        <f>Costos[[#This Row],[PRECIO VENTA]]/Costos[[#This Row],[COSTO]]</f>
        <v>1.4234875444839858</v>
      </c>
      <c r="H259" s="35"/>
    </row>
    <row r="260" spans="1:8">
      <c r="A260" s="30" t="s">
        <v>658</v>
      </c>
      <c r="B260" s="31" t="s">
        <v>659</v>
      </c>
      <c r="C260" s="32">
        <f>0.2*INDEX(MateriasPrimas[],MATCH("Sorbato de potasio",MateriasPrimas[NOMBRE],0),3)</f>
        <v>5170</v>
      </c>
      <c r="D260" s="33">
        <v>1.5</v>
      </c>
      <c r="E260" s="32">
        <f t="shared" si="8"/>
        <v>7755</v>
      </c>
      <c r="F260" s="32">
        <v>8000</v>
      </c>
      <c r="G260" s="34">
        <f>Costos[[#This Row],[PRECIO VENTA]]/Costos[[#This Row],[COSTO]]</f>
        <v>1.5473887814313345</v>
      </c>
      <c r="H260" s="35">
        <v>200</v>
      </c>
    </row>
    <row r="261" spans="1:8">
      <c r="A261" s="30" t="s">
        <v>660</v>
      </c>
      <c r="B261" s="31" t="s">
        <v>661</v>
      </c>
      <c r="C261" s="32">
        <f>0.5*INDEX(MateriasPrimas[],MATCH("Sorbato de potasio",MateriasPrimas[NOMBRE],0),3)</f>
        <v>12925</v>
      </c>
      <c r="D261" s="33">
        <v>1.5</v>
      </c>
      <c r="E261" s="32">
        <f t="shared" si="8"/>
        <v>19387.5</v>
      </c>
      <c r="F261" s="32">
        <v>15700</v>
      </c>
      <c r="G261" s="34">
        <f>Costos[[#This Row],[PRECIO VENTA]]/Costos[[#This Row],[COSTO]]</f>
        <v>1.2147001934235977</v>
      </c>
      <c r="H261" s="35">
        <v>500</v>
      </c>
    </row>
    <row r="262" spans="1:8">
      <c r="A262" s="30" t="s">
        <v>662</v>
      </c>
      <c r="B262" s="31" t="s">
        <v>663</v>
      </c>
      <c r="C262" s="32">
        <f>SUM(Suavizante[Costo (Kg)])</f>
        <v>2879.1485149999999</v>
      </c>
      <c r="D262" s="33">
        <v>2</v>
      </c>
      <c r="E262" s="32">
        <f t="shared" si="8"/>
        <v>5758.2970299999997</v>
      </c>
      <c r="F262" s="32">
        <v>4500</v>
      </c>
      <c r="G262" s="34">
        <f>Costos[[#This Row],[PRECIO VENTA]]/Costos[[#This Row],[COSTO]]</f>
        <v>1.5629620967989559</v>
      </c>
      <c r="H262" s="35"/>
    </row>
    <row r="263" spans="1:8">
      <c r="A263" s="30" t="s">
        <v>664</v>
      </c>
      <c r="B263" s="31" t="s">
        <v>665</v>
      </c>
      <c r="C263" s="32">
        <f>0.5*INDEX(Costos[],MATCH("Limpiavidrios Antiempañante (Granel)",Costos[PRODUCTO],0),3)+INDEX(MateriasPrimas[],MATCH("Envase 0,5L",MateriasPrimas[NOMBRE],0),3)+100</f>
        <v>1654.3897025000001</v>
      </c>
      <c r="D263" s="33">
        <v>2</v>
      </c>
      <c r="E263" s="32">
        <f t="shared" si="8"/>
        <v>3308.7794050000002</v>
      </c>
      <c r="F263" s="32">
        <v>3000</v>
      </c>
      <c r="G263" s="34">
        <f>Costos[[#This Row],[PRECIO VENTA]]/Costos[[#This Row],[COSTO]]</f>
        <v>1.8133575151408439</v>
      </c>
      <c r="H263" s="35">
        <v>500</v>
      </c>
    </row>
    <row r="264" spans="1:8">
      <c r="A264" s="30" t="s">
        <v>666</v>
      </c>
      <c r="B264" s="31" t="s">
        <v>667</v>
      </c>
      <c r="C264" s="32">
        <f>0.8*INDEX(Costos[],MATCH("Limpiavidrios Antiempañante (Granel)",Costos[PRODUCTO],0),3)+INDEX(MateriasPrimas[],MATCH("Envase 800ml",MateriasPrimas[NOMBRE],0),3)+100</f>
        <v>2169.0235240000002</v>
      </c>
      <c r="D264" s="33">
        <v>2</v>
      </c>
      <c r="E264" s="32">
        <f t="shared" si="8"/>
        <v>4338.0470480000004</v>
      </c>
      <c r="F264" s="32">
        <v>4500</v>
      </c>
      <c r="G264" s="34">
        <f>Costos[[#This Row],[PRECIO VENTA]]/Costos[[#This Row],[COSTO]]</f>
        <v>2.0746662957814928</v>
      </c>
      <c r="H264" s="35">
        <v>800</v>
      </c>
    </row>
    <row r="265" spans="1:8">
      <c r="A265" s="30" t="s">
        <v>668</v>
      </c>
      <c r="B265" s="31" t="s">
        <v>669</v>
      </c>
      <c r="C265" s="32">
        <f>INDEX(Costos[],MATCH("Limpiavidrios Antiempañante (Granel)",Costos[PRODUCTO],0),3)+INDEX(MateriasPrimas[],MATCH("Envase 1L",MateriasPrimas[NOMBRE],0),3)+100</f>
        <v>2658.7794050000002</v>
      </c>
      <c r="D265" s="33">
        <v>2</v>
      </c>
      <c r="E265" s="32">
        <f t="shared" si="8"/>
        <v>5317.5588100000004</v>
      </c>
      <c r="F265" s="32">
        <v>5500</v>
      </c>
      <c r="G265" s="34">
        <f>Costos[[#This Row],[PRECIO VENTA]]/Costos[[#This Row],[COSTO]]</f>
        <v>2.0686184004798998</v>
      </c>
      <c r="H265" s="35">
        <v>1000</v>
      </c>
    </row>
    <row r="266" spans="1:8">
      <c r="A266" s="30" t="s">
        <v>670</v>
      </c>
      <c r="B266" s="31" t="s">
        <v>671</v>
      </c>
      <c r="C266" s="32">
        <f>2*INDEX(Costos[],MATCH("Limpiavidrios Antiempañante (Granel)",Costos[PRODUCTO],0),3)+INDEX(MateriasPrimas[],MATCH("Envase 2L",MateriasPrimas[NOMBRE],0),3)+100</f>
        <v>5217.5588100000004</v>
      </c>
      <c r="D266" s="33">
        <v>2</v>
      </c>
      <c r="E266" s="32">
        <f t="shared" si="8"/>
        <v>10435.117620000001</v>
      </c>
      <c r="F266" s="32">
        <v>10500</v>
      </c>
      <c r="G266" s="34">
        <f>Costos[[#This Row],[PRECIO VENTA]]/Costos[[#This Row],[COSTO]]</f>
        <v>2.0124353902586867</v>
      </c>
      <c r="H266" s="35">
        <v>2000</v>
      </c>
    </row>
    <row r="267" spans="1:8">
      <c r="A267" s="30" t="s">
        <v>672</v>
      </c>
      <c r="B267" s="31" t="s">
        <v>673</v>
      </c>
      <c r="C267" s="32">
        <f>4*INDEX(Costos[],MATCH("Limpiavidrios Antiempañante (Granel)",Costos[PRODUCTO],0),3)+INDEX(MateriasPrimas[],MATCH("Envase 4L",MateriasPrimas[NOMBRE],0),3)+100</f>
        <v>9180.1176200000009</v>
      </c>
      <c r="D267" s="33">
        <v>2</v>
      </c>
      <c r="E267" s="32">
        <f t="shared" si="8"/>
        <v>18360.235240000002</v>
      </c>
      <c r="F267" s="32">
        <v>20000</v>
      </c>
      <c r="G267" s="34">
        <f>Costos[[#This Row],[PRECIO VENTA]]/Costos[[#This Row],[COSTO]]</f>
        <v>2.1786213235904048</v>
      </c>
      <c r="H267" s="35">
        <v>4000</v>
      </c>
    </row>
    <row r="268" spans="1:8">
      <c r="A268" s="30" t="s">
        <v>674</v>
      </c>
      <c r="B268" s="31" t="s">
        <v>675</v>
      </c>
      <c r="C268" s="32">
        <f>0.5*INDEX(MateriasPrimas[],MATCH("Sulfato de Aluminio - Alumbre",MateriasPrimas[NOMBRE],0),3)</f>
        <v>1095</v>
      </c>
      <c r="D268" s="33">
        <v>1.5</v>
      </c>
      <c r="E268" s="32">
        <f t="shared" si="8"/>
        <v>1642.5</v>
      </c>
      <c r="F268" s="32">
        <v>2000</v>
      </c>
      <c r="G268" s="34">
        <f>Costos[[#This Row],[PRECIO VENTA]]/Costos[[#This Row],[COSTO]]</f>
        <v>1.8264840182648401</v>
      </c>
      <c r="H268" s="35">
        <v>500</v>
      </c>
    </row>
    <row r="269" spans="1:8">
      <c r="A269" s="30" t="s">
        <v>676</v>
      </c>
      <c r="B269" s="31" t="s">
        <v>677</v>
      </c>
      <c r="C269" s="32">
        <f>INDEX(MateriasPrimas[],MATCH("Sulfato de Aluminio - Alumbre",MateriasPrimas[NOMBRE],0),3)</f>
        <v>2190</v>
      </c>
      <c r="D269" s="33">
        <v>1.5</v>
      </c>
      <c r="E269" s="32">
        <f t="shared" si="8"/>
        <v>3285</v>
      </c>
      <c r="F269" s="32">
        <v>3600</v>
      </c>
      <c r="G269" s="34">
        <f>Costos[[#This Row],[PRECIO VENTA]]/Costos[[#This Row],[COSTO]]</f>
        <v>1.6438356164383561</v>
      </c>
      <c r="H269" s="35">
        <v>1000</v>
      </c>
    </row>
    <row r="270" spans="1:8">
      <c r="A270" s="30" t="s">
        <v>678</v>
      </c>
      <c r="B270" s="31" t="s">
        <v>131</v>
      </c>
      <c r="C270" s="32">
        <f>INDEX(MateriasPrimas[],MATCH("Sulfato de Amonio x Kg",MateriasPrimas[NOMBRE],0),3)</f>
        <v>3850</v>
      </c>
      <c r="D270" s="33">
        <v>1.5</v>
      </c>
      <c r="E270" s="32">
        <f t="shared" si="8"/>
        <v>5775</v>
      </c>
      <c r="F270" s="32">
        <v>5000</v>
      </c>
      <c r="G270" s="34">
        <f>Costos[[#This Row],[PRECIO VENTA]]/Costos[[#This Row],[COSTO]]</f>
        <v>1.2987012987012987</v>
      </c>
      <c r="H270" s="35"/>
    </row>
    <row r="271" spans="1:8">
      <c r="A271" s="30" t="s">
        <v>679</v>
      </c>
      <c r="B271" s="31" t="s">
        <v>130</v>
      </c>
      <c r="C271" s="32">
        <f>INDEX(MateriasPrimas[],MATCH("Sulfato de Hierro x Kg",MateriasPrimas[NOMBRE],0),3)</f>
        <v>4150</v>
      </c>
      <c r="D271" s="33">
        <v>1.5</v>
      </c>
      <c r="E271" s="32">
        <f t="shared" si="8"/>
        <v>6225</v>
      </c>
      <c r="F271" s="32">
        <v>5000</v>
      </c>
      <c r="G271" s="34">
        <f>Costos[[#This Row],[PRECIO VENTA]]/Costos[[#This Row],[COSTO]]</f>
        <v>1.2048192771084338</v>
      </c>
      <c r="H271" s="35"/>
    </row>
    <row r="272" spans="1:8">
      <c r="A272" s="30" t="s">
        <v>680</v>
      </c>
      <c r="B272" s="31" t="s">
        <v>127</v>
      </c>
      <c r="C272" s="41">
        <f>INDEX(MateriasPrimas[],MATCH("Sulfato de Manganeso x Kg",MateriasPrimas[NOMBRE],0),3)</f>
        <v>7150</v>
      </c>
      <c r="D272" s="33">
        <v>1.5</v>
      </c>
      <c r="E272" s="32">
        <f t="shared" si="8"/>
        <v>10725</v>
      </c>
      <c r="F272" s="32">
        <v>9000</v>
      </c>
      <c r="G272" s="34">
        <f>Costos[[#This Row],[PRECIO VENTA]]/Costos[[#This Row],[COSTO]]</f>
        <v>1.2587412587412588</v>
      </c>
      <c r="H272" s="35"/>
    </row>
    <row r="273" spans="1:8">
      <c r="A273" s="30" t="s">
        <v>681</v>
      </c>
      <c r="B273" s="31" t="s">
        <v>682</v>
      </c>
      <c r="C273" s="32">
        <f>INDEX(MateriasPrimas[],MATCH("Sulfato de Potasio x Kg",MateriasPrimas[NOMBRE],0),3)</f>
        <v>5850</v>
      </c>
      <c r="D273" s="33">
        <v>1.5</v>
      </c>
      <c r="E273" s="32">
        <f t="shared" si="8"/>
        <v>8775</v>
      </c>
      <c r="F273" s="32">
        <v>8000</v>
      </c>
      <c r="G273" s="34">
        <f>Costos[[#This Row],[PRECIO VENTA]]/Costos[[#This Row],[COSTO]]</f>
        <v>1.3675213675213675</v>
      </c>
      <c r="H273" s="35"/>
    </row>
    <row r="274" spans="1:8">
      <c r="A274" s="30" t="s">
        <v>683</v>
      </c>
      <c r="B274" s="31" t="s">
        <v>684</v>
      </c>
      <c r="C274" s="32">
        <f>INDEX(MateriasPrimas[],MATCH("Sulfato de Zinc 35% x Kg",MateriasPrimas[NOMBRE],0),3)</f>
        <v>7350</v>
      </c>
      <c r="D274" s="33">
        <v>2</v>
      </c>
      <c r="E274" s="32">
        <f t="shared" si="8"/>
        <v>14700</v>
      </c>
      <c r="F274" s="32">
        <v>9000</v>
      </c>
      <c r="G274" s="34">
        <f>Costos[[#This Row],[PRECIO VENTA]]/Costos[[#This Row],[COSTO]]</f>
        <v>1.2244897959183674</v>
      </c>
      <c r="H274" s="35"/>
    </row>
    <row r="275" spans="1:8">
      <c r="A275" s="30" t="s">
        <v>685</v>
      </c>
      <c r="B275" s="31" t="s">
        <v>686</v>
      </c>
      <c r="C275" s="32">
        <f>INDEX(MateriasPrimas[],MATCH("Varsol Ecológico",MateriasPrimas[NOMBRE],0),3)</f>
        <v>4350</v>
      </c>
      <c r="D275" s="33">
        <v>2</v>
      </c>
      <c r="E275" s="32">
        <f t="shared" si="8"/>
        <v>8700</v>
      </c>
      <c r="F275" s="32">
        <v>7000</v>
      </c>
      <c r="G275" s="34">
        <f>Costos[[#This Row],[PRECIO VENTA]]/Costos[[#This Row],[COSTO]]</f>
        <v>1.6091954022988506</v>
      </c>
      <c r="H275" s="35"/>
    </row>
    <row r="276" spans="1:8">
      <c r="A276" s="30" t="s">
        <v>687</v>
      </c>
      <c r="B276" s="31" t="s">
        <v>688</v>
      </c>
      <c r="C276" s="32">
        <f>INDEX(Costos[],MATCH("Varsol Ecológico (Granel)",Costos[PRODUCTO],0),3)+INDEX(MateriasPrimas[],MATCH("Envase 1L",MateriasPrimas[NOMBRE],0),3)+100</f>
        <v>5110</v>
      </c>
      <c r="D276" s="33">
        <v>2</v>
      </c>
      <c r="E276" s="32">
        <f t="shared" ref="E276:E285" si="9">C276*D276</f>
        <v>10220</v>
      </c>
      <c r="F276" s="32">
        <v>15000</v>
      </c>
      <c r="G276" s="34">
        <f>Costos[[#This Row],[PRECIO VENTA]]/Costos[[#This Row],[COSTO]]</f>
        <v>2.9354207436399218</v>
      </c>
      <c r="H276" s="35">
        <v>2000</v>
      </c>
    </row>
    <row r="277" spans="1:8">
      <c r="A277" s="30" t="s">
        <v>689</v>
      </c>
      <c r="B277" s="31" t="s">
        <v>690</v>
      </c>
      <c r="C277" s="32">
        <f>2*INDEX(Costos[],MATCH("Varsol Ecológico (Granel)",Costos[PRODUCTO],0),3)+INDEX(MateriasPrimas[],MATCH("Envase 2L",MateriasPrimas[NOMBRE],0),3)+100</f>
        <v>10120</v>
      </c>
      <c r="D277" s="33">
        <v>2</v>
      </c>
      <c r="E277" s="32">
        <f t="shared" si="9"/>
        <v>20240</v>
      </c>
      <c r="F277" s="32">
        <v>28000</v>
      </c>
      <c r="G277" s="34">
        <f>Costos[[#This Row],[PRECIO VENTA]]/Costos[[#This Row],[COSTO]]</f>
        <v>2.766798418972332</v>
      </c>
      <c r="H277" s="35">
        <v>4000</v>
      </c>
    </row>
    <row r="278" spans="1:8">
      <c r="A278" s="30" t="s">
        <v>691</v>
      </c>
      <c r="B278" s="31" t="s">
        <v>692</v>
      </c>
      <c r="C278" s="32">
        <f>0.5*INDEX(Costos[],MATCH("Varsol Ecológico (Granel)",Costos[PRODUCTO],0),3)+INDEX(MateriasPrimas[],MATCH("Doy pack x 500ml",MateriasPrimas[NOMBRE],0),3)+100</f>
        <v>3075</v>
      </c>
      <c r="D278" s="33">
        <v>1.5</v>
      </c>
      <c r="E278" s="32">
        <f t="shared" si="9"/>
        <v>4612.5</v>
      </c>
      <c r="F278" s="32">
        <v>5000</v>
      </c>
      <c r="G278" s="34">
        <f>Costos[[#This Row],[PRECIO VENTA]]/Costos[[#This Row],[COSTO]]</f>
        <v>1.6260162601626016</v>
      </c>
      <c r="H278" s="35"/>
    </row>
    <row r="279" spans="1:8">
      <c r="A279" s="30" t="s">
        <v>693</v>
      </c>
      <c r="B279" s="31" t="s">
        <v>694</v>
      </c>
      <c r="C279" s="32">
        <f>0.8*INDEX(Costos[],MATCH("Varsol Ecológico (Granel)",Costos[PRODUCTO],0),3)+INDEX(MateriasPrimas[],MATCH("Envase 800ml",MateriasPrimas[NOMBRE],0),3)+100</f>
        <v>4130</v>
      </c>
      <c r="D279" s="33">
        <v>2</v>
      </c>
      <c r="E279" s="32">
        <f t="shared" si="9"/>
        <v>8260</v>
      </c>
      <c r="F279" s="32">
        <v>8000</v>
      </c>
      <c r="G279" s="34">
        <f>Costos[[#This Row],[PRECIO VENTA]]/Costos[[#This Row],[COSTO]]</f>
        <v>1.937046004842615</v>
      </c>
      <c r="H279" s="35">
        <v>800</v>
      </c>
    </row>
    <row r="280" spans="1:8">
      <c r="A280" s="30" t="s">
        <v>695</v>
      </c>
      <c r="B280" s="31" t="s">
        <v>696</v>
      </c>
      <c r="C280" s="32">
        <f>INDEX(MateriasPrimas[],MATCH("Varsol Industrial",MateriasPrimas[NOMBRE],0),3)</f>
        <v>6107.5</v>
      </c>
      <c r="D280" s="33">
        <v>1.5</v>
      </c>
      <c r="E280" s="32">
        <f t="shared" si="9"/>
        <v>9161.25</v>
      </c>
      <c r="F280" s="32">
        <v>8000</v>
      </c>
      <c r="G280" s="34">
        <f>Costos[[#This Row],[PRECIO VENTA]]/Costos[[#This Row],[COSTO]]</f>
        <v>1.3098649201801065</v>
      </c>
      <c r="H280" s="35"/>
    </row>
    <row r="281" spans="1:8">
      <c r="A281" s="30" t="s">
        <v>697</v>
      </c>
      <c r="B281" s="31" t="s">
        <v>698</v>
      </c>
      <c r="C281" s="32">
        <f>0.8*INDEX(Costos[],MATCH("Varsol Industrial (Granel)",Costos[PRODUCTO],0),3)+INDEX(MateriasPrimas[],MATCH("Envase 800ml",MateriasPrimas[NOMBRE],0),3)+100</f>
        <v>5536</v>
      </c>
      <c r="D281" s="33">
        <v>1.5</v>
      </c>
      <c r="E281" s="32">
        <f t="shared" si="9"/>
        <v>8304</v>
      </c>
      <c r="F281" s="32">
        <v>8000</v>
      </c>
      <c r="G281" s="34">
        <f>Costos[[#This Row],[PRECIO VENTA]]/Costos[[#This Row],[COSTO]]</f>
        <v>1.4450867052023122</v>
      </c>
      <c r="H281" s="35">
        <v>800</v>
      </c>
    </row>
    <row r="282" spans="1:8">
      <c r="A282" s="30" t="s">
        <v>699</v>
      </c>
      <c r="B282" s="31" t="s">
        <v>700</v>
      </c>
      <c r="C282" s="32">
        <f>SUM(Vinagre[Costo (Kg)])</f>
        <v>1452.4947499999998</v>
      </c>
      <c r="D282" s="33">
        <v>2</v>
      </c>
      <c r="E282" s="32">
        <f t="shared" si="9"/>
        <v>2904.9894999999997</v>
      </c>
      <c r="F282" s="32">
        <v>4500</v>
      </c>
      <c r="G282" s="34">
        <f>Costos[[#This Row],[PRECIO VENTA]]/Costos[[#This Row],[COSTO]]</f>
        <v>3.0981179105810885</v>
      </c>
      <c r="H282" s="35"/>
    </row>
    <row r="283" spans="1:8">
      <c r="A283" s="30" t="s">
        <v>701</v>
      </c>
      <c r="B283" s="31" t="s">
        <v>702</v>
      </c>
      <c r="C283" s="32">
        <f>2*INDEX(Costos[],MATCH("Vinagre Industrial (Granel)",Costos[PRODUCTO],0),3)+INDEX(MateriasPrimas[],MATCH("Envase 2L",MateriasPrimas[NOMBRE],0),3)+100</f>
        <v>4324.9894999999997</v>
      </c>
      <c r="D283" s="33">
        <v>2</v>
      </c>
      <c r="E283" s="32">
        <f t="shared" si="9"/>
        <v>8649.9789999999994</v>
      </c>
      <c r="F283" s="32">
        <v>9000</v>
      </c>
      <c r="G283" s="34">
        <f>Costos[[#This Row],[PRECIO VENTA]]/Costos[[#This Row],[COSTO]]</f>
        <v>2.080929907459891</v>
      </c>
      <c r="H283" s="35">
        <v>2000</v>
      </c>
    </row>
    <row r="284" spans="1:8">
      <c r="A284" s="30" t="s">
        <v>703</v>
      </c>
      <c r="B284" s="31" t="s">
        <v>704</v>
      </c>
      <c r="C284" s="32">
        <f>4*INDEX(Costos[],MATCH("Vinagre Industrial (Granel)",Costos[PRODUCTO],0),3)+INDEX(MateriasPrimas[],MATCH("Envase 4L",MateriasPrimas[NOMBRE],0),3)+100</f>
        <v>7394.9789999999994</v>
      </c>
      <c r="D284" s="33">
        <v>2</v>
      </c>
      <c r="E284" s="32">
        <f t="shared" si="9"/>
        <v>14789.957999999999</v>
      </c>
      <c r="F284" s="32">
        <v>18000</v>
      </c>
      <c r="G284" s="34">
        <f>Costos[[#This Row],[PRECIO VENTA]]/Costos[[#This Row],[COSTO]]</f>
        <v>2.4340839913135657</v>
      </c>
      <c r="H284" s="35">
        <v>4000</v>
      </c>
    </row>
    <row r="285" spans="1:8">
      <c r="A285" s="42" t="s">
        <v>705</v>
      </c>
      <c r="B285" s="43" t="s">
        <v>706</v>
      </c>
      <c r="C285" s="44">
        <f>0.8*INDEX(Costos[],MATCH("Vinagre Industrial (Granel)",Costos[PRODUCTO],0),3)+INDEX(MateriasPrimas[],MATCH("Envase 800ml",MateriasPrimas[NOMBRE],0),3)+100</f>
        <v>1811.9957999999999</v>
      </c>
      <c r="D285" s="45">
        <v>2</v>
      </c>
      <c r="E285" s="44">
        <f t="shared" si="9"/>
        <v>3623.9915999999998</v>
      </c>
      <c r="F285" s="44">
        <v>4500</v>
      </c>
      <c r="G285" s="46">
        <f>Costos[[#This Row],[PRECIO VENTA]]/Costos[[#This Row],[COSTO]]</f>
        <v>2.483449464949091</v>
      </c>
      <c r="H285" s="47">
        <v>800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zoomScale="90" zoomScaleNormal="90" workbookViewId="0">
      <selection activeCell="D3" sqref="D3"/>
    </sheetView>
  </sheetViews>
  <sheetFormatPr baseColWidth="10" defaultColWidth="10.7109375" defaultRowHeight="15"/>
  <cols>
    <col min="1" max="1" width="36.140625" customWidth="1"/>
    <col min="2" max="2" width="12.42578125" customWidth="1"/>
  </cols>
  <sheetData>
    <row r="1" spans="1:4">
      <c r="A1" s="48" t="s">
        <v>0</v>
      </c>
      <c r="B1" s="49" t="s">
        <v>707</v>
      </c>
      <c r="C1" s="49" t="s">
        <v>708</v>
      </c>
      <c r="D1" s="50" t="s">
        <v>709</v>
      </c>
    </row>
    <row r="2" spans="1:4">
      <c r="A2" s="51" t="s">
        <v>5</v>
      </c>
      <c r="B2" s="52"/>
      <c r="C2" s="52"/>
      <c r="D2" s="53" t="str">
        <f>IF(InventarioMP[[#This Row],[CANTIDAD]]&lt;InventarioMP[[#This Row],[UMBRAL]],"Si","No")</f>
        <v>No</v>
      </c>
    </row>
    <row r="3" spans="1:4">
      <c r="A3" s="9" t="s">
        <v>8</v>
      </c>
      <c r="B3" s="52"/>
      <c r="C3" s="52"/>
      <c r="D3" s="53" t="str">
        <f>IF(InventarioMP[[#This Row],[CANTIDAD]]&lt;InventarioMP[[#This Row],[UMBRAL]],"Si","No")</f>
        <v>No</v>
      </c>
    </row>
    <row r="4" spans="1:4">
      <c r="A4" s="51" t="s">
        <v>10</v>
      </c>
      <c r="B4" s="52"/>
      <c r="C4" s="52"/>
      <c r="D4" s="53" t="str">
        <f>IF(InventarioMP[[#This Row],[CANTIDAD]]&lt;InventarioMP[[#This Row],[UMBRAL]],"Si","No")</f>
        <v>No</v>
      </c>
    </row>
    <row r="5" spans="1:4">
      <c r="A5" s="9" t="s">
        <v>11</v>
      </c>
      <c r="B5" s="52"/>
      <c r="C5" s="52"/>
      <c r="D5" s="53" t="str">
        <f>IF(InventarioMP[[#This Row],[CANTIDAD]]&lt;InventarioMP[[#This Row],[UMBRAL]],"Si","No")</f>
        <v>No</v>
      </c>
    </row>
    <row r="6" spans="1:4">
      <c r="A6" s="51" t="s">
        <v>13</v>
      </c>
      <c r="B6" s="52"/>
      <c r="C6" s="52"/>
      <c r="D6" s="53" t="str">
        <f>IF(InventarioMP[[#This Row],[CANTIDAD]]&lt;InventarioMP[[#This Row],[UMBRAL]],"Si","No")</f>
        <v>No</v>
      </c>
    </row>
    <row r="7" spans="1:4">
      <c r="A7" s="16" t="s">
        <v>14</v>
      </c>
      <c r="B7" s="52"/>
      <c r="C7" s="52"/>
      <c r="D7" s="53" t="str">
        <f>IF(InventarioMP[[#This Row],[CANTIDAD]]&lt;InventarioMP[[#This Row],[UMBRAL]],"Si","No")</f>
        <v>No</v>
      </c>
    </row>
    <row r="8" spans="1:4">
      <c r="A8" s="51" t="s">
        <v>15</v>
      </c>
      <c r="B8" s="52"/>
      <c r="C8" s="52"/>
      <c r="D8" s="53" t="str">
        <f>IF(InventarioMP[[#This Row],[CANTIDAD]]&lt;InventarioMP[[#This Row],[UMBRAL]],"Si","No")</f>
        <v>No</v>
      </c>
    </row>
    <row r="9" spans="1:4">
      <c r="A9" s="18" t="s">
        <v>16</v>
      </c>
      <c r="B9" s="52"/>
      <c r="C9" s="52"/>
      <c r="D9" s="53" t="str">
        <f>IF(InventarioMP[[#This Row],[CANTIDAD]]&lt;InventarioMP[[#This Row],[UMBRAL]],"Si","No")</f>
        <v>No</v>
      </c>
    </row>
    <row r="10" spans="1:4">
      <c r="A10" s="51" t="s">
        <v>17</v>
      </c>
      <c r="B10" s="52"/>
      <c r="C10" s="52"/>
      <c r="D10" s="53" t="str">
        <f>IF(InventarioMP[[#This Row],[CANTIDAD]]&lt;InventarioMP[[#This Row],[UMBRAL]],"Si","No")</f>
        <v>No</v>
      </c>
    </row>
    <row r="11" spans="1:4">
      <c r="A11" s="19" t="s">
        <v>19</v>
      </c>
      <c r="B11" s="52"/>
      <c r="C11" s="52"/>
      <c r="D11" s="53" t="str">
        <f>IF(InventarioMP[[#This Row],[CANTIDAD]]&lt;InventarioMP[[#This Row],[UMBRAL]],"Si","No")</f>
        <v>No</v>
      </c>
    </row>
    <row r="12" spans="1:4">
      <c r="A12" s="51" t="s">
        <v>20</v>
      </c>
      <c r="B12" s="52"/>
      <c r="C12" s="52"/>
      <c r="D12" s="53" t="str">
        <f>IF(InventarioMP[[#This Row],[CANTIDAD]]&lt;InventarioMP[[#This Row],[UMBRAL]],"Si","No")</f>
        <v>No</v>
      </c>
    </row>
    <row r="13" spans="1:4">
      <c r="A13" s="9" t="s">
        <v>22</v>
      </c>
      <c r="B13" s="52"/>
      <c r="C13" s="52"/>
      <c r="D13" s="53" t="str">
        <f>IF(InventarioMP[[#This Row],[CANTIDAD]]&lt;InventarioMP[[#This Row],[UMBRAL]],"Si","No")</f>
        <v>No</v>
      </c>
    </row>
    <row r="14" spans="1:4">
      <c r="A14" s="54" t="s">
        <v>23</v>
      </c>
      <c r="B14" s="52"/>
      <c r="C14" s="52"/>
      <c r="D14" s="53" t="str">
        <f>IF(InventarioMP[[#This Row],[CANTIDAD]]&lt;InventarioMP[[#This Row],[UMBRAL]],"Si","No")</f>
        <v>No</v>
      </c>
    </row>
    <row r="15" spans="1:4">
      <c r="A15" s="18" t="s">
        <v>24</v>
      </c>
      <c r="B15" s="52"/>
      <c r="C15" s="52"/>
      <c r="D15" s="53" t="str">
        <f>IF(InventarioMP[[#This Row],[CANTIDAD]]&lt;InventarioMP[[#This Row],[UMBRAL]],"Si","No")</f>
        <v>No</v>
      </c>
    </row>
    <row r="16" spans="1:4">
      <c r="A16" s="51" t="s">
        <v>25</v>
      </c>
      <c r="B16" s="52"/>
      <c r="C16" s="52"/>
      <c r="D16" s="53" t="str">
        <f>IF(InventarioMP[[#This Row],[CANTIDAD]]&lt;InventarioMP[[#This Row],[UMBRAL]],"Si","No")</f>
        <v>No</v>
      </c>
    </row>
    <row r="17" spans="1:4">
      <c r="A17" s="16" t="s">
        <v>26</v>
      </c>
      <c r="B17" s="52"/>
      <c r="C17" s="52"/>
      <c r="D17" s="53" t="str">
        <f>IF(InventarioMP[[#This Row],[CANTIDAD]]&lt;InventarioMP[[#This Row],[UMBRAL]],"Si","No")</f>
        <v>No</v>
      </c>
    </row>
    <row r="18" spans="1:4">
      <c r="A18" s="54" t="s">
        <v>27</v>
      </c>
      <c r="B18" s="52"/>
      <c r="C18" s="52"/>
      <c r="D18" s="53" t="str">
        <f>IF(InventarioMP[[#This Row],[CANTIDAD]]&lt;InventarioMP[[#This Row],[UMBRAL]],"Si","No")</f>
        <v>No</v>
      </c>
    </row>
    <row r="19" spans="1:4">
      <c r="A19" s="16" t="s">
        <v>29</v>
      </c>
      <c r="B19" s="52"/>
      <c r="C19" s="52"/>
      <c r="D19" s="53" t="str">
        <f>IF(InventarioMP[[#This Row],[CANTIDAD]]&lt;InventarioMP[[#This Row],[UMBRAL]],"Si","No")</f>
        <v>No</v>
      </c>
    </row>
    <row r="20" spans="1:4">
      <c r="A20" s="51" t="s">
        <v>30</v>
      </c>
      <c r="B20" s="52"/>
      <c r="C20" s="52"/>
      <c r="D20" s="53" t="str">
        <f>IF(InventarioMP[[#This Row],[CANTIDAD]]&lt;InventarioMP[[#This Row],[UMBRAL]],"Si","No")</f>
        <v>No</v>
      </c>
    </row>
    <row r="21" spans="1:4">
      <c r="A21" s="9" t="s">
        <v>31</v>
      </c>
      <c r="B21" s="52"/>
      <c r="C21" s="52"/>
      <c r="D21" s="53" t="str">
        <f>IF(InventarioMP[[#This Row],[CANTIDAD]]&lt;InventarioMP[[#This Row],[UMBRAL]],"Si","No")</f>
        <v>No</v>
      </c>
    </row>
    <row r="22" spans="1:4">
      <c r="A22" s="54" t="s">
        <v>32</v>
      </c>
      <c r="B22" s="52"/>
      <c r="C22" s="52"/>
      <c r="D22" s="53" t="str">
        <f>IF(InventarioMP[[#This Row],[CANTIDAD]]&lt;InventarioMP[[#This Row],[UMBRAL]],"Si","No")</f>
        <v>No</v>
      </c>
    </row>
    <row r="23" spans="1:4">
      <c r="A23" s="9" t="s">
        <v>33</v>
      </c>
      <c r="B23" s="52"/>
      <c r="C23" s="52"/>
      <c r="D23" s="53" t="str">
        <f>IF(InventarioMP[[#This Row],[CANTIDAD]]&lt;InventarioMP[[#This Row],[UMBRAL]],"Si","No")</f>
        <v>No</v>
      </c>
    </row>
    <row r="24" spans="1:4">
      <c r="A24" s="54" t="s">
        <v>34</v>
      </c>
      <c r="B24" s="52"/>
      <c r="C24" s="52"/>
      <c r="D24" s="53" t="str">
        <f>IF(InventarioMP[[#This Row],[CANTIDAD]]&lt;InventarioMP[[#This Row],[UMBRAL]],"Si","No")</f>
        <v>No</v>
      </c>
    </row>
    <row r="25" spans="1:4">
      <c r="A25" s="16" t="s">
        <v>35</v>
      </c>
      <c r="B25" s="52"/>
      <c r="C25" s="52"/>
      <c r="D25" s="53" t="str">
        <f>IF(InventarioMP[[#This Row],[CANTIDAD]]&lt;InventarioMP[[#This Row],[UMBRAL]],"Si","No")</f>
        <v>No</v>
      </c>
    </row>
    <row r="26" spans="1:4">
      <c r="A26" s="54" t="s">
        <v>36</v>
      </c>
      <c r="B26" s="52"/>
      <c r="C26" s="52"/>
      <c r="D26" s="53" t="str">
        <f>IF(InventarioMP[[#This Row],[CANTIDAD]]&lt;InventarioMP[[#This Row],[UMBRAL]],"Si","No")</f>
        <v>No</v>
      </c>
    </row>
    <row r="27" spans="1:4">
      <c r="A27" s="16" t="s">
        <v>37</v>
      </c>
      <c r="B27" s="52"/>
      <c r="C27" s="52"/>
      <c r="D27" s="53" t="str">
        <f>IF(InventarioMP[[#This Row],[CANTIDAD]]&lt;InventarioMP[[#This Row],[UMBRAL]],"Si","No")</f>
        <v>No</v>
      </c>
    </row>
    <row r="28" spans="1:4">
      <c r="A28" s="54" t="s">
        <v>38</v>
      </c>
      <c r="B28" s="52"/>
      <c r="C28" s="52"/>
      <c r="D28" s="53" t="str">
        <f>IF(InventarioMP[[#This Row],[CANTIDAD]]&lt;InventarioMP[[#This Row],[UMBRAL]],"Si","No")</f>
        <v>No</v>
      </c>
    </row>
    <row r="29" spans="1:4">
      <c r="A29" s="9" t="s">
        <v>39</v>
      </c>
      <c r="B29" s="52"/>
      <c r="C29" s="52"/>
      <c r="D29" s="53" t="str">
        <f>IF(InventarioMP[[#This Row],[CANTIDAD]]&lt;InventarioMP[[#This Row],[UMBRAL]],"Si","No")</f>
        <v>No</v>
      </c>
    </row>
    <row r="30" spans="1:4">
      <c r="A30" s="54" t="s">
        <v>40</v>
      </c>
      <c r="B30" s="52"/>
      <c r="C30" s="52"/>
      <c r="D30" s="53" t="str">
        <f>IF(InventarioMP[[#This Row],[CANTIDAD]]&lt;InventarioMP[[#This Row],[UMBRAL]],"Si","No")</f>
        <v>No</v>
      </c>
    </row>
    <row r="31" spans="1:4">
      <c r="A31" s="16" t="s">
        <v>41</v>
      </c>
      <c r="B31" s="52"/>
      <c r="C31" s="52"/>
      <c r="D31" s="53" t="str">
        <f>IF(InventarioMP[[#This Row],[CANTIDAD]]&lt;InventarioMP[[#This Row],[UMBRAL]],"Si","No")</f>
        <v>No</v>
      </c>
    </row>
    <row r="32" spans="1:4">
      <c r="A32" s="54" t="s">
        <v>42</v>
      </c>
      <c r="B32" s="52"/>
      <c r="C32" s="52"/>
      <c r="D32" s="53" t="str">
        <f>IF(InventarioMP[[#This Row],[CANTIDAD]]&lt;InventarioMP[[#This Row],[UMBRAL]],"Si","No")</f>
        <v>No</v>
      </c>
    </row>
    <row r="33" spans="1:4">
      <c r="A33" s="16" t="s">
        <v>43</v>
      </c>
      <c r="B33" s="52"/>
      <c r="C33" s="52"/>
      <c r="D33" s="53" t="str">
        <f>IF(InventarioMP[[#This Row],[CANTIDAD]]&lt;InventarioMP[[#This Row],[UMBRAL]],"Si","No")</f>
        <v>No</v>
      </c>
    </row>
    <row r="34" spans="1:4">
      <c r="A34" s="51" t="s">
        <v>44</v>
      </c>
      <c r="B34" s="52"/>
      <c r="C34" s="52"/>
      <c r="D34" s="53" t="str">
        <f>IF(InventarioMP[[#This Row],[CANTIDAD]]&lt;InventarioMP[[#This Row],[UMBRAL]],"Si","No")</f>
        <v>No</v>
      </c>
    </row>
    <row r="35" spans="1:4">
      <c r="A35" s="16" t="s">
        <v>45</v>
      </c>
      <c r="B35" s="52"/>
      <c r="C35" s="52"/>
      <c r="D35" s="53" t="str">
        <f>IF(InventarioMP[[#This Row],[CANTIDAD]]&lt;InventarioMP[[#This Row],[UMBRAL]],"Si","No")</f>
        <v>No</v>
      </c>
    </row>
    <row r="36" spans="1:4">
      <c r="A36" s="51" t="s">
        <v>46</v>
      </c>
      <c r="B36" s="52"/>
      <c r="C36" s="52"/>
      <c r="D36" s="53" t="str">
        <f>IF(InventarioMP[[#This Row],[CANTIDAD]]&lt;InventarioMP[[#This Row],[UMBRAL]],"Si","No")</f>
        <v>No</v>
      </c>
    </row>
    <row r="37" spans="1:4">
      <c r="A37" s="16" t="s">
        <v>47</v>
      </c>
      <c r="B37" s="52"/>
      <c r="C37" s="52"/>
      <c r="D37" s="53" t="str">
        <f>IF(InventarioMP[[#This Row],[CANTIDAD]]&lt;InventarioMP[[#This Row],[UMBRAL]],"Si","No")</f>
        <v>No</v>
      </c>
    </row>
    <row r="38" spans="1:4">
      <c r="A38" s="51" t="s">
        <v>48</v>
      </c>
      <c r="B38" s="52"/>
      <c r="C38" s="52"/>
      <c r="D38" s="53" t="str">
        <f>IF(InventarioMP[[#This Row],[CANTIDAD]]&lt;InventarioMP[[#This Row],[UMBRAL]],"Si","No")</f>
        <v>No</v>
      </c>
    </row>
    <row r="39" spans="1:4">
      <c r="A39" s="9" t="s">
        <v>50</v>
      </c>
      <c r="B39" s="52"/>
      <c r="C39" s="52"/>
      <c r="D39" s="53" t="str">
        <f>IF(InventarioMP[[#This Row],[CANTIDAD]]&lt;InventarioMP[[#This Row],[UMBRAL]],"Si","No")</f>
        <v>No</v>
      </c>
    </row>
    <row r="40" spans="1:4">
      <c r="A40" s="51" t="s">
        <v>51</v>
      </c>
      <c r="B40" s="52"/>
      <c r="C40" s="52"/>
      <c r="D40" s="53" t="str">
        <f>IF(InventarioMP[[#This Row],[CANTIDAD]]&lt;InventarioMP[[#This Row],[UMBRAL]],"Si","No")</f>
        <v>No</v>
      </c>
    </row>
    <row r="41" spans="1:4">
      <c r="A41" s="9" t="s">
        <v>52</v>
      </c>
      <c r="B41" s="52"/>
      <c r="C41" s="52"/>
      <c r="D41" s="53" t="str">
        <f>IF(InventarioMP[[#This Row],[CANTIDAD]]&lt;InventarioMP[[#This Row],[UMBRAL]],"Si","No")</f>
        <v>No</v>
      </c>
    </row>
    <row r="42" spans="1:4">
      <c r="A42" s="51" t="s">
        <v>53</v>
      </c>
      <c r="B42" s="52"/>
      <c r="C42" s="52"/>
      <c r="D42" s="53" t="str">
        <f>IF(InventarioMP[[#This Row],[CANTIDAD]]&lt;InventarioMP[[#This Row],[UMBRAL]],"Si","No")</f>
        <v>No</v>
      </c>
    </row>
    <row r="43" spans="1:4">
      <c r="A43" s="9" t="s">
        <v>56</v>
      </c>
      <c r="B43" s="52"/>
      <c r="C43" s="52"/>
      <c r="D43" s="53" t="str">
        <f>IF(InventarioMP[[#This Row],[CANTIDAD]]&lt;InventarioMP[[#This Row],[UMBRAL]],"Si","No")</f>
        <v>No</v>
      </c>
    </row>
    <row r="44" spans="1:4">
      <c r="A44" s="51" t="s">
        <v>57</v>
      </c>
      <c r="B44" s="52"/>
      <c r="C44" s="52"/>
      <c r="D44" s="53" t="str">
        <f>IF(InventarioMP[[#This Row],[CANTIDAD]]&lt;InventarioMP[[#This Row],[UMBRAL]],"Si","No")</f>
        <v>No</v>
      </c>
    </row>
    <row r="45" spans="1:4">
      <c r="A45" s="9" t="s">
        <v>58</v>
      </c>
      <c r="B45" s="52"/>
      <c r="C45" s="52"/>
      <c r="D45" s="53" t="str">
        <f>IF(InventarioMP[[#This Row],[CANTIDAD]]&lt;InventarioMP[[#This Row],[UMBRAL]],"Si","No")</f>
        <v>No</v>
      </c>
    </row>
    <row r="46" spans="1:4">
      <c r="A46" s="51" t="s">
        <v>59</v>
      </c>
      <c r="B46" s="52"/>
      <c r="C46" s="52"/>
      <c r="D46" s="53" t="str">
        <f>IF(InventarioMP[[#This Row],[CANTIDAD]]&lt;InventarioMP[[#This Row],[UMBRAL]],"Si","No")</f>
        <v>No</v>
      </c>
    </row>
    <row r="47" spans="1:4">
      <c r="A47" s="9" t="s">
        <v>60</v>
      </c>
      <c r="B47" s="52"/>
      <c r="C47" s="52"/>
      <c r="D47" s="53" t="str">
        <f>IF(InventarioMP[[#This Row],[CANTIDAD]]&lt;InventarioMP[[#This Row],[UMBRAL]],"Si","No")</f>
        <v>No</v>
      </c>
    </row>
    <row r="48" spans="1:4">
      <c r="A48" s="51" t="s">
        <v>61</v>
      </c>
      <c r="B48" s="52"/>
      <c r="C48" s="52"/>
      <c r="D48" s="53" t="str">
        <f>IF(InventarioMP[[#This Row],[CANTIDAD]]&lt;InventarioMP[[#This Row],[UMBRAL]],"Si","No")</f>
        <v>No</v>
      </c>
    </row>
    <row r="49" spans="1:4">
      <c r="A49" s="9" t="s">
        <v>62</v>
      </c>
      <c r="B49" s="52"/>
      <c r="C49" s="52"/>
      <c r="D49" s="53" t="str">
        <f>IF(InventarioMP[[#This Row],[CANTIDAD]]&lt;InventarioMP[[#This Row],[UMBRAL]],"Si","No")</f>
        <v>No</v>
      </c>
    </row>
    <row r="50" spans="1:4">
      <c r="A50" s="51" t="s">
        <v>63</v>
      </c>
      <c r="B50" s="52"/>
      <c r="C50" s="52"/>
      <c r="D50" s="53" t="str">
        <f>IF(InventarioMP[[#This Row],[CANTIDAD]]&lt;InventarioMP[[#This Row],[UMBRAL]],"Si","No")</f>
        <v>No</v>
      </c>
    </row>
    <row r="51" spans="1:4">
      <c r="A51" s="9" t="s">
        <v>64</v>
      </c>
      <c r="B51" s="52"/>
      <c r="C51" s="52"/>
      <c r="D51" s="53" t="str">
        <f>IF(InventarioMP[[#This Row],[CANTIDAD]]&lt;InventarioMP[[#This Row],[UMBRAL]],"Si","No")</f>
        <v>No</v>
      </c>
    </row>
    <row r="52" spans="1:4">
      <c r="A52" s="51" t="s">
        <v>65</v>
      </c>
      <c r="B52" s="52"/>
      <c r="C52" s="52"/>
      <c r="D52" s="53" t="str">
        <f>IF(InventarioMP[[#This Row],[CANTIDAD]]&lt;InventarioMP[[#This Row],[UMBRAL]],"Si","No")</f>
        <v>No</v>
      </c>
    </row>
    <row r="53" spans="1:4">
      <c r="A53" s="9" t="s">
        <v>66</v>
      </c>
      <c r="B53" s="52"/>
      <c r="C53" s="52"/>
      <c r="D53" s="53" t="str">
        <f>IF(InventarioMP[[#This Row],[CANTIDAD]]&lt;InventarioMP[[#This Row],[UMBRAL]],"Si","No")</f>
        <v>No</v>
      </c>
    </row>
    <row r="54" spans="1:4">
      <c r="A54" s="51" t="s">
        <v>67</v>
      </c>
      <c r="B54" s="52"/>
      <c r="C54" s="52"/>
      <c r="D54" s="53" t="str">
        <f>IF(InventarioMP[[#This Row],[CANTIDAD]]&lt;InventarioMP[[#This Row],[UMBRAL]],"Si","No")</f>
        <v>No</v>
      </c>
    </row>
    <row r="55" spans="1:4">
      <c r="A55" s="9" t="s">
        <v>68</v>
      </c>
      <c r="B55" s="52"/>
      <c r="C55" s="52"/>
      <c r="D55" s="53" t="str">
        <f>IF(InventarioMP[[#This Row],[CANTIDAD]]&lt;InventarioMP[[#This Row],[UMBRAL]],"Si","No")</f>
        <v>No</v>
      </c>
    </row>
    <row r="56" spans="1:4">
      <c r="A56" s="51" t="s">
        <v>69</v>
      </c>
      <c r="B56" s="52"/>
      <c r="C56" s="52"/>
      <c r="D56" s="53" t="str">
        <f>IF(InventarioMP[[#This Row],[CANTIDAD]]&lt;InventarioMP[[#This Row],[UMBRAL]],"Si","No")</f>
        <v>No</v>
      </c>
    </row>
    <row r="57" spans="1:4">
      <c r="A57" s="9" t="s">
        <v>72</v>
      </c>
      <c r="B57" s="52"/>
      <c r="C57" s="52"/>
      <c r="D57" s="53" t="str">
        <f>IF(InventarioMP[[#This Row],[CANTIDAD]]&lt;InventarioMP[[#This Row],[UMBRAL]],"Si","No")</f>
        <v>No</v>
      </c>
    </row>
    <row r="58" spans="1:4">
      <c r="A58" s="51" t="s">
        <v>73</v>
      </c>
      <c r="B58" s="52"/>
      <c r="C58" s="52"/>
      <c r="D58" s="53" t="str">
        <f>IF(InventarioMP[[#This Row],[CANTIDAD]]&lt;InventarioMP[[#This Row],[UMBRAL]],"Si","No")</f>
        <v>No</v>
      </c>
    </row>
    <row r="59" spans="1:4">
      <c r="A59" s="9" t="s">
        <v>74</v>
      </c>
      <c r="B59" s="52"/>
      <c r="C59" s="52"/>
      <c r="D59" s="53" t="str">
        <f>IF(InventarioMP[[#This Row],[CANTIDAD]]&lt;InventarioMP[[#This Row],[UMBRAL]],"Si","No")</f>
        <v>No</v>
      </c>
    </row>
    <row r="60" spans="1:4">
      <c r="A60" s="51" t="s">
        <v>75</v>
      </c>
      <c r="B60" s="52"/>
      <c r="C60" s="52"/>
      <c r="D60" s="53" t="str">
        <f>IF(InventarioMP[[#This Row],[CANTIDAD]]&lt;InventarioMP[[#This Row],[UMBRAL]],"Si","No")</f>
        <v>No</v>
      </c>
    </row>
    <row r="61" spans="1:4">
      <c r="A61" s="9" t="s">
        <v>76</v>
      </c>
      <c r="B61" s="52"/>
      <c r="C61" s="52"/>
      <c r="D61" s="53" t="str">
        <f>IF(InventarioMP[[#This Row],[CANTIDAD]]&lt;InventarioMP[[#This Row],[UMBRAL]],"Si","No")</f>
        <v>No</v>
      </c>
    </row>
    <row r="62" spans="1:4">
      <c r="A62" s="54" t="s">
        <v>77</v>
      </c>
      <c r="B62" s="52"/>
      <c r="C62" s="52"/>
      <c r="D62" s="53" t="str">
        <f>IF(InventarioMP[[#This Row],[CANTIDAD]]&lt;InventarioMP[[#This Row],[UMBRAL]],"Si","No")</f>
        <v>No</v>
      </c>
    </row>
    <row r="63" spans="1:4">
      <c r="A63" s="16" t="s">
        <v>78</v>
      </c>
      <c r="B63" s="52"/>
      <c r="C63" s="52"/>
      <c r="D63" s="53" t="str">
        <f>IF(InventarioMP[[#This Row],[CANTIDAD]]&lt;InventarioMP[[#This Row],[UMBRAL]],"Si","No")</f>
        <v>No</v>
      </c>
    </row>
    <row r="64" spans="1:4">
      <c r="A64" s="54" t="s">
        <v>79</v>
      </c>
      <c r="B64" s="52"/>
      <c r="C64" s="52"/>
      <c r="D64" s="53" t="str">
        <f>IF(InventarioMP[[#This Row],[CANTIDAD]]&lt;InventarioMP[[#This Row],[UMBRAL]],"Si","No")</f>
        <v>No</v>
      </c>
    </row>
    <row r="65" spans="1:4">
      <c r="A65" s="16" t="s">
        <v>80</v>
      </c>
      <c r="B65" s="52"/>
      <c r="C65" s="52"/>
      <c r="D65" s="53" t="str">
        <f>IF(InventarioMP[[#This Row],[CANTIDAD]]&lt;InventarioMP[[#This Row],[UMBRAL]],"Si","No")</f>
        <v>No</v>
      </c>
    </row>
    <row r="66" spans="1:4">
      <c r="A66" s="51" t="s">
        <v>710</v>
      </c>
      <c r="B66" s="52"/>
      <c r="C66" s="52"/>
      <c r="D66" s="53" t="str">
        <f>IF(InventarioMP[[#This Row],[CANTIDAD]]&lt;InventarioMP[[#This Row],[UMBRAL]],"Si","No")</f>
        <v>No</v>
      </c>
    </row>
    <row r="67" spans="1:4">
      <c r="A67" s="16" t="s">
        <v>82</v>
      </c>
      <c r="B67" s="52"/>
      <c r="C67" s="52"/>
      <c r="D67" s="53" t="str">
        <f>IF(InventarioMP[[#This Row],[CANTIDAD]]&lt;InventarioMP[[#This Row],[UMBRAL]],"Si","No")</f>
        <v>No</v>
      </c>
    </row>
    <row r="68" spans="1:4">
      <c r="A68" s="54" t="s">
        <v>83</v>
      </c>
      <c r="B68" s="52"/>
      <c r="C68" s="52"/>
      <c r="D68" s="53" t="str">
        <f>IF(InventarioMP[[#This Row],[CANTIDAD]]&lt;InventarioMP[[#This Row],[UMBRAL]],"Si","No")</f>
        <v>No</v>
      </c>
    </row>
    <row r="69" spans="1:4">
      <c r="A69" s="16" t="s">
        <v>84</v>
      </c>
      <c r="B69" s="52"/>
      <c r="C69" s="52"/>
      <c r="D69" s="53" t="str">
        <f>IF(InventarioMP[[#This Row],[CANTIDAD]]&lt;InventarioMP[[#This Row],[UMBRAL]],"Si","No")</f>
        <v>No</v>
      </c>
    </row>
    <row r="70" spans="1:4">
      <c r="A70" s="54" t="s">
        <v>85</v>
      </c>
      <c r="B70" s="52"/>
      <c r="C70" s="52"/>
      <c r="D70" s="53" t="str">
        <f>IF(InventarioMP[[#This Row],[CANTIDAD]]&lt;InventarioMP[[#This Row],[UMBRAL]],"Si","No")</f>
        <v>No</v>
      </c>
    </row>
    <row r="71" spans="1:4">
      <c r="A71" s="16" t="s">
        <v>86</v>
      </c>
      <c r="B71" s="52"/>
      <c r="C71" s="52"/>
      <c r="D71" s="53" t="str">
        <f>IF(InventarioMP[[#This Row],[CANTIDAD]]&lt;InventarioMP[[#This Row],[UMBRAL]],"Si","No")</f>
        <v>No</v>
      </c>
    </row>
    <row r="72" spans="1:4">
      <c r="A72" s="54" t="s">
        <v>87</v>
      </c>
      <c r="B72" s="52"/>
      <c r="C72" s="52"/>
      <c r="D72" s="53" t="str">
        <f>IF(InventarioMP[[#This Row],[CANTIDAD]]&lt;InventarioMP[[#This Row],[UMBRAL]],"Si","No")</f>
        <v>No</v>
      </c>
    </row>
    <row r="73" spans="1:4">
      <c r="A73" s="16" t="s">
        <v>88</v>
      </c>
      <c r="B73" s="52"/>
      <c r="C73" s="52"/>
      <c r="D73" s="53" t="str">
        <f>IF(InventarioMP[[#This Row],[CANTIDAD]]&lt;InventarioMP[[#This Row],[UMBRAL]],"Si","No")</f>
        <v>No</v>
      </c>
    </row>
    <row r="74" spans="1:4">
      <c r="A74" s="51" t="s">
        <v>89</v>
      </c>
      <c r="B74" s="52"/>
      <c r="C74" s="52"/>
      <c r="D74" s="53" t="str">
        <f>IF(InventarioMP[[#This Row],[CANTIDAD]]&lt;InventarioMP[[#This Row],[UMBRAL]],"Si","No")</f>
        <v>No</v>
      </c>
    </row>
    <row r="75" spans="1:4">
      <c r="A75" s="9" t="s">
        <v>90</v>
      </c>
      <c r="B75" s="52"/>
      <c r="C75" s="52"/>
      <c r="D75" s="53" t="str">
        <f>IF(InventarioMP[[#This Row],[CANTIDAD]]&lt;InventarioMP[[#This Row],[UMBRAL]],"Si","No")</f>
        <v>No</v>
      </c>
    </row>
    <row r="76" spans="1:4">
      <c r="A76" s="54" t="s">
        <v>91</v>
      </c>
      <c r="B76" s="52"/>
      <c r="C76" s="52"/>
      <c r="D76" s="53" t="str">
        <f>IF(InventarioMP[[#This Row],[CANTIDAD]]&lt;InventarioMP[[#This Row],[UMBRAL]],"Si","No")</f>
        <v>No</v>
      </c>
    </row>
    <row r="77" spans="1:4">
      <c r="A77" s="18" t="s">
        <v>92</v>
      </c>
      <c r="B77" s="52"/>
      <c r="C77" s="52"/>
      <c r="D77" s="53" t="str">
        <f>IF(InventarioMP[[#This Row],[CANTIDAD]]&lt;InventarioMP[[#This Row],[UMBRAL]],"Si","No")</f>
        <v>No</v>
      </c>
    </row>
    <row r="78" spans="1:4">
      <c r="A78" s="54" t="s">
        <v>94</v>
      </c>
      <c r="B78" s="52"/>
      <c r="C78" s="52"/>
      <c r="D78" s="53" t="str">
        <f>IF(InventarioMP[[#This Row],[CANTIDAD]]&lt;InventarioMP[[#This Row],[UMBRAL]],"Si","No")</f>
        <v>No</v>
      </c>
    </row>
    <row r="79" spans="1:4">
      <c r="A79" s="16" t="s">
        <v>95</v>
      </c>
      <c r="B79" s="52"/>
      <c r="C79" s="52"/>
      <c r="D79" s="53" t="str">
        <f>IF(InventarioMP[[#This Row],[CANTIDAD]]&lt;InventarioMP[[#This Row],[UMBRAL]],"Si","No")</f>
        <v>No</v>
      </c>
    </row>
    <row r="80" spans="1:4">
      <c r="A80" s="51" t="s">
        <v>96</v>
      </c>
      <c r="B80" s="52"/>
      <c r="C80" s="52"/>
      <c r="D80" s="53" t="str">
        <f>IF(InventarioMP[[#This Row],[CANTIDAD]]&lt;InventarioMP[[#This Row],[UMBRAL]],"Si","No")</f>
        <v>No</v>
      </c>
    </row>
    <row r="81" spans="1:4">
      <c r="A81" s="16" t="s">
        <v>97</v>
      </c>
      <c r="B81" s="52"/>
      <c r="C81" s="52"/>
      <c r="D81" s="53" t="str">
        <f>IF(InventarioMP[[#This Row],[CANTIDAD]]&lt;InventarioMP[[#This Row],[UMBRAL]],"Si","No")</f>
        <v>No</v>
      </c>
    </row>
    <row r="82" spans="1:4">
      <c r="A82" s="51" t="s">
        <v>98</v>
      </c>
      <c r="B82" s="52"/>
      <c r="C82" s="52"/>
      <c r="D82" s="53" t="str">
        <f>IF(InventarioMP[[#This Row],[CANTIDAD]]&lt;InventarioMP[[#This Row],[UMBRAL]],"Si","No")</f>
        <v>No</v>
      </c>
    </row>
    <row r="83" spans="1:4">
      <c r="A83" s="9" t="s">
        <v>99</v>
      </c>
      <c r="B83" s="52"/>
      <c r="C83" s="52"/>
      <c r="D83" s="53" t="str">
        <f>IF(InventarioMP[[#This Row],[CANTIDAD]]&lt;InventarioMP[[#This Row],[UMBRAL]],"Si","No")</f>
        <v>No</v>
      </c>
    </row>
    <row r="84" spans="1:4">
      <c r="A84" s="54" t="s">
        <v>101</v>
      </c>
      <c r="B84" s="52"/>
      <c r="C84" s="52"/>
      <c r="D84" s="53" t="str">
        <f>IF(InventarioMP[[#This Row],[CANTIDAD]]&lt;InventarioMP[[#This Row],[UMBRAL]],"Si","No")</f>
        <v>No</v>
      </c>
    </row>
    <row r="85" spans="1:4">
      <c r="A85" s="16" t="s">
        <v>102</v>
      </c>
      <c r="B85" s="52"/>
      <c r="C85" s="52"/>
      <c r="D85" s="53" t="str">
        <f>IF(InventarioMP[[#This Row],[CANTIDAD]]&lt;InventarioMP[[#This Row],[UMBRAL]],"Si","No")</f>
        <v>No</v>
      </c>
    </row>
    <row r="86" spans="1:4">
      <c r="A86" s="54" t="s">
        <v>103</v>
      </c>
      <c r="B86" s="52"/>
      <c r="C86" s="52"/>
      <c r="D86" s="53" t="str">
        <f>IF(InventarioMP[[#This Row],[CANTIDAD]]&lt;InventarioMP[[#This Row],[UMBRAL]],"Si","No")</f>
        <v>No</v>
      </c>
    </row>
    <row r="87" spans="1:4">
      <c r="A87" s="16" t="s">
        <v>104</v>
      </c>
      <c r="B87" s="52"/>
      <c r="C87" s="52"/>
      <c r="D87" s="53" t="str">
        <f>IF(InventarioMP[[#This Row],[CANTIDAD]]&lt;InventarioMP[[#This Row],[UMBRAL]],"Si","No")</f>
        <v>No</v>
      </c>
    </row>
    <row r="88" spans="1:4">
      <c r="A88" s="54" t="s">
        <v>105</v>
      </c>
      <c r="B88" s="52"/>
      <c r="C88" s="52"/>
      <c r="D88" s="53" t="str">
        <f>IF(InventarioMP[[#This Row],[CANTIDAD]]&lt;InventarioMP[[#This Row],[UMBRAL]],"Si","No")</f>
        <v>No</v>
      </c>
    </row>
    <row r="89" spans="1:4">
      <c r="A89" s="9" t="s">
        <v>106</v>
      </c>
      <c r="B89" s="52"/>
      <c r="C89" s="52"/>
      <c r="D89" s="53" t="str">
        <f>IF(InventarioMP[[#This Row],[CANTIDAD]]&lt;InventarioMP[[#This Row],[UMBRAL]],"Si","No")</f>
        <v>No</v>
      </c>
    </row>
    <row r="90" spans="1:4">
      <c r="A90" s="51" t="s">
        <v>107</v>
      </c>
      <c r="B90" s="52"/>
      <c r="C90" s="52"/>
      <c r="D90" s="53" t="str">
        <f>IF(InventarioMP[[#This Row],[CANTIDAD]]&lt;InventarioMP[[#This Row],[UMBRAL]],"Si","No")</f>
        <v>No</v>
      </c>
    </row>
    <row r="91" spans="1:4">
      <c r="A91" s="9" t="s">
        <v>108</v>
      </c>
      <c r="B91" s="52"/>
      <c r="C91" s="52"/>
      <c r="D91" s="53" t="str">
        <f>IF(InventarioMP[[#This Row],[CANTIDAD]]&lt;InventarioMP[[#This Row],[UMBRAL]],"Si","No")</f>
        <v>No</v>
      </c>
    </row>
    <row r="92" spans="1:4">
      <c r="A92" s="51" t="s">
        <v>109</v>
      </c>
      <c r="B92" s="52"/>
      <c r="C92" s="52"/>
      <c r="D92" s="53" t="str">
        <f>IF(InventarioMP[[#This Row],[CANTIDAD]]&lt;InventarioMP[[#This Row],[UMBRAL]],"Si","No")</f>
        <v>No</v>
      </c>
    </row>
    <row r="93" spans="1:4">
      <c r="A93" s="9" t="s">
        <v>110</v>
      </c>
      <c r="B93" s="52"/>
      <c r="C93" s="52"/>
      <c r="D93" s="53" t="str">
        <f>IF(InventarioMP[[#This Row],[CANTIDAD]]&lt;InventarioMP[[#This Row],[UMBRAL]],"Si","No")</f>
        <v>No</v>
      </c>
    </row>
    <row r="94" spans="1:4">
      <c r="A94" s="51" t="s">
        <v>111</v>
      </c>
      <c r="B94" s="52"/>
      <c r="C94" s="52"/>
      <c r="D94" s="53" t="str">
        <f>IF(InventarioMP[[#This Row],[CANTIDAD]]&lt;InventarioMP[[#This Row],[UMBRAL]],"Si","No")</f>
        <v>No</v>
      </c>
    </row>
    <row r="95" spans="1:4">
      <c r="A95" s="16" t="s">
        <v>112</v>
      </c>
      <c r="B95" s="52"/>
      <c r="C95" s="52"/>
      <c r="D95" s="53" t="str">
        <f>IF(InventarioMP[[#This Row],[CANTIDAD]]&lt;InventarioMP[[#This Row],[UMBRAL]],"Si","No")</f>
        <v>No</v>
      </c>
    </row>
    <row r="96" spans="1:4">
      <c r="A96" s="51" t="s">
        <v>113</v>
      </c>
      <c r="B96" s="52"/>
      <c r="C96" s="52"/>
      <c r="D96" s="53" t="str">
        <f>IF(InventarioMP[[#This Row],[CANTIDAD]]&lt;InventarioMP[[#This Row],[UMBRAL]],"Si","No")</f>
        <v>No</v>
      </c>
    </row>
    <row r="97" spans="1:4">
      <c r="A97" s="9" t="s">
        <v>114</v>
      </c>
      <c r="B97" s="52"/>
      <c r="C97" s="52"/>
      <c r="D97" s="53" t="str">
        <f>IF(InventarioMP[[#This Row],[CANTIDAD]]&lt;InventarioMP[[#This Row],[UMBRAL]],"Si","No")</f>
        <v>No</v>
      </c>
    </row>
    <row r="98" spans="1:4">
      <c r="A98" s="51" t="s">
        <v>115</v>
      </c>
      <c r="B98" s="52"/>
      <c r="C98" s="52"/>
      <c r="D98" s="53" t="str">
        <f>IF(InventarioMP[[#This Row],[CANTIDAD]]&lt;InventarioMP[[#This Row],[UMBRAL]],"Si","No")</f>
        <v>No</v>
      </c>
    </row>
    <row r="99" spans="1:4">
      <c r="A99" s="9" t="s">
        <v>116</v>
      </c>
      <c r="B99" s="52"/>
      <c r="C99" s="52"/>
      <c r="D99" s="53" t="str">
        <f>IF(InventarioMP[[#This Row],[CANTIDAD]]&lt;InventarioMP[[#This Row],[UMBRAL]],"Si","No")</f>
        <v>No</v>
      </c>
    </row>
    <row r="100" spans="1:4">
      <c r="A100" s="51" t="s">
        <v>117</v>
      </c>
      <c r="B100" s="52"/>
      <c r="C100" s="52"/>
      <c r="D100" s="53" t="str">
        <f>IF(InventarioMP[[#This Row],[CANTIDAD]]&lt;InventarioMP[[#This Row],[UMBRAL]],"Si","No")</f>
        <v>No</v>
      </c>
    </row>
    <row r="101" spans="1:4">
      <c r="A101" s="9" t="s">
        <v>118</v>
      </c>
      <c r="B101" s="52"/>
      <c r="C101" s="52"/>
      <c r="D101" s="53" t="str">
        <f>IF(InventarioMP[[#This Row],[CANTIDAD]]&lt;InventarioMP[[#This Row],[UMBRAL]],"Si","No")</f>
        <v>No</v>
      </c>
    </row>
    <row r="102" spans="1:4">
      <c r="A102" s="55" t="s">
        <v>119</v>
      </c>
      <c r="B102" s="52"/>
      <c r="C102" s="52"/>
      <c r="D102" s="53" t="str">
        <f>IF(InventarioMP[[#This Row],[CANTIDAD]]&lt;InventarioMP[[#This Row],[UMBRAL]],"Si","No")</f>
        <v>No</v>
      </c>
    </row>
    <row r="103" spans="1:4">
      <c r="A103" s="9" t="s">
        <v>120</v>
      </c>
      <c r="B103" s="52"/>
      <c r="C103" s="52"/>
      <c r="D103" s="53" t="str">
        <f>IF(InventarioMP[[#This Row],[CANTIDAD]]&lt;InventarioMP[[#This Row],[UMBRAL]],"Si","No")</f>
        <v>No</v>
      </c>
    </row>
    <row r="104" spans="1:4">
      <c r="A104" s="54" t="s">
        <v>121</v>
      </c>
      <c r="B104" s="52"/>
      <c r="C104" s="52"/>
      <c r="D104" s="53" t="str">
        <f>IF(InventarioMP[[#This Row],[CANTIDAD]]&lt;InventarioMP[[#This Row],[UMBRAL]],"Si","No")</f>
        <v>No</v>
      </c>
    </row>
    <row r="105" spans="1:4">
      <c r="A105" s="18" t="s">
        <v>122</v>
      </c>
      <c r="B105" s="52"/>
      <c r="C105" s="52"/>
      <c r="D105" s="53" t="str">
        <f>IF(InventarioMP[[#This Row],[CANTIDAD]]&lt;InventarioMP[[#This Row],[UMBRAL]],"Si","No")</f>
        <v>No</v>
      </c>
    </row>
    <row r="106" spans="1:4">
      <c r="A106" s="51" t="s">
        <v>123</v>
      </c>
      <c r="B106" s="52"/>
      <c r="C106" s="52"/>
      <c r="D106" s="53" t="str">
        <f>IF(InventarioMP[[#This Row],[CANTIDAD]]&lt;InventarioMP[[#This Row],[UMBRAL]],"Si","No")</f>
        <v>No</v>
      </c>
    </row>
    <row r="107" spans="1:4">
      <c r="A107" s="9" t="s">
        <v>124</v>
      </c>
      <c r="B107" s="52"/>
      <c r="C107" s="52"/>
      <c r="D107" s="53" t="str">
        <f>IF(InventarioMP[[#This Row],[CANTIDAD]]&lt;InventarioMP[[#This Row],[UMBRAL]],"Si","No")</f>
        <v>No</v>
      </c>
    </row>
    <row r="108" spans="1:4">
      <c r="A108" s="51" t="s">
        <v>126</v>
      </c>
      <c r="B108" s="52"/>
      <c r="C108" s="52"/>
      <c r="D108" s="53" t="str">
        <f>IF(InventarioMP[[#This Row],[CANTIDAD]]&lt;InventarioMP[[#This Row],[UMBRAL]],"Si","No")</f>
        <v>No</v>
      </c>
    </row>
    <row r="109" spans="1:4">
      <c r="A109" s="18" t="s">
        <v>127</v>
      </c>
      <c r="B109" s="52"/>
      <c r="C109" s="52"/>
      <c r="D109" s="53" t="str">
        <f>IF(InventarioMP[[#This Row],[CANTIDAD]]&lt;InventarioMP[[#This Row],[UMBRAL]],"Si","No")</f>
        <v>No</v>
      </c>
    </row>
    <row r="110" spans="1:4">
      <c r="A110" s="55" t="s">
        <v>129</v>
      </c>
      <c r="B110" s="52"/>
      <c r="C110" s="52"/>
      <c r="D110" s="53" t="str">
        <f>IF(InventarioMP[[#This Row],[CANTIDAD]]&lt;InventarioMP[[#This Row],[UMBRAL]],"Si","No")</f>
        <v>No</v>
      </c>
    </row>
    <row r="111" spans="1:4">
      <c r="A111" s="18" t="s">
        <v>130</v>
      </c>
      <c r="B111" s="52"/>
      <c r="C111" s="52"/>
      <c r="D111" s="53" t="str">
        <f>IF(InventarioMP[[#This Row],[CANTIDAD]]&lt;InventarioMP[[#This Row],[UMBRAL]],"Si","No")</f>
        <v>No</v>
      </c>
    </row>
    <row r="112" spans="1:4">
      <c r="A112" s="55" t="s">
        <v>131</v>
      </c>
      <c r="B112" s="52"/>
      <c r="C112" s="52"/>
      <c r="D112" s="53" t="str">
        <f>IF(InventarioMP[[#This Row],[CANTIDAD]]&lt;InventarioMP[[#This Row],[UMBRAL]],"Si","No")</f>
        <v>No</v>
      </c>
    </row>
    <row r="113" spans="1:4">
      <c r="A113" s="18" t="s">
        <v>132</v>
      </c>
      <c r="B113" s="52"/>
      <c r="C113" s="52"/>
      <c r="D113" s="53" t="str">
        <f>IF(InventarioMP[[#This Row],[CANTIDAD]]&lt;InventarioMP[[#This Row],[UMBRAL]],"Si","No")</f>
        <v>No</v>
      </c>
    </row>
    <row r="114" spans="1:4">
      <c r="A114" s="55" t="s">
        <v>133</v>
      </c>
      <c r="B114" s="52"/>
      <c r="C114" s="52"/>
      <c r="D114" s="53" t="str">
        <f>IF(InventarioMP[[#This Row],[CANTIDAD]]&lt;InventarioMP[[#This Row],[UMBRAL]],"Si","No")</f>
        <v>No</v>
      </c>
    </row>
    <row r="115" spans="1:4">
      <c r="A115" s="21" t="s">
        <v>134</v>
      </c>
      <c r="B115" s="56"/>
      <c r="C115" s="56"/>
      <c r="D115" s="57" t="str">
        <f>IF(InventarioMP[[#This Row],[CANTIDAD]]&lt;InventarioMP[[#This Row],[UMBRAL]],"Si","No")</f>
        <v>No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1"/>
  <sheetViews>
    <sheetView zoomScale="90" zoomScaleNormal="90" workbookViewId="0">
      <selection activeCell="D2" sqref="D2"/>
    </sheetView>
  </sheetViews>
  <sheetFormatPr baseColWidth="10" defaultColWidth="10.7109375" defaultRowHeight="15"/>
  <cols>
    <col min="1" max="1" width="51.140625" customWidth="1"/>
    <col min="2" max="2" width="12.85546875" customWidth="1"/>
    <col min="4" max="4" width="11.85546875" customWidth="1"/>
  </cols>
  <sheetData>
    <row r="1" spans="1:4">
      <c r="A1" s="58" t="s">
        <v>711</v>
      </c>
      <c r="B1" s="49" t="s">
        <v>712</v>
      </c>
      <c r="C1" s="50" t="s">
        <v>713</v>
      </c>
      <c r="D1" s="49" t="s">
        <v>714</v>
      </c>
    </row>
    <row r="2" spans="1:4">
      <c r="A2" s="18" t="s">
        <v>144</v>
      </c>
      <c r="B2" s="52">
        <v>0</v>
      </c>
      <c r="C2" s="53">
        <v>2</v>
      </c>
      <c r="D2" s="59" t="str">
        <f>IF(InventarioProductos[[#This Row],[Existencias]]&lt;InventarioProductos[[#This Row],[Umbral]],"SI","NO")</f>
        <v>SI</v>
      </c>
    </row>
    <row r="3" spans="1:4">
      <c r="A3" s="18" t="s">
        <v>146</v>
      </c>
      <c r="B3" s="52">
        <v>0</v>
      </c>
      <c r="C3" s="53">
        <v>2</v>
      </c>
      <c r="D3" s="59" t="str">
        <f>IF(InventarioProductos[[#This Row],[Existencias]]&lt;InventarioProductos[[#This Row],[Umbral]],"SI","NO")</f>
        <v>SI</v>
      </c>
    </row>
    <row r="4" spans="1:4">
      <c r="A4" s="18" t="s">
        <v>148</v>
      </c>
      <c r="B4" s="52">
        <v>0</v>
      </c>
      <c r="C4" s="53">
        <v>2</v>
      </c>
      <c r="D4" s="59" t="str">
        <f>IF(InventarioProductos[[#This Row],[Existencias]]&lt;InventarioProductos[[#This Row],[Umbral]],"SI","NO")</f>
        <v>SI</v>
      </c>
    </row>
    <row r="5" spans="1:4">
      <c r="A5" s="18" t="s">
        <v>150</v>
      </c>
      <c r="B5" s="52">
        <v>10000</v>
      </c>
      <c r="C5" s="53">
        <v>5000</v>
      </c>
      <c r="D5" s="59" t="str">
        <f>IF(InventarioProductos[[#This Row],[Existencias]]&lt;InventarioProductos[[#This Row],[Umbral]],"SI","NO")</f>
        <v>NO</v>
      </c>
    </row>
    <row r="6" spans="1:4">
      <c r="A6" s="18" t="s">
        <v>152</v>
      </c>
      <c r="B6" s="52">
        <v>0</v>
      </c>
      <c r="C6" s="53">
        <v>2</v>
      </c>
      <c r="D6" s="59" t="str">
        <f>IF(InventarioProductos[[#This Row],[Existencias]]&lt;InventarioProductos[[#This Row],[Umbral]],"SI","NO")</f>
        <v>SI</v>
      </c>
    </row>
    <row r="7" spans="1:4">
      <c r="A7" s="18" t="s">
        <v>154</v>
      </c>
      <c r="B7" s="52">
        <v>0</v>
      </c>
      <c r="C7" s="53">
        <v>2</v>
      </c>
      <c r="D7" s="59" t="str">
        <f>IF(InventarioProductos[[#This Row],[Existencias]]&lt;InventarioProductos[[#This Row],[Umbral]],"SI","NO")</f>
        <v>SI</v>
      </c>
    </row>
    <row r="8" spans="1:4">
      <c r="A8" s="18" t="s">
        <v>156</v>
      </c>
      <c r="B8" s="52">
        <v>3</v>
      </c>
      <c r="C8" s="53">
        <v>2</v>
      </c>
      <c r="D8" s="59" t="str">
        <f>IF(InventarioProductos[[#This Row],[Existencias]]&lt;InventarioProductos[[#This Row],[Umbral]],"SI","NO")</f>
        <v>NO</v>
      </c>
    </row>
    <row r="9" spans="1:4">
      <c r="A9" s="18" t="s">
        <v>158</v>
      </c>
      <c r="B9" s="52">
        <v>2</v>
      </c>
      <c r="C9" s="53">
        <v>2</v>
      </c>
      <c r="D9" s="59" t="str">
        <f>IF(InventarioProductos[[#This Row],[Existencias]]&lt;InventarioProductos[[#This Row],[Umbral]],"SI","NO")</f>
        <v>NO</v>
      </c>
    </row>
    <row r="10" spans="1:4">
      <c r="A10" s="18" t="s">
        <v>162</v>
      </c>
      <c r="B10" s="52">
        <v>0</v>
      </c>
      <c r="C10" s="53">
        <v>2</v>
      </c>
      <c r="D10" s="59" t="str">
        <f>IF(InventarioProductos[[#This Row],[Existencias]]&lt;InventarioProductos[[#This Row],[Umbral]],"SI","NO")</f>
        <v>SI</v>
      </c>
    </row>
    <row r="11" spans="1:4">
      <c r="A11" s="18" t="s">
        <v>164</v>
      </c>
      <c r="B11" s="52">
        <v>2</v>
      </c>
      <c r="C11" s="53">
        <v>2</v>
      </c>
      <c r="D11" s="59" t="str">
        <f>IF(InventarioProductos[[#This Row],[Existencias]]&lt;InventarioProductos[[#This Row],[Umbral]],"SI","NO")</f>
        <v>NO</v>
      </c>
    </row>
    <row r="12" spans="1:4">
      <c r="A12" s="18" t="s">
        <v>715</v>
      </c>
      <c r="B12" s="52">
        <v>1</v>
      </c>
      <c r="C12" s="53">
        <v>2</v>
      </c>
      <c r="D12" s="59" t="str">
        <f>IF(InventarioProductos[[#This Row],[Existencias]]&lt;InventarioProductos[[#This Row],[Umbral]],"SI","NO")</f>
        <v>SI</v>
      </c>
    </row>
    <row r="13" spans="1:4">
      <c r="A13" s="18" t="s">
        <v>176</v>
      </c>
      <c r="B13" s="52">
        <v>2000</v>
      </c>
      <c r="C13" s="53">
        <v>4000</v>
      </c>
      <c r="D13" s="59" t="str">
        <f>IF(InventarioProductos[[#This Row],[Existencias]]&lt;InventarioProductos[[#This Row],[Umbral]],"SI","NO")</f>
        <v>SI</v>
      </c>
    </row>
    <row r="14" spans="1:4">
      <c r="A14" s="18" t="s">
        <v>178</v>
      </c>
      <c r="B14" s="52">
        <v>1</v>
      </c>
      <c r="C14" s="53">
        <v>2</v>
      </c>
      <c r="D14" s="59" t="str">
        <f>IF(InventarioProductos[[#This Row],[Existencias]]&lt;InventarioProductos[[#This Row],[Umbral]],"SI","NO")</f>
        <v>SI</v>
      </c>
    </row>
    <row r="15" spans="1:4">
      <c r="A15" s="18" t="s">
        <v>180</v>
      </c>
      <c r="B15" s="52">
        <v>2</v>
      </c>
      <c r="C15" s="53">
        <v>2</v>
      </c>
      <c r="D15" s="59" t="str">
        <f>IF(InventarioProductos[[#This Row],[Existencias]]&lt;InventarioProductos[[#This Row],[Umbral]],"SI","NO")</f>
        <v>NO</v>
      </c>
    </row>
    <row r="16" spans="1:4">
      <c r="A16" s="18" t="s">
        <v>182</v>
      </c>
      <c r="B16" s="52">
        <v>2</v>
      </c>
      <c r="C16" s="53">
        <v>2</v>
      </c>
      <c r="D16" s="59" t="str">
        <f>IF(InventarioProductos[[#This Row],[Existencias]]&lt;InventarioProductos[[#This Row],[Umbral]],"SI","NO")</f>
        <v>NO</v>
      </c>
    </row>
    <row r="17" spans="1:4">
      <c r="A17" s="18" t="s">
        <v>184</v>
      </c>
      <c r="B17" s="52">
        <v>2</v>
      </c>
      <c r="C17" s="53">
        <v>2</v>
      </c>
      <c r="D17" s="59" t="str">
        <f>IF(InventarioProductos[[#This Row],[Existencias]]&lt;InventarioProductos[[#This Row],[Umbral]],"SI","NO")</f>
        <v>NO</v>
      </c>
    </row>
    <row r="18" spans="1:4">
      <c r="A18" s="18" t="s">
        <v>186</v>
      </c>
      <c r="B18" s="52">
        <v>2</v>
      </c>
      <c r="C18" s="53">
        <v>2</v>
      </c>
      <c r="D18" s="59" t="str">
        <f>IF(InventarioProductos[[#This Row],[Existencias]]&lt;InventarioProductos[[#This Row],[Umbral]],"SI","NO")</f>
        <v>NO</v>
      </c>
    </row>
    <row r="19" spans="1:4">
      <c r="A19" s="18" t="s">
        <v>188</v>
      </c>
      <c r="B19" s="52">
        <v>2</v>
      </c>
      <c r="C19" s="53">
        <v>2</v>
      </c>
      <c r="D19" s="59" t="str">
        <f>IF(InventarioProductos[[#This Row],[Existencias]]&lt;InventarioProductos[[#This Row],[Umbral]],"SI","NO")</f>
        <v>NO</v>
      </c>
    </row>
    <row r="20" spans="1:4">
      <c r="A20" s="18" t="s">
        <v>190</v>
      </c>
      <c r="B20" s="52">
        <v>2000</v>
      </c>
      <c r="C20" s="53">
        <v>2000</v>
      </c>
      <c r="D20" s="59" t="str">
        <f>IF(InventarioProductos[[#This Row],[Existencias]]&lt;InventarioProductos[[#This Row],[Umbral]],"SI","NO")</f>
        <v>NO</v>
      </c>
    </row>
    <row r="21" spans="1:4">
      <c r="A21" s="18" t="s">
        <v>192</v>
      </c>
      <c r="B21" s="52">
        <v>2</v>
      </c>
      <c r="C21" s="53">
        <v>2</v>
      </c>
      <c r="D21" s="59" t="str">
        <f>IF(InventarioProductos[[#This Row],[Existencias]]&lt;InventarioProductos[[#This Row],[Umbral]],"SI","NO")</f>
        <v>NO</v>
      </c>
    </row>
    <row r="22" spans="1:4">
      <c r="A22" s="18" t="s">
        <v>194</v>
      </c>
      <c r="B22" s="52">
        <v>2</v>
      </c>
      <c r="C22" s="53">
        <v>2</v>
      </c>
      <c r="D22" s="59" t="str">
        <f>IF(InventarioProductos[[#This Row],[Existencias]]&lt;InventarioProductos[[#This Row],[Umbral]],"SI","NO")</f>
        <v>NO</v>
      </c>
    </row>
    <row r="23" spans="1:4">
      <c r="A23" s="18" t="s">
        <v>196</v>
      </c>
      <c r="B23" s="52">
        <v>2</v>
      </c>
      <c r="C23" s="53">
        <v>2</v>
      </c>
      <c r="D23" s="59" t="str">
        <f>IF(InventarioProductos[[#This Row],[Existencias]]&lt;InventarioProductos[[#This Row],[Umbral]],"SI","NO")</f>
        <v>NO</v>
      </c>
    </row>
    <row r="24" spans="1:4">
      <c r="A24" s="18" t="s">
        <v>198</v>
      </c>
      <c r="B24" s="52">
        <v>2</v>
      </c>
      <c r="C24" s="53">
        <v>2</v>
      </c>
      <c r="D24" s="59" t="str">
        <f>IF(InventarioProductos[[#This Row],[Existencias]]&lt;InventarioProductos[[#This Row],[Umbral]],"SI","NO")</f>
        <v>NO</v>
      </c>
    </row>
    <row r="25" spans="1:4">
      <c r="A25" s="18" t="s">
        <v>200</v>
      </c>
      <c r="B25" s="52">
        <v>2</v>
      </c>
      <c r="C25" s="53">
        <v>2</v>
      </c>
      <c r="D25" s="59" t="str">
        <f>IF(InventarioProductos[[#This Row],[Existencias]]&lt;InventarioProductos[[#This Row],[Umbral]],"SI","NO")</f>
        <v>NO</v>
      </c>
    </row>
    <row r="26" spans="1:4">
      <c r="A26" s="18" t="s">
        <v>202</v>
      </c>
      <c r="B26" s="52">
        <v>2</v>
      </c>
      <c r="C26" s="53">
        <v>2</v>
      </c>
      <c r="D26" s="59" t="str">
        <f>IF(InventarioProductos[[#This Row],[Existencias]]&lt;InventarioProductos[[#This Row],[Umbral]],"SI","NO")</f>
        <v>NO</v>
      </c>
    </row>
    <row r="27" spans="1:4">
      <c r="A27" s="18" t="s">
        <v>204</v>
      </c>
      <c r="B27" s="52">
        <v>2</v>
      </c>
      <c r="C27" s="53">
        <v>2</v>
      </c>
      <c r="D27" s="59" t="str">
        <f>IF(InventarioProductos[[#This Row],[Existencias]]&lt;InventarioProductos[[#This Row],[Umbral]],"SI","NO")</f>
        <v>NO</v>
      </c>
    </row>
    <row r="28" spans="1:4">
      <c r="A28" s="18" t="s">
        <v>206</v>
      </c>
      <c r="B28" s="52">
        <v>2</v>
      </c>
      <c r="C28" s="53">
        <v>2</v>
      </c>
      <c r="D28" s="59" t="str">
        <f>IF(InventarioProductos[[#This Row],[Existencias]]&lt;InventarioProductos[[#This Row],[Umbral]],"SI","NO")</f>
        <v>NO</v>
      </c>
    </row>
    <row r="29" spans="1:4">
      <c r="A29" s="18" t="s">
        <v>208</v>
      </c>
      <c r="B29" s="52">
        <v>2</v>
      </c>
      <c r="C29" s="53">
        <v>2</v>
      </c>
      <c r="D29" s="59" t="str">
        <f>IF(InventarioProductos[[#This Row],[Existencias]]&lt;InventarioProductos[[#This Row],[Umbral]],"SI","NO")</f>
        <v>NO</v>
      </c>
    </row>
    <row r="30" spans="1:4">
      <c r="A30" s="18" t="s">
        <v>210</v>
      </c>
      <c r="B30" s="52">
        <v>2</v>
      </c>
      <c r="C30" s="53">
        <v>2</v>
      </c>
      <c r="D30" s="59" t="str">
        <f>IF(InventarioProductos[[#This Row],[Existencias]]&lt;InventarioProductos[[#This Row],[Umbral]],"SI","NO")</f>
        <v>NO</v>
      </c>
    </row>
    <row r="31" spans="1:4">
      <c r="A31" s="18" t="s">
        <v>212</v>
      </c>
      <c r="B31" s="52">
        <v>2</v>
      </c>
      <c r="C31" s="53">
        <v>2</v>
      </c>
      <c r="D31" s="59" t="str">
        <f>IF(InventarioProductos[[#This Row],[Existencias]]&lt;InventarioProductos[[#This Row],[Umbral]],"SI","NO")</f>
        <v>NO</v>
      </c>
    </row>
    <row r="32" spans="1:4">
      <c r="A32" s="18" t="s">
        <v>214</v>
      </c>
      <c r="B32" s="52">
        <v>2</v>
      </c>
      <c r="C32" s="53">
        <v>2</v>
      </c>
      <c r="D32" s="59" t="str">
        <f>IF(InventarioProductos[[#This Row],[Existencias]]&lt;InventarioProductos[[#This Row],[Umbral]],"SI","NO")</f>
        <v>NO</v>
      </c>
    </row>
    <row r="33" spans="1:4">
      <c r="A33" s="18" t="s">
        <v>216</v>
      </c>
      <c r="B33" s="52">
        <v>2</v>
      </c>
      <c r="C33" s="53">
        <v>2</v>
      </c>
      <c r="D33" s="59" t="str">
        <f>IF(InventarioProductos[[#This Row],[Existencias]]&lt;InventarioProductos[[#This Row],[Umbral]],"SI","NO")</f>
        <v>NO</v>
      </c>
    </row>
    <row r="34" spans="1:4">
      <c r="A34" s="18" t="s">
        <v>218</v>
      </c>
      <c r="B34" s="52">
        <v>2</v>
      </c>
      <c r="C34" s="53">
        <v>2</v>
      </c>
      <c r="D34" s="59" t="str">
        <f>IF(InventarioProductos[[#This Row],[Existencias]]&lt;InventarioProductos[[#This Row],[Umbral]],"SI","NO")</f>
        <v>NO</v>
      </c>
    </row>
    <row r="35" spans="1:4">
      <c r="A35" s="18" t="s">
        <v>220</v>
      </c>
      <c r="B35" s="52">
        <v>2</v>
      </c>
      <c r="C35" s="53">
        <v>2</v>
      </c>
      <c r="D35" s="59" t="str">
        <f>IF(InventarioProductos[[#This Row],[Existencias]]&lt;InventarioProductos[[#This Row],[Umbral]],"SI","NO")</f>
        <v>NO</v>
      </c>
    </row>
    <row r="36" spans="1:4">
      <c r="A36" s="18" t="s">
        <v>222</v>
      </c>
      <c r="B36" s="52">
        <v>2</v>
      </c>
      <c r="C36" s="53">
        <v>2</v>
      </c>
      <c r="D36" s="59" t="str">
        <f>IF(InventarioProductos[[#This Row],[Existencias]]&lt;InventarioProductos[[#This Row],[Umbral]],"SI","NO")</f>
        <v>NO</v>
      </c>
    </row>
    <row r="37" spans="1:4">
      <c r="A37" s="18" t="s">
        <v>224</v>
      </c>
      <c r="B37" s="52">
        <v>2</v>
      </c>
      <c r="C37" s="53">
        <v>2</v>
      </c>
      <c r="D37" s="59" t="str">
        <f>IF(InventarioProductos[[#This Row],[Existencias]]&lt;InventarioProductos[[#This Row],[Umbral]],"SI","NO")</f>
        <v>NO</v>
      </c>
    </row>
    <row r="38" spans="1:4">
      <c r="A38" s="18" t="s">
        <v>226</v>
      </c>
      <c r="B38" s="52">
        <v>2</v>
      </c>
      <c r="C38" s="53">
        <v>2</v>
      </c>
      <c r="D38" s="59" t="str">
        <f>IF(InventarioProductos[[#This Row],[Existencias]]&lt;InventarioProductos[[#This Row],[Umbral]],"SI","NO")</f>
        <v>NO</v>
      </c>
    </row>
    <row r="39" spans="1:4">
      <c r="A39" s="18" t="s">
        <v>228</v>
      </c>
      <c r="B39" s="52">
        <v>2</v>
      </c>
      <c r="C39" s="53">
        <v>2</v>
      </c>
      <c r="D39" s="59" t="str">
        <f>IF(InventarioProductos[[#This Row],[Existencias]]&lt;InventarioProductos[[#This Row],[Umbral]],"SI","NO")</f>
        <v>NO</v>
      </c>
    </row>
    <row r="40" spans="1:4">
      <c r="A40" s="18" t="s">
        <v>230</v>
      </c>
      <c r="B40" s="52">
        <v>2</v>
      </c>
      <c r="C40" s="53">
        <v>2</v>
      </c>
      <c r="D40" s="59" t="str">
        <f>IF(InventarioProductos[[#This Row],[Existencias]]&lt;InventarioProductos[[#This Row],[Umbral]],"SI","NO")</f>
        <v>NO</v>
      </c>
    </row>
    <row r="41" spans="1:4">
      <c r="A41" s="18" t="s">
        <v>232</v>
      </c>
      <c r="B41" s="52">
        <v>2</v>
      </c>
      <c r="C41" s="53">
        <v>2</v>
      </c>
      <c r="D41" s="59" t="str">
        <f>IF(InventarioProductos[[#This Row],[Existencias]]&lt;InventarioProductos[[#This Row],[Umbral]],"SI","NO")</f>
        <v>NO</v>
      </c>
    </row>
    <row r="42" spans="1:4">
      <c r="A42" s="18" t="s">
        <v>338</v>
      </c>
      <c r="B42" s="52">
        <v>2</v>
      </c>
      <c r="C42" s="53">
        <v>2</v>
      </c>
      <c r="D42" s="59" t="str">
        <f>IF(InventarioProductos[[#This Row],[Existencias]]&lt;InventarioProductos[[#This Row],[Umbral]],"SI","NO")</f>
        <v>NO</v>
      </c>
    </row>
    <row r="43" spans="1:4">
      <c r="A43" s="18" t="s">
        <v>234</v>
      </c>
      <c r="B43" s="52">
        <v>2</v>
      </c>
      <c r="C43" s="53">
        <v>2</v>
      </c>
      <c r="D43" s="59" t="str">
        <f>IF(InventarioProductos[[#This Row],[Existencias]]&lt;InventarioProductos[[#This Row],[Umbral]],"SI","NO")</f>
        <v>NO</v>
      </c>
    </row>
    <row r="44" spans="1:4">
      <c r="A44" s="18" t="s">
        <v>236</v>
      </c>
      <c r="B44" s="52">
        <v>2</v>
      </c>
      <c r="C44" s="53">
        <v>2</v>
      </c>
      <c r="D44" s="59" t="str">
        <f>IF(InventarioProductos[[#This Row],[Existencias]]&lt;InventarioProductos[[#This Row],[Umbral]],"SI","NO")</f>
        <v>NO</v>
      </c>
    </row>
    <row r="45" spans="1:4">
      <c r="A45" s="18" t="s">
        <v>240</v>
      </c>
      <c r="B45" s="52">
        <v>2</v>
      </c>
      <c r="C45" s="53">
        <v>2</v>
      </c>
      <c r="D45" s="59" t="str">
        <f>IF(InventarioProductos[[#This Row],[Existencias]]&lt;InventarioProductos[[#This Row],[Umbral]],"SI","NO")</f>
        <v>NO</v>
      </c>
    </row>
    <row r="46" spans="1:4">
      <c r="A46" s="18" t="s">
        <v>242</v>
      </c>
      <c r="B46" s="52">
        <v>2</v>
      </c>
      <c r="C46" s="53">
        <v>2</v>
      </c>
      <c r="D46" s="59" t="str">
        <f>IF(InventarioProductos[[#This Row],[Existencias]]&lt;InventarioProductos[[#This Row],[Umbral]],"SI","NO")</f>
        <v>NO</v>
      </c>
    </row>
    <row r="47" spans="1:4">
      <c r="A47" s="18" t="s">
        <v>244</v>
      </c>
      <c r="B47" s="52">
        <v>2</v>
      </c>
      <c r="C47" s="53">
        <v>1</v>
      </c>
      <c r="D47" s="59" t="str">
        <f>IF(InventarioProductos[[#This Row],[Existencias]]&lt;InventarioProductos[[#This Row],[Umbral]],"SI","NO")</f>
        <v>NO</v>
      </c>
    </row>
    <row r="48" spans="1:4">
      <c r="A48" s="18" t="s">
        <v>246</v>
      </c>
      <c r="B48" s="52">
        <v>1</v>
      </c>
      <c r="C48" s="53">
        <v>1</v>
      </c>
      <c r="D48" s="59" t="str">
        <f>IF(InventarioProductos[[#This Row],[Existencias]]&lt;InventarioProductos[[#This Row],[Umbral]],"SI","NO")</f>
        <v>NO</v>
      </c>
    </row>
    <row r="49" spans="1:4">
      <c r="A49" s="18" t="s">
        <v>248</v>
      </c>
      <c r="B49" s="52">
        <v>0</v>
      </c>
      <c r="C49" s="53">
        <v>2</v>
      </c>
      <c r="D49" s="59" t="str">
        <f>IF(InventarioProductos[[#This Row],[Existencias]]&lt;InventarioProductos[[#This Row],[Umbral]],"SI","NO")</f>
        <v>SI</v>
      </c>
    </row>
    <row r="50" spans="1:4">
      <c r="A50" s="18" t="s">
        <v>250</v>
      </c>
      <c r="B50" s="52">
        <v>4</v>
      </c>
      <c r="C50" s="53">
        <v>2</v>
      </c>
      <c r="D50" s="59" t="str">
        <f>IF(InventarioProductos[[#This Row],[Existencias]]&lt;InventarioProductos[[#This Row],[Umbral]],"SI","NO")</f>
        <v>NO</v>
      </c>
    </row>
    <row r="51" spans="1:4">
      <c r="A51" s="18" t="s">
        <v>252</v>
      </c>
      <c r="B51" s="52">
        <v>19</v>
      </c>
      <c r="C51" s="53">
        <v>6</v>
      </c>
      <c r="D51" s="59" t="str">
        <f>IF(InventarioProductos[[#This Row],[Existencias]]&lt;InventarioProductos[[#This Row],[Umbral]],"SI","NO")</f>
        <v>NO</v>
      </c>
    </row>
    <row r="52" spans="1:4">
      <c r="A52" s="18" t="s">
        <v>254</v>
      </c>
      <c r="B52" s="52">
        <v>13</v>
      </c>
      <c r="C52" s="53">
        <v>4</v>
      </c>
      <c r="D52" s="59" t="str">
        <f>IF(InventarioProductos[[#This Row],[Existencias]]&lt;InventarioProductos[[#This Row],[Umbral]],"SI","NO")</f>
        <v>NO</v>
      </c>
    </row>
    <row r="53" spans="1:4">
      <c r="A53" s="18" t="s">
        <v>256</v>
      </c>
      <c r="B53" s="52">
        <v>20000</v>
      </c>
      <c r="C53" s="53">
        <v>10000</v>
      </c>
      <c r="D53" s="59" t="str">
        <f>IF(InventarioProductos[[#This Row],[Existencias]]&lt;InventarioProductos[[#This Row],[Umbral]],"SI","NO")</f>
        <v>NO</v>
      </c>
    </row>
    <row r="54" spans="1:4">
      <c r="A54" s="18" t="s">
        <v>258</v>
      </c>
      <c r="B54" s="52">
        <v>2</v>
      </c>
      <c r="C54" s="53">
        <v>2</v>
      </c>
      <c r="D54" s="59" t="str">
        <f>IF(InventarioProductos[[#This Row],[Existencias]]&lt;InventarioProductos[[#This Row],[Umbral]],"SI","NO")</f>
        <v>NO</v>
      </c>
    </row>
    <row r="55" spans="1:4">
      <c r="A55" s="18" t="s">
        <v>260</v>
      </c>
      <c r="B55" s="52">
        <v>2</v>
      </c>
      <c r="C55" s="53">
        <v>2</v>
      </c>
      <c r="D55" s="59" t="str">
        <f>IF(InventarioProductos[[#This Row],[Existencias]]&lt;InventarioProductos[[#This Row],[Umbral]],"SI","NO")</f>
        <v>NO</v>
      </c>
    </row>
    <row r="56" spans="1:4">
      <c r="A56" s="18" t="s">
        <v>262</v>
      </c>
      <c r="B56" s="52">
        <v>2</v>
      </c>
      <c r="C56" s="53">
        <v>2</v>
      </c>
      <c r="D56" s="59" t="str">
        <f>IF(InventarioProductos[[#This Row],[Existencias]]&lt;InventarioProductos[[#This Row],[Umbral]],"SI","NO")</f>
        <v>NO</v>
      </c>
    </row>
    <row r="57" spans="1:4">
      <c r="A57" s="18" t="s">
        <v>264</v>
      </c>
      <c r="B57" s="52">
        <v>2</v>
      </c>
      <c r="C57" s="53">
        <v>2</v>
      </c>
      <c r="D57" s="59" t="str">
        <f>IF(InventarioProductos[[#This Row],[Existencias]]&lt;InventarioProductos[[#This Row],[Umbral]],"SI","NO")</f>
        <v>NO</v>
      </c>
    </row>
    <row r="58" spans="1:4">
      <c r="A58" s="18" t="s">
        <v>266</v>
      </c>
      <c r="B58" s="52">
        <v>2</v>
      </c>
      <c r="C58" s="53">
        <v>2</v>
      </c>
      <c r="D58" s="59" t="str">
        <f>IF(InventarioProductos[[#This Row],[Existencias]]&lt;InventarioProductos[[#This Row],[Umbral]],"SI","NO")</f>
        <v>NO</v>
      </c>
    </row>
    <row r="59" spans="1:4">
      <c r="A59" s="18" t="s">
        <v>268</v>
      </c>
      <c r="B59" s="52">
        <v>2</v>
      </c>
      <c r="C59" s="53">
        <v>2</v>
      </c>
      <c r="D59" s="59" t="str">
        <f>IF(InventarioProductos[[#This Row],[Existencias]]&lt;InventarioProductos[[#This Row],[Umbral]],"SI","NO")</f>
        <v>NO</v>
      </c>
    </row>
    <row r="60" spans="1:4">
      <c r="A60" s="18" t="s">
        <v>270</v>
      </c>
      <c r="B60" s="52">
        <v>2</v>
      </c>
      <c r="C60" s="53">
        <v>2</v>
      </c>
      <c r="D60" s="59" t="str">
        <f>IF(InventarioProductos[[#This Row],[Existencias]]&lt;InventarioProductos[[#This Row],[Umbral]],"SI","NO")</f>
        <v>NO</v>
      </c>
    </row>
    <row r="61" spans="1:4">
      <c r="A61" s="18" t="s">
        <v>274</v>
      </c>
      <c r="B61" s="52">
        <v>2</v>
      </c>
      <c r="C61" s="53">
        <v>2</v>
      </c>
      <c r="D61" s="59" t="str">
        <f>IF(InventarioProductos[[#This Row],[Existencias]]&lt;InventarioProductos[[#This Row],[Umbral]],"SI","NO")</f>
        <v>NO</v>
      </c>
    </row>
    <row r="62" spans="1:4">
      <c r="A62" s="18" t="s">
        <v>276</v>
      </c>
      <c r="B62" s="52">
        <v>2</v>
      </c>
      <c r="C62" s="53">
        <v>2</v>
      </c>
      <c r="D62" s="59" t="str">
        <f>IF(InventarioProductos[[#This Row],[Existencias]]&lt;InventarioProductos[[#This Row],[Umbral]],"SI","NO")</f>
        <v>NO</v>
      </c>
    </row>
    <row r="63" spans="1:4">
      <c r="A63" s="18" t="s">
        <v>278</v>
      </c>
      <c r="B63" s="52">
        <v>2</v>
      </c>
      <c r="C63" s="53">
        <v>2</v>
      </c>
      <c r="D63" s="59" t="str">
        <f>IF(InventarioProductos[[#This Row],[Existencias]]&lt;InventarioProductos[[#This Row],[Umbral]],"SI","NO")</f>
        <v>NO</v>
      </c>
    </row>
    <row r="64" spans="1:4">
      <c r="A64" s="18" t="s">
        <v>280</v>
      </c>
      <c r="B64" s="52">
        <v>2</v>
      </c>
      <c r="C64" s="53">
        <v>2</v>
      </c>
      <c r="D64" s="59" t="str">
        <f>IF(InventarioProductos[[#This Row],[Existencias]]&lt;InventarioProductos[[#This Row],[Umbral]],"SI","NO")</f>
        <v>NO</v>
      </c>
    </row>
    <row r="65" spans="1:4">
      <c r="A65" s="18" t="s">
        <v>282</v>
      </c>
      <c r="B65" s="52">
        <v>2</v>
      </c>
      <c r="C65" s="53">
        <v>2</v>
      </c>
      <c r="D65" s="59" t="str">
        <f>IF(InventarioProductos[[#This Row],[Existencias]]&lt;InventarioProductos[[#This Row],[Umbral]],"SI","NO")</f>
        <v>NO</v>
      </c>
    </row>
    <row r="66" spans="1:4">
      <c r="A66" s="18" t="s">
        <v>284</v>
      </c>
      <c r="B66" s="52">
        <v>2</v>
      </c>
      <c r="C66" s="53">
        <v>2</v>
      </c>
      <c r="D66" s="59" t="str">
        <f>IF(InventarioProductos[[#This Row],[Existencias]]&lt;InventarioProductos[[#This Row],[Umbral]],"SI","NO")</f>
        <v>NO</v>
      </c>
    </row>
    <row r="67" spans="1:4">
      <c r="A67" s="18" t="s">
        <v>286</v>
      </c>
      <c r="B67" s="52">
        <v>2</v>
      </c>
      <c r="C67" s="53">
        <v>2</v>
      </c>
      <c r="D67" s="59" t="str">
        <f>IF(InventarioProductos[[#This Row],[Existencias]]&lt;InventarioProductos[[#This Row],[Umbral]],"SI","NO")</f>
        <v>NO</v>
      </c>
    </row>
    <row r="68" spans="1:4">
      <c r="A68" s="18" t="s">
        <v>288</v>
      </c>
      <c r="B68" s="52">
        <v>2</v>
      </c>
      <c r="C68" s="53">
        <v>2</v>
      </c>
      <c r="D68" s="59" t="str">
        <f>IF(InventarioProductos[[#This Row],[Existencias]]&lt;InventarioProductos[[#This Row],[Umbral]],"SI","NO")</f>
        <v>NO</v>
      </c>
    </row>
    <row r="69" spans="1:4">
      <c r="A69" s="18" t="s">
        <v>290</v>
      </c>
      <c r="B69" s="52">
        <v>2</v>
      </c>
      <c r="C69" s="53">
        <v>2</v>
      </c>
      <c r="D69" s="59" t="str">
        <f>IF(InventarioProductos[[#This Row],[Existencias]]&lt;InventarioProductos[[#This Row],[Umbral]],"SI","NO")</f>
        <v>NO</v>
      </c>
    </row>
    <row r="70" spans="1:4">
      <c r="A70" s="18" t="s">
        <v>292</v>
      </c>
      <c r="B70" s="52">
        <v>2</v>
      </c>
      <c r="C70" s="53">
        <v>2</v>
      </c>
      <c r="D70" s="59" t="str">
        <f>IF(InventarioProductos[[#This Row],[Existencias]]&lt;InventarioProductos[[#This Row],[Umbral]],"SI","NO")</f>
        <v>NO</v>
      </c>
    </row>
    <row r="71" spans="1:4">
      <c r="A71" s="18" t="s">
        <v>294</v>
      </c>
      <c r="B71" s="52">
        <v>2</v>
      </c>
      <c r="C71" s="53">
        <v>2</v>
      </c>
      <c r="D71" s="59" t="str">
        <f>IF(InventarioProductos[[#This Row],[Existencias]]&lt;InventarioProductos[[#This Row],[Umbral]],"SI","NO")</f>
        <v>NO</v>
      </c>
    </row>
    <row r="72" spans="1:4">
      <c r="A72" s="18" t="s">
        <v>296</v>
      </c>
      <c r="B72" s="52">
        <v>2</v>
      </c>
      <c r="C72" s="53">
        <v>2</v>
      </c>
      <c r="D72" s="59" t="str">
        <f>IF(InventarioProductos[[#This Row],[Existencias]]&lt;InventarioProductos[[#This Row],[Umbral]],"SI","NO")</f>
        <v>NO</v>
      </c>
    </row>
    <row r="73" spans="1:4">
      <c r="A73" s="18" t="s">
        <v>298</v>
      </c>
      <c r="B73" s="52">
        <v>2</v>
      </c>
      <c r="C73" s="53">
        <v>2</v>
      </c>
      <c r="D73" s="59" t="str">
        <f>IF(InventarioProductos[[#This Row],[Existencias]]&lt;InventarioProductos[[#This Row],[Umbral]],"SI","NO")</f>
        <v>NO</v>
      </c>
    </row>
    <row r="74" spans="1:4">
      <c r="A74" s="18" t="s">
        <v>300</v>
      </c>
      <c r="B74" s="52">
        <v>2</v>
      </c>
      <c r="C74" s="53">
        <v>2</v>
      </c>
      <c r="D74" s="59" t="str">
        <f>IF(InventarioProductos[[#This Row],[Existencias]]&lt;InventarioProductos[[#This Row],[Umbral]],"SI","NO")</f>
        <v>NO</v>
      </c>
    </row>
    <row r="75" spans="1:4">
      <c r="A75" s="18" t="s">
        <v>302</v>
      </c>
      <c r="B75" s="52">
        <v>2</v>
      </c>
      <c r="C75" s="53">
        <v>2</v>
      </c>
      <c r="D75" s="59" t="str">
        <f>IF(InventarioProductos[[#This Row],[Existencias]]&lt;InventarioProductos[[#This Row],[Umbral]],"SI","NO")</f>
        <v>NO</v>
      </c>
    </row>
    <row r="76" spans="1:4">
      <c r="A76" s="18" t="s">
        <v>304</v>
      </c>
      <c r="B76" s="52">
        <v>2</v>
      </c>
      <c r="C76" s="53">
        <v>2</v>
      </c>
      <c r="D76" s="59" t="str">
        <f>IF(InventarioProductos[[#This Row],[Existencias]]&lt;InventarioProductos[[#This Row],[Umbral]],"SI","NO")</f>
        <v>NO</v>
      </c>
    </row>
    <row r="77" spans="1:4">
      <c r="A77" s="18" t="s">
        <v>306</v>
      </c>
      <c r="B77" s="52">
        <v>2</v>
      </c>
      <c r="C77" s="53">
        <v>2</v>
      </c>
      <c r="D77" s="59" t="str">
        <f>IF(InventarioProductos[[#This Row],[Existencias]]&lt;InventarioProductos[[#This Row],[Umbral]],"SI","NO")</f>
        <v>NO</v>
      </c>
    </row>
    <row r="78" spans="1:4">
      <c r="A78" s="18" t="s">
        <v>308</v>
      </c>
      <c r="B78" s="52">
        <v>2</v>
      </c>
      <c r="C78" s="53">
        <v>2</v>
      </c>
      <c r="D78" s="59" t="str">
        <f>IF(InventarioProductos[[#This Row],[Existencias]]&lt;InventarioProductos[[#This Row],[Umbral]],"SI","NO")</f>
        <v>NO</v>
      </c>
    </row>
    <row r="79" spans="1:4">
      <c r="A79" s="18" t="s">
        <v>310</v>
      </c>
      <c r="B79" s="52">
        <v>2</v>
      </c>
      <c r="C79" s="53">
        <v>2</v>
      </c>
      <c r="D79" s="59" t="str">
        <f>IF(InventarioProductos[[#This Row],[Existencias]]&lt;InventarioProductos[[#This Row],[Umbral]],"SI","NO")</f>
        <v>NO</v>
      </c>
    </row>
    <row r="80" spans="1:4">
      <c r="A80" s="18" t="s">
        <v>312</v>
      </c>
      <c r="B80" s="52">
        <v>2</v>
      </c>
      <c r="C80" s="53">
        <v>2</v>
      </c>
      <c r="D80" s="59" t="str">
        <f>IF(InventarioProductos[[#This Row],[Existencias]]&lt;InventarioProductos[[#This Row],[Umbral]],"SI","NO")</f>
        <v>NO</v>
      </c>
    </row>
    <row r="81" spans="1:4">
      <c r="A81" s="18" t="s">
        <v>314</v>
      </c>
      <c r="B81" s="52">
        <v>2</v>
      </c>
      <c r="C81" s="53">
        <v>2</v>
      </c>
      <c r="D81" s="59" t="str">
        <f>IF(InventarioProductos[[#This Row],[Existencias]]&lt;InventarioProductos[[#This Row],[Umbral]],"SI","NO")</f>
        <v>NO</v>
      </c>
    </row>
    <row r="82" spans="1:4">
      <c r="A82" s="18" t="s">
        <v>316</v>
      </c>
      <c r="B82" s="52">
        <v>2</v>
      </c>
      <c r="C82" s="53">
        <v>2</v>
      </c>
      <c r="D82" s="59" t="str">
        <f>IF(InventarioProductos[[#This Row],[Existencias]]&lt;InventarioProductos[[#This Row],[Umbral]],"SI","NO")</f>
        <v>NO</v>
      </c>
    </row>
    <row r="83" spans="1:4">
      <c r="A83" s="18" t="s">
        <v>318</v>
      </c>
      <c r="B83" s="52">
        <v>2</v>
      </c>
      <c r="C83" s="53">
        <v>2</v>
      </c>
      <c r="D83" s="59" t="str">
        <f>IF(InventarioProductos[[#This Row],[Existencias]]&lt;InventarioProductos[[#This Row],[Umbral]],"SI","NO")</f>
        <v>NO</v>
      </c>
    </row>
    <row r="84" spans="1:4">
      <c r="A84" s="18" t="s">
        <v>320</v>
      </c>
      <c r="B84" s="52">
        <v>2</v>
      </c>
      <c r="C84" s="53">
        <v>2</v>
      </c>
      <c r="D84" s="59" t="str">
        <f>IF(InventarioProductos[[#This Row],[Existencias]]&lt;InventarioProductos[[#This Row],[Umbral]],"SI","NO")</f>
        <v>NO</v>
      </c>
    </row>
    <row r="85" spans="1:4">
      <c r="A85" s="18" t="s">
        <v>322</v>
      </c>
      <c r="B85" s="52">
        <v>2</v>
      </c>
      <c r="C85" s="53">
        <v>2</v>
      </c>
      <c r="D85" s="59" t="str">
        <f>IF(InventarioProductos[[#This Row],[Existencias]]&lt;InventarioProductos[[#This Row],[Umbral]],"SI","NO")</f>
        <v>NO</v>
      </c>
    </row>
    <row r="86" spans="1:4">
      <c r="A86" s="18" t="s">
        <v>324</v>
      </c>
      <c r="B86" s="52">
        <v>2</v>
      </c>
      <c r="C86" s="53">
        <v>2</v>
      </c>
      <c r="D86" s="59" t="str">
        <f>IF(InventarioProductos[[#This Row],[Existencias]]&lt;InventarioProductos[[#This Row],[Umbral]],"SI","NO")</f>
        <v>NO</v>
      </c>
    </row>
    <row r="87" spans="1:4">
      <c r="A87" s="18" t="s">
        <v>326</v>
      </c>
      <c r="B87" s="52">
        <v>2</v>
      </c>
      <c r="C87" s="53">
        <v>2</v>
      </c>
      <c r="D87" s="59" t="str">
        <f>IF(InventarioProductos[[#This Row],[Existencias]]&lt;InventarioProductos[[#This Row],[Umbral]],"SI","NO")</f>
        <v>NO</v>
      </c>
    </row>
    <row r="88" spans="1:4">
      <c r="A88" s="18" t="s">
        <v>328</v>
      </c>
      <c r="B88" s="52">
        <v>2</v>
      </c>
      <c r="C88" s="53">
        <v>2</v>
      </c>
      <c r="D88" s="59" t="str">
        <f>IF(InventarioProductos[[#This Row],[Existencias]]&lt;InventarioProductos[[#This Row],[Umbral]],"SI","NO")</f>
        <v>NO</v>
      </c>
    </row>
    <row r="89" spans="1:4">
      <c r="A89" s="18" t="s">
        <v>330</v>
      </c>
      <c r="B89" s="52">
        <v>2</v>
      </c>
      <c r="C89" s="53">
        <v>2</v>
      </c>
      <c r="D89" s="59" t="str">
        <f>IF(InventarioProductos[[#This Row],[Existencias]]&lt;InventarioProductos[[#This Row],[Umbral]],"SI","NO")</f>
        <v>NO</v>
      </c>
    </row>
    <row r="90" spans="1:4">
      <c r="A90" s="18" t="s">
        <v>332</v>
      </c>
      <c r="B90" s="52">
        <v>2</v>
      </c>
      <c r="C90" s="53">
        <v>2</v>
      </c>
      <c r="D90" s="59" t="str">
        <f>IF(InventarioProductos[[#This Row],[Existencias]]&lt;InventarioProductos[[#This Row],[Umbral]],"SI","NO")</f>
        <v>NO</v>
      </c>
    </row>
    <row r="91" spans="1:4">
      <c r="A91" s="18" t="s">
        <v>334</v>
      </c>
      <c r="B91" s="52">
        <v>2</v>
      </c>
      <c r="C91" s="53">
        <v>2</v>
      </c>
      <c r="D91" s="59" t="str">
        <f>IF(InventarioProductos[[#This Row],[Existencias]]&lt;InventarioProductos[[#This Row],[Umbral]],"SI","NO")</f>
        <v>NO</v>
      </c>
    </row>
    <row r="92" spans="1:4">
      <c r="A92" s="18" t="s">
        <v>336</v>
      </c>
      <c r="B92" s="52">
        <v>2</v>
      </c>
      <c r="C92" s="53">
        <v>2</v>
      </c>
      <c r="D92" s="59" t="str">
        <f>IF(InventarioProductos[[#This Row],[Existencias]]&lt;InventarioProductos[[#This Row],[Umbral]],"SI","NO")</f>
        <v>NO</v>
      </c>
    </row>
    <row r="93" spans="1:4">
      <c r="A93" s="18" t="s">
        <v>340</v>
      </c>
      <c r="B93" s="52">
        <v>2</v>
      </c>
      <c r="C93" s="53">
        <v>2</v>
      </c>
      <c r="D93" s="59" t="str">
        <f>IF(InventarioProductos[[#This Row],[Existencias]]&lt;InventarioProductos[[#This Row],[Umbral]],"SI","NO")</f>
        <v>NO</v>
      </c>
    </row>
    <row r="94" spans="1:4">
      <c r="A94" s="18" t="s">
        <v>342</v>
      </c>
      <c r="B94" s="52">
        <v>2</v>
      </c>
      <c r="C94" s="53">
        <v>2</v>
      </c>
      <c r="D94" s="59" t="str">
        <f>IF(InventarioProductos[[#This Row],[Existencias]]&lt;InventarioProductos[[#This Row],[Umbral]],"SI","NO")</f>
        <v>NO</v>
      </c>
    </row>
    <row r="95" spans="1:4">
      <c r="A95" s="18" t="s">
        <v>344</v>
      </c>
      <c r="B95" s="52">
        <v>2</v>
      </c>
      <c r="C95" s="53">
        <v>2</v>
      </c>
      <c r="D95" s="59" t="str">
        <f>IF(InventarioProductos[[#This Row],[Existencias]]&lt;InventarioProductos[[#This Row],[Umbral]],"SI","NO")</f>
        <v>NO</v>
      </c>
    </row>
    <row r="96" spans="1:4">
      <c r="A96" s="18" t="s">
        <v>346</v>
      </c>
      <c r="B96" s="52">
        <v>2</v>
      </c>
      <c r="C96" s="53">
        <v>2</v>
      </c>
      <c r="D96" s="59" t="str">
        <f>IF(InventarioProductos[[#This Row],[Existencias]]&lt;InventarioProductos[[#This Row],[Umbral]],"SI","NO")</f>
        <v>NO</v>
      </c>
    </row>
    <row r="97" spans="1:4">
      <c r="A97" s="18" t="s">
        <v>348</v>
      </c>
      <c r="B97" s="52">
        <v>2</v>
      </c>
      <c r="C97" s="53">
        <v>2</v>
      </c>
      <c r="D97" s="59" t="str">
        <f>IF(InventarioProductos[[#This Row],[Existencias]]&lt;InventarioProductos[[#This Row],[Umbral]],"SI","NO")</f>
        <v>NO</v>
      </c>
    </row>
    <row r="98" spans="1:4">
      <c r="A98" s="18" t="s">
        <v>350</v>
      </c>
      <c r="B98" s="52">
        <v>2</v>
      </c>
      <c r="C98" s="53">
        <v>2</v>
      </c>
      <c r="D98" s="59" t="str">
        <f>IF(InventarioProductos[[#This Row],[Existencias]]&lt;InventarioProductos[[#This Row],[Umbral]],"SI","NO")</f>
        <v>NO</v>
      </c>
    </row>
    <row r="99" spans="1:4">
      <c r="A99" s="18" t="s">
        <v>352</v>
      </c>
      <c r="B99" s="52">
        <v>2</v>
      </c>
      <c r="C99" s="53">
        <v>2</v>
      </c>
      <c r="D99" s="59" t="str">
        <f>IF(InventarioProductos[[#This Row],[Existencias]]&lt;InventarioProductos[[#This Row],[Umbral]],"SI","NO")</f>
        <v>NO</v>
      </c>
    </row>
    <row r="100" spans="1:4">
      <c r="A100" s="18" t="s">
        <v>354</v>
      </c>
      <c r="B100" s="52">
        <v>2</v>
      </c>
      <c r="C100" s="53">
        <v>2</v>
      </c>
      <c r="D100" s="59" t="str">
        <f>IF(InventarioProductos[[#This Row],[Existencias]]&lt;InventarioProductos[[#This Row],[Umbral]],"SI","NO")</f>
        <v>NO</v>
      </c>
    </row>
    <row r="101" spans="1:4">
      <c r="A101" s="18" t="s">
        <v>356</v>
      </c>
      <c r="B101" s="52">
        <v>2</v>
      </c>
      <c r="C101" s="53">
        <v>2</v>
      </c>
      <c r="D101" s="59" t="str">
        <f>IF(InventarioProductos[[#This Row],[Existencias]]&lt;InventarioProductos[[#This Row],[Umbral]],"SI","NO")</f>
        <v>NO</v>
      </c>
    </row>
    <row r="102" spans="1:4">
      <c r="A102" s="18" t="s">
        <v>358</v>
      </c>
      <c r="B102" s="52">
        <v>2</v>
      </c>
      <c r="C102" s="53">
        <v>2</v>
      </c>
      <c r="D102" s="59" t="str">
        <f>IF(InventarioProductos[[#This Row],[Existencias]]&lt;InventarioProductos[[#This Row],[Umbral]],"SI","NO")</f>
        <v>NO</v>
      </c>
    </row>
    <row r="103" spans="1:4">
      <c r="A103" s="18" t="s">
        <v>360</v>
      </c>
      <c r="B103" s="52">
        <v>2</v>
      </c>
      <c r="C103" s="53">
        <v>2</v>
      </c>
      <c r="D103" s="59" t="str">
        <f>IF(InventarioProductos[[#This Row],[Existencias]]&lt;InventarioProductos[[#This Row],[Umbral]],"SI","NO")</f>
        <v>NO</v>
      </c>
    </row>
    <row r="104" spans="1:4">
      <c r="A104" s="18" t="s">
        <v>362</v>
      </c>
      <c r="B104" s="52">
        <v>2</v>
      </c>
      <c r="C104" s="53">
        <v>2</v>
      </c>
      <c r="D104" s="59" t="str">
        <f>IF(InventarioProductos[[#This Row],[Existencias]]&lt;InventarioProductos[[#This Row],[Umbral]],"SI","NO")</f>
        <v>NO</v>
      </c>
    </row>
    <row r="105" spans="1:4">
      <c r="A105" s="18" t="s">
        <v>364</v>
      </c>
      <c r="B105" s="52">
        <v>2</v>
      </c>
      <c r="C105" s="53">
        <v>2</v>
      </c>
      <c r="D105" s="59" t="str">
        <f>IF(InventarioProductos[[#This Row],[Existencias]]&lt;InventarioProductos[[#This Row],[Umbral]],"SI","NO")</f>
        <v>NO</v>
      </c>
    </row>
    <row r="106" spans="1:4">
      <c r="A106" s="18" t="s">
        <v>366</v>
      </c>
      <c r="B106" s="52">
        <v>2</v>
      </c>
      <c r="C106" s="53">
        <v>2</v>
      </c>
      <c r="D106" s="59" t="str">
        <f>IF(InventarioProductos[[#This Row],[Existencias]]&lt;InventarioProductos[[#This Row],[Umbral]],"SI","NO")</f>
        <v>NO</v>
      </c>
    </row>
    <row r="107" spans="1:4">
      <c r="A107" s="18" t="s">
        <v>368</v>
      </c>
      <c r="B107" s="52">
        <v>2</v>
      </c>
      <c r="C107" s="53">
        <v>2</v>
      </c>
      <c r="D107" s="59" t="str">
        <f>IF(InventarioProductos[[#This Row],[Existencias]]&lt;InventarioProductos[[#This Row],[Umbral]],"SI","NO")</f>
        <v>NO</v>
      </c>
    </row>
    <row r="108" spans="1:4">
      <c r="A108" s="18" t="s">
        <v>370</v>
      </c>
      <c r="B108" s="52">
        <v>2</v>
      </c>
      <c r="C108" s="53">
        <v>2</v>
      </c>
      <c r="D108" s="59" t="str">
        <f>IF(InventarioProductos[[#This Row],[Existencias]]&lt;InventarioProductos[[#This Row],[Umbral]],"SI","NO")</f>
        <v>NO</v>
      </c>
    </row>
    <row r="109" spans="1:4">
      <c r="A109" s="18" t="s">
        <v>372</v>
      </c>
      <c r="B109" s="52">
        <v>2</v>
      </c>
      <c r="C109" s="53">
        <v>2</v>
      </c>
      <c r="D109" s="59" t="str">
        <f>IF(InventarioProductos[[#This Row],[Existencias]]&lt;InventarioProductos[[#This Row],[Umbral]],"SI","NO")</f>
        <v>NO</v>
      </c>
    </row>
    <row r="110" spans="1:4">
      <c r="A110" s="18" t="s">
        <v>374</v>
      </c>
      <c r="B110" s="52">
        <v>2</v>
      </c>
      <c r="C110" s="53">
        <v>2</v>
      </c>
      <c r="D110" s="59" t="str">
        <f>IF(InventarioProductos[[#This Row],[Existencias]]&lt;InventarioProductos[[#This Row],[Umbral]],"SI","NO")</f>
        <v>NO</v>
      </c>
    </row>
    <row r="111" spans="1:4">
      <c r="A111" s="18" t="s">
        <v>376</v>
      </c>
      <c r="B111" s="52">
        <v>2</v>
      </c>
      <c r="C111" s="53">
        <v>2</v>
      </c>
      <c r="D111" s="59" t="str">
        <f>IF(InventarioProductos[[#This Row],[Existencias]]&lt;InventarioProductos[[#This Row],[Umbral]],"SI","NO")</f>
        <v>NO</v>
      </c>
    </row>
    <row r="112" spans="1:4">
      <c r="A112" s="18" t="s">
        <v>378</v>
      </c>
      <c r="B112" s="52">
        <v>2</v>
      </c>
      <c r="C112" s="53">
        <v>2</v>
      </c>
      <c r="D112" s="59" t="str">
        <f>IF(InventarioProductos[[#This Row],[Existencias]]&lt;InventarioProductos[[#This Row],[Umbral]],"SI","NO")</f>
        <v>NO</v>
      </c>
    </row>
    <row r="113" spans="1:4">
      <c r="A113" s="18" t="s">
        <v>380</v>
      </c>
      <c r="B113" s="52">
        <v>2</v>
      </c>
      <c r="C113" s="53">
        <v>2</v>
      </c>
      <c r="D113" s="59" t="str">
        <f>IF(InventarioProductos[[#This Row],[Existencias]]&lt;InventarioProductos[[#This Row],[Umbral]],"SI","NO")</f>
        <v>NO</v>
      </c>
    </row>
    <row r="114" spans="1:4">
      <c r="A114" s="18" t="s">
        <v>382</v>
      </c>
      <c r="B114" s="52">
        <v>2</v>
      </c>
      <c r="C114" s="53">
        <v>2</v>
      </c>
      <c r="D114" s="59" t="str">
        <f>IF(InventarioProductos[[#This Row],[Existencias]]&lt;InventarioProductos[[#This Row],[Umbral]],"SI","NO")</f>
        <v>NO</v>
      </c>
    </row>
    <row r="115" spans="1:4">
      <c r="A115" s="18" t="s">
        <v>384</v>
      </c>
      <c r="B115" s="52">
        <v>2</v>
      </c>
      <c r="C115" s="53">
        <v>2</v>
      </c>
      <c r="D115" s="59" t="str">
        <f>IF(InventarioProductos[[#This Row],[Existencias]]&lt;InventarioProductos[[#This Row],[Umbral]],"SI","NO")</f>
        <v>NO</v>
      </c>
    </row>
    <row r="116" spans="1:4">
      <c r="A116" s="18" t="s">
        <v>386</v>
      </c>
      <c r="B116" s="52">
        <v>2</v>
      </c>
      <c r="C116" s="53">
        <v>2</v>
      </c>
      <c r="D116" s="59" t="str">
        <f>IF(InventarioProductos[[#This Row],[Existencias]]&lt;InventarioProductos[[#This Row],[Umbral]],"SI","NO")</f>
        <v>NO</v>
      </c>
    </row>
    <row r="117" spans="1:4">
      <c r="A117" s="18" t="s">
        <v>388</v>
      </c>
      <c r="B117" s="52">
        <v>2</v>
      </c>
      <c r="C117" s="53">
        <v>2</v>
      </c>
      <c r="D117" s="59" t="str">
        <f>IF(InventarioProductos[[#This Row],[Existencias]]&lt;InventarioProductos[[#This Row],[Umbral]],"SI","NO")</f>
        <v>NO</v>
      </c>
    </row>
    <row r="118" spans="1:4">
      <c r="A118" s="18" t="s">
        <v>390</v>
      </c>
      <c r="B118" s="52">
        <v>2</v>
      </c>
      <c r="C118" s="53">
        <v>2</v>
      </c>
      <c r="D118" s="59" t="str">
        <f>IF(InventarioProductos[[#This Row],[Existencias]]&lt;InventarioProductos[[#This Row],[Umbral]],"SI","NO")</f>
        <v>NO</v>
      </c>
    </row>
    <row r="119" spans="1:4">
      <c r="A119" s="18" t="s">
        <v>392</v>
      </c>
      <c r="B119" s="52">
        <v>2</v>
      </c>
      <c r="C119" s="53">
        <v>2</v>
      </c>
      <c r="D119" s="59" t="str">
        <f>IF(InventarioProductos[[#This Row],[Existencias]]&lt;InventarioProductos[[#This Row],[Umbral]],"SI","NO")</f>
        <v>NO</v>
      </c>
    </row>
    <row r="120" spans="1:4">
      <c r="A120" s="18" t="s">
        <v>394</v>
      </c>
      <c r="B120" s="52">
        <v>2</v>
      </c>
      <c r="C120" s="53">
        <v>2</v>
      </c>
      <c r="D120" s="59" t="str">
        <f>IF(InventarioProductos[[#This Row],[Existencias]]&lt;InventarioProductos[[#This Row],[Umbral]],"SI","NO")</f>
        <v>NO</v>
      </c>
    </row>
    <row r="121" spans="1:4">
      <c r="A121" s="18" t="s">
        <v>396</v>
      </c>
      <c r="B121" s="52">
        <v>2</v>
      </c>
      <c r="C121" s="53">
        <v>2</v>
      </c>
      <c r="D121" s="59" t="str">
        <f>IF(InventarioProductos[[#This Row],[Existencias]]&lt;InventarioProductos[[#This Row],[Umbral]],"SI","NO")</f>
        <v>NO</v>
      </c>
    </row>
    <row r="122" spans="1:4">
      <c r="A122" s="18" t="s">
        <v>62</v>
      </c>
      <c r="B122" s="52">
        <v>2</v>
      </c>
      <c r="C122" s="53">
        <v>2</v>
      </c>
      <c r="D122" s="59" t="str">
        <f>IF(InventarioProductos[[#This Row],[Existencias]]&lt;InventarioProductos[[#This Row],[Umbral]],"SI","NO")</f>
        <v>NO</v>
      </c>
    </row>
    <row r="123" spans="1:4">
      <c r="A123" s="18" t="s">
        <v>399</v>
      </c>
      <c r="B123" s="52">
        <v>2</v>
      </c>
      <c r="C123" s="53">
        <v>2</v>
      </c>
      <c r="D123" s="59" t="str">
        <f>IF(InventarioProductos[[#This Row],[Existencias]]&lt;InventarioProductos[[#This Row],[Umbral]],"SI","NO")</f>
        <v>NO</v>
      </c>
    </row>
    <row r="124" spans="1:4">
      <c r="A124" s="18" t="s">
        <v>401</v>
      </c>
      <c r="B124" s="52">
        <v>2</v>
      </c>
      <c r="C124" s="53">
        <v>2</v>
      </c>
      <c r="D124" s="59" t="str">
        <f>IF(InventarioProductos[[#This Row],[Existencias]]&lt;InventarioProductos[[#This Row],[Umbral]],"SI","NO")</f>
        <v>NO</v>
      </c>
    </row>
    <row r="125" spans="1:4">
      <c r="A125" s="18" t="s">
        <v>403</v>
      </c>
      <c r="B125" s="52">
        <v>2</v>
      </c>
      <c r="C125" s="53">
        <v>2</v>
      </c>
      <c r="D125" s="59" t="str">
        <f>IF(InventarioProductos[[#This Row],[Existencias]]&lt;InventarioProductos[[#This Row],[Umbral]],"SI","NO")</f>
        <v>NO</v>
      </c>
    </row>
    <row r="126" spans="1:4">
      <c r="A126" s="18" t="s">
        <v>405</v>
      </c>
      <c r="B126" s="52">
        <v>2</v>
      </c>
      <c r="C126" s="53">
        <v>2</v>
      </c>
      <c r="D126" s="59" t="str">
        <f>IF(InventarioProductos[[#This Row],[Existencias]]&lt;InventarioProductos[[#This Row],[Umbral]],"SI","NO")</f>
        <v>NO</v>
      </c>
    </row>
    <row r="127" spans="1:4">
      <c r="A127" s="18" t="s">
        <v>407</v>
      </c>
      <c r="B127" s="52">
        <v>2</v>
      </c>
      <c r="C127" s="53">
        <v>2</v>
      </c>
      <c r="D127" s="59" t="str">
        <f>IF(InventarioProductos[[#This Row],[Existencias]]&lt;InventarioProductos[[#This Row],[Umbral]],"SI","NO")</f>
        <v>NO</v>
      </c>
    </row>
    <row r="128" spans="1:4">
      <c r="A128" s="18" t="s">
        <v>409</v>
      </c>
      <c r="B128" s="52">
        <v>2</v>
      </c>
      <c r="C128" s="53">
        <v>2</v>
      </c>
      <c r="D128" s="59" t="str">
        <f>IF(InventarioProductos[[#This Row],[Existencias]]&lt;InventarioProductos[[#This Row],[Umbral]],"SI","NO")</f>
        <v>NO</v>
      </c>
    </row>
    <row r="129" spans="1:4">
      <c r="A129" s="18" t="s">
        <v>413</v>
      </c>
      <c r="B129" s="52">
        <v>2</v>
      </c>
      <c r="C129" s="53">
        <v>2</v>
      </c>
      <c r="D129" s="59" t="str">
        <f>IF(InventarioProductos[[#This Row],[Existencias]]&lt;InventarioProductos[[#This Row],[Umbral]],"SI","NO")</f>
        <v>NO</v>
      </c>
    </row>
    <row r="130" spans="1:4">
      <c r="A130" s="18" t="s">
        <v>415</v>
      </c>
      <c r="B130" s="52">
        <v>2</v>
      </c>
      <c r="C130" s="53">
        <v>2</v>
      </c>
      <c r="D130" s="59" t="str">
        <f>IF(InventarioProductos[[#This Row],[Existencias]]&lt;InventarioProductos[[#This Row],[Umbral]],"SI","NO")</f>
        <v>NO</v>
      </c>
    </row>
    <row r="131" spans="1:4">
      <c r="A131" s="18" t="s">
        <v>417</v>
      </c>
      <c r="B131" s="52">
        <v>2</v>
      </c>
      <c r="C131" s="53">
        <v>2</v>
      </c>
      <c r="D131" s="59" t="str">
        <f>IF(InventarioProductos[[#This Row],[Existencias]]&lt;InventarioProductos[[#This Row],[Umbral]],"SI","NO")</f>
        <v>NO</v>
      </c>
    </row>
    <row r="132" spans="1:4">
      <c r="A132" s="18" t="s">
        <v>411</v>
      </c>
      <c r="B132" s="52">
        <v>2</v>
      </c>
      <c r="C132" s="53">
        <v>2</v>
      </c>
      <c r="D132" s="59" t="str">
        <f>IF(InventarioProductos[[#This Row],[Existencias]]&lt;InventarioProductos[[#This Row],[Umbral]],"SI","NO")</f>
        <v>NO</v>
      </c>
    </row>
    <row r="133" spans="1:4">
      <c r="A133" s="18" t="s">
        <v>419</v>
      </c>
      <c r="B133" s="52">
        <v>2</v>
      </c>
      <c r="C133" s="53">
        <v>2</v>
      </c>
      <c r="D133" s="59" t="str">
        <f>IF(InventarioProductos[[#This Row],[Existencias]]&lt;InventarioProductos[[#This Row],[Umbral]],"SI","NO")</f>
        <v>NO</v>
      </c>
    </row>
    <row r="134" spans="1:4">
      <c r="A134" s="18" t="s">
        <v>421</v>
      </c>
      <c r="B134" s="52">
        <v>2</v>
      </c>
      <c r="C134" s="53">
        <v>2</v>
      </c>
      <c r="D134" s="59" t="str">
        <f>IF(InventarioProductos[[#This Row],[Existencias]]&lt;InventarioProductos[[#This Row],[Umbral]],"SI","NO")</f>
        <v>NO</v>
      </c>
    </row>
    <row r="135" spans="1:4">
      <c r="A135" s="18" t="s">
        <v>423</v>
      </c>
      <c r="B135" s="52">
        <v>2</v>
      </c>
      <c r="C135" s="53">
        <v>2</v>
      </c>
      <c r="D135" s="59" t="str">
        <f>IF(InventarioProductos[[#This Row],[Existencias]]&lt;InventarioProductos[[#This Row],[Umbral]],"SI","NO")</f>
        <v>NO</v>
      </c>
    </row>
    <row r="136" spans="1:4">
      <c r="A136" s="18" t="s">
        <v>425</v>
      </c>
      <c r="B136" s="52">
        <v>2</v>
      </c>
      <c r="C136" s="53">
        <v>2</v>
      </c>
      <c r="D136" s="59" t="str">
        <f>IF(InventarioProductos[[#This Row],[Existencias]]&lt;InventarioProductos[[#This Row],[Umbral]],"SI","NO")</f>
        <v>NO</v>
      </c>
    </row>
    <row r="137" spans="1:4">
      <c r="A137" s="18" t="s">
        <v>427</v>
      </c>
      <c r="B137" s="52">
        <v>2</v>
      </c>
      <c r="C137" s="53">
        <v>2</v>
      </c>
      <c r="D137" s="59" t="str">
        <f>IF(InventarioProductos[[#This Row],[Existencias]]&lt;InventarioProductos[[#This Row],[Umbral]],"SI","NO")</f>
        <v>NO</v>
      </c>
    </row>
    <row r="138" spans="1:4">
      <c r="A138" s="18" t="s">
        <v>429</v>
      </c>
      <c r="B138" s="52">
        <v>2</v>
      </c>
      <c r="C138" s="53">
        <v>2</v>
      </c>
      <c r="D138" s="59" t="str">
        <f>IF(InventarioProductos[[#This Row],[Existencias]]&lt;InventarioProductos[[#This Row],[Umbral]],"SI","NO")</f>
        <v>NO</v>
      </c>
    </row>
    <row r="139" spans="1:4">
      <c r="A139" s="18" t="s">
        <v>431</v>
      </c>
      <c r="B139" s="52">
        <v>2</v>
      </c>
      <c r="C139" s="53">
        <v>2</v>
      </c>
      <c r="D139" s="59" t="str">
        <f>IF(InventarioProductos[[#This Row],[Existencias]]&lt;InventarioProductos[[#This Row],[Umbral]],"SI","NO")</f>
        <v>NO</v>
      </c>
    </row>
    <row r="140" spans="1:4">
      <c r="A140" s="18" t="s">
        <v>433</v>
      </c>
      <c r="B140" s="52">
        <v>2</v>
      </c>
      <c r="C140" s="53">
        <v>2</v>
      </c>
      <c r="D140" s="59" t="str">
        <f>IF(InventarioProductos[[#This Row],[Existencias]]&lt;InventarioProductos[[#This Row],[Umbral]],"SI","NO")</f>
        <v>NO</v>
      </c>
    </row>
    <row r="141" spans="1:4">
      <c r="A141" s="18" t="s">
        <v>435</v>
      </c>
      <c r="B141" s="52">
        <v>2</v>
      </c>
      <c r="C141" s="53">
        <v>2</v>
      </c>
      <c r="D141" s="59" t="str">
        <f>IF(InventarioProductos[[#This Row],[Existencias]]&lt;InventarioProductos[[#This Row],[Umbral]],"SI","NO")</f>
        <v>NO</v>
      </c>
    </row>
    <row r="142" spans="1:4">
      <c r="A142" s="18" t="s">
        <v>437</v>
      </c>
      <c r="B142" s="52">
        <v>2</v>
      </c>
      <c r="C142" s="53">
        <v>2</v>
      </c>
      <c r="D142" s="59" t="str">
        <f>IF(InventarioProductos[[#This Row],[Existencias]]&lt;InventarioProductos[[#This Row],[Umbral]],"SI","NO")</f>
        <v>NO</v>
      </c>
    </row>
    <row r="143" spans="1:4">
      <c r="A143" s="18" t="s">
        <v>439</v>
      </c>
      <c r="B143" s="52">
        <v>2</v>
      </c>
      <c r="C143" s="53">
        <v>2</v>
      </c>
      <c r="D143" s="59" t="str">
        <f>IF(InventarioProductos[[#This Row],[Existencias]]&lt;InventarioProductos[[#This Row],[Umbral]],"SI","NO")</f>
        <v>NO</v>
      </c>
    </row>
    <row r="144" spans="1:4">
      <c r="A144" s="18" t="s">
        <v>443</v>
      </c>
      <c r="B144" s="52">
        <v>2</v>
      </c>
      <c r="C144" s="53">
        <v>2</v>
      </c>
      <c r="D144" s="59" t="str">
        <f>IF(InventarioProductos[[#This Row],[Existencias]]&lt;InventarioProductos[[#This Row],[Umbral]],"SI","NO")</f>
        <v>NO</v>
      </c>
    </row>
    <row r="145" spans="1:4">
      <c r="A145" s="18" t="s">
        <v>445</v>
      </c>
      <c r="B145" s="52">
        <v>2</v>
      </c>
      <c r="C145" s="53">
        <v>2</v>
      </c>
      <c r="D145" s="59" t="str">
        <f>IF(InventarioProductos[[#This Row],[Existencias]]&lt;InventarioProductos[[#This Row],[Umbral]],"SI","NO")</f>
        <v>NO</v>
      </c>
    </row>
    <row r="146" spans="1:4">
      <c r="A146" s="18" t="s">
        <v>447</v>
      </c>
      <c r="B146" s="52">
        <v>2</v>
      </c>
      <c r="C146" s="53">
        <v>2</v>
      </c>
      <c r="D146" s="59" t="str">
        <f>IF(InventarioProductos[[#This Row],[Existencias]]&lt;InventarioProductos[[#This Row],[Umbral]],"SI","NO")</f>
        <v>NO</v>
      </c>
    </row>
    <row r="147" spans="1:4">
      <c r="A147" s="18" t="s">
        <v>449</v>
      </c>
      <c r="B147" s="52">
        <v>2</v>
      </c>
      <c r="C147" s="53">
        <v>2</v>
      </c>
      <c r="D147" s="59" t="str">
        <f>IF(InventarioProductos[[#This Row],[Existencias]]&lt;InventarioProductos[[#This Row],[Umbral]],"SI","NO")</f>
        <v>NO</v>
      </c>
    </row>
    <row r="148" spans="1:4">
      <c r="A148" s="18" t="s">
        <v>451</v>
      </c>
      <c r="B148" s="52">
        <v>2</v>
      </c>
      <c r="C148" s="53">
        <v>2</v>
      </c>
      <c r="D148" s="59" t="str">
        <f>IF(InventarioProductos[[#This Row],[Existencias]]&lt;InventarioProductos[[#This Row],[Umbral]],"SI","NO")</f>
        <v>NO</v>
      </c>
    </row>
    <row r="149" spans="1:4">
      <c r="A149" s="18" t="s">
        <v>453</v>
      </c>
      <c r="B149" s="52">
        <v>2</v>
      </c>
      <c r="C149" s="53">
        <v>2</v>
      </c>
      <c r="D149" s="59" t="str">
        <f>IF(InventarioProductos[[#This Row],[Existencias]]&lt;InventarioProductos[[#This Row],[Umbral]],"SI","NO")</f>
        <v>NO</v>
      </c>
    </row>
    <row r="150" spans="1:4">
      <c r="A150" s="18" t="s">
        <v>455</v>
      </c>
      <c r="B150" s="52">
        <v>2</v>
      </c>
      <c r="C150" s="53">
        <v>2</v>
      </c>
      <c r="D150" s="59" t="str">
        <f>IF(InventarioProductos[[#This Row],[Existencias]]&lt;InventarioProductos[[#This Row],[Umbral]],"SI","NO")</f>
        <v>NO</v>
      </c>
    </row>
    <row r="151" spans="1:4">
      <c r="A151" s="18" t="s">
        <v>457</v>
      </c>
      <c r="B151" s="52">
        <v>2</v>
      </c>
      <c r="C151" s="53">
        <v>2</v>
      </c>
      <c r="D151" s="59" t="str">
        <f>IF(InventarioProductos[[#This Row],[Existencias]]&lt;InventarioProductos[[#This Row],[Umbral]],"SI","NO")</f>
        <v>NO</v>
      </c>
    </row>
    <row r="152" spans="1:4">
      <c r="A152" s="18" t="s">
        <v>459</v>
      </c>
      <c r="B152" s="52">
        <v>2</v>
      </c>
      <c r="C152" s="53">
        <v>2</v>
      </c>
      <c r="D152" s="59" t="str">
        <f>IF(InventarioProductos[[#This Row],[Existencias]]&lt;InventarioProductos[[#This Row],[Umbral]],"SI","NO")</f>
        <v>NO</v>
      </c>
    </row>
    <row r="153" spans="1:4">
      <c r="A153" s="18" t="s">
        <v>461</v>
      </c>
      <c r="B153" s="52">
        <v>2</v>
      </c>
      <c r="C153" s="53">
        <v>2</v>
      </c>
      <c r="D153" s="59" t="str">
        <f>IF(InventarioProductos[[#This Row],[Existencias]]&lt;InventarioProductos[[#This Row],[Umbral]],"SI","NO")</f>
        <v>NO</v>
      </c>
    </row>
    <row r="154" spans="1:4">
      <c r="A154" s="18" t="s">
        <v>467</v>
      </c>
      <c r="B154" s="52">
        <v>2</v>
      </c>
      <c r="C154" s="53">
        <v>2</v>
      </c>
      <c r="D154" s="59" t="str">
        <f>IF(InventarioProductos[[#This Row],[Existencias]]&lt;InventarioProductos[[#This Row],[Umbral]],"SI","NO")</f>
        <v>NO</v>
      </c>
    </row>
    <row r="155" spans="1:4">
      <c r="A155" s="18" t="s">
        <v>469</v>
      </c>
      <c r="B155" s="52">
        <v>2</v>
      </c>
      <c r="C155" s="53">
        <v>2</v>
      </c>
      <c r="D155" s="59" t="str">
        <f>IF(InventarioProductos[[#This Row],[Existencias]]&lt;InventarioProductos[[#This Row],[Umbral]],"SI","NO")</f>
        <v>NO</v>
      </c>
    </row>
    <row r="156" spans="1:4">
      <c r="A156" s="18" t="s">
        <v>471</v>
      </c>
      <c r="B156" s="52">
        <v>2</v>
      </c>
      <c r="C156" s="53">
        <v>2</v>
      </c>
      <c r="D156" s="59" t="str">
        <f>IF(InventarioProductos[[#This Row],[Existencias]]&lt;InventarioProductos[[#This Row],[Umbral]],"SI","NO")</f>
        <v>NO</v>
      </c>
    </row>
    <row r="157" spans="1:4">
      <c r="A157" s="18" t="s">
        <v>473</v>
      </c>
      <c r="B157" s="52">
        <v>2</v>
      </c>
      <c r="C157" s="53">
        <v>2</v>
      </c>
      <c r="D157" s="59" t="str">
        <f>IF(InventarioProductos[[#This Row],[Existencias]]&lt;InventarioProductos[[#This Row],[Umbral]],"SI","NO")</f>
        <v>NO</v>
      </c>
    </row>
    <row r="158" spans="1:4">
      <c r="A158" s="18" t="s">
        <v>475</v>
      </c>
      <c r="B158" s="52">
        <v>2</v>
      </c>
      <c r="C158" s="53">
        <v>2</v>
      </c>
      <c r="D158" s="59" t="str">
        <f>IF(InventarioProductos[[#This Row],[Existencias]]&lt;InventarioProductos[[#This Row],[Umbral]],"SI","NO")</f>
        <v>NO</v>
      </c>
    </row>
    <row r="159" spans="1:4">
      <c r="A159" s="18" t="s">
        <v>477</v>
      </c>
      <c r="B159" s="52">
        <v>2</v>
      </c>
      <c r="C159" s="53">
        <v>2</v>
      </c>
      <c r="D159" s="59" t="str">
        <f>IF(InventarioProductos[[#This Row],[Existencias]]&lt;InventarioProductos[[#This Row],[Umbral]],"SI","NO")</f>
        <v>NO</v>
      </c>
    </row>
    <row r="160" spans="1:4">
      <c r="A160" s="18" t="s">
        <v>479</v>
      </c>
      <c r="B160" s="52">
        <v>2</v>
      </c>
      <c r="C160" s="53">
        <v>2</v>
      </c>
      <c r="D160" s="59" t="str">
        <f>IF(InventarioProductos[[#This Row],[Existencias]]&lt;InventarioProductos[[#This Row],[Umbral]],"SI","NO")</f>
        <v>NO</v>
      </c>
    </row>
    <row r="161" spans="1:4">
      <c r="A161" s="18" t="s">
        <v>481</v>
      </c>
      <c r="B161" s="52">
        <v>2</v>
      </c>
      <c r="C161" s="53">
        <v>2</v>
      </c>
      <c r="D161" s="59" t="str">
        <f>IF(InventarioProductos[[#This Row],[Existencias]]&lt;InventarioProductos[[#This Row],[Umbral]],"SI","NO")</f>
        <v>NO</v>
      </c>
    </row>
    <row r="162" spans="1:4">
      <c r="A162" s="18" t="s">
        <v>483</v>
      </c>
      <c r="B162" s="52">
        <v>2</v>
      </c>
      <c r="C162" s="53">
        <v>2</v>
      </c>
      <c r="D162" s="59" t="str">
        <f>IF(InventarioProductos[[#This Row],[Existencias]]&lt;InventarioProductos[[#This Row],[Umbral]],"SI","NO")</f>
        <v>NO</v>
      </c>
    </row>
    <row r="163" spans="1:4">
      <c r="A163" s="18" t="s">
        <v>485</v>
      </c>
      <c r="B163" s="52">
        <v>2</v>
      </c>
      <c r="C163" s="53">
        <v>2</v>
      </c>
      <c r="D163" s="59" t="str">
        <f>IF(InventarioProductos[[#This Row],[Existencias]]&lt;InventarioProductos[[#This Row],[Umbral]],"SI","NO")</f>
        <v>NO</v>
      </c>
    </row>
    <row r="164" spans="1:4">
      <c r="A164" s="18" t="s">
        <v>487</v>
      </c>
      <c r="B164" s="52">
        <v>2</v>
      </c>
      <c r="C164" s="53">
        <v>2</v>
      </c>
      <c r="D164" s="59" t="str">
        <f>IF(InventarioProductos[[#This Row],[Existencias]]&lt;InventarioProductos[[#This Row],[Umbral]],"SI","NO")</f>
        <v>NO</v>
      </c>
    </row>
    <row r="165" spans="1:4">
      <c r="A165" s="18" t="s">
        <v>489</v>
      </c>
      <c r="B165" s="52">
        <v>2</v>
      </c>
      <c r="C165" s="53">
        <v>2</v>
      </c>
      <c r="D165" s="59" t="str">
        <f>IF(InventarioProductos[[#This Row],[Existencias]]&lt;InventarioProductos[[#This Row],[Umbral]],"SI","NO")</f>
        <v>NO</v>
      </c>
    </row>
    <row r="166" spans="1:4">
      <c r="A166" s="18" t="s">
        <v>491</v>
      </c>
      <c r="B166" s="52">
        <v>2</v>
      </c>
      <c r="C166" s="53">
        <v>2</v>
      </c>
      <c r="D166" s="59" t="str">
        <f>IF(InventarioProductos[[#This Row],[Existencias]]&lt;InventarioProductos[[#This Row],[Umbral]],"SI","NO")</f>
        <v>NO</v>
      </c>
    </row>
    <row r="167" spans="1:4">
      <c r="A167" s="18" t="s">
        <v>493</v>
      </c>
      <c r="B167" s="52">
        <v>2</v>
      </c>
      <c r="C167" s="53">
        <v>2</v>
      </c>
      <c r="D167" s="59" t="str">
        <f>IF(InventarioProductos[[#This Row],[Existencias]]&lt;InventarioProductos[[#This Row],[Umbral]],"SI","NO")</f>
        <v>NO</v>
      </c>
    </row>
    <row r="168" spans="1:4">
      <c r="A168" s="18" t="s">
        <v>495</v>
      </c>
      <c r="B168" s="52">
        <v>2</v>
      </c>
      <c r="C168" s="53">
        <v>2</v>
      </c>
      <c r="D168" s="59" t="str">
        <f>IF(InventarioProductos[[#This Row],[Existencias]]&lt;InventarioProductos[[#This Row],[Umbral]],"SI","NO")</f>
        <v>NO</v>
      </c>
    </row>
    <row r="169" spans="1:4">
      <c r="A169" s="18" t="s">
        <v>497</v>
      </c>
      <c r="B169" s="52">
        <v>2</v>
      </c>
      <c r="C169" s="53">
        <v>2</v>
      </c>
      <c r="D169" s="59" t="str">
        <f>IF(InventarioProductos[[#This Row],[Existencias]]&lt;InventarioProductos[[#This Row],[Umbral]],"SI","NO")</f>
        <v>NO</v>
      </c>
    </row>
    <row r="170" spans="1:4">
      <c r="A170" s="18" t="s">
        <v>499</v>
      </c>
      <c r="B170" s="52">
        <v>2</v>
      </c>
      <c r="C170" s="53">
        <v>2</v>
      </c>
      <c r="D170" s="59" t="str">
        <f>IF(InventarioProductos[[#This Row],[Existencias]]&lt;InventarioProductos[[#This Row],[Umbral]],"SI","NO")</f>
        <v>NO</v>
      </c>
    </row>
    <row r="171" spans="1:4">
      <c r="A171" s="18" t="s">
        <v>501</v>
      </c>
      <c r="B171" s="52">
        <v>2</v>
      </c>
      <c r="C171" s="53">
        <v>2</v>
      </c>
      <c r="D171" s="59" t="str">
        <f>IF(InventarioProductos[[#This Row],[Existencias]]&lt;InventarioProductos[[#This Row],[Umbral]],"SI","NO")</f>
        <v>NO</v>
      </c>
    </row>
    <row r="172" spans="1:4">
      <c r="A172" s="18" t="s">
        <v>503</v>
      </c>
      <c r="B172" s="52">
        <v>2</v>
      </c>
      <c r="C172" s="53">
        <v>2</v>
      </c>
      <c r="D172" s="59" t="str">
        <f>IF(InventarioProductos[[#This Row],[Existencias]]&lt;InventarioProductos[[#This Row],[Umbral]],"SI","NO")</f>
        <v>NO</v>
      </c>
    </row>
    <row r="173" spans="1:4">
      <c r="A173" s="18" t="s">
        <v>505</v>
      </c>
      <c r="B173" s="52">
        <v>2</v>
      </c>
      <c r="C173" s="53">
        <v>2</v>
      </c>
      <c r="D173" s="59" t="str">
        <f>IF(InventarioProductos[[#This Row],[Existencias]]&lt;InventarioProductos[[#This Row],[Umbral]],"SI","NO")</f>
        <v>NO</v>
      </c>
    </row>
    <row r="174" spans="1:4">
      <c r="A174" s="18" t="s">
        <v>507</v>
      </c>
      <c r="B174" s="52">
        <v>2</v>
      </c>
      <c r="C174" s="53">
        <v>2</v>
      </c>
      <c r="D174" s="59" t="str">
        <f>IF(InventarioProductos[[#This Row],[Existencias]]&lt;InventarioProductos[[#This Row],[Umbral]],"SI","NO")</f>
        <v>NO</v>
      </c>
    </row>
    <row r="175" spans="1:4">
      <c r="A175" s="18" t="s">
        <v>509</v>
      </c>
      <c r="B175" s="52">
        <v>2</v>
      </c>
      <c r="C175" s="53">
        <v>2</v>
      </c>
      <c r="D175" s="59" t="str">
        <f>IF(InventarioProductos[[#This Row],[Existencias]]&lt;InventarioProductos[[#This Row],[Umbral]],"SI","NO")</f>
        <v>NO</v>
      </c>
    </row>
    <row r="176" spans="1:4">
      <c r="A176" s="18" t="s">
        <v>511</v>
      </c>
      <c r="B176" s="52">
        <v>2</v>
      </c>
      <c r="C176" s="53">
        <v>2</v>
      </c>
      <c r="D176" s="59" t="str">
        <f>IF(InventarioProductos[[#This Row],[Existencias]]&lt;InventarioProductos[[#This Row],[Umbral]],"SI","NO")</f>
        <v>NO</v>
      </c>
    </row>
    <row r="177" spans="1:4">
      <c r="A177" s="18" t="s">
        <v>513</v>
      </c>
      <c r="B177" s="52">
        <v>2</v>
      </c>
      <c r="C177" s="53">
        <v>2</v>
      </c>
      <c r="D177" s="59" t="str">
        <f>IF(InventarioProductos[[#This Row],[Existencias]]&lt;InventarioProductos[[#This Row],[Umbral]],"SI","NO")</f>
        <v>NO</v>
      </c>
    </row>
    <row r="178" spans="1:4">
      <c r="A178" s="18" t="s">
        <v>515</v>
      </c>
      <c r="B178" s="52">
        <v>2</v>
      </c>
      <c r="C178" s="53">
        <v>2</v>
      </c>
      <c r="D178" s="59" t="str">
        <f>IF(InventarioProductos[[#This Row],[Existencias]]&lt;InventarioProductos[[#This Row],[Umbral]],"SI","NO")</f>
        <v>NO</v>
      </c>
    </row>
    <row r="179" spans="1:4">
      <c r="A179" s="18" t="s">
        <v>517</v>
      </c>
      <c r="B179" s="52">
        <v>2</v>
      </c>
      <c r="C179" s="53">
        <v>2</v>
      </c>
      <c r="D179" s="59" t="str">
        <f>IF(InventarioProductos[[#This Row],[Existencias]]&lt;InventarioProductos[[#This Row],[Umbral]],"SI","NO")</f>
        <v>NO</v>
      </c>
    </row>
    <row r="180" spans="1:4">
      <c r="A180" s="18" t="s">
        <v>519</v>
      </c>
      <c r="B180" s="52">
        <v>2</v>
      </c>
      <c r="C180" s="53">
        <v>2</v>
      </c>
      <c r="D180" s="59" t="str">
        <f>IF(InventarioProductos[[#This Row],[Existencias]]&lt;InventarioProductos[[#This Row],[Umbral]],"SI","NO")</f>
        <v>NO</v>
      </c>
    </row>
    <row r="181" spans="1:4">
      <c r="A181" s="18" t="s">
        <v>521</v>
      </c>
      <c r="B181" s="52">
        <v>2</v>
      </c>
      <c r="C181" s="53">
        <v>2</v>
      </c>
      <c r="D181" s="59" t="str">
        <f>IF(InventarioProductos[[#This Row],[Existencias]]&lt;InventarioProductos[[#This Row],[Umbral]],"SI","NO")</f>
        <v>NO</v>
      </c>
    </row>
    <row r="182" spans="1:4">
      <c r="A182" s="18" t="s">
        <v>523</v>
      </c>
      <c r="B182" s="52">
        <v>2</v>
      </c>
      <c r="C182" s="53">
        <v>2</v>
      </c>
      <c r="D182" s="59" t="str">
        <f>IF(InventarioProductos[[#This Row],[Existencias]]&lt;InventarioProductos[[#This Row],[Umbral]],"SI","NO")</f>
        <v>NO</v>
      </c>
    </row>
    <row r="183" spans="1:4">
      <c r="A183" s="18" t="s">
        <v>525</v>
      </c>
      <c r="B183" s="52">
        <v>2</v>
      </c>
      <c r="C183" s="53">
        <v>2</v>
      </c>
      <c r="D183" s="59" t="str">
        <f>IF(InventarioProductos[[#This Row],[Existencias]]&lt;InventarioProductos[[#This Row],[Umbral]],"SI","NO")</f>
        <v>NO</v>
      </c>
    </row>
    <row r="184" spans="1:4">
      <c r="A184" s="18" t="s">
        <v>527</v>
      </c>
      <c r="B184" s="52">
        <v>2</v>
      </c>
      <c r="C184" s="53">
        <v>2</v>
      </c>
      <c r="D184" s="59" t="str">
        <f>IF(InventarioProductos[[#This Row],[Existencias]]&lt;InventarioProductos[[#This Row],[Umbral]],"SI","NO")</f>
        <v>NO</v>
      </c>
    </row>
    <row r="185" spans="1:4">
      <c r="A185" s="18" t="s">
        <v>529</v>
      </c>
      <c r="B185" s="52">
        <v>2</v>
      </c>
      <c r="C185" s="53">
        <v>2</v>
      </c>
      <c r="D185" s="59" t="str">
        <f>IF(InventarioProductos[[#This Row],[Existencias]]&lt;InventarioProductos[[#This Row],[Umbral]],"SI","NO")</f>
        <v>NO</v>
      </c>
    </row>
    <row r="186" spans="1:4">
      <c r="A186" s="18" t="s">
        <v>531</v>
      </c>
      <c r="B186" s="52">
        <v>2</v>
      </c>
      <c r="C186" s="53">
        <v>2</v>
      </c>
      <c r="D186" s="59" t="str">
        <f>IF(InventarioProductos[[#This Row],[Existencias]]&lt;InventarioProductos[[#This Row],[Umbral]],"SI","NO")</f>
        <v>NO</v>
      </c>
    </row>
    <row r="187" spans="1:4">
      <c r="A187" s="18" t="s">
        <v>533</v>
      </c>
      <c r="B187" s="52">
        <v>2</v>
      </c>
      <c r="C187" s="53">
        <v>2</v>
      </c>
      <c r="D187" s="59" t="str">
        <f>IF(InventarioProductos[[#This Row],[Existencias]]&lt;InventarioProductos[[#This Row],[Umbral]],"SI","NO")</f>
        <v>NO</v>
      </c>
    </row>
    <row r="188" spans="1:4">
      <c r="A188" s="18" t="s">
        <v>535</v>
      </c>
      <c r="B188" s="52">
        <v>2</v>
      </c>
      <c r="C188" s="53">
        <v>2</v>
      </c>
      <c r="D188" s="59" t="str">
        <f>IF(InventarioProductos[[#This Row],[Existencias]]&lt;InventarioProductos[[#This Row],[Umbral]],"SI","NO")</f>
        <v>NO</v>
      </c>
    </row>
    <row r="189" spans="1:4">
      <c r="A189" s="18" t="s">
        <v>537</v>
      </c>
      <c r="B189" s="52">
        <v>2</v>
      </c>
      <c r="C189" s="53">
        <v>2</v>
      </c>
      <c r="D189" s="59" t="str">
        <f>IF(InventarioProductos[[#This Row],[Existencias]]&lt;InventarioProductos[[#This Row],[Umbral]],"SI","NO")</f>
        <v>NO</v>
      </c>
    </row>
    <row r="190" spans="1:4">
      <c r="A190" s="18" t="s">
        <v>539</v>
      </c>
      <c r="B190" s="52">
        <v>2</v>
      </c>
      <c r="C190" s="53">
        <v>2</v>
      </c>
      <c r="D190" s="59" t="str">
        <f>IF(InventarioProductos[[#This Row],[Existencias]]&lt;InventarioProductos[[#This Row],[Umbral]],"SI","NO")</f>
        <v>NO</v>
      </c>
    </row>
    <row r="191" spans="1:4">
      <c r="A191" s="18" t="s">
        <v>541</v>
      </c>
      <c r="B191" s="52">
        <v>2</v>
      </c>
      <c r="C191" s="53">
        <v>2</v>
      </c>
      <c r="D191" s="59" t="str">
        <f>IF(InventarioProductos[[#This Row],[Existencias]]&lt;InventarioProductos[[#This Row],[Umbral]],"SI","NO")</f>
        <v>NO</v>
      </c>
    </row>
    <row r="192" spans="1:4">
      <c r="A192" s="18" t="s">
        <v>543</v>
      </c>
      <c r="B192" s="52">
        <v>2</v>
      </c>
      <c r="C192" s="53">
        <v>2</v>
      </c>
      <c r="D192" s="59" t="str">
        <f>IF(InventarioProductos[[#This Row],[Existencias]]&lt;InventarioProductos[[#This Row],[Umbral]],"SI","NO")</f>
        <v>NO</v>
      </c>
    </row>
    <row r="193" spans="1:4">
      <c r="A193" s="18" t="s">
        <v>545</v>
      </c>
      <c r="B193" s="52">
        <v>2</v>
      </c>
      <c r="C193" s="53">
        <v>2</v>
      </c>
      <c r="D193" s="59" t="str">
        <f>IF(InventarioProductos[[#This Row],[Existencias]]&lt;InventarioProductos[[#This Row],[Umbral]],"SI","NO")</f>
        <v>NO</v>
      </c>
    </row>
    <row r="194" spans="1:4">
      <c r="A194" s="18" t="s">
        <v>547</v>
      </c>
      <c r="B194" s="52">
        <v>2</v>
      </c>
      <c r="C194" s="53">
        <v>2</v>
      </c>
      <c r="D194" s="59" t="str">
        <f>IF(InventarioProductos[[#This Row],[Existencias]]&lt;InventarioProductos[[#This Row],[Umbral]],"SI","NO")</f>
        <v>NO</v>
      </c>
    </row>
    <row r="195" spans="1:4">
      <c r="A195" s="18" t="s">
        <v>549</v>
      </c>
      <c r="B195" s="52">
        <v>2</v>
      </c>
      <c r="C195" s="53">
        <v>2</v>
      </c>
      <c r="D195" s="59" t="str">
        <f>IF(InventarioProductos[[#This Row],[Existencias]]&lt;InventarioProductos[[#This Row],[Umbral]],"SI","NO")</f>
        <v>NO</v>
      </c>
    </row>
    <row r="196" spans="1:4">
      <c r="A196" s="18" t="s">
        <v>551</v>
      </c>
      <c r="B196" s="52">
        <v>2</v>
      </c>
      <c r="C196" s="53">
        <v>2</v>
      </c>
      <c r="D196" s="59" t="str">
        <f>IF(InventarioProductos[[#This Row],[Existencias]]&lt;InventarioProductos[[#This Row],[Umbral]],"SI","NO")</f>
        <v>NO</v>
      </c>
    </row>
    <row r="197" spans="1:4">
      <c r="A197" s="18" t="s">
        <v>553</v>
      </c>
      <c r="B197" s="52">
        <v>2</v>
      </c>
      <c r="C197" s="53">
        <v>2</v>
      </c>
      <c r="D197" s="59" t="str">
        <f>IF(InventarioProductos[[#This Row],[Existencias]]&lt;InventarioProductos[[#This Row],[Umbral]],"SI","NO")</f>
        <v>NO</v>
      </c>
    </row>
    <row r="198" spans="1:4">
      <c r="A198" s="18" t="s">
        <v>555</v>
      </c>
      <c r="B198" s="52">
        <v>2</v>
      </c>
      <c r="C198" s="53">
        <v>2</v>
      </c>
      <c r="D198" s="59" t="str">
        <f>IF(InventarioProductos[[#This Row],[Existencias]]&lt;InventarioProductos[[#This Row],[Umbral]],"SI","NO")</f>
        <v>NO</v>
      </c>
    </row>
    <row r="199" spans="1:4">
      <c r="A199" s="18" t="s">
        <v>557</v>
      </c>
      <c r="B199" s="52">
        <v>2</v>
      </c>
      <c r="C199" s="53">
        <v>2</v>
      </c>
      <c r="D199" s="59" t="str">
        <f>IF(InventarioProductos[[#This Row],[Existencias]]&lt;InventarioProductos[[#This Row],[Umbral]],"SI","NO")</f>
        <v>NO</v>
      </c>
    </row>
    <row r="200" spans="1:4">
      <c r="A200" s="18" t="s">
        <v>559</v>
      </c>
      <c r="B200" s="52">
        <v>2</v>
      </c>
      <c r="C200" s="53">
        <v>2</v>
      </c>
      <c r="D200" s="59" t="str">
        <f>IF(InventarioProductos[[#This Row],[Existencias]]&lt;InventarioProductos[[#This Row],[Umbral]],"SI","NO")</f>
        <v>NO</v>
      </c>
    </row>
    <row r="201" spans="1:4">
      <c r="A201" s="18" t="s">
        <v>563</v>
      </c>
      <c r="B201" s="52">
        <v>2</v>
      </c>
      <c r="C201" s="53">
        <v>2</v>
      </c>
      <c r="D201" s="59" t="str">
        <f>IF(InventarioProductos[[#This Row],[Existencias]]&lt;InventarioProductos[[#This Row],[Umbral]],"SI","NO")</f>
        <v>NO</v>
      </c>
    </row>
    <row r="202" spans="1:4">
      <c r="A202" s="18" t="s">
        <v>565</v>
      </c>
      <c r="B202" s="52">
        <v>2</v>
      </c>
      <c r="C202" s="53">
        <v>2</v>
      </c>
      <c r="D202" s="59" t="str">
        <f>IF(InventarioProductos[[#This Row],[Existencias]]&lt;InventarioProductos[[#This Row],[Umbral]],"SI","NO")</f>
        <v>NO</v>
      </c>
    </row>
    <row r="203" spans="1:4">
      <c r="A203" s="18" t="s">
        <v>567</v>
      </c>
      <c r="B203" s="52">
        <v>2</v>
      </c>
      <c r="C203" s="53">
        <v>2</v>
      </c>
      <c r="D203" s="59" t="str">
        <f>IF(InventarioProductos[[#This Row],[Existencias]]&lt;InventarioProductos[[#This Row],[Umbral]],"SI","NO")</f>
        <v>NO</v>
      </c>
    </row>
    <row r="204" spans="1:4">
      <c r="A204" s="18" t="s">
        <v>569</v>
      </c>
      <c r="B204" s="52">
        <v>2</v>
      </c>
      <c r="C204" s="53">
        <v>2</v>
      </c>
      <c r="D204" s="59" t="str">
        <f>IF(InventarioProductos[[#This Row],[Existencias]]&lt;InventarioProductos[[#This Row],[Umbral]],"SI","NO")</f>
        <v>NO</v>
      </c>
    </row>
    <row r="205" spans="1:4">
      <c r="A205" s="18" t="s">
        <v>571</v>
      </c>
      <c r="B205" s="52">
        <v>2</v>
      </c>
      <c r="C205" s="53">
        <v>2</v>
      </c>
      <c r="D205" s="59" t="str">
        <f>IF(InventarioProductos[[#This Row],[Existencias]]&lt;InventarioProductos[[#This Row],[Umbral]],"SI","NO")</f>
        <v>NO</v>
      </c>
    </row>
    <row r="206" spans="1:4">
      <c r="A206" s="18" t="s">
        <v>573</v>
      </c>
      <c r="B206" s="52">
        <v>2</v>
      </c>
      <c r="C206" s="53">
        <v>2</v>
      </c>
      <c r="D206" s="59" t="str">
        <f>IF(InventarioProductos[[#This Row],[Existencias]]&lt;InventarioProductos[[#This Row],[Umbral]],"SI","NO")</f>
        <v>NO</v>
      </c>
    </row>
    <row r="207" spans="1:4">
      <c r="A207" s="18" t="s">
        <v>575</v>
      </c>
      <c r="B207" s="52">
        <v>2</v>
      </c>
      <c r="C207" s="53">
        <v>2</v>
      </c>
      <c r="D207" s="59" t="str">
        <f>IF(InventarioProductos[[#This Row],[Existencias]]&lt;InventarioProductos[[#This Row],[Umbral]],"SI","NO")</f>
        <v>NO</v>
      </c>
    </row>
    <row r="208" spans="1:4">
      <c r="A208" s="18" t="s">
        <v>579</v>
      </c>
      <c r="B208" s="52">
        <v>2</v>
      </c>
      <c r="C208" s="53">
        <v>2</v>
      </c>
      <c r="D208" s="59" t="str">
        <f>IF(InventarioProductos[[#This Row],[Existencias]]&lt;InventarioProductos[[#This Row],[Umbral]],"SI","NO")</f>
        <v>NO</v>
      </c>
    </row>
    <row r="209" spans="1:4">
      <c r="A209" s="18" t="s">
        <v>581</v>
      </c>
      <c r="B209" s="52">
        <v>2</v>
      </c>
      <c r="C209" s="53">
        <v>2</v>
      </c>
      <c r="D209" s="59" t="str">
        <f>IF(InventarioProductos[[#This Row],[Existencias]]&lt;InventarioProductos[[#This Row],[Umbral]],"SI","NO")</f>
        <v>NO</v>
      </c>
    </row>
    <row r="210" spans="1:4">
      <c r="A210" s="18" t="s">
        <v>583</v>
      </c>
      <c r="B210" s="52">
        <v>2</v>
      </c>
      <c r="C210" s="53">
        <v>2</v>
      </c>
      <c r="D210" s="59" t="str">
        <f>IF(InventarioProductos[[#This Row],[Existencias]]&lt;InventarioProductos[[#This Row],[Umbral]],"SI","NO")</f>
        <v>NO</v>
      </c>
    </row>
    <row r="211" spans="1:4">
      <c r="A211" s="18" t="s">
        <v>585</v>
      </c>
      <c r="B211" s="52">
        <v>2</v>
      </c>
      <c r="C211" s="53">
        <v>2</v>
      </c>
      <c r="D211" s="59" t="str">
        <f>IF(InventarioProductos[[#This Row],[Existencias]]&lt;InventarioProductos[[#This Row],[Umbral]],"SI","NO")</f>
        <v>NO</v>
      </c>
    </row>
    <row r="212" spans="1:4">
      <c r="A212" s="18" t="s">
        <v>587</v>
      </c>
      <c r="B212" s="52">
        <v>2</v>
      </c>
      <c r="C212" s="53">
        <v>2</v>
      </c>
      <c r="D212" s="59" t="str">
        <f>IF(InventarioProductos[[#This Row],[Existencias]]&lt;InventarioProductos[[#This Row],[Umbral]],"SI","NO")</f>
        <v>NO</v>
      </c>
    </row>
    <row r="213" spans="1:4">
      <c r="A213" s="18" t="s">
        <v>589</v>
      </c>
      <c r="B213" s="52">
        <v>2</v>
      </c>
      <c r="C213" s="53">
        <v>2</v>
      </c>
      <c r="D213" s="59" t="str">
        <f>IF(InventarioProductos[[#This Row],[Existencias]]&lt;InventarioProductos[[#This Row],[Umbral]],"SI","NO")</f>
        <v>NO</v>
      </c>
    </row>
    <row r="214" spans="1:4">
      <c r="A214" s="18" t="s">
        <v>591</v>
      </c>
      <c r="B214" s="52">
        <v>2</v>
      </c>
      <c r="C214" s="53">
        <v>2</v>
      </c>
      <c r="D214" s="59" t="str">
        <f>IF(InventarioProductos[[#This Row],[Existencias]]&lt;InventarioProductos[[#This Row],[Umbral]],"SI","NO")</f>
        <v>NO</v>
      </c>
    </row>
    <row r="215" spans="1:4">
      <c r="A215" s="18" t="s">
        <v>593</v>
      </c>
      <c r="B215" s="52">
        <v>2</v>
      </c>
      <c r="C215" s="53">
        <v>2</v>
      </c>
      <c r="D215" s="59" t="str">
        <f>IF(InventarioProductos[[#This Row],[Existencias]]&lt;InventarioProductos[[#This Row],[Umbral]],"SI","NO")</f>
        <v>NO</v>
      </c>
    </row>
    <row r="216" spans="1:4">
      <c r="A216" s="18" t="s">
        <v>595</v>
      </c>
      <c r="B216" s="52">
        <v>2</v>
      </c>
      <c r="C216" s="53">
        <v>2</v>
      </c>
      <c r="D216" s="59" t="str">
        <f>IF(InventarioProductos[[#This Row],[Existencias]]&lt;InventarioProductos[[#This Row],[Umbral]],"SI","NO")</f>
        <v>NO</v>
      </c>
    </row>
    <row r="217" spans="1:4">
      <c r="A217" s="18" t="s">
        <v>597</v>
      </c>
      <c r="B217" s="52">
        <v>2</v>
      </c>
      <c r="C217" s="53">
        <v>2</v>
      </c>
      <c r="D217" s="59" t="str">
        <f>IF(InventarioProductos[[#This Row],[Existencias]]&lt;InventarioProductos[[#This Row],[Umbral]],"SI","NO")</f>
        <v>NO</v>
      </c>
    </row>
    <row r="218" spans="1:4">
      <c r="A218" s="18" t="s">
        <v>599</v>
      </c>
      <c r="B218" s="52">
        <v>2</v>
      </c>
      <c r="C218" s="53">
        <v>2</v>
      </c>
      <c r="D218" s="59" t="str">
        <f>IF(InventarioProductos[[#This Row],[Existencias]]&lt;InventarioProductos[[#This Row],[Umbral]],"SI","NO")</f>
        <v>NO</v>
      </c>
    </row>
    <row r="219" spans="1:4">
      <c r="A219" s="18" t="s">
        <v>601</v>
      </c>
      <c r="B219" s="52">
        <v>2</v>
      </c>
      <c r="C219" s="53">
        <v>2</v>
      </c>
      <c r="D219" s="59" t="str">
        <f>IF(InventarioProductos[[#This Row],[Existencias]]&lt;InventarioProductos[[#This Row],[Umbral]],"SI","NO")</f>
        <v>NO</v>
      </c>
    </row>
    <row r="220" spans="1:4">
      <c r="A220" s="18" t="s">
        <v>603</v>
      </c>
      <c r="B220" s="52">
        <v>2</v>
      </c>
      <c r="C220" s="53">
        <v>2</v>
      </c>
      <c r="D220" s="59" t="str">
        <f>IF(InventarioProductos[[#This Row],[Existencias]]&lt;InventarioProductos[[#This Row],[Umbral]],"SI","NO")</f>
        <v>NO</v>
      </c>
    </row>
    <row r="221" spans="1:4">
      <c r="A221" s="18" t="s">
        <v>605</v>
      </c>
      <c r="B221" s="52">
        <v>2</v>
      </c>
      <c r="C221" s="53">
        <v>2</v>
      </c>
      <c r="D221" s="59" t="str">
        <f>IF(InventarioProductos[[#This Row],[Existencias]]&lt;InventarioProductos[[#This Row],[Umbral]],"SI","NO")</f>
        <v>NO</v>
      </c>
    </row>
    <row r="222" spans="1:4">
      <c r="A222" s="18" t="s">
        <v>607</v>
      </c>
      <c r="B222" s="52">
        <v>2</v>
      </c>
      <c r="C222" s="53">
        <v>2</v>
      </c>
      <c r="D222" s="59" t="str">
        <f>IF(InventarioProductos[[#This Row],[Existencias]]&lt;InventarioProductos[[#This Row],[Umbral]],"SI","NO")</f>
        <v>NO</v>
      </c>
    </row>
    <row r="223" spans="1:4">
      <c r="A223" s="18" t="s">
        <v>609</v>
      </c>
      <c r="B223" s="52">
        <v>2</v>
      </c>
      <c r="C223" s="53">
        <v>2</v>
      </c>
      <c r="D223" s="59" t="str">
        <f>IF(InventarioProductos[[#This Row],[Existencias]]&lt;InventarioProductos[[#This Row],[Umbral]],"SI","NO")</f>
        <v>NO</v>
      </c>
    </row>
    <row r="224" spans="1:4">
      <c r="A224" s="18" t="s">
        <v>611</v>
      </c>
      <c r="B224" s="52">
        <v>2</v>
      </c>
      <c r="C224" s="53">
        <v>2</v>
      </c>
      <c r="D224" s="59" t="str">
        <f>IF(InventarioProductos[[#This Row],[Existencias]]&lt;InventarioProductos[[#This Row],[Umbral]],"SI","NO")</f>
        <v>NO</v>
      </c>
    </row>
    <row r="225" spans="1:4">
      <c r="A225" s="18" t="s">
        <v>613</v>
      </c>
      <c r="B225" s="52">
        <v>2</v>
      </c>
      <c r="C225" s="53">
        <v>2</v>
      </c>
      <c r="D225" s="59" t="str">
        <f>IF(InventarioProductos[[#This Row],[Existencias]]&lt;InventarioProductos[[#This Row],[Umbral]],"SI","NO")</f>
        <v>NO</v>
      </c>
    </row>
    <row r="226" spans="1:4">
      <c r="A226" s="18" t="s">
        <v>615</v>
      </c>
      <c r="B226" s="52">
        <v>2</v>
      </c>
      <c r="C226" s="53">
        <v>2</v>
      </c>
      <c r="D226" s="59" t="str">
        <f>IF(InventarioProductos[[#This Row],[Existencias]]&lt;InventarioProductos[[#This Row],[Umbral]],"SI","NO")</f>
        <v>NO</v>
      </c>
    </row>
    <row r="227" spans="1:4">
      <c r="A227" s="18" t="s">
        <v>617</v>
      </c>
      <c r="B227" s="52">
        <v>2</v>
      </c>
      <c r="C227" s="53">
        <v>2</v>
      </c>
      <c r="D227" s="59" t="str">
        <f>IF(InventarioProductos[[#This Row],[Existencias]]&lt;InventarioProductos[[#This Row],[Umbral]],"SI","NO")</f>
        <v>NO</v>
      </c>
    </row>
    <row r="228" spans="1:4">
      <c r="A228" s="18" t="s">
        <v>619</v>
      </c>
      <c r="B228" s="52">
        <v>2</v>
      </c>
      <c r="C228" s="53">
        <v>2</v>
      </c>
      <c r="D228" s="59" t="str">
        <f>IF(InventarioProductos[[#This Row],[Existencias]]&lt;InventarioProductos[[#This Row],[Umbral]],"SI","NO")</f>
        <v>NO</v>
      </c>
    </row>
    <row r="229" spans="1:4">
      <c r="A229" s="18" t="s">
        <v>621</v>
      </c>
      <c r="B229" s="52">
        <v>2</v>
      </c>
      <c r="C229" s="53">
        <v>2</v>
      </c>
      <c r="D229" s="59" t="str">
        <f>IF(InventarioProductos[[#This Row],[Existencias]]&lt;InventarioProductos[[#This Row],[Umbral]],"SI","NO")</f>
        <v>NO</v>
      </c>
    </row>
    <row r="230" spans="1:4">
      <c r="A230" s="18" t="s">
        <v>623</v>
      </c>
      <c r="B230" s="52">
        <v>2</v>
      </c>
      <c r="C230" s="53">
        <v>2</v>
      </c>
      <c r="D230" s="59" t="str">
        <f>IF(InventarioProductos[[#This Row],[Existencias]]&lt;InventarioProductos[[#This Row],[Umbral]],"SI","NO")</f>
        <v>NO</v>
      </c>
    </row>
    <row r="231" spans="1:4">
      <c r="A231" s="18" t="s">
        <v>625</v>
      </c>
      <c r="B231" s="52">
        <v>2</v>
      </c>
      <c r="C231" s="53">
        <v>2</v>
      </c>
      <c r="D231" s="59" t="str">
        <f>IF(InventarioProductos[[#This Row],[Existencias]]&lt;InventarioProductos[[#This Row],[Umbral]],"SI","NO")</f>
        <v>NO</v>
      </c>
    </row>
    <row r="232" spans="1:4">
      <c r="A232" s="18" t="s">
        <v>627</v>
      </c>
      <c r="B232" s="52">
        <v>2</v>
      </c>
      <c r="C232" s="53">
        <v>2</v>
      </c>
      <c r="D232" s="59" t="str">
        <f>IF(InventarioProductos[[#This Row],[Existencias]]&lt;InventarioProductos[[#This Row],[Umbral]],"SI","NO")</f>
        <v>NO</v>
      </c>
    </row>
    <row r="233" spans="1:4">
      <c r="A233" s="18" t="s">
        <v>629</v>
      </c>
      <c r="B233" s="52">
        <v>2</v>
      </c>
      <c r="C233" s="53">
        <v>2</v>
      </c>
      <c r="D233" s="59" t="str">
        <f>IF(InventarioProductos[[#This Row],[Existencias]]&lt;InventarioProductos[[#This Row],[Umbral]],"SI","NO")</f>
        <v>NO</v>
      </c>
    </row>
    <row r="234" spans="1:4">
      <c r="A234" s="18" t="s">
        <v>631</v>
      </c>
      <c r="B234" s="52">
        <v>2</v>
      </c>
      <c r="C234" s="53">
        <v>2</v>
      </c>
      <c r="D234" s="59" t="str">
        <f>IF(InventarioProductos[[#This Row],[Existencias]]&lt;InventarioProductos[[#This Row],[Umbral]],"SI","NO")</f>
        <v>NO</v>
      </c>
    </row>
    <row r="235" spans="1:4">
      <c r="A235" s="18" t="s">
        <v>633</v>
      </c>
      <c r="B235" s="52">
        <v>2</v>
      </c>
      <c r="C235" s="53">
        <v>2</v>
      </c>
      <c r="D235" s="59" t="str">
        <f>IF(InventarioProductos[[#This Row],[Existencias]]&lt;InventarioProductos[[#This Row],[Umbral]],"SI","NO")</f>
        <v>NO</v>
      </c>
    </row>
    <row r="236" spans="1:4">
      <c r="A236" s="18" t="s">
        <v>635</v>
      </c>
      <c r="B236" s="52">
        <v>2</v>
      </c>
      <c r="C236" s="53">
        <v>2</v>
      </c>
      <c r="D236" s="59" t="str">
        <f>IF(InventarioProductos[[#This Row],[Existencias]]&lt;InventarioProductos[[#This Row],[Umbral]],"SI","NO")</f>
        <v>NO</v>
      </c>
    </row>
    <row r="237" spans="1:4">
      <c r="A237" s="18" t="s">
        <v>639</v>
      </c>
      <c r="B237" s="52">
        <v>2</v>
      </c>
      <c r="C237" s="53">
        <v>2</v>
      </c>
      <c r="D237" s="59" t="str">
        <f>IF(InventarioProductos[[#This Row],[Existencias]]&lt;InventarioProductos[[#This Row],[Umbral]],"SI","NO")</f>
        <v>NO</v>
      </c>
    </row>
    <row r="238" spans="1:4">
      <c r="A238" s="18" t="s">
        <v>641</v>
      </c>
      <c r="B238" s="52">
        <v>2</v>
      </c>
      <c r="C238" s="53">
        <v>2</v>
      </c>
      <c r="D238" s="59" t="str">
        <f>IF(InventarioProductos[[#This Row],[Existencias]]&lt;InventarioProductos[[#This Row],[Umbral]],"SI","NO")</f>
        <v>NO</v>
      </c>
    </row>
    <row r="239" spans="1:4">
      <c r="A239" s="18" t="s">
        <v>643</v>
      </c>
      <c r="B239" s="52">
        <v>2</v>
      </c>
      <c r="C239" s="53">
        <v>2</v>
      </c>
      <c r="D239" s="59" t="str">
        <f>IF(InventarioProductos[[#This Row],[Existencias]]&lt;InventarioProductos[[#This Row],[Umbral]],"SI","NO")</f>
        <v>NO</v>
      </c>
    </row>
    <row r="240" spans="1:4">
      <c r="A240" s="18" t="s">
        <v>645</v>
      </c>
      <c r="B240" s="52">
        <v>2</v>
      </c>
      <c r="C240" s="53">
        <v>2</v>
      </c>
      <c r="D240" s="59" t="str">
        <f>IF(InventarioProductos[[#This Row],[Existencias]]&lt;InventarioProductos[[#This Row],[Umbral]],"SI","NO")</f>
        <v>NO</v>
      </c>
    </row>
    <row r="241" spans="1:4">
      <c r="A241" s="18" t="s">
        <v>647</v>
      </c>
      <c r="B241" s="52">
        <v>2</v>
      </c>
      <c r="C241" s="53">
        <v>2</v>
      </c>
      <c r="D241" s="59" t="str">
        <f>IF(InventarioProductos[[#This Row],[Existencias]]&lt;InventarioProductos[[#This Row],[Umbral]],"SI","NO")</f>
        <v>NO</v>
      </c>
    </row>
    <row r="242" spans="1:4">
      <c r="A242" s="18" t="s">
        <v>649</v>
      </c>
      <c r="B242" s="52">
        <v>2</v>
      </c>
      <c r="C242" s="53">
        <v>2</v>
      </c>
      <c r="D242" s="59" t="str">
        <f>IF(InventarioProductos[[#This Row],[Existencias]]&lt;InventarioProductos[[#This Row],[Umbral]],"SI","NO")</f>
        <v>NO</v>
      </c>
    </row>
    <row r="243" spans="1:4">
      <c r="A243" s="18" t="s">
        <v>651</v>
      </c>
      <c r="B243" s="52">
        <v>2</v>
      </c>
      <c r="C243" s="53">
        <v>2</v>
      </c>
      <c r="D243" s="59" t="str">
        <f>IF(InventarioProductos[[#This Row],[Existencias]]&lt;InventarioProductos[[#This Row],[Umbral]],"SI","NO")</f>
        <v>NO</v>
      </c>
    </row>
    <row r="244" spans="1:4">
      <c r="A244" s="18" t="s">
        <v>653</v>
      </c>
      <c r="B244" s="52">
        <v>2</v>
      </c>
      <c r="C244" s="53">
        <v>2</v>
      </c>
      <c r="D244" s="59" t="str">
        <f>IF(InventarioProductos[[#This Row],[Existencias]]&lt;InventarioProductos[[#This Row],[Umbral]],"SI","NO")</f>
        <v>NO</v>
      </c>
    </row>
    <row r="245" spans="1:4">
      <c r="A245" s="18" t="s">
        <v>655</v>
      </c>
      <c r="B245" s="52">
        <v>2</v>
      </c>
      <c r="C245" s="53">
        <v>2</v>
      </c>
      <c r="D245" s="59" t="str">
        <f>IF(InventarioProductos[[#This Row],[Existencias]]&lt;InventarioProductos[[#This Row],[Umbral]],"SI","NO")</f>
        <v>NO</v>
      </c>
    </row>
    <row r="246" spans="1:4">
      <c r="A246" s="18" t="s">
        <v>657</v>
      </c>
      <c r="B246" s="52">
        <v>2</v>
      </c>
      <c r="C246" s="53">
        <v>2</v>
      </c>
      <c r="D246" s="59" t="str">
        <f>IF(InventarioProductos[[#This Row],[Existencias]]&lt;InventarioProductos[[#This Row],[Umbral]],"SI","NO")</f>
        <v>NO</v>
      </c>
    </row>
    <row r="247" spans="1:4">
      <c r="A247" s="18" t="s">
        <v>659</v>
      </c>
      <c r="B247" s="52">
        <v>2</v>
      </c>
      <c r="C247" s="53">
        <v>2</v>
      </c>
      <c r="D247" s="59" t="str">
        <f>IF(InventarioProductos[[#This Row],[Existencias]]&lt;InventarioProductos[[#This Row],[Umbral]],"SI","NO")</f>
        <v>NO</v>
      </c>
    </row>
    <row r="248" spans="1:4">
      <c r="A248" s="18" t="s">
        <v>661</v>
      </c>
      <c r="B248" s="52">
        <v>2</v>
      </c>
      <c r="C248" s="53">
        <v>2</v>
      </c>
      <c r="D248" s="59" t="str">
        <f>IF(InventarioProductos[[#This Row],[Existencias]]&lt;InventarioProductos[[#This Row],[Umbral]],"SI","NO")</f>
        <v>NO</v>
      </c>
    </row>
    <row r="249" spans="1:4">
      <c r="A249" s="18" t="s">
        <v>663</v>
      </c>
      <c r="B249" s="52">
        <v>2</v>
      </c>
      <c r="C249" s="53">
        <v>2</v>
      </c>
      <c r="D249" s="59" t="str">
        <f>IF(InventarioProductos[[#This Row],[Existencias]]&lt;InventarioProductos[[#This Row],[Umbral]],"SI","NO")</f>
        <v>NO</v>
      </c>
    </row>
    <row r="250" spans="1:4">
      <c r="A250" s="18" t="s">
        <v>665</v>
      </c>
      <c r="B250" s="52">
        <v>2</v>
      </c>
      <c r="C250" s="53">
        <v>2</v>
      </c>
      <c r="D250" s="59" t="str">
        <f>IF(InventarioProductos[[#This Row],[Existencias]]&lt;InventarioProductos[[#This Row],[Umbral]],"SI","NO")</f>
        <v>NO</v>
      </c>
    </row>
    <row r="251" spans="1:4">
      <c r="A251" s="18" t="s">
        <v>667</v>
      </c>
      <c r="B251" s="52">
        <v>2</v>
      </c>
      <c r="C251" s="53">
        <v>2</v>
      </c>
      <c r="D251" s="59" t="str">
        <f>IF(InventarioProductos[[#This Row],[Existencias]]&lt;InventarioProductos[[#This Row],[Umbral]],"SI","NO")</f>
        <v>NO</v>
      </c>
    </row>
    <row r="252" spans="1:4">
      <c r="A252" s="18" t="s">
        <v>669</v>
      </c>
      <c r="B252" s="52">
        <v>2</v>
      </c>
      <c r="C252" s="53">
        <v>2</v>
      </c>
      <c r="D252" s="59" t="str">
        <f>IF(InventarioProductos[[#This Row],[Existencias]]&lt;InventarioProductos[[#This Row],[Umbral]],"SI","NO")</f>
        <v>NO</v>
      </c>
    </row>
    <row r="253" spans="1:4">
      <c r="A253" s="18" t="s">
        <v>671</v>
      </c>
      <c r="B253" s="52">
        <v>2</v>
      </c>
      <c r="C253" s="53">
        <v>2</v>
      </c>
      <c r="D253" s="59" t="str">
        <f>IF(InventarioProductos[[#This Row],[Existencias]]&lt;InventarioProductos[[#This Row],[Umbral]],"SI","NO")</f>
        <v>NO</v>
      </c>
    </row>
    <row r="254" spans="1:4">
      <c r="A254" s="18" t="s">
        <v>673</v>
      </c>
      <c r="B254" s="52">
        <v>2</v>
      </c>
      <c r="C254" s="53">
        <v>2</v>
      </c>
      <c r="D254" s="59" t="str">
        <f>IF(InventarioProductos[[#This Row],[Existencias]]&lt;InventarioProductos[[#This Row],[Umbral]],"SI","NO")</f>
        <v>NO</v>
      </c>
    </row>
    <row r="255" spans="1:4">
      <c r="A255" s="18" t="s">
        <v>675</v>
      </c>
      <c r="B255" s="52">
        <v>2</v>
      </c>
      <c r="C255" s="53">
        <v>2</v>
      </c>
      <c r="D255" s="59" t="str">
        <f>IF(InventarioProductos[[#This Row],[Existencias]]&lt;InventarioProductos[[#This Row],[Umbral]],"SI","NO")</f>
        <v>NO</v>
      </c>
    </row>
    <row r="256" spans="1:4">
      <c r="A256" s="18" t="s">
        <v>677</v>
      </c>
      <c r="B256" s="52">
        <v>2</v>
      </c>
      <c r="C256" s="53">
        <v>2</v>
      </c>
      <c r="D256" s="59" t="str">
        <f>IF(InventarioProductos[[#This Row],[Existencias]]&lt;InventarioProductos[[#This Row],[Umbral]],"SI","NO")</f>
        <v>NO</v>
      </c>
    </row>
    <row r="257" spans="1:4">
      <c r="A257" s="18" t="s">
        <v>131</v>
      </c>
      <c r="B257" s="52">
        <v>2</v>
      </c>
      <c r="C257" s="53">
        <v>2</v>
      </c>
      <c r="D257" s="59" t="str">
        <f>IF(InventarioProductos[[#This Row],[Existencias]]&lt;InventarioProductos[[#This Row],[Umbral]],"SI","NO")</f>
        <v>NO</v>
      </c>
    </row>
    <row r="258" spans="1:4">
      <c r="A258" s="18" t="s">
        <v>130</v>
      </c>
      <c r="B258" s="52">
        <v>2</v>
      </c>
      <c r="C258" s="53">
        <v>2</v>
      </c>
      <c r="D258" s="59" t="str">
        <f>IF(InventarioProductos[[#This Row],[Existencias]]&lt;InventarioProductos[[#This Row],[Umbral]],"SI","NO")</f>
        <v>NO</v>
      </c>
    </row>
    <row r="259" spans="1:4">
      <c r="A259" s="18" t="s">
        <v>127</v>
      </c>
      <c r="B259" s="52">
        <v>2</v>
      </c>
      <c r="C259" s="53">
        <v>2</v>
      </c>
      <c r="D259" s="59" t="str">
        <f>IF(InventarioProductos[[#This Row],[Existencias]]&lt;InventarioProductos[[#This Row],[Umbral]],"SI","NO")</f>
        <v>NO</v>
      </c>
    </row>
    <row r="260" spans="1:4">
      <c r="A260" s="18" t="s">
        <v>682</v>
      </c>
      <c r="B260" s="52">
        <v>2</v>
      </c>
      <c r="C260" s="53">
        <v>2</v>
      </c>
      <c r="D260" s="59" t="str">
        <f>IF(InventarioProductos[[#This Row],[Existencias]]&lt;InventarioProductos[[#This Row],[Umbral]],"SI","NO")</f>
        <v>NO</v>
      </c>
    </row>
    <row r="261" spans="1:4">
      <c r="A261" s="18" t="s">
        <v>684</v>
      </c>
      <c r="B261" s="52">
        <v>2</v>
      </c>
      <c r="C261" s="53">
        <v>2</v>
      </c>
      <c r="D261" s="59" t="str">
        <f>IF(InventarioProductos[[#This Row],[Existencias]]&lt;InventarioProductos[[#This Row],[Umbral]],"SI","NO")</f>
        <v>NO</v>
      </c>
    </row>
    <row r="262" spans="1:4">
      <c r="A262" s="18" t="s">
        <v>686</v>
      </c>
      <c r="B262" s="52">
        <v>2</v>
      </c>
      <c r="C262" s="53">
        <v>2</v>
      </c>
      <c r="D262" s="59" t="str">
        <f>IF(InventarioProductos[[#This Row],[Existencias]]&lt;InventarioProductos[[#This Row],[Umbral]],"SI","NO")</f>
        <v>NO</v>
      </c>
    </row>
    <row r="263" spans="1:4">
      <c r="A263" s="18" t="s">
        <v>688</v>
      </c>
      <c r="B263" s="52">
        <v>2</v>
      </c>
      <c r="C263" s="53">
        <v>2</v>
      </c>
      <c r="D263" s="59" t="str">
        <f>IF(InventarioProductos[[#This Row],[Existencias]]&lt;InventarioProductos[[#This Row],[Umbral]],"SI","NO")</f>
        <v>NO</v>
      </c>
    </row>
    <row r="264" spans="1:4">
      <c r="A264" s="18" t="s">
        <v>690</v>
      </c>
      <c r="B264" s="52">
        <v>2</v>
      </c>
      <c r="C264" s="53">
        <v>2</v>
      </c>
      <c r="D264" s="59" t="str">
        <f>IF(InventarioProductos[[#This Row],[Existencias]]&lt;InventarioProductos[[#This Row],[Umbral]],"SI","NO")</f>
        <v>NO</v>
      </c>
    </row>
    <row r="265" spans="1:4">
      <c r="A265" s="18" t="s">
        <v>694</v>
      </c>
      <c r="B265" s="52">
        <v>2</v>
      </c>
      <c r="C265" s="53">
        <v>2</v>
      </c>
      <c r="D265" s="59" t="str">
        <f>IF(InventarioProductos[[#This Row],[Existencias]]&lt;InventarioProductos[[#This Row],[Umbral]],"SI","NO")</f>
        <v>NO</v>
      </c>
    </row>
    <row r="266" spans="1:4">
      <c r="A266" s="18" t="s">
        <v>696</v>
      </c>
      <c r="B266" s="52">
        <v>2</v>
      </c>
      <c r="C266" s="53">
        <v>2</v>
      </c>
      <c r="D266" s="59" t="str">
        <f>IF(InventarioProductos[[#This Row],[Existencias]]&lt;InventarioProductos[[#This Row],[Umbral]],"SI","NO")</f>
        <v>NO</v>
      </c>
    </row>
    <row r="267" spans="1:4">
      <c r="A267" s="18" t="s">
        <v>698</v>
      </c>
      <c r="B267" s="52">
        <v>2</v>
      </c>
      <c r="C267" s="53">
        <v>2</v>
      </c>
      <c r="D267" s="59" t="str">
        <f>IF(InventarioProductos[[#This Row],[Existencias]]&lt;InventarioProductos[[#This Row],[Umbral]],"SI","NO")</f>
        <v>NO</v>
      </c>
    </row>
    <row r="268" spans="1:4">
      <c r="A268" s="18" t="s">
        <v>700</v>
      </c>
      <c r="B268" s="52">
        <v>2</v>
      </c>
      <c r="C268" s="53">
        <v>2</v>
      </c>
      <c r="D268" s="59" t="str">
        <f>IF(InventarioProductos[[#This Row],[Existencias]]&lt;InventarioProductos[[#This Row],[Umbral]],"SI","NO")</f>
        <v>NO</v>
      </c>
    </row>
    <row r="269" spans="1:4">
      <c r="A269" s="18" t="s">
        <v>702</v>
      </c>
      <c r="B269" s="52">
        <v>2</v>
      </c>
      <c r="C269" s="53">
        <v>2</v>
      </c>
      <c r="D269" s="59" t="str">
        <f>IF(InventarioProductos[[#This Row],[Existencias]]&lt;InventarioProductos[[#This Row],[Umbral]],"SI","NO")</f>
        <v>NO</v>
      </c>
    </row>
    <row r="270" spans="1:4">
      <c r="A270" s="18" t="s">
        <v>704</v>
      </c>
      <c r="B270" s="52">
        <v>2</v>
      </c>
      <c r="C270" s="53">
        <v>2</v>
      </c>
      <c r="D270" s="59" t="str">
        <f>IF(InventarioProductos[[#This Row],[Existencias]]&lt;InventarioProductos[[#This Row],[Umbral]],"SI","NO")</f>
        <v>NO</v>
      </c>
    </row>
    <row r="271" spans="1:4">
      <c r="A271" s="21" t="s">
        <v>706</v>
      </c>
      <c r="B271" s="56">
        <v>2</v>
      </c>
      <c r="C271" s="57">
        <v>2</v>
      </c>
      <c r="D271" s="59" t="str">
        <f>IF(InventarioProductos[[#This Row],[Existencias]]&lt;InventarioProductos[[#This Row],[Umbral]],"SI","NO")</f>
        <v>NO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2"/>
  <sheetViews>
    <sheetView tabSelected="1" zoomScale="90" zoomScaleNormal="90" workbookViewId="0">
      <pane xSplit="1" ySplit="1" topLeftCell="R2" activePane="bottomRight" state="frozen"/>
      <selection pane="topRight" activeCell="E1" sqref="E1"/>
      <selection pane="bottomLeft" activeCell="A2" sqref="A2"/>
      <selection pane="bottomRight" activeCell="R46" sqref="R46"/>
    </sheetView>
  </sheetViews>
  <sheetFormatPr baseColWidth="10" defaultColWidth="8.7109375" defaultRowHeight="15"/>
  <cols>
    <col min="1" max="1" width="30.7109375" customWidth="1"/>
    <col min="2" max="2" width="15" customWidth="1"/>
    <col min="3" max="28" width="30.7109375" style="60" customWidth="1"/>
    <col min="29" max="34" width="20.7109375" style="60" customWidth="1"/>
    <col min="35" max="42" width="15.7109375" style="60" customWidth="1"/>
  </cols>
  <sheetData>
    <row r="1" spans="1:28" ht="28.5">
      <c r="A1" s="61" t="s">
        <v>136</v>
      </c>
      <c r="B1" s="62" t="s">
        <v>716</v>
      </c>
      <c r="C1" s="63" t="s">
        <v>717</v>
      </c>
      <c r="D1" s="63" t="s">
        <v>718</v>
      </c>
      <c r="E1" s="63" t="s">
        <v>719</v>
      </c>
      <c r="F1" s="63" t="s">
        <v>720</v>
      </c>
      <c r="G1" s="63" t="s">
        <v>721</v>
      </c>
      <c r="H1" s="63" t="s">
        <v>722</v>
      </c>
      <c r="I1" s="63" t="s">
        <v>46</v>
      </c>
      <c r="J1" s="63" t="s">
        <v>723</v>
      </c>
      <c r="K1" s="63" t="s">
        <v>724</v>
      </c>
      <c r="L1" s="63" t="s">
        <v>725</v>
      </c>
      <c r="M1" s="63" t="s">
        <v>726</v>
      </c>
      <c r="N1" s="63" t="s">
        <v>727</v>
      </c>
      <c r="O1" s="63" t="s">
        <v>728</v>
      </c>
      <c r="P1" s="63" t="s">
        <v>729</v>
      </c>
      <c r="Q1" s="63" t="s">
        <v>730</v>
      </c>
      <c r="R1" s="63" t="s">
        <v>731</v>
      </c>
      <c r="S1" s="63" t="s">
        <v>732</v>
      </c>
      <c r="T1" s="63" t="s">
        <v>733</v>
      </c>
      <c r="U1" s="63" t="s">
        <v>734</v>
      </c>
      <c r="V1" s="63" t="s">
        <v>735</v>
      </c>
      <c r="W1" s="63" t="s">
        <v>736</v>
      </c>
      <c r="X1" s="63" t="s">
        <v>737</v>
      </c>
      <c r="Y1" s="63" t="s">
        <v>738</v>
      </c>
      <c r="Z1" s="63" t="s">
        <v>739</v>
      </c>
      <c r="AA1" s="63" t="s">
        <v>740</v>
      </c>
      <c r="AB1" s="64" t="s">
        <v>741</v>
      </c>
    </row>
    <row r="2" spans="1:28">
      <c r="A2" s="65" t="s">
        <v>742</v>
      </c>
      <c r="B2" s="66" t="s">
        <v>743</v>
      </c>
      <c r="C2" s="67">
        <v>1</v>
      </c>
      <c r="D2" s="67">
        <v>1</v>
      </c>
      <c r="E2" s="67">
        <v>1</v>
      </c>
      <c r="F2" s="67">
        <v>1</v>
      </c>
      <c r="G2" s="67">
        <v>1</v>
      </c>
      <c r="H2" s="67">
        <v>1.5</v>
      </c>
      <c r="I2" s="67">
        <v>4</v>
      </c>
      <c r="J2" s="67">
        <v>1</v>
      </c>
      <c r="K2" s="67">
        <v>1</v>
      </c>
      <c r="L2" s="67">
        <v>1</v>
      </c>
      <c r="M2" s="67">
        <v>1</v>
      </c>
      <c r="N2" s="67">
        <v>40</v>
      </c>
      <c r="O2" s="67">
        <v>1</v>
      </c>
      <c r="P2" s="67">
        <v>0</v>
      </c>
      <c r="Q2" s="67">
        <v>1</v>
      </c>
      <c r="R2" s="67">
        <v>20</v>
      </c>
      <c r="S2" s="67">
        <v>1</v>
      </c>
      <c r="T2" s="67">
        <v>1</v>
      </c>
      <c r="U2" s="67">
        <v>10</v>
      </c>
      <c r="V2" s="67">
        <v>4</v>
      </c>
      <c r="W2" s="67">
        <v>1</v>
      </c>
      <c r="X2" s="67">
        <v>1</v>
      </c>
      <c r="Y2" s="67">
        <v>1</v>
      </c>
      <c r="Z2" s="67">
        <v>1</v>
      </c>
      <c r="AA2" s="67">
        <v>20</v>
      </c>
      <c r="AB2" s="68">
        <v>1</v>
      </c>
    </row>
    <row r="3" spans="1:28" hidden="1">
      <c r="A3" s="18" t="s">
        <v>744</v>
      </c>
      <c r="B3" s="31">
        <f t="shared" ref="B3:B42" si="0">SUM(C3:AB3)</f>
        <v>0.40900000000000003</v>
      </c>
      <c r="C3" s="69">
        <f>C$2*IFERROR(INDEX(BlanqueadorDesinfectante[],MATCH(Produccion[[#This Row],[PRODUCTO]],BlanqueadorDesinfectante[M.P.],0),2),0)</f>
        <v>0</v>
      </c>
      <c r="D3" s="69">
        <f>$D$2*IFERROR(INDEX(AmbientadorPiso[],MATCH(Produccion[[#This Row],[PRODUCTO]],AmbientadorPiso[M.P.],0),2),0)</f>
        <v>3.0000000000000001E-3</v>
      </c>
      <c r="E3" s="69">
        <f>E$2*IFERROR(INDEX(BlanqueadorDesinfectante[],MATCH(Produccion[[#This Row],[PRODUCTO]],BlanqueadorDesinfectante[M.P.],0),2),0)</f>
        <v>0</v>
      </c>
      <c r="F3" s="69">
        <f>F$2*IFERROR(INDEX(BlanqueadorDesinfectante[],MATCH(Produccion[[#This Row],[PRODUCTO]],BlanqueadorDesinfectante[M.P.],0),2),0)</f>
        <v>0</v>
      </c>
      <c r="G3" s="69">
        <f>G$2*IFERROR(INDEX(BlanqueadorDesinfectante[],MATCH(Produccion[[#This Row],[PRODUCTO]],BlanqueadorDesinfectante[M.P.],0),2),0)</f>
        <v>0</v>
      </c>
      <c r="H3" s="69">
        <f>H$2*IFERROR(INDEX(CeraAutobrillante[],MATCH(Produccion[[#This Row],[PRODUCTO]],CeraAutobrillante[M.P.],0),2),0)</f>
        <v>0</v>
      </c>
      <c r="I3" s="69">
        <f>I$2*IFERROR(INDEX(Creolina[],MATCH(Produccion[[#This Row],[PRODUCTO]],Creolina[M.P.],0),2),0)</f>
        <v>0</v>
      </c>
      <c r="J3" s="69">
        <f>J$2*IFERROR(INDEX(Desencrustante[],MATCH(Produccion[[#This Row],[PRODUCTO]],Desencrustante[M.P.],0),2),0)</f>
        <v>0</v>
      </c>
      <c r="K3" s="69">
        <f>K$2*IFERROR(INDEX(DesengrasanteAcido[],MATCH(Produccion[[#This Row],[PRODUCTO]],DesengrasanteAcido[M.P.],0),2),0)</f>
        <v>0</v>
      </c>
      <c r="L3" s="69">
        <f>L$2*IFERROR(INDEX(DesengrasanteEspumoso[],MATCH(Produccion[[#This Row],[PRODUCTO]],DesengrasanteEspumoso[M.P.],0),2),0)</f>
        <v>0</v>
      </c>
      <c r="M3" s="69">
        <f>M$2*IFERROR(INDEX(DesmanchadorRopaColor[],MATCH(Produccion[[#This Row],[PRODUCTO]],DesmanchadorRopaColor[M.P.],0),2),0)</f>
        <v>0</v>
      </c>
      <c r="N3" s="69">
        <f>N$2*IFERROR(INDEX(DetLavadora[],MATCH(Produccion[[#This Row],[PRODUCTO]],DetLavadora[M.P.],0),2),0)</f>
        <v>0.4</v>
      </c>
      <c r="O3" s="69">
        <f>O$2*IFERROR(INDEX(DetMultiusos[],MATCH(Produccion[[#This Row],[PRODUCTO]],DetMultiusos[M.P.],0),2),0)</f>
        <v>0</v>
      </c>
      <c r="P3" s="69">
        <f>P$2*IFERROR(INDEX(TipoRey[],MATCH(Produccion[[#This Row],[PRODUCTO]],TipoRey[M.P.],0),2),0)</f>
        <v>0</v>
      </c>
      <c r="Q3" s="69">
        <f>Q$2*IFERROR(INDEX(GelAntibacterial[],MATCH(Produccion[[#This Row],[PRODUCTO]],GelAntibacterial[M.P.],0),2),0)</f>
        <v>0</v>
      </c>
      <c r="R3" s="69">
        <f>R$2*IFERROR(INDEX(JabonManos[],MATCH(Produccion[[#This Row],[PRODUCTO]],JabonManos[M.P.],0),2),0)</f>
        <v>0</v>
      </c>
      <c r="S3" s="69">
        <f>S$2*IFERROR(INDEX(JabonLavaLoza[],MATCH(Produccion[[#This Row],[PRODUCTO]],JabonLavaLoza[M.P.],0),2),0)</f>
        <v>6.0000000000000001E-3</v>
      </c>
      <c r="T3" s="69">
        <f>T$2*IFERROR(INDEX(LimpiadorDeSuperficies[],MATCH(Produccion[[#This Row],[PRODUCTO]],LimpiadorDeSuperficies[M.P.],0),2),0)</f>
        <v>0</v>
      </c>
      <c r="U3" s="69">
        <f>U$2*IFERROR(INDEX(LimpiadorHornos[],MATCH(Produccion[[#This Row],[PRODUCTO]],LimpiadorHornos[M.P.],0),2),0)</f>
        <v>0</v>
      </c>
      <c r="V3" s="69">
        <f>V$2*IFERROR(INDEX(Limpiavidrios[],MATCH(Produccion[[#This Row],[PRODUCTO]],Limpiavidrios[M.P.],0),2),0)</f>
        <v>0</v>
      </c>
      <c r="W3" s="69">
        <f>W$2*IFERROR(INDEX(RemovedorDeCeras[],MATCH(Produccion[[#This Row],[PRODUCTO]],RemovedorDeCeras[M.P.],0),2),0)</f>
        <v>0</v>
      </c>
      <c r="X3" s="69">
        <f>X$2*IFERROR(INDEX(ShampooAlfombras[],MATCH(Produccion[[#This Row],[PRODUCTO]],ShampooAlfombras[M.P.],0),2),0)</f>
        <v>0</v>
      </c>
      <c r="Y3" s="69">
        <f>Y$2*IFERROR(INDEX(ShampooAuto[],MATCH(Produccion[[#This Row],[PRODUCTO]],ShampooAuto[M.P.],0),2),0)</f>
        <v>0</v>
      </c>
      <c r="Z3" s="69">
        <f>Z$2*IFERROR(INDEX(SiliconaAltoBrillo[],MATCH(Produccion[[#This Row],[PRODUCTO]],SiliconaAltoBrillo[M.P.],0),2),0)</f>
        <v>0</v>
      </c>
      <c r="AA3" s="69">
        <f>AA$2*IFERROR(INDEX(Suavizante[],MATCH(Produccion[[#This Row],[PRODUCTO]],Suavizante[M.P.],0),2),0)</f>
        <v>0</v>
      </c>
      <c r="AB3" s="70">
        <f>AB$2*IFERROR(INDEX(Vinagre[],MATCH(Produccion[[#This Row],[PRODUCTO]],Vinagre[M.P.],0),2),0)</f>
        <v>0</v>
      </c>
    </row>
    <row r="4" spans="1:28" hidden="1">
      <c r="A4" s="18" t="s">
        <v>745</v>
      </c>
      <c r="B4" s="31">
        <f t="shared" si="0"/>
        <v>4.129999999999999</v>
      </c>
      <c r="C4" s="69">
        <f>$C$2*IFERROR(INDEX(AlcoholIndustrial[],MATCH(Produccion[[#This Row],[PRODUCTO]],AlcoholIndustrial[M.P.],0),2),0)</f>
        <v>0</v>
      </c>
      <c r="D4" s="69">
        <f>$D$2*IFERROR(INDEX(AmbientadorPiso[],MATCH(Produccion[[#This Row],[PRODUCTO]],AmbientadorPiso[M.P.],0),2),0)</f>
        <v>0</v>
      </c>
      <c r="E4" s="69">
        <f>$E$2*IFERROR(INDEX(AmbientadorSpray[],MATCH(Produccion[[#This Row],[PRODUCTO]],AmbientadorSpray[M.P.],0),2),0)</f>
        <v>0</v>
      </c>
      <c r="F4" s="69">
        <f>$F$2*IFERROR(INDEX(Biovarsol[],MATCH(Produccion[[#This Row],[PRODUCTO]],Biovarsol[M.P.],0),2),0)</f>
        <v>0</v>
      </c>
      <c r="G4" s="69">
        <f>G$2*IFERROR(INDEX(BlanqueadorDesinfectante[],MATCH(Produccion[[#This Row],[PRODUCTO]],BlanqueadorDesinfectante[M.P.],0),2),0)</f>
        <v>0</v>
      </c>
      <c r="H4" s="69">
        <f>H$2*IFERROR(INDEX(CeraAutobrillante[],MATCH(Produccion[[#This Row],[PRODUCTO]],CeraAutobrillante[M.P.],0),2),0)</f>
        <v>0</v>
      </c>
      <c r="I4" s="69">
        <f>I$2*IFERROR(INDEX(Creolina[],MATCH(Produccion[[#This Row],[PRODUCTO]],Creolina[M.P.],0),2),0)</f>
        <v>0</v>
      </c>
      <c r="J4" s="69">
        <f>J$2*IFERROR(INDEX(Desencrustante[],MATCH(Produccion[[#This Row],[PRODUCTO]],Desencrustante[M.P.],0),2),0)</f>
        <v>0</v>
      </c>
      <c r="K4" s="69">
        <f>K$2*IFERROR(INDEX(DesengrasanteAcido[],MATCH(Produccion[[#This Row],[PRODUCTO]],DesengrasanteAcido[M.P.],0),2),0)</f>
        <v>0</v>
      </c>
      <c r="L4" s="69">
        <f>L$2*IFERROR(INDEX(DesengrasanteEspumoso[],MATCH(Produccion[[#This Row],[PRODUCTO]],DesengrasanteEspumoso[M.P.],0),2),0)</f>
        <v>0.1</v>
      </c>
      <c r="M4" s="69">
        <f>M$2*IFERROR(INDEX(DesmanchadorRopaColor[],MATCH(Produccion[[#This Row],[PRODUCTO]],DesmanchadorRopaColor[M.P.],0),2),0)</f>
        <v>0</v>
      </c>
      <c r="N4" s="69">
        <f>N$2*IFERROR(INDEX(DetLavadora[],MATCH(Produccion[[#This Row],[PRODUCTO]],DetLavadora[M.P.],0),2),0)</f>
        <v>3.5999999999999996</v>
      </c>
      <c r="O4" s="69">
        <f>O$2*IFERROR(INDEX(DetMultiusos[],MATCH(Produccion[[#This Row],[PRODUCTO]],DetMultiusos[M.P.],0),2),0)</f>
        <v>0.1</v>
      </c>
      <c r="P4" s="69">
        <f>P$2*IFERROR(INDEX(TipoRey[],MATCH(Produccion[[#This Row],[PRODUCTO]],TipoRey[M.P.],0),2),0)</f>
        <v>0</v>
      </c>
      <c r="Q4" s="69">
        <f>Q$2*IFERROR(INDEX(GelAntibacterial[],MATCH(Produccion[[#This Row],[PRODUCTO]],GelAntibacterial[M.P.],0),2),0)</f>
        <v>0</v>
      </c>
      <c r="R4" s="69">
        <f>R$2*IFERROR(INDEX(JabonManos[],MATCH(Produccion[[#This Row],[PRODUCTO]],JabonManos[M.P.],0),2),0)</f>
        <v>0</v>
      </c>
      <c r="S4" s="69">
        <f>S$2*IFERROR(INDEX(JabonLavaLoza[],MATCH(Produccion[[#This Row],[PRODUCTO]],JabonLavaLoza[M.P.],0),2),0)</f>
        <v>0.13</v>
      </c>
      <c r="T4" s="69">
        <f>T$2*IFERROR(INDEX(LimpiadorDeSuperficies[],MATCH(Produccion[[#This Row],[PRODUCTO]],LimpiadorDeSuperficies[M.P.],0),2),0)</f>
        <v>0</v>
      </c>
      <c r="U4" s="69">
        <f>U$2*IFERROR(INDEX(LimpiadorHornos[],MATCH(Produccion[[#This Row],[PRODUCTO]],LimpiadorHornos[M.P.],0),2),0)</f>
        <v>0</v>
      </c>
      <c r="V4" s="69">
        <f>V$2*IFERROR(INDEX(Limpiavidrios[],MATCH(Produccion[[#This Row],[PRODUCTO]],Limpiavidrios[M.P.],0),2),0)</f>
        <v>0</v>
      </c>
      <c r="W4" s="69">
        <f>W$2*IFERROR(INDEX(RemovedorDeCeras[],MATCH(Produccion[[#This Row],[PRODUCTO]],RemovedorDeCeras[M.P.],0),2),0)</f>
        <v>0</v>
      </c>
      <c r="X4" s="69">
        <f>X$2*IFERROR(INDEX(ShampooAlfombras[],MATCH(Produccion[[#This Row],[PRODUCTO]],ShampooAlfombras[M.P.],0),2),0)</f>
        <v>0.1</v>
      </c>
      <c r="Y4" s="69">
        <f>Y$2*IFERROR(INDEX(ShampooAuto[],MATCH(Produccion[[#This Row],[PRODUCTO]],ShampooAuto[M.P.],0),2),0)</f>
        <v>0.1</v>
      </c>
      <c r="Z4" s="69">
        <f>Z$2*IFERROR(INDEX(SiliconaAltoBrillo[],MATCH(Produccion[[#This Row],[PRODUCTO]],SiliconaAltoBrillo[M.P.],0),2),0)</f>
        <v>0</v>
      </c>
      <c r="AA4" s="69">
        <f>AA$2*IFERROR(INDEX(Suavizante[],MATCH(Produccion[[#This Row],[PRODUCTO]],Suavizante[M.P.],0),2),0)</f>
        <v>0</v>
      </c>
      <c r="AB4" s="70">
        <f>AB$2*IFERROR(INDEX(Vinagre[],MATCH(Produccion[[#This Row],[PRODUCTO]],Vinagre[M.P.],0),2),0)</f>
        <v>0</v>
      </c>
    </row>
    <row r="5" spans="1:28" hidden="1">
      <c r="A5" s="18" t="s">
        <v>746</v>
      </c>
      <c r="B5" s="31">
        <f t="shared" si="0"/>
        <v>2.1750999999999996</v>
      </c>
      <c r="C5" s="69">
        <f>$C$2*IFERROR(INDEX(AlcoholIndustrial[],MATCH(Produccion[[#This Row],[PRODUCTO]],AlcoholIndustrial[M.P.],0),2),0)</f>
        <v>0</v>
      </c>
      <c r="D5" s="69">
        <f>$D$2*IFERROR(INDEX(AmbientadorPiso[],MATCH(Produccion[[#This Row],[PRODUCTO]],AmbientadorPiso[M.P.],0),2),0)</f>
        <v>0</v>
      </c>
      <c r="E5" s="69">
        <f>$E$2*IFERROR(INDEX(AmbientadorSpray[],MATCH(Produccion[[#This Row],[PRODUCTO]],AmbientadorSpray[M.P.],0),2),0)</f>
        <v>0</v>
      </c>
      <c r="F5" s="69">
        <f>$F$2*IFERROR(INDEX(Biovarsol[],MATCH(Produccion[[#This Row],[PRODUCTO]],Biovarsol[M.P.],0),2),0)</f>
        <v>0</v>
      </c>
      <c r="G5" s="69">
        <f>G$2*IFERROR(INDEX(BlanqueadorDesinfectante[],MATCH(Produccion[[#This Row],[PRODUCTO]],BlanqueadorDesinfectante[M.P.],0),2),0)</f>
        <v>0</v>
      </c>
      <c r="H5" s="69">
        <f>H$2*IFERROR(INDEX(CeraAutobrillante[],MATCH(Produccion[[#This Row],[PRODUCTO]],CeraAutobrillante[M.P.],0),2),0)</f>
        <v>0</v>
      </c>
      <c r="I5" s="69">
        <f>I$2*IFERROR(INDEX(Creolina[],MATCH(Produccion[[#This Row],[PRODUCTO]],Creolina[M.P.],0),2),0)</f>
        <v>0</v>
      </c>
      <c r="J5" s="69">
        <f>J$2*IFERROR(INDEX(Desencrustante[],MATCH(Produccion[[#This Row],[PRODUCTO]],Desencrustante[M.P.],0),2),0)</f>
        <v>0</v>
      </c>
      <c r="K5" s="69">
        <f>K$2*IFERROR(INDEX(DesengrasanteAcido[],MATCH(Produccion[[#This Row],[PRODUCTO]],DesengrasanteAcido[M.P.],0),2),0)</f>
        <v>0</v>
      </c>
      <c r="L5" s="69">
        <f>L$2*IFERROR(INDEX(DesengrasanteEspumoso[],MATCH(Produccion[[#This Row],[PRODUCTO]],DesengrasanteEspumoso[M.P.],0),2),0)</f>
        <v>0.03</v>
      </c>
      <c r="M5" s="69">
        <f>M$2*IFERROR(INDEX(DesmanchadorRopaColor[],MATCH(Produccion[[#This Row],[PRODUCTO]],DesmanchadorRopaColor[M.P.],0),2),0)</f>
        <v>0</v>
      </c>
      <c r="N5" s="69">
        <f>N$2*IFERROR(INDEX(DetLavadora[],MATCH(Produccion[[#This Row],[PRODUCTO]],DetLavadora[M.P.],0),2),0)</f>
        <v>1</v>
      </c>
      <c r="O5" s="69">
        <f>O$2*IFERROR(INDEX(DetMultiusos[],MATCH(Produccion[[#This Row],[PRODUCTO]],DetMultiusos[M.P.],0),2),0)</f>
        <v>0.02</v>
      </c>
      <c r="P5" s="69">
        <f>P$2*IFERROR(INDEX(TipoRey[],MATCH(Produccion[[#This Row],[PRODUCTO]],TipoRey[M.P.],0),2),0)</f>
        <v>0</v>
      </c>
      <c r="Q5" s="69">
        <f>Q$2*IFERROR(INDEX(GelAntibacterial[],MATCH(Produccion[[#This Row],[PRODUCTO]],GelAntibacterial[M.P.],0),2),0)</f>
        <v>1E-4</v>
      </c>
      <c r="R5" s="69">
        <f>R$2*IFERROR(INDEX(JabonManos[],MATCH(Produccion[[#This Row],[PRODUCTO]],JabonManos[M.P.],0),2),0)</f>
        <v>0</v>
      </c>
      <c r="S5" s="69">
        <f>S$2*IFERROR(INDEX(JabonLavaLoza[],MATCH(Produccion[[#This Row],[PRODUCTO]],JabonLavaLoza[M.P.],0),2),0)</f>
        <v>3.5000000000000003E-2</v>
      </c>
      <c r="T5" s="69">
        <f>T$2*IFERROR(INDEX(LimpiadorDeSuperficies[],MATCH(Produccion[[#This Row],[PRODUCTO]],LimpiadorDeSuperficies[M.P.],0),2),0)</f>
        <v>0</v>
      </c>
      <c r="U5" s="69">
        <f>U$2*IFERROR(INDEX(LimpiadorHornos[],MATCH(Produccion[[#This Row],[PRODUCTO]],LimpiadorHornos[M.P.],0),2),0)</f>
        <v>1</v>
      </c>
      <c r="V5" s="69">
        <f>V$2*IFERROR(INDEX(Limpiavidrios[],MATCH(Produccion[[#This Row],[PRODUCTO]],Limpiavidrios[M.P.],0),2),0)</f>
        <v>0</v>
      </c>
      <c r="W5" s="69">
        <f>W$2*IFERROR(INDEX(RemovedorDeCeras[],MATCH(Produccion[[#This Row],[PRODUCTO]],RemovedorDeCeras[M.P.],0),2),0)</f>
        <v>0.05</v>
      </c>
      <c r="X5" s="69">
        <f>X$2*IFERROR(INDEX(ShampooAlfombras[],MATCH(Produccion[[#This Row],[PRODUCTO]],ShampooAlfombras[M.P.],0),2),0)</f>
        <v>0.02</v>
      </c>
      <c r="Y5" s="69">
        <f>Y$2*IFERROR(INDEX(ShampooAuto[],MATCH(Produccion[[#This Row],[PRODUCTO]],ShampooAuto[M.P.],0),2),0)</f>
        <v>0.02</v>
      </c>
      <c r="Z5" s="69">
        <f>Z$2*IFERROR(INDEX(SiliconaAltoBrillo[],MATCH(Produccion[[#This Row],[PRODUCTO]],SiliconaAltoBrillo[M.P.],0),2),0)</f>
        <v>0</v>
      </c>
      <c r="AA5" s="69">
        <f>AA$2*IFERROR(INDEX(Suavizante[],MATCH(Produccion[[#This Row],[PRODUCTO]],Suavizante[M.P.],0),2),0)</f>
        <v>0</v>
      </c>
      <c r="AB5" s="70">
        <f>AB$2*IFERROR(INDEX(Vinagre[],MATCH(Produccion[[#This Row],[PRODUCTO]],Vinagre[M.P.],0),2),0)</f>
        <v>0</v>
      </c>
    </row>
    <row r="6" spans="1:28" hidden="1">
      <c r="A6" s="18" t="s">
        <v>747</v>
      </c>
      <c r="B6" s="31">
        <f t="shared" si="0"/>
        <v>1.19</v>
      </c>
      <c r="C6" s="69">
        <f>$C$2*IFERROR(INDEX(AlcoholIndustrial[],MATCH(Produccion[[#This Row],[PRODUCTO]],AlcoholIndustrial[M.P.],0),2),0)</f>
        <v>0.75</v>
      </c>
      <c r="D6" s="69">
        <f>$D$2*IFERROR(INDEX(AmbientadorPiso[],MATCH(Produccion[[#This Row],[PRODUCTO]],AmbientadorPiso[M.P.],0),2),0)</f>
        <v>0.02</v>
      </c>
      <c r="E6" s="69">
        <f>$E$2*IFERROR(INDEX(AmbientadorSpray[],MATCH(Produccion[[#This Row],[PRODUCTO]],AmbientadorSpray[M.P.],0),2),0)</f>
        <v>0.03</v>
      </c>
      <c r="F6" s="69">
        <f>$F$2*IFERROR(INDEX(Biovarsol[],MATCH(Produccion[[#This Row],[PRODUCTO]],Biovarsol[M.P.],0),2),0)</f>
        <v>0</v>
      </c>
      <c r="G6" s="69">
        <f>G$2*IFERROR(INDEX(BlanqueadorDesinfectante[],MATCH(Produccion[[#This Row],[PRODUCTO]],BlanqueadorDesinfectante[M.P.],0),2),0)</f>
        <v>0</v>
      </c>
      <c r="H6" s="69">
        <f>H$2*IFERROR(INDEX(CeraAutobrillante[],MATCH(Produccion[[#This Row],[PRODUCTO]],CeraAutobrillante[M.P.],0),2),0)</f>
        <v>0</v>
      </c>
      <c r="I6" s="69">
        <f>I$2*IFERROR(INDEX(Creolina[],MATCH(Produccion[[#This Row],[PRODUCTO]],Creolina[M.P.],0),2),0)</f>
        <v>0</v>
      </c>
      <c r="J6" s="69">
        <f>J$2*IFERROR(INDEX(Desencrustante[],MATCH(Produccion[[#This Row],[PRODUCTO]],Desencrustante[M.P.],0),2),0)</f>
        <v>0</v>
      </c>
      <c r="K6" s="69">
        <f>K$2*IFERROR(INDEX(DesengrasanteAcido[],MATCH(Produccion[[#This Row],[PRODUCTO]],DesengrasanteAcido[M.P.],0),2),0)</f>
        <v>0</v>
      </c>
      <c r="L6" s="69">
        <f>L$2*IFERROR(INDEX(DesengrasanteEspumoso[],MATCH(Produccion[[#This Row],[PRODUCTO]],DesengrasanteEspumoso[M.P.],0),2),0)</f>
        <v>0</v>
      </c>
      <c r="M6" s="69">
        <f>M$2*IFERROR(INDEX(DesmanchadorRopaColor[],MATCH(Produccion[[#This Row],[PRODUCTO]],DesmanchadorRopaColor[M.P.],0),2),0)</f>
        <v>0</v>
      </c>
      <c r="N6" s="69">
        <f>N$2*IFERROR(INDEX(DetLavadora[],MATCH(Produccion[[#This Row],[PRODUCTO]],DetLavadora[M.P.],0),2),0)</f>
        <v>0</v>
      </c>
      <c r="O6" s="69">
        <f>O$2*IFERROR(INDEX(DetMultiusos[],MATCH(Produccion[[#This Row],[PRODUCTO]],DetMultiusos[M.P.],0),2),0)</f>
        <v>0</v>
      </c>
      <c r="P6" s="69">
        <f>P$2*IFERROR(INDEX(TipoRey[],MATCH(Produccion[[#This Row],[PRODUCTO]],TipoRey[M.P.],0),2),0)</f>
        <v>0</v>
      </c>
      <c r="Q6" s="69">
        <f>Q$2*IFERROR(INDEX(GelAntibacterial[],MATCH(Produccion[[#This Row],[PRODUCTO]],GelAntibacterial[M.P.],0),2),0)</f>
        <v>0.35</v>
      </c>
      <c r="R6" s="69">
        <f>R$2*IFERROR(INDEX(JabonManos[],MATCH(Produccion[[#This Row],[PRODUCTO]],JabonManos[M.P.],0),2),0)</f>
        <v>0</v>
      </c>
      <c r="S6" s="69">
        <f>S$2*IFERROR(INDEX(JabonLavaLoza[],MATCH(Produccion[[#This Row],[PRODUCTO]],JabonLavaLoza[M.P.],0),2),0)</f>
        <v>0</v>
      </c>
      <c r="T6" s="69">
        <f>T$2*IFERROR(INDEX(LimpiadorDeSuperficies[],MATCH(Produccion[[#This Row],[PRODUCTO]],LimpiadorDeSuperficies[M.P.],0),2),0)</f>
        <v>0</v>
      </c>
      <c r="U6" s="69">
        <f>U$2*IFERROR(INDEX(LimpiadorHornos[],MATCH(Produccion[[#This Row],[PRODUCTO]],LimpiadorHornos[M.P.],0),2),0)</f>
        <v>0</v>
      </c>
      <c r="V6" s="69">
        <f>V$2*IFERROR(INDEX(Limpiavidrios[],MATCH(Produccion[[#This Row],[PRODUCTO]],Limpiavidrios[M.P.],0),2),0)</f>
        <v>0.04</v>
      </c>
      <c r="W6" s="69">
        <f>W$2*IFERROR(INDEX(RemovedorDeCeras[],MATCH(Produccion[[#This Row],[PRODUCTO]],RemovedorDeCeras[M.P.],0),2),0)</f>
        <v>0</v>
      </c>
      <c r="X6" s="69">
        <f>X$2*IFERROR(INDEX(ShampooAlfombras[],MATCH(Produccion[[#This Row],[PRODUCTO]],ShampooAlfombras[M.P.],0),2),0)</f>
        <v>0</v>
      </c>
      <c r="Y6" s="69">
        <f>Y$2*IFERROR(INDEX(ShampooAuto[],MATCH(Produccion[[#This Row],[PRODUCTO]],ShampooAuto[M.P.],0),2),0)</f>
        <v>0</v>
      </c>
      <c r="Z6" s="69">
        <f>Z$2*IFERROR(INDEX(SiliconaAltoBrillo[],MATCH(Produccion[[#This Row],[PRODUCTO]],SiliconaAltoBrillo[M.P.],0),2),0)</f>
        <v>0</v>
      </c>
      <c r="AA6" s="69">
        <f>AA$2*IFERROR(INDEX(Suavizante[],MATCH(Produccion[[#This Row],[PRODUCTO]],Suavizante[M.P.],0),2),0)</f>
        <v>0</v>
      </c>
      <c r="AB6" s="70">
        <f>AB$2*IFERROR(INDEX(Vinagre[],MATCH(Produccion[[#This Row],[PRODUCTO]],Vinagre[M.P.],0),2),0)</f>
        <v>0</v>
      </c>
    </row>
    <row r="7" spans="1:28" hidden="1">
      <c r="A7" s="18" t="s">
        <v>748</v>
      </c>
      <c r="B7" s="31">
        <f t="shared" si="0"/>
        <v>0.15</v>
      </c>
      <c r="C7" s="69">
        <f>$C$2*IFERROR(INDEX(AlcoholIndustrial[],MATCH(Produccion[[#This Row],[PRODUCTO]],AlcoholIndustrial[M.P.],0),2),0)</f>
        <v>0</v>
      </c>
      <c r="D7" s="69">
        <f>$D$2*IFERROR(INDEX(AmbientadorPiso[],MATCH(Produccion[[#This Row],[PRODUCTO]],AmbientadorPiso[M.P.],0),2),0)</f>
        <v>0</v>
      </c>
      <c r="E7" s="69">
        <f>$E$2*IFERROR(INDEX(AmbientadorSpray[],MATCH(Produccion[[#This Row],[PRODUCTO]],AmbientadorSpray[M.P.],0),2),0)</f>
        <v>0</v>
      </c>
      <c r="F7" s="69">
        <f>$F$2*IFERROR(INDEX(Biovarsol[],MATCH(Produccion[[#This Row],[PRODUCTO]],Biovarsol[M.P.],0),2),0)</f>
        <v>0</v>
      </c>
      <c r="G7" s="69">
        <f>G$2*IFERROR(INDEX(BlanqueadorDesinfectante[],MATCH(Produccion[[#This Row],[PRODUCTO]],BlanqueadorDesinfectante[M.P.],0),2),0)</f>
        <v>0</v>
      </c>
      <c r="H7" s="69">
        <f>H$2*IFERROR(INDEX(CeraAutobrillante[],MATCH(Produccion[[#This Row],[PRODUCTO]],CeraAutobrillante[M.P.],0),2),0)</f>
        <v>0</v>
      </c>
      <c r="I7" s="69">
        <f>I$2*IFERROR(INDEX(Creolina[],MATCH(Produccion[[#This Row],[PRODUCTO]],Creolina[M.P.],0),2),0)</f>
        <v>0</v>
      </c>
      <c r="J7" s="69">
        <f>J$2*IFERROR(INDEX(Desencrustante[],MATCH(Produccion[[#This Row],[PRODUCTO]],Desencrustante[M.P.],0),2),0)</f>
        <v>0</v>
      </c>
      <c r="K7" s="69">
        <f>K$2*IFERROR(INDEX(DesengrasanteAcido[],MATCH(Produccion[[#This Row],[PRODUCTO]],DesengrasanteAcido[M.P.],0),2),0)</f>
        <v>0</v>
      </c>
      <c r="L7" s="69">
        <f>L$2*IFERROR(INDEX(DesengrasanteEspumoso[],MATCH(Produccion[[#This Row],[PRODUCTO]],DesengrasanteEspumoso[M.P.],0),2),0)</f>
        <v>0</v>
      </c>
      <c r="M7" s="69">
        <f>M$2*IFERROR(INDEX(DesmanchadorRopaColor[],MATCH(Produccion[[#This Row],[PRODUCTO]],DesmanchadorRopaColor[M.P.],0),2),0)</f>
        <v>0</v>
      </c>
      <c r="N7" s="69">
        <f>N$2*IFERROR(INDEX(DetLavadora[],MATCH(Produccion[[#This Row],[PRODUCTO]],DetLavadora[M.P.],0),2),0)</f>
        <v>0</v>
      </c>
      <c r="O7" s="69">
        <f>O$2*IFERROR(INDEX(DetMultiusos[],MATCH(Produccion[[#This Row],[PRODUCTO]],DetMultiusos[M.P.],0),2),0)</f>
        <v>0</v>
      </c>
      <c r="P7" s="69">
        <f>P$2*IFERROR(INDEX(TipoRey[],MATCH(Produccion[[#This Row],[PRODUCTO]],TipoRey[M.P.],0),2),0)</f>
        <v>0</v>
      </c>
      <c r="Q7" s="69">
        <f>Q$2*IFERROR(INDEX(GelAntibacterial[],MATCH(Produccion[[#This Row],[PRODUCTO]],GelAntibacterial[M.P.],0),2),0)</f>
        <v>0</v>
      </c>
      <c r="R7" s="69">
        <f>R$2*IFERROR(INDEX(JabonManos[],MATCH(Produccion[[#This Row],[PRODUCTO]],JabonManos[M.P.],0),2),0)</f>
        <v>0</v>
      </c>
      <c r="S7" s="69">
        <f>S$2*IFERROR(INDEX(JabonLavaLoza[],MATCH(Produccion[[#This Row],[PRODUCTO]],JabonLavaLoza[M.P.],0),2),0)</f>
        <v>0</v>
      </c>
      <c r="T7" s="69">
        <f>T$2*IFERROR(INDEX(LimpiadorDeSuperficies[],MATCH(Produccion[[#This Row],[PRODUCTO]],LimpiadorDeSuperficies[M.P.],0),2),0)</f>
        <v>0</v>
      </c>
      <c r="U7" s="69">
        <f>U$2*IFERROR(INDEX(LimpiadorHornos[],MATCH(Produccion[[#This Row],[PRODUCTO]],LimpiadorHornos[M.P.],0),2),0)</f>
        <v>0</v>
      </c>
      <c r="V7" s="69">
        <f>V$2*IFERROR(INDEX(Limpiavidrios[],MATCH(Produccion[[#This Row],[PRODUCTO]],Limpiavidrios[M.P.],0),2),0)</f>
        <v>0</v>
      </c>
      <c r="W7" s="69">
        <f>W$2*IFERROR(INDEX(RemovedorDeCeras[],MATCH(Produccion[[#This Row],[PRODUCTO]],RemovedorDeCeras[M.P.],0),2),0)</f>
        <v>0</v>
      </c>
      <c r="X7" s="69">
        <f>X$2*IFERROR(INDEX(ShampooAlfombras[],MATCH(Produccion[[#This Row],[PRODUCTO]],ShampooAlfombras[M.P.],0),2),0)</f>
        <v>0</v>
      </c>
      <c r="Y7" s="69">
        <f>Y$2*IFERROR(INDEX(ShampooAuto[],MATCH(Produccion[[#This Row],[PRODUCTO]],ShampooAuto[M.P.],0),2),0)</f>
        <v>0</v>
      </c>
      <c r="Z7" s="69">
        <f>Z$2*IFERROR(INDEX(SiliconaAltoBrillo[],MATCH(Produccion[[#This Row],[PRODUCTO]],SiliconaAltoBrillo[M.P.],0),2),0)</f>
        <v>0.15</v>
      </c>
      <c r="AA7" s="69">
        <f>AA$2*IFERROR(INDEX(Suavizante[],MATCH(Produccion[[#This Row],[PRODUCTO]],Suavizante[M.P.],0),2),0)</f>
        <v>0</v>
      </c>
      <c r="AB7" s="70">
        <f>AB$2*IFERROR(INDEX(Vinagre[],MATCH(Produccion[[#This Row],[PRODUCTO]],Vinagre[M.P.],0),2),0)</f>
        <v>0</v>
      </c>
    </row>
    <row r="8" spans="1:28">
      <c r="A8" s="18" t="s">
        <v>749</v>
      </c>
      <c r="B8" s="31">
        <f t="shared" si="0"/>
        <v>5.8975</v>
      </c>
      <c r="C8" s="69">
        <f>$C$2*IFERROR(INDEX(AlcoholIndustrial[],MATCH(Produccion[[#This Row],[PRODUCTO]],AlcoholIndustrial[M.P.],0),2),0)</f>
        <v>0</v>
      </c>
      <c r="D8" s="69">
        <f>$D$2*IFERROR(INDEX(AmbientadorPiso[],MATCH(Produccion[[#This Row],[PRODUCTO]],AmbientadorPiso[M.P.],0),2),0)</f>
        <v>0</v>
      </c>
      <c r="E8" s="69">
        <f>$E$2*IFERROR(INDEX(AmbientadorSpray[],MATCH(Produccion[[#This Row],[PRODUCTO]],AmbientadorSpray[M.P.],0),2),0)</f>
        <v>0</v>
      </c>
      <c r="F8" s="69">
        <f>$F$2*IFERROR(INDEX(Biovarsol[],MATCH(Produccion[[#This Row],[PRODUCTO]],Biovarsol[M.P.],0),2),0)</f>
        <v>0</v>
      </c>
      <c r="G8" s="69">
        <f>G$2*IFERROR(INDEX(BlanqueadorDesinfectante[],MATCH(Produccion[[#This Row],[PRODUCTO]],BlanqueadorDesinfectante[M.P.],0),2),0)</f>
        <v>0</v>
      </c>
      <c r="H8" s="69">
        <f>H$2*IFERROR(INDEX(CeraAutobrillante[],MATCH(Produccion[[#This Row],[PRODUCTO]],CeraAutobrillante[M.P.],0),2),0)</f>
        <v>0</v>
      </c>
      <c r="I8" s="69">
        <f>I$2*IFERROR(INDEX(Creolina[],MATCH(Produccion[[#This Row],[PRODUCTO]],Creolina[M.P.],0),2),0)</f>
        <v>0</v>
      </c>
      <c r="J8" s="69">
        <f>J$2*IFERROR(INDEX(Desencrustante[],MATCH(Produccion[[#This Row],[PRODUCTO]],Desencrustante[M.P.],0),2),0)</f>
        <v>0</v>
      </c>
      <c r="K8" s="69">
        <f>K$2*IFERROR(INDEX(DesengrasanteAcido[],MATCH(Produccion[[#This Row],[PRODUCTO]],DesengrasanteAcido[M.P.],0),2),0)</f>
        <v>0</v>
      </c>
      <c r="L8" s="69">
        <f>L$2*IFERROR(INDEX(DesengrasanteEspumoso[],MATCH(Produccion[[#This Row],[PRODUCTO]],DesengrasanteEspumoso[M.P.],0),2),0)</f>
        <v>0</v>
      </c>
      <c r="M8" s="69">
        <f>M$2*IFERROR(INDEX(DesmanchadorRopaColor[],MATCH(Produccion[[#This Row],[PRODUCTO]],DesmanchadorRopaColor[M.P.],0),2),0)</f>
        <v>0</v>
      </c>
      <c r="N8" s="69">
        <f>N$2*IFERROR(INDEX(DetLavadora[],MATCH(Produccion[[#This Row],[PRODUCTO]],DetLavadora[M.P.],0),2),0)</f>
        <v>2.8000000000000003</v>
      </c>
      <c r="O8" s="69">
        <f>O$2*IFERROR(INDEX(DetMultiusos[],MATCH(Produccion[[#This Row],[PRODUCTO]],DetMultiusos[M.P.],0),2),0)</f>
        <v>0</v>
      </c>
      <c r="P8" s="69">
        <f>P$2*IFERROR(INDEX(TipoRey[],MATCH(Produccion[[#This Row],[PRODUCTO]],TipoRey[M.P.],0),2),0)</f>
        <v>0</v>
      </c>
      <c r="Q8" s="69">
        <f>Q$2*IFERROR(INDEX(GelAntibacterial[],MATCH(Produccion[[#This Row],[PRODUCTO]],GelAntibacterial[M.P.],0),2),0)</f>
        <v>0</v>
      </c>
      <c r="R8" s="69">
        <f>R$2*IFERROR(INDEX(JabonManos[],MATCH(Produccion[[#This Row],[PRODUCTO]],JabonManos[M.P.],0),2),0)</f>
        <v>2.94</v>
      </c>
      <c r="S8" s="69">
        <f>S$2*IFERROR(INDEX(JabonLavaLoza[],MATCH(Produccion[[#This Row],[PRODUCTO]],JabonLavaLoza[M.P.],0),2),0)</f>
        <v>5.9499999999999997E-2</v>
      </c>
      <c r="T8" s="69">
        <f>T$2*IFERROR(INDEX(LimpiadorDeSuperficies[],MATCH(Produccion[[#This Row],[PRODUCTO]],LimpiadorDeSuperficies[M.P.],0),2),0)</f>
        <v>0</v>
      </c>
      <c r="U8" s="69">
        <f>U$2*IFERROR(INDEX(LimpiadorHornos[],MATCH(Produccion[[#This Row],[PRODUCTO]],LimpiadorHornos[M.P.],0),2),0)</f>
        <v>0</v>
      </c>
      <c r="V8" s="69">
        <f>V$2*IFERROR(INDEX(Limpiavidrios[],MATCH(Produccion[[#This Row],[PRODUCTO]],Limpiavidrios[M.P.],0),2),0)</f>
        <v>2.8000000000000001E-2</v>
      </c>
      <c r="W8" s="69">
        <f>W$2*IFERROR(INDEX(RemovedorDeCeras[],MATCH(Produccion[[#This Row],[PRODUCTO]],RemovedorDeCeras[M.P.],0),2),0)</f>
        <v>0</v>
      </c>
      <c r="X8" s="69">
        <f>X$2*IFERROR(INDEX(ShampooAlfombras[],MATCH(Produccion[[#This Row],[PRODUCTO]],ShampooAlfombras[M.P.],0),2),0)</f>
        <v>0</v>
      </c>
      <c r="Y8" s="69">
        <f>Y$2*IFERROR(INDEX(ShampooAuto[],MATCH(Produccion[[#This Row],[PRODUCTO]],ShampooAuto[M.P.],0),2),0)</f>
        <v>7.0000000000000007E-2</v>
      </c>
      <c r="Z8" s="69">
        <f>Z$2*IFERROR(INDEX(SiliconaAltoBrillo[],MATCH(Produccion[[#This Row],[PRODUCTO]],SiliconaAltoBrillo[M.P.],0),2),0)</f>
        <v>0</v>
      </c>
      <c r="AA8" s="69">
        <f>AA$2*IFERROR(INDEX(Suavizante[],MATCH(Produccion[[#This Row],[PRODUCTO]],Suavizante[M.P.],0),2),0)</f>
        <v>0</v>
      </c>
      <c r="AB8" s="70">
        <f>AB$2*IFERROR(INDEX(Vinagre[],MATCH(Produccion[[#This Row],[PRODUCTO]],Vinagre[M.P.],0),2),0)</f>
        <v>0</v>
      </c>
    </row>
    <row r="9" spans="1:28">
      <c r="A9" s="18" t="s">
        <v>750</v>
      </c>
      <c r="B9" s="31">
        <f t="shared" si="0"/>
        <v>0.27900000000000003</v>
      </c>
      <c r="C9" s="69">
        <f>$C$2*IFERROR(INDEX(AlcoholIndustrial[],MATCH(Produccion[[#This Row],[PRODUCTO]],AlcoholIndustrial[M.P.],0),2),0)</f>
        <v>0</v>
      </c>
      <c r="D9" s="69">
        <f>$D$2*IFERROR(INDEX(AmbientadorPiso[],MATCH(Produccion[[#This Row],[PRODUCTO]],AmbientadorPiso[M.P.],0),2),0)</f>
        <v>0</v>
      </c>
      <c r="E9" s="69">
        <f>$E$2*IFERROR(INDEX(AmbientadorSpray[],MATCH(Produccion[[#This Row],[PRODUCTO]],AmbientadorSpray[M.P.],0),2),0)</f>
        <v>0</v>
      </c>
      <c r="F9" s="69">
        <f>$F$2*IFERROR(INDEX(Biovarsol[],MATCH(Produccion[[#This Row],[PRODUCTO]],Biovarsol[M.P.],0),2),0)</f>
        <v>3.0000000000000001E-3</v>
      </c>
      <c r="G9" s="69">
        <f>G$2*IFERROR(INDEX(BlanqueadorDesinfectante[],MATCH(Produccion[[#This Row],[PRODUCTO]],BlanqueadorDesinfectante[M.P.],0),2),0)</f>
        <v>0</v>
      </c>
      <c r="H9" s="69">
        <f>H$2*IFERROR(INDEX(CeraAutobrillante[],MATCH(Produccion[[#This Row],[PRODUCTO]],CeraAutobrillante[M.P.],0),2),0)</f>
        <v>0</v>
      </c>
      <c r="I9" s="69">
        <f>I$2*IFERROR(INDEX(Creolina[],MATCH(Produccion[[#This Row],[PRODUCTO]],Creolina[M.P.],0),2),0)</f>
        <v>0</v>
      </c>
      <c r="J9" s="69">
        <f>J$2*IFERROR(INDEX(Desencrustante[],MATCH(Produccion[[#This Row],[PRODUCTO]],Desencrustante[M.P.],0),2),0)</f>
        <v>0</v>
      </c>
      <c r="K9" s="69">
        <f>K$2*IFERROR(INDEX(DesengrasanteAcido[],MATCH(Produccion[[#This Row],[PRODUCTO]],DesengrasanteAcido[M.P.],0),2),0)</f>
        <v>3.0000000000000001E-3</v>
      </c>
      <c r="L9" s="69">
        <f>L$2*IFERROR(INDEX(DesengrasanteEspumoso[],MATCH(Produccion[[#This Row],[PRODUCTO]],DesengrasanteEspumoso[M.P.],0),2),0)</f>
        <v>3.0000000000000001E-3</v>
      </c>
      <c r="M9" s="69">
        <f>M$2*IFERROR(INDEX(DesmanchadorRopaColor[],MATCH(Produccion[[#This Row],[PRODUCTO]],DesmanchadorRopaColor[M.P.],0),2),0)</f>
        <v>0</v>
      </c>
      <c r="N9" s="69">
        <f>N$2*IFERROR(INDEX(DetLavadora[],MATCH(Produccion[[#This Row],[PRODUCTO]],DetLavadora[M.P.],0),2),0)</f>
        <v>0.12</v>
      </c>
      <c r="O9" s="69">
        <f>O$2*IFERROR(INDEX(DetMultiusos[],MATCH(Produccion[[#This Row],[PRODUCTO]],DetMultiusos[M.P.],0),2),0)</f>
        <v>3.0000000000000001E-3</v>
      </c>
      <c r="P9" s="69">
        <f>P$2*IFERROR(INDEX(TipoRey[],MATCH(Produccion[[#This Row],[PRODUCTO]],TipoRey[M.P.],0),2),0)</f>
        <v>0</v>
      </c>
      <c r="Q9" s="69">
        <f>Q$2*IFERROR(INDEX(GelAntibacterial[],MATCH(Produccion[[#This Row],[PRODUCTO]],GelAntibacterial[M.P.],0),2),0)</f>
        <v>0</v>
      </c>
      <c r="R9" s="69">
        <f>R$2*IFERROR(INDEX(JabonManos[],MATCH(Produccion[[#This Row],[PRODUCTO]],JabonManos[M.P.],0),2),0)</f>
        <v>0.06</v>
      </c>
      <c r="S9" s="69">
        <f>S$2*IFERROR(INDEX(JabonLavaLoza[],MATCH(Produccion[[#This Row],[PRODUCTO]],JabonLavaLoza[M.P.],0),2),0)</f>
        <v>3.0000000000000001E-3</v>
      </c>
      <c r="T9" s="69">
        <f>T$2*IFERROR(INDEX(LimpiadorDeSuperficies[],MATCH(Produccion[[#This Row],[PRODUCTO]],LimpiadorDeSuperficies[M.P.],0),2),0)</f>
        <v>3.0000000000000001E-3</v>
      </c>
      <c r="U9" s="69">
        <f>U$2*IFERROR(INDEX(LimpiadorHornos[],MATCH(Produccion[[#This Row],[PRODUCTO]],LimpiadorHornos[M.P.],0),2),0)</f>
        <v>0</v>
      </c>
      <c r="V9" s="69">
        <f>V$2*IFERROR(INDEX(Limpiavidrios[],MATCH(Produccion[[#This Row],[PRODUCTO]],Limpiavidrios[M.P.],0),2),0)</f>
        <v>1.2E-2</v>
      </c>
      <c r="W9" s="69">
        <f>W$2*IFERROR(INDEX(RemovedorDeCeras[],MATCH(Produccion[[#This Row],[PRODUCTO]],RemovedorDeCeras[M.P.],0),2),0)</f>
        <v>0</v>
      </c>
      <c r="X9" s="69">
        <f>X$2*IFERROR(INDEX(ShampooAlfombras[],MATCH(Produccion[[#This Row],[PRODUCTO]],ShampooAlfombras[M.P.],0),2),0)</f>
        <v>3.0000000000000001E-3</v>
      </c>
      <c r="Y9" s="69">
        <f>Y$2*IFERROR(INDEX(ShampooAuto[],MATCH(Produccion[[#This Row],[PRODUCTO]],ShampooAuto[M.P.],0),2),0)</f>
        <v>3.0000000000000001E-3</v>
      </c>
      <c r="Z9" s="69">
        <f>Z$2*IFERROR(INDEX(SiliconaAltoBrillo[],MATCH(Produccion[[#This Row],[PRODUCTO]],SiliconaAltoBrillo[M.P.],0),2),0)</f>
        <v>3.0000000000000001E-3</v>
      </c>
      <c r="AA9" s="69">
        <f>AA$2*IFERROR(INDEX(Suavizante[],MATCH(Produccion[[#This Row],[PRODUCTO]],Suavizante[M.P.],0),2),0)</f>
        <v>0.06</v>
      </c>
      <c r="AB9" s="70">
        <f>AB$2*IFERROR(INDEX(Vinagre[],MATCH(Produccion[[#This Row],[PRODUCTO]],Vinagre[M.P.],0),2),0)</f>
        <v>0</v>
      </c>
    </row>
    <row r="10" spans="1:28" hidden="1">
      <c r="A10" s="18" t="s">
        <v>751</v>
      </c>
      <c r="B10" s="31">
        <f t="shared" si="0"/>
        <v>0.71</v>
      </c>
      <c r="C10" s="69">
        <f>$C$2*IFERROR(INDEX(AlcoholIndustrial[],MATCH(Produccion[[#This Row],[PRODUCTO]],AlcoholIndustrial[M.P.],0),2),0)</f>
        <v>0</v>
      </c>
      <c r="D10" s="69">
        <f>$D$2*IFERROR(INDEX(AmbientadorPiso[],MATCH(Produccion[[#This Row],[PRODUCTO]],AmbientadorPiso[M.P.],0),2),0)</f>
        <v>0</v>
      </c>
      <c r="E10" s="69">
        <f>$E$2*IFERROR(INDEX(AmbientadorSpray[],MATCH(Produccion[[#This Row],[PRODUCTO]],AmbientadorSpray[M.P.],0),2),0)</f>
        <v>0</v>
      </c>
      <c r="F10" s="69">
        <f>$F$2*IFERROR(INDEX(Biovarsol[],MATCH(Produccion[[#This Row],[PRODUCTO]],Biovarsol[M.P.],0),2),0)</f>
        <v>0</v>
      </c>
      <c r="G10" s="69">
        <f>G$2*IFERROR(INDEX(BlanqueadorDesinfectante[],MATCH(Produccion[[#This Row],[PRODUCTO]],BlanqueadorDesinfectante[M.P.],0),2),0)</f>
        <v>0</v>
      </c>
      <c r="H10" s="69">
        <f>H$2*IFERROR(INDEX(CeraAutobrillante[],MATCH(Produccion[[#This Row],[PRODUCTO]],CeraAutobrillante[M.P.],0),2),0)</f>
        <v>0</v>
      </c>
      <c r="I10" s="69">
        <f>I$2*IFERROR(INDEX(Creolina[],MATCH(Produccion[[#This Row],[PRODUCTO]],Creolina[M.P.],0),2),0)</f>
        <v>0</v>
      </c>
      <c r="J10" s="69">
        <f>J$2*IFERROR(INDEX(Desencrustante[],MATCH(Produccion[[#This Row],[PRODUCTO]],Desencrustante[M.P.],0),2),0)</f>
        <v>0.05</v>
      </c>
      <c r="K10" s="69">
        <f>K$2*IFERROR(INDEX(DesengrasanteAcido[],MATCH(Produccion[[#This Row],[PRODUCTO]],DesengrasanteAcido[M.P.],0),2),0)</f>
        <v>0.03</v>
      </c>
      <c r="L10" s="69">
        <f>L$2*IFERROR(INDEX(DesengrasanteEspumoso[],MATCH(Produccion[[#This Row],[PRODUCTO]],DesengrasanteEspumoso[M.P.],0),2),0)</f>
        <v>0.03</v>
      </c>
      <c r="M10" s="69">
        <f>M$2*IFERROR(INDEX(DesmanchadorRopaColor[],MATCH(Produccion[[#This Row],[PRODUCTO]],DesmanchadorRopaColor[M.P.],0),2),0)</f>
        <v>0</v>
      </c>
      <c r="N10" s="69">
        <f>N$2*IFERROR(INDEX(DetLavadora[],MATCH(Produccion[[#This Row],[PRODUCTO]],DetLavadora[M.P.],0),2),0)</f>
        <v>0</v>
      </c>
      <c r="O10" s="69">
        <f>O$2*IFERROR(INDEX(DetMultiusos[],MATCH(Produccion[[#This Row],[PRODUCTO]],DetMultiusos[M.P.],0),2),0)</f>
        <v>0</v>
      </c>
      <c r="P10" s="69">
        <f>P$2*IFERROR(INDEX(TipoRey[],MATCH(Produccion[[#This Row],[PRODUCTO]],TipoRey[M.P.],0),2),0)</f>
        <v>0</v>
      </c>
      <c r="Q10" s="69">
        <f>Q$2*IFERROR(INDEX(GelAntibacterial[],MATCH(Produccion[[#This Row],[PRODUCTO]],GelAntibacterial[M.P.],0),2),0)</f>
        <v>0</v>
      </c>
      <c r="R10" s="69">
        <f>R$2*IFERROR(INDEX(JabonManos[],MATCH(Produccion[[#This Row],[PRODUCTO]],JabonManos[M.P.],0),2),0)</f>
        <v>0</v>
      </c>
      <c r="S10" s="69">
        <f>S$2*IFERROR(INDEX(JabonLavaLoza[],MATCH(Produccion[[#This Row],[PRODUCTO]],JabonLavaLoza[M.P.],0),2),0)</f>
        <v>0</v>
      </c>
      <c r="T10" s="69">
        <f>T$2*IFERROR(INDEX(LimpiadorDeSuperficies[],MATCH(Produccion[[#This Row],[PRODUCTO]],LimpiadorDeSuperficies[M.P.],0),2),0)</f>
        <v>0</v>
      </c>
      <c r="U10" s="69">
        <f>U$2*IFERROR(INDEX(LimpiadorHornos[],MATCH(Produccion[[#This Row],[PRODUCTO]],LimpiadorHornos[M.P.],0),2),0)</f>
        <v>0.5</v>
      </c>
      <c r="V10" s="69">
        <f>V$2*IFERROR(INDEX(Limpiavidrios[],MATCH(Produccion[[#This Row],[PRODUCTO]],Limpiavidrios[M.P.],0),2),0)</f>
        <v>0</v>
      </c>
      <c r="W10" s="69">
        <f>W$2*IFERROR(INDEX(RemovedorDeCeras[],MATCH(Produccion[[#This Row],[PRODUCTO]],RemovedorDeCeras[M.P.],0),2),0)</f>
        <v>0.1</v>
      </c>
      <c r="X10" s="69">
        <f>X$2*IFERROR(INDEX(ShampooAlfombras[],MATCH(Produccion[[#This Row],[PRODUCTO]],ShampooAlfombras[M.P.],0),2),0)</f>
        <v>0</v>
      </c>
      <c r="Y10" s="69">
        <f>Y$2*IFERROR(INDEX(ShampooAuto[],MATCH(Produccion[[#This Row],[PRODUCTO]],ShampooAuto[M.P.],0),2),0)</f>
        <v>0</v>
      </c>
      <c r="Z10" s="69">
        <f>Z$2*IFERROR(INDEX(SiliconaAltoBrillo[],MATCH(Produccion[[#This Row],[PRODUCTO]],SiliconaAltoBrillo[M.P.],0),2),0)</f>
        <v>0</v>
      </c>
      <c r="AA10" s="69">
        <f>AA$2*IFERROR(INDEX(Suavizante[],MATCH(Produccion[[#This Row],[PRODUCTO]],Suavizante[M.P.],0),2),0)</f>
        <v>0</v>
      </c>
      <c r="AB10" s="70">
        <f>AB$2*IFERROR(INDEX(Vinagre[],MATCH(Produccion[[#This Row],[PRODUCTO]],Vinagre[M.P.],0),2),0)</f>
        <v>0</v>
      </c>
    </row>
    <row r="11" spans="1:28" hidden="1">
      <c r="A11" s="18" t="s">
        <v>752</v>
      </c>
      <c r="B11" s="31">
        <f t="shared" si="0"/>
        <v>1</v>
      </c>
      <c r="C11" s="69">
        <f>$C$2*IFERROR(INDEX(AlcoholIndustrial[],MATCH(Produccion[[#This Row],[PRODUCTO]],AlcoholIndustrial[M.P.],0),2),0)</f>
        <v>0</v>
      </c>
      <c r="D11" s="69">
        <f>$D$2*IFERROR(INDEX(AmbientadorPiso[],MATCH(Produccion[[#This Row],[PRODUCTO]],AmbientadorPiso[M.P.],0),2),0)</f>
        <v>0</v>
      </c>
      <c r="E11" s="69">
        <f>$E$2*IFERROR(INDEX(AmbientadorSpray[],MATCH(Produccion[[#This Row],[PRODUCTO]],AmbientadorSpray[M.P.],0),2),0)</f>
        <v>0</v>
      </c>
      <c r="F11" s="69">
        <f>$F$2*IFERROR(INDEX(Biovarsol[],MATCH(Produccion[[#This Row],[PRODUCTO]],Biovarsol[M.P.],0),2),0)</f>
        <v>0</v>
      </c>
      <c r="G11" s="69">
        <f>G$2*IFERROR(INDEX(BlanqueadorDesinfectante[],MATCH(Produccion[[#This Row],[PRODUCTO]],BlanqueadorDesinfectante[M.P.],0),2),0)</f>
        <v>0</v>
      </c>
      <c r="H11" s="69">
        <f>H$2*IFERROR(INDEX(CeraAutobrillante[],MATCH(Produccion[[#This Row],[PRODUCTO]],CeraAutobrillante[M.P.],0),2),0)</f>
        <v>0</v>
      </c>
      <c r="I11" s="69">
        <f>I$2*IFERROR(INDEX(Creolina[],MATCH(Produccion[[#This Row],[PRODUCTO]],Creolina[M.P.],0),2),0)</f>
        <v>0</v>
      </c>
      <c r="J11" s="69">
        <f>J$2*IFERROR(INDEX(Desencrustante[],MATCH(Produccion[[#This Row],[PRODUCTO]],Desencrustante[M.P.],0),2),0)</f>
        <v>0</v>
      </c>
      <c r="K11" s="69">
        <f>K$2*IFERROR(INDEX(DesengrasanteAcido[],MATCH(Produccion[[#This Row],[PRODUCTO]],DesengrasanteAcido[M.P.],0),2),0)</f>
        <v>0</v>
      </c>
      <c r="L11" s="69">
        <f>L$2*IFERROR(INDEX(DesengrasanteEspumoso[],MATCH(Produccion[[#This Row],[PRODUCTO]],DesengrasanteEspumoso[M.P.],0),2),0)</f>
        <v>0</v>
      </c>
      <c r="M11" s="69">
        <f>M$2*IFERROR(INDEX(DesmanchadorRopaColor[],MATCH(Produccion[[#This Row],[PRODUCTO]],DesmanchadorRopaColor[M.P.],0),2),0)</f>
        <v>0</v>
      </c>
      <c r="N11" s="69">
        <f>N$2*IFERROR(INDEX(DetLavadora[],MATCH(Produccion[[#This Row],[PRODUCTO]],DetLavadora[M.P.],0),2),0)</f>
        <v>0</v>
      </c>
      <c r="O11" s="69">
        <f>O$2*IFERROR(INDEX(DetMultiusos[],MATCH(Produccion[[#This Row],[PRODUCTO]],DetMultiusos[M.P.],0),2),0)</f>
        <v>0</v>
      </c>
      <c r="P11" s="69">
        <f>P$2*IFERROR(INDEX(TipoRey[],MATCH(Produccion[[#This Row],[PRODUCTO]],TipoRey[M.P.],0),2),0)</f>
        <v>0</v>
      </c>
      <c r="Q11" s="69">
        <f>Q$2*IFERROR(INDEX(GelAntibacterial[],MATCH(Produccion[[#This Row],[PRODUCTO]],GelAntibacterial[M.P.],0),2),0)</f>
        <v>0</v>
      </c>
      <c r="R11" s="69">
        <f>R$2*IFERROR(INDEX(JabonManos[],MATCH(Produccion[[#This Row],[PRODUCTO]],JabonManos[M.P.],0),2),0)</f>
        <v>0</v>
      </c>
      <c r="S11" s="69">
        <f>S$2*IFERROR(INDEX(JabonLavaLoza[],MATCH(Produccion[[#This Row],[PRODUCTO]],JabonLavaLoza[M.P.],0),2),0)</f>
        <v>0</v>
      </c>
      <c r="T11" s="69">
        <f>T$2*IFERROR(INDEX(LimpiadorDeSuperficies[],MATCH(Produccion[[#This Row],[PRODUCTO]],LimpiadorDeSuperficies[M.P.],0),2),0)</f>
        <v>0</v>
      </c>
      <c r="U11" s="69">
        <f>U$2*IFERROR(INDEX(LimpiadorHornos[],MATCH(Produccion[[#This Row],[PRODUCTO]],LimpiadorHornos[M.P.],0),2),0)</f>
        <v>0</v>
      </c>
      <c r="V11" s="69">
        <f>V$2*IFERROR(INDEX(Limpiavidrios[],MATCH(Produccion[[#This Row],[PRODUCTO]],Limpiavidrios[M.P.],0),2),0)</f>
        <v>0</v>
      </c>
      <c r="W11" s="69">
        <f>W$2*IFERROR(INDEX(RemovedorDeCeras[],MATCH(Produccion[[#This Row],[PRODUCTO]],RemovedorDeCeras[M.P.],0),2),0)</f>
        <v>0</v>
      </c>
      <c r="X11" s="69">
        <f>X$2*IFERROR(INDEX(ShampooAlfombras[],MATCH(Produccion[[#This Row],[PRODUCTO]],ShampooAlfombras[M.P.],0),2),0)</f>
        <v>0</v>
      </c>
      <c r="Y11" s="69">
        <f>Y$2*IFERROR(INDEX(ShampooAuto[],MATCH(Produccion[[#This Row],[PRODUCTO]],ShampooAuto[M.P.],0),2),0)</f>
        <v>0</v>
      </c>
      <c r="Z11" s="69">
        <f>Z$2*IFERROR(INDEX(SiliconaAltoBrillo[],MATCH(Produccion[[#This Row],[PRODUCTO]],SiliconaAltoBrillo[M.P.],0),2),0)</f>
        <v>0</v>
      </c>
      <c r="AA11" s="69">
        <f>AA$2*IFERROR(INDEX(Suavizante[],MATCH(Produccion[[#This Row],[PRODUCTO]],Suavizante[M.P.],0),2),0)</f>
        <v>1</v>
      </c>
      <c r="AB11" s="70">
        <f>AB$2*IFERROR(INDEX(Vinagre[],MATCH(Produccion[[#This Row],[PRODUCTO]],Vinagre[M.P.],0),2),0)</f>
        <v>0</v>
      </c>
    </row>
    <row r="12" spans="1:28" hidden="1">
      <c r="A12" s="18" t="s">
        <v>753</v>
      </c>
      <c r="B12" s="31">
        <f t="shared" si="0"/>
        <v>0.14200000000000002</v>
      </c>
      <c r="C12" s="69">
        <f>$C$2*IFERROR(INDEX(AlcoholIndustrial[],MATCH(Produccion[[#This Row],[PRODUCTO]],AlcoholIndustrial[M.P.],0),2),0)</f>
        <v>0</v>
      </c>
      <c r="D12" s="69">
        <f>$D$2*IFERROR(INDEX(AmbientadorPiso[],MATCH(Produccion[[#This Row],[PRODUCTO]],AmbientadorPiso[M.P.],0),2),0)</f>
        <v>0</v>
      </c>
      <c r="E12" s="69">
        <f>$E$2*IFERROR(INDEX(AmbientadorSpray[],MATCH(Produccion[[#This Row],[PRODUCTO]],AmbientadorSpray[M.P.],0),2),0)</f>
        <v>0.01</v>
      </c>
      <c r="F12" s="69">
        <f>$F$2*IFERROR(INDEX(Biovarsol[],MATCH(Produccion[[#This Row],[PRODUCTO]],Biovarsol[M.P.],0),2),0)</f>
        <v>0</v>
      </c>
      <c r="G12" s="69">
        <f>G$2*IFERROR(INDEX(BlanqueadorDesinfectante[],MATCH(Produccion[[#This Row],[PRODUCTO]],BlanqueadorDesinfectante[M.P.],0),2),0)</f>
        <v>0</v>
      </c>
      <c r="H12" s="69">
        <f>H$2*IFERROR(INDEX(CeraAutobrillante[],MATCH(Produccion[[#This Row],[PRODUCTO]],CeraAutobrillante[M.P.],0),2),0)</f>
        <v>0</v>
      </c>
      <c r="I12" s="69">
        <f>I$2*IFERROR(INDEX(Creolina[],MATCH(Produccion[[#This Row],[PRODUCTO]],Creolina[M.P.],0),2),0)</f>
        <v>0</v>
      </c>
      <c r="J12" s="69">
        <f>J$2*IFERROR(INDEX(Desencrustante[],MATCH(Produccion[[#This Row],[PRODUCTO]],Desencrustante[M.P.],0),2),0)</f>
        <v>0</v>
      </c>
      <c r="K12" s="69">
        <f>K$2*IFERROR(INDEX(DesengrasanteAcido[],MATCH(Produccion[[#This Row],[PRODUCTO]],DesengrasanteAcido[M.P.],0),2),0)</f>
        <v>0</v>
      </c>
      <c r="L12" s="69">
        <f>L$2*IFERROR(INDEX(DesengrasanteEspumoso[],MATCH(Produccion[[#This Row],[PRODUCTO]],DesengrasanteEspumoso[M.P.],0),2),0)</f>
        <v>0</v>
      </c>
      <c r="M12" s="69">
        <f>M$2*IFERROR(INDEX(DesmanchadorRopaColor[],MATCH(Produccion[[#This Row],[PRODUCTO]],DesmanchadorRopaColor[M.P.],0),2),0)</f>
        <v>0</v>
      </c>
      <c r="N12" s="69">
        <f>N$2*IFERROR(INDEX(DetLavadora[],MATCH(Produccion[[#This Row],[PRODUCTO]],DetLavadora[M.P.],0),2),0)</f>
        <v>0.12</v>
      </c>
      <c r="O12" s="69">
        <f>O$2*IFERROR(INDEX(DetMultiusos[],MATCH(Produccion[[#This Row],[PRODUCTO]],DetMultiusos[M.P.],0),2),0)</f>
        <v>3.0000000000000001E-3</v>
      </c>
      <c r="P12" s="69">
        <f>P$2*IFERROR(INDEX(TipoRey[],MATCH(Produccion[[#This Row],[PRODUCTO]],TipoRey[M.P.],0),2),0)</f>
        <v>0</v>
      </c>
      <c r="Q12" s="69">
        <f>Q$2*IFERROR(INDEX(GelAntibacterial[],MATCH(Produccion[[#This Row],[PRODUCTO]],GelAntibacterial[M.P.],0),2),0)</f>
        <v>0</v>
      </c>
      <c r="R12" s="69">
        <f>R$2*IFERROR(INDEX(JabonManos[],MATCH(Produccion[[#This Row],[PRODUCTO]],JabonManos[M.P.],0),2),0)</f>
        <v>0</v>
      </c>
      <c r="S12" s="69">
        <f>S$2*IFERROR(INDEX(JabonLavaLoza[],MATCH(Produccion[[#This Row],[PRODUCTO]],JabonLavaLoza[M.P.],0),2),0)</f>
        <v>3.0000000000000001E-3</v>
      </c>
      <c r="T12" s="69">
        <f>T$2*IFERROR(INDEX(LimpiadorDeSuperficies[],MATCH(Produccion[[#This Row],[PRODUCTO]],LimpiadorDeSuperficies[M.P.],0),2),0)</f>
        <v>0</v>
      </c>
      <c r="U12" s="69">
        <f>U$2*IFERROR(INDEX(LimpiadorHornos[],MATCH(Produccion[[#This Row],[PRODUCTO]],LimpiadorHornos[M.P.],0),2),0)</f>
        <v>0</v>
      </c>
      <c r="V12" s="69">
        <f>V$2*IFERROR(INDEX(Limpiavidrios[],MATCH(Produccion[[#This Row],[PRODUCTO]],Limpiavidrios[M.P.],0),2),0)</f>
        <v>0</v>
      </c>
      <c r="W12" s="69">
        <f>W$2*IFERROR(INDEX(RemovedorDeCeras[],MATCH(Produccion[[#This Row],[PRODUCTO]],RemovedorDeCeras[M.P.],0),2),0)</f>
        <v>0</v>
      </c>
      <c r="X12" s="69">
        <f>X$2*IFERROR(INDEX(ShampooAlfombras[],MATCH(Produccion[[#This Row],[PRODUCTO]],ShampooAlfombras[M.P.],0),2),0)</f>
        <v>3.0000000000000001E-3</v>
      </c>
      <c r="Y12" s="69">
        <f>Y$2*IFERROR(INDEX(ShampooAuto[],MATCH(Produccion[[#This Row],[PRODUCTO]],ShampooAuto[M.P.],0),2),0)</f>
        <v>3.0000000000000001E-3</v>
      </c>
      <c r="Z12" s="69">
        <f>Z$2*IFERROR(INDEX(SiliconaAltoBrillo[],MATCH(Produccion[[#This Row],[PRODUCTO]],SiliconaAltoBrillo[M.P.],0),2),0)</f>
        <v>0</v>
      </c>
      <c r="AA12" s="69">
        <f>AA$2*IFERROR(INDEX(Suavizante[],MATCH(Produccion[[#This Row],[PRODUCTO]],Suavizante[M.P.],0),2),0)</f>
        <v>0</v>
      </c>
      <c r="AB12" s="70">
        <f>AB$2*IFERROR(INDEX(Vinagre[],MATCH(Produccion[[#This Row],[PRODUCTO]],Vinagre[M.P.],0),2),0)</f>
        <v>0</v>
      </c>
    </row>
    <row r="13" spans="1:28" hidden="1">
      <c r="A13" s="18" t="s">
        <v>754</v>
      </c>
      <c r="B13" s="31">
        <f t="shared" si="0"/>
        <v>0.121</v>
      </c>
      <c r="C13" s="69">
        <f>$C$2*IFERROR(INDEX(AlcoholIndustrial[],MATCH(Produccion[[#This Row],[PRODUCTO]],AlcoholIndustrial[M.P.],0),2),0)</f>
        <v>0</v>
      </c>
      <c r="D13" s="69">
        <f>$D$2*IFERROR(INDEX(AmbientadorPiso[],MATCH(Produccion[[#This Row],[PRODUCTO]],AmbientadorPiso[M.P.],0),2),0)</f>
        <v>0</v>
      </c>
      <c r="E13" s="69">
        <f>$E$2*IFERROR(INDEX(AmbientadorSpray[],MATCH(Produccion[[#This Row],[PRODUCTO]],AmbientadorSpray[M.P.],0),2),0)</f>
        <v>0</v>
      </c>
      <c r="F13" s="69">
        <f>$F$2*IFERROR(INDEX(Biovarsol[],MATCH(Produccion[[#This Row],[PRODUCTO]],Biovarsol[M.P.],0),2),0)</f>
        <v>0</v>
      </c>
      <c r="G13" s="69">
        <f>G$2*IFERROR(INDEX(BlanqueadorDesinfectante[],MATCH(Produccion[[#This Row],[PRODUCTO]],BlanqueadorDesinfectante[M.P.],0),2),0)</f>
        <v>0</v>
      </c>
      <c r="H13" s="69">
        <f>H$2*IFERROR(INDEX(CeraAutobrillante[],MATCH(Produccion[[#This Row],[PRODUCTO]],CeraAutobrillante[M.P.],0),2),0)</f>
        <v>0</v>
      </c>
      <c r="I13" s="69">
        <f>I$2*IFERROR(INDEX(Creolina[],MATCH(Produccion[[#This Row],[PRODUCTO]],Creolina[M.P.],0),2),0)</f>
        <v>0</v>
      </c>
      <c r="J13" s="69">
        <f>J$2*IFERROR(INDEX(Desencrustante[],MATCH(Produccion[[#This Row],[PRODUCTO]],Desencrustante[M.P.],0),2),0)</f>
        <v>0</v>
      </c>
      <c r="K13" s="69">
        <f>K$2*IFERROR(INDEX(DesengrasanteAcido[],MATCH(Produccion[[#This Row],[PRODUCTO]],DesengrasanteAcido[M.P.],0),2),0)</f>
        <v>0</v>
      </c>
      <c r="L13" s="69">
        <f>L$2*IFERROR(INDEX(DesengrasanteEspumoso[],MATCH(Produccion[[#This Row],[PRODUCTO]],DesengrasanteEspumoso[M.P.],0),2),0)</f>
        <v>0</v>
      </c>
      <c r="M13" s="69">
        <f>M$2*IFERROR(INDEX(DesmanchadorRopaColor[],MATCH(Produccion[[#This Row],[PRODUCTO]],DesmanchadorRopaColor[M.P.],0),2),0)</f>
        <v>0</v>
      </c>
      <c r="N13" s="69">
        <f>N$2*IFERROR(INDEX(DetLavadora[],MATCH(Produccion[[#This Row],[PRODUCTO]],DetLavadora[M.P.],0),2),0)</f>
        <v>0.12</v>
      </c>
      <c r="O13" s="69">
        <f>O$2*IFERROR(INDEX(DetMultiusos[],MATCH(Produccion[[#This Row],[PRODUCTO]],DetMultiusos[M.P.],0),2),0)</f>
        <v>0</v>
      </c>
      <c r="P13" s="69">
        <f>P$2*IFERROR(INDEX(TipoRey[],MATCH(Produccion[[#This Row],[PRODUCTO]],TipoRey[M.P.],0),2),0)</f>
        <v>0</v>
      </c>
      <c r="Q13" s="69">
        <f>Q$2*IFERROR(INDEX(GelAntibacterial[],MATCH(Produccion[[#This Row],[PRODUCTO]],GelAntibacterial[M.P.],0),2),0)</f>
        <v>0</v>
      </c>
      <c r="R13" s="69">
        <f>R$2*IFERROR(INDEX(JabonManos[],MATCH(Produccion[[#This Row],[PRODUCTO]],JabonManos[M.P.],0),2),0)</f>
        <v>0</v>
      </c>
      <c r="S13" s="69">
        <f>S$2*IFERROR(INDEX(JabonLavaLoza[],MATCH(Produccion[[#This Row],[PRODUCTO]],JabonLavaLoza[M.P.],0),2),0)</f>
        <v>1E-3</v>
      </c>
      <c r="T13" s="69">
        <f>T$2*IFERROR(INDEX(LimpiadorDeSuperficies[],MATCH(Produccion[[#This Row],[PRODUCTO]],LimpiadorDeSuperficies[M.P.],0),2),0)</f>
        <v>0</v>
      </c>
      <c r="U13" s="69">
        <f>U$2*IFERROR(INDEX(LimpiadorHornos[],MATCH(Produccion[[#This Row],[PRODUCTO]],LimpiadorHornos[M.P.],0),2),0)</f>
        <v>0</v>
      </c>
      <c r="V13" s="69">
        <f>V$2*IFERROR(INDEX(Limpiavidrios[],MATCH(Produccion[[#This Row],[PRODUCTO]],Limpiavidrios[M.P.],0),2),0)</f>
        <v>0</v>
      </c>
      <c r="W13" s="69">
        <f>W$2*IFERROR(INDEX(RemovedorDeCeras[],MATCH(Produccion[[#This Row],[PRODUCTO]],RemovedorDeCeras[M.P.],0),2),0)</f>
        <v>0</v>
      </c>
      <c r="X13" s="69">
        <f>X$2*IFERROR(INDEX(ShampooAlfombras[],MATCH(Produccion[[#This Row],[PRODUCTO]],ShampooAlfombras[M.P.],0),2),0)</f>
        <v>0</v>
      </c>
      <c r="Y13" s="69">
        <f>Y$2*IFERROR(INDEX(ShampooAuto[],MATCH(Produccion[[#This Row],[PRODUCTO]],ShampooAuto[M.P.],0),2),0)</f>
        <v>0</v>
      </c>
      <c r="Z13" s="69">
        <f>Z$2*IFERROR(INDEX(SiliconaAltoBrillo[],MATCH(Produccion[[#This Row],[PRODUCTO]],SiliconaAltoBrillo[M.P.],0),2),0)</f>
        <v>0</v>
      </c>
      <c r="AA13" s="69">
        <f>AA$2*IFERROR(INDEX(Suavizante[],MATCH(Produccion[[#This Row],[PRODUCTO]],Suavizante[M.P.],0),2),0)</f>
        <v>0</v>
      </c>
      <c r="AB13" s="70">
        <f>AB$2*IFERROR(INDEX(Vinagre[],MATCH(Produccion[[#This Row],[PRODUCTO]],Vinagre[M.P.],0),2),0)</f>
        <v>0</v>
      </c>
    </row>
    <row r="14" spans="1:28">
      <c r="A14" s="18" t="s">
        <v>755</v>
      </c>
      <c r="B14" s="31">
        <f t="shared" si="0"/>
        <v>0.10300000000000001</v>
      </c>
      <c r="C14" s="69">
        <f>$C$2*IFERROR(INDEX(AlcoholIndustrial[],MATCH(Produccion[[#This Row],[PRODUCTO]],AlcoholIndustrial[M.P.],0),2),0)</f>
        <v>0</v>
      </c>
      <c r="D14" s="69">
        <f>$D$2*IFERROR(INDEX(AmbientadorPiso[],MATCH(Produccion[[#This Row],[PRODUCTO]],AmbientadorPiso[M.P.],0),2),0)</f>
        <v>0</v>
      </c>
      <c r="E14" s="69">
        <f>$E$2*IFERROR(INDEX(AmbientadorSpray[],MATCH(Produccion[[#This Row],[PRODUCTO]],AmbientadorSpray[M.P.],0),2),0)</f>
        <v>0</v>
      </c>
      <c r="F14" s="69">
        <f>$F$2*IFERROR(INDEX(Biovarsol[],MATCH(Produccion[[#This Row],[PRODUCTO]],Biovarsol[M.P.],0),2),0)</f>
        <v>0</v>
      </c>
      <c r="G14" s="69">
        <f>G$2*IFERROR(INDEX(BlanqueadorDesinfectante[],MATCH(Produccion[[#This Row],[PRODUCTO]],BlanqueadorDesinfectante[M.P.],0),2),0)</f>
        <v>0</v>
      </c>
      <c r="H14" s="69">
        <f>H$2*IFERROR(INDEX(CeraAutobrillante[],MATCH(Produccion[[#This Row],[PRODUCTO]],CeraAutobrillante[M.P.],0),2),0)</f>
        <v>0</v>
      </c>
      <c r="I14" s="69">
        <f>I$2*IFERROR(INDEX(Creolina[],MATCH(Produccion[[#This Row],[PRODUCTO]],Creolina[M.P.],0),2),0)</f>
        <v>0</v>
      </c>
      <c r="J14" s="69">
        <f>J$2*IFERROR(INDEX(Desencrustante[],MATCH(Produccion[[#This Row],[PRODUCTO]],Desencrustante[M.P.],0),2),0)</f>
        <v>0</v>
      </c>
      <c r="K14" s="69">
        <f>K$2*IFERROR(INDEX(DesengrasanteAcido[],MATCH(Produccion[[#This Row],[PRODUCTO]],DesengrasanteAcido[M.P.],0),2),0)</f>
        <v>0</v>
      </c>
      <c r="L14" s="69">
        <f>L$2*IFERROR(INDEX(DesengrasanteEspumoso[],MATCH(Produccion[[#This Row],[PRODUCTO]],DesengrasanteEspumoso[M.P.],0),2),0)</f>
        <v>3.0000000000000001E-3</v>
      </c>
      <c r="M14" s="69">
        <f>M$2*IFERROR(INDEX(DesmanchadorRopaColor[],MATCH(Produccion[[#This Row],[PRODUCTO]],DesmanchadorRopaColor[M.P.],0),2),0)</f>
        <v>0</v>
      </c>
      <c r="N14" s="69">
        <f>N$2*IFERROR(INDEX(DetLavadora[],MATCH(Produccion[[#This Row],[PRODUCTO]],DetLavadora[M.P.],0),2),0)</f>
        <v>0</v>
      </c>
      <c r="O14" s="69">
        <f>O$2*IFERROR(INDEX(DetMultiusos[],MATCH(Produccion[[#This Row],[PRODUCTO]],DetMultiusos[M.P.],0),2),0)</f>
        <v>0.02</v>
      </c>
      <c r="P14" s="69">
        <f>P$2*IFERROR(INDEX(TipoRey[],MATCH(Produccion[[#This Row],[PRODUCTO]],TipoRey[M.P.],0),2),0)</f>
        <v>0</v>
      </c>
      <c r="Q14" s="69">
        <f>Q$2*IFERROR(INDEX(GelAntibacterial[],MATCH(Produccion[[#This Row],[PRODUCTO]],GelAntibacterial[M.P.],0),2),0)</f>
        <v>0</v>
      </c>
      <c r="R14" s="69">
        <f>R$2*IFERROR(INDEX(JabonManos[],MATCH(Produccion[[#This Row],[PRODUCTO]],JabonManos[M.P.],0),2),0)</f>
        <v>0.04</v>
      </c>
      <c r="S14" s="69">
        <f>S$2*IFERROR(INDEX(JabonLavaLoza[],MATCH(Produccion[[#This Row],[PRODUCTO]],JabonLavaLoza[M.P.],0),2),0)</f>
        <v>0</v>
      </c>
      <c r="T14" s="69">
        <f>T$2*IFERROR(INDEX(LimpiadorDeSuperficies[],MATCH(Produccion[[#This Row],[PRODUCTO]],LimpiadorDeSuperficies[M.P.],0),2),0)</f>
        <v>0</v>
      </c>
      <c r="U14" s="69">
        <f>U$2*IFERROR(INDEX(LimpiadorHornos[],MATCH(Produccion[[#This Row],[PRODUCTO]],LimpiadorHornos[M.P.],0),2),0)</f>
        <v>0</v>
      </c>
      <c r="V14" s="69">
        <f>V$2*IFERROR(INDEX(Limpiavidrios[],MATCH(Produccion[[#This Row],[PRODUCTO]],Limpiavidrios[M.P.],0),2),0)</f>
        <v>0</v>
      </c>
      <c r="W14" s="69">
        <f>W$2*IFERROR(INDEX(RemovedorDeCeras[],MATCH(Produccion[[#This Row],[PRODUCTO]],RemovedorDeCeras[M.P.],0),2),0)</f>
        <v>0</v>
      </c>
      <c r="X14" s="69">
        <f>X$2*IFERROR(INDEX(ShampooAlfombras[],MATCH(Produccion[[#This Row],[PRODUCTO]],ShampooAlfombras[M.P.],0),2),0)</f>
        <v>0.02</v>
      </c>
      <c r="Y14" s="69">
        <f>Y$2*IFERROR(INDEX(ShampooAuto[],MATCH(Produccion[[#This Row],[PRODUCTO]],ShampooAuto[M.P.],0),2),0)</f>
        <v>0.02</v>
      </c>
      <c r="Z14" s="69">
        <f>Z$2*IFERROR(INDEX(SiliconaAltoBrillo[],MATCH(Produccion[[#This Row],[PRODUCTO]],SiliconaAltoBrillo[M.P.],0),2),0)</f>
        <v>0</v>
      </c>
      <c r="AA14" s="69">
        <f>AA$2*IFERROR(INDEX(Suavizante[],MATCH(Produccion[[#This Row],[PRODUCTO]],Suavizante[M.P.],0),2),0)</f>
        <v>0</v>
      </c>
      <c r="AB14" s="70">
        <f>AB$2*IFERROR(INDEX(Vinagre[],MATCH(Produccion[[#This Row],[PRODUCTO]],Vinagre[M.P.],0),2),0)</f>
        <v>0</v>
      </c>
    </row>
    <row r="15" spans="1:28" hidden="1">
      <c r="A15" s="18" t="s">
        <v>756</v>
      </c>
      <c r="B15" s="31">
        <f t="shared" si="0"/>
        <v>0</v>
      </c>
      <c r="C15" s="69">
        <f>$C$2*IFERROR(INDEX(AlcoholIndustrial[],MATCH(Produccion[[#This Row],[PRODUCTO]],AlcoholIndustrial[M.P.],0),2),0)</f>
        <v>0</v>
      </c>
      <c r="D15" s="69">
        <f>$D$2*IFERROR(INDEX(AmbientadorPiso[],MATCH(Produccion[[#This Row],[PRODUCTO]],AmbientadorPiso[M.P.],0),2),0)</f>
        <v>0</v>
      </c>
      <c r="E15" s="69">
        <f>$E$2*IFERROR(INDEX(AmbientadorSpray[],MATCH(Produccion[[#This Row],[PRODUCTO]],AmbientadorSpray[M.P.],0),2),0)</f>
        <v>0</v>
      </c>
      <c r="F15" s="69">
        <f>$F$2*IFERROR(INDEX(Biovarsol[],MATCH(Produccion[[#This Row],[PRODUCTO]],Biovarsol[M.P.],0),2),0)</f>
        <v>0</v>
      </c>
      <c r="G15" s="69">
        <f>G$2*IFERROR(INDEX(BlanqueadorDesinfectante[],MATCH(Produccion[[#This Row],[PRODUCTO]],BlanqueadorDesinfectante[M.P.],0),2),0)</f>
        <v>0</v>
      </c>
      <c r="H15" s="69">
        <f>H$2*IFERROR(INDEX(CeraAutobrillante[],MATCH(Produccion[[#This Row],[PRODUCTO]],CeraAutobrillante[M.P.],0),2),0)</f>
        <v>0</v>
      </c>
      <c r="I15" s="69">
        <f>I$2*IFERROR(INDEX(Creolina[],MATCH(Produccion[[#This Row],[PRODUCTO]],Creolina[M.P.],0),2),0)</f>
        <v>0</v>
      </c>
      <c r="J15" s="69">
        <f>J$2*IFERROR(INDEX(Desencrustante[],MATCH(Produccion[[#This Row],[PRODUCTO]],Desencrustante[M.P.],0),2),0)</f>
        <v>0</v>
      </c>
      <c r="K15" s="69">
        <f>K$2*IFERROR(INDEX(DesengrasanteAcido[],MATCH(Produccion[[#This Row],[PRODUCTO]],DesengrasanteAcido[M.P.],0),2),0)</f>
        <v>0</v>
      </c>
      <c r="L15" s="69">
        <f>L$2*IFERROR(INDEX(DesengrasanteEspumoso[],MATCH(Produccion[[#This Row],[PRODUCTO]],DesengrasanteEspumoso[M.P.],0),2),0)</f>
        <v>0</v>
      </c>
      <c r="M15" s="69">
        <f>M$2*IFERROR(INDEX(DesmanchadorRopaColor[],MATCH(Produccion[[#This Row],[PRODUCTO]],DesmanchadorRopaColor[M.P.],0),2),0)</f>
        <v>0</v>
      </c>
      <c r="N15" s="69">
        <f>N$2*IFERROR(INDEX(DetLavadora[],MATCH(Produccion[[#This Row],[PRODUCTO]],DetLavadora[M.P.],0),2),0)</f>
        <v>0</v>
      </c>
      <c r="O15" s="69">
        <f>O$2*IFERROR(INDEX(DetMultiusos[],MATCH(Produccion[[#This Row],[PRODUCTO]],DetMultiusos[M.P.],0),2),0)</f>
        <v>0</v>
      </c>
      <c r="P15" s="69">
        <f>P$2*IFERROR(INDEX(TipoRey[],MATCH(Produccion[[#This Row],[PRODUCTO]],TipoRey[M.P.],0),2),0)</f>
        <v>0</v>
      </c>
      <c r="Q15" s="69">
        <f>Q$2*IFERROR(INDEX(GelAntibacterial[],MATCH(Produccion[[#This Row],[PRODUCTO]],GelAntibacterial[M.P.],0),2),0)</f>
        <v>0</v>
      </c>
      <c r="R15" s="69">
        <f>R$2*IFERROR(INDEX(JabonManos[],MATCH(Produccion[[#This Row],[PRODUCTO]],JabonManos[M.P.],0),2),0)</f>
        <v>0</v>
      </c>
      <c r="S15" s="69">
        <f>S$2*IFERROR(INDEX(JabonLavaLoza[],MATCH(Produccion[[#This Row],[PRODUCTO]],JabonLavaLoza[M.P.],0),2),0)</f>
        <v>0</v>
      </c>
      <c r="T15" s="69">
        <f>T$2*IFERROR(INDEX(LimpiadorDeSuperficies[],MATCH(Produccion[[#This Row],[PRODUCTO]],LimpiadorDeSuperficies[M.P.],0),2),0)</f>
        <v>0</v>
      </c>
      <c r="U15" s="69">
        <f>U$2*IFERROR(INDEX(LimpiadorHornos[],MATCH(Produccion[[#This Row],[PRODUCTO]],LimpiadorHornos[M.P.],0),2),0)</f>
        <v>0</v>
      </c>
      <c r="V15" s="69">
        <f>V$2*IFERROR(INDEX(Limpiavidrios[],MATCH(Produccion[[#This Row],[PRODUCTO]],Limpiavidrios[M.P.],0),2),0)</f>
        <v>0</v>
      </c>
      <c r="W15" s="69">
        <f>W$2*IFERROR(INDEX(RemovedorDeCeras[],MATCH(Produccion[[#This Row],[PRODUCTO]],RemovedorDeCeras[M.P.],0),2),0)</f>
        <v>0</v>
      </c>
      <c r="X15" s="69">
        <f>X$2*IFERROR(INDEX(ShampooAlfombras[],MATCH(Produccion[[#This Row],[PRODUCTO]],ShampooAlfombras[M.P.],0),2),0)</f>
        <v>0</v>
      </c>
      <c r="Y15" s="69">
        <f>Y$2*IFERROR(INDEX(ShampooAuto[],MATCH(Produccion[[#This Row],[PRODUCTO]],ShampooAuto[M.P.],0),2),0)</f>
        <v>0</v>
      </c>
      <c r="Z15" s="69">
        <f>Z$2*IFERROR(INDEX(SiliconaAltoBrillo[],MATCH(Produccion[[#This Row],[PRODUCTO]],SiliconaAltoBrillo[M.P.],0),2),0)</f>
        <v>0</v>
      </c>
      <c r="AA15" s="69">
        <f>AA$2*IFERROR(INDEX(Suavizante[],MATCH(Produccion[[#This Row],[PRODUCTO]],Suavizante[M.P.],0),2),0)</f>
        <v>0</v>
      </c>
      <c r="AB15" s="70">
        <f>AB$2*IFERROR(INDEX(Vinagre[],MATCH(Produccion[[#This Row],[PRODUCTO]],Vinagre[M.P.],0),2),0)</f>
        <v>0</v>
      </c>
    </row>
    <row r="16" spans="1:28">
      <c r="A16" s="18" t="s">
        <v>757</v>
      </c>
      <c r="B16" s="31">
        <f t="shared" si="0"/>
        <v>0.873</v>
      </c>
      <c r="C16" s="69">
        <f>$C$2*IFERROR(INDEX(AlcoholIndustrial[],MATCH(Produccion[[#This Row],[PRODUCTO]],AlcoholIndustrial[M.P.],0),2),0)</f>
        <v>0</v>
      </c>
      <c r="D16" s="69">
        <f>$D$2*IFERROR(INDEX(AmbientadorPiso[],MATCH("Fragancia Ambientador",AmbientadorPiso[M.P.],0),2),0)</f>
        <v>0.02</v>
      </c>
      <c r="E16" s="69">
        <f>$E$2*IFERROR(INDEX(AmbientadorSpray[],MATCH("Fragancia Amb spray",AmbientadorSpray[M.P.],0),2),0)</f>
        <v>0.02</v>
      </c>
      <c r="F16" s="69">
        <f>$F$2*IFERROR(INDEX(Biovarsol[],MATCH(Produccion[[#This Row],[PRODUCTO]],Biovarsol[M.P.],0),2),0)</f>
        <v>8.0000000000000002E-3</v>
      </c>
      <c r="G16" s="69">
        <f>G$2*IFERROR(INDEX(BlanqueadorDesinfectante[],MATCH(Produccion[[#This Row],[PRODUCTO]],BlanqueadorDesinfectante[M.P.],0),2),0)</f>
        <v>0</v>
      </c>
      <c r="H16" s="69">
        <f>H$2*IFERROR(INDEX(CeraAutobrillante[],MATCH(Produccion[[#This Row],[PRODUCTO]],CeraAutobrillante[M.P.],0),2),0)</f>
        <v>0</v>
      </c>
      <c r="I16" s="69">
        <f>I$2*IFERROR(INDEX(Creolina[],MATCH(Produccion[[#This Row],[PRODUCTO]],Creolina[M.P.],0),2),0)</f>
        <v>0</v>
      </c>
      <c r="J16" s="69">
        <f>J$2*IFERROR(INDEX(Desencrustante[],MATCH(Produccion[[#This Row],[PRODUCTO]],Desencrustante[M.P.],0),2),0)</f>
        <v>0</v>
      </c>
      <c r="K16" s="69">
        <f>K$2*IFERROR(INDEX(DesengrasanteAcido[],MATCH(Produccion[[#This Row],[PRODUCTO]],DesengrasanteAcido[M.P.],0),2),0)</f>
        <v>0</v>
      </c>
      <c r="L16" s="69">
        <f>L$2*IFERROR(INDEX(DesengrasanteEspumoso[],MATCH(Produccion[[#This Row],[PRODUCTO]],DesengrasanteEspumoso[M.P.],0),2),0)</f>
        <v>0</v>
      </c>
      <c r="M16" s="69">
        <f>M$2*IFERROR(INDEX(DesmanchadorRopaColor[],MATCH(Produccion[[#This Row],[PRODUCTO]],DesmanchadorRopaColor[M.P.],0),2),0)</f>
        <v>0</v>
      </c>
      <c r="N16" s="69">
        <f>N$2*IFERROR(INDEX(DetLavadora[],MATCH("Fragancia Lavadora",DetLavadora[M.P.],0),2),0)</f>
        <v>0.32</v>
      </c>
      <c r="O16" s="69">
        <f>O$2*IFERROR(INDEX(DetMultiusos[],MATCH("Fragancia Multiusos",DetMultiusos[M.P.],0),2),0)</f>
        <v>5.0000000000000001E-3</v>
      </c>
      <c r="P16" s="69">
        <f>P$2*IFERROR(INDEX(TipoRey[],MATCH(Produccion[[#This Row],[PRODUCTO]],TipoRey[M.P.],0),2),0)</f>
        <v>0</v>
      </c>
      <c r="Q16" s="69">
        <f>Q$2*IFERROR(INDEX(GelAntibacterial[],MATCH(Produccion[[#This Row],[PRODUCTO]],GelAntibacterial[M.P.],0),2),0)</f>
        <v>0</v>
      </c>
      <c r="R16" s="69">
        <f>R$2*IFERROR(INDEX(JabonManos[],MATCH("Fragancia Manos",JabonManos[M.P.],0),2),0)</f>
        <v>0.1</v>
      </c>
      <c r="S16" s="69">
        <f>S$2*IFERROR(INDEX(JabonLavaLoza[],MATCH("Fragancia limón",JabonLavaLoza[M.P.],0),2),0)</f>
        <v>5.0000000000000001E-3</v>
      </c>
      <c r="T16" s="69">
        <f>T$2*IFERROR(INDEX(LimpiadorDeSuperficies[],MATCH("Fragancia limpiador",LimpiadorDeSuperficies[M.P.],0),2),0)</f>
        <v>0.02</v>
      </c>
      <c r="U16" s="71">
        <f>U$2*IFERROR(INDEX(LimpiadorHornos[],MATCH(Produccion[[#This Row],[PRODUCTO]],LimpiadorHornos[M.P.],0),2),0)</f>
        <v>0</v>
      </c>
      <c r="V16" s="69">
        <f>V$2*IFERROR(INDEX(Limpiavidrios[],MATCH(Produccion[[#This Row],[PRODUCTO]],Limpiavidrios[M.P.],0),2),0)</f>
        <v>0</v>
      </c>
      <c r="W16" s="69">
        <f>W$2*IFERROR(INDEX(RemovedorDeCeras[],MATCH(Produccion[[#This Row],[PRODUCTO]],RemovedorDeCeras[M.P.],0),2),0)</f>
        <v>0</v>
      </c>
      <c r="X16" s="69">
        <f>X$2*IFERROR(INDEX(ShampooAlfombras[],MATCH("Fragancia Alfombras",ShampooAlfombras[M.P.],0),2),0)</f>
        <v>5.0000000000000001E-3</v>
      </c>
      <c r="Y16" s="69">
        <f>Y$2*IFERROR(INDEX(ShampooAuto[],MATCH("Fragancia Carros",ShampooAuto[M.P.],0),2),0)</f>
        <v>5.0000000000000001E-3</v>
      </c>
      <c r="Z16" s="69">
        <f>Z$2*IFERROR(INDEX(SiliconaAltoBrillo[],MATCH("Fragancia Talco",SiliconaAltoBrillo[M.P.],0),2),0)</f>
        <v>5.0000000000000001E-3</v>
      </c>
      <c r="AA16" s="69">
        <f>AA$2*IFERROR(INDEX(Suavizante[],MATCH("Fragancia suavizante",Suavizante[M.P.],0),2),0)</f>
        <v>0.36</v>
      </c>
      <c r="AB16" s="70">
        <f>AB$2*IFERROR(INDEX(Vinagre[],MATCH(Produccion[[#This Row],[PRODUCTO]],Vinagre[M.P.],0),2),0)</f>
        <v>0</v>
      </c>
    </row>
    <row r="17" spans="1:29">
      <c r="A17" s="18" t="s">
        <v>758</v>
      </c>
      <c r="B17" s="31">
        <f t="shared" si="0"/>
        <v>3.8999999999999993E-2</v>
      </c>
      <c r="C17" s="69">
        <f>$C$2*IFERROR(INDEX(AlcoholIndustrial[],MATCH(Produccion[[#This Row],[PRODUCTO]],AlcoholIndustrial[M.P.],0),2),0)</f>
        <v>0</v>
      </c>
      <c r="D17" s="71">
        <f>$D$2*IFERROR(INDEX(AmbientadorPiso[],MATCH("Color Ambientador",AmbientadorPiso[M.P.],0),2),0)</f>
        <v>1E-4</v>
      </c>
      <c r="E17" s="71">
        <f>$E$2*IFERROR(INDEX(AmbientadorSpray[],MATCH("Color Amb Spray",AmbientadorSpray[M.P.],0),2),0)</f>
        <v>1E-4</v>
      </c>
      <c r="F17" s="69">
        <f>$F$2*IFERROR(INDEX(Biovarsol[],MATCH(Produccion[[#This Row],[PRODUCTO]],Biovarsol[M.P.],0),2),0)</f>
        <v>0</v>
      </c>
      <c r="G17" s="69">
        <f>G$2*IFERROR(INDEX(BlanqueadorDesinfectante[],MATCH(Produccion[[#This Row],[PRODUCTO]],BlanqueadorDesinfectante[M.P.],0),2),0)</f>
        <v>0</v>
      </c>
      <c r="H17" s="69">
        <f>H$2*IFERROR(INDEX(CeraAutobrillante[],MATCH(Produccion[[#This Row],[PRODUCTO]],CeraAutobrillante[M.P.],0),2),0)</f>
        <v>0</v>
      </c>
      <c r="I17" s="69">
        <f>I$2*IFERROR(INDEX(Creolina[],MATCH(Produccion[[#This Row],[PRODUCTO]],Creolina[M.P.],0),2),0)</f>
        <v>0</v>
      </c>
      <c r="J17" s="69">
        <f>J$2*IFERROR(INDEX(Desencrustante[],MATCH(Produccion[[#This Row],[PRODUCTO]],Desencrustante[M.P.],0),2),0)</f>
        <v>0</v>
      </c>
      <c r="K17" s="69">
        <f>K$2*IFERROR(INDEX(DesengrasanteAcido[],MATCH(Produccion[[#This Row],[PRODUCTO]],DesengrasanteAcido[M.P.],0),2),0)</f>
        <v>0</v>
      </c>
      <c r="L17" s="69">
        <f>L$2*IFERROR(INDEX(DesengrasanteEspumoso[],MATCH(Produccion[[#This Row],[PRODUCTO]],DesengrasanteEspumoso[M.P.],0),2),0)</f>
        <v>0</v>
      </c>
      <c r="M17" s="69">
        <f>M$2*IFERROR(INDEX(DesmanchadorRopaColor[],MATCH(Produccion[[#This Row],[PRODUCTO]],DesmanchadorRopaColor[M.P.],0),2),0)</f>
        <v>0</v>
      </c>
      <c r="N17" s="72">
        <f>N$2*IFERROR(INDEX(DetLavadora[],MATCH("Color azul",DetLavadora[M.P.],0),2),0)+N$2*IFERROR(INDEX(DetLavadora[],MATCH("Color verde limón",DetLavadora[M.P.],0),2),0)</f>
        <v>2.4E-2</v>
      </c>
      <c r="O17" s="69">
        <f>O$2*IFERROR(INDEX(DetMultiusos[],MATCH(Produccion[[#This Row],[PRODUCTO]],DetMultiusos[M.P.],0),2),0)</f>
        <v>0</v>
      </c>
      <c r="P17" s="69">
        <f>P$2*IFERROR(INDEX(TipoRey[],MATCH(Produccion[[#This Row],[PRODUCTO]],TipoRey[M.P.],0),2),0)</f>
        <v>0</v>
      </c>
      <c r="Q17" s="69">
        <f>Q$2*IFERROR(INDEX(GelAntibacterial[],MATCH(Produccion[[#This Row],[PRODUCTO]],GelAntibacterial[M.P.],0),2),0)</f>
        <v>0</v>
      </c>
      <c r="R17" s="71">
        <f>R$2*IFERROR(INDEX(JabonManos[],MATCH("Color manos",JabonManos[M.P.],0),2),0)</f>
        <v>4.0000000000000001E-3</v>
      </c>
      <c r="S17" s="71">
        <f>S$2*IFERROR(INDEX(JabonLavaLoza[],MATCH("Color verde limón",JabonLavaLoza[M.P.],0),2),0)</f>
        <v>2.0000000000000001E-4</v>
      </c>
      <c r="T17" s="71">
        <f>T$2*IFERROR(INDEX(LimpiadorDeSuperficies[],MATCH("Color limpiador",LimpiadorDeSuperficies[M.P.],0),2),0)</f>
        <v>2.0000000000000001E-4</v>
      </c>
      <c r="U17" s="72">
        <f>U$2*IFERROR(INDEX(LimpiadorHornos[],MATCH("Color Verde Piranina",LimpiadorHornos[M.P.],0),2),0)</f>
        <v>2E-3</v>
      </c>
      <c r="V17" s="72">
        <f>V$2*IFERROR(INDEX(Limpiavidrios[],MATCH("Color azul",Limpiavidrios[M.P.],0),2),0)</f>
        <v>4.0000000000000002E-4</v>
      </c>
      <c r="W17" s="69">
        <f>W$2*IFERROR(INDEX(RemovedorDeCeras[],MATCH(Produccion[[#This Row],[PRODUCTO]],RemovedorDeCeras[M.P.],0),2),0)</f>
        <v>0</v>
      </c>
      <c r="X17" s="69">
        <f>X$2*IFERROR(INDEX(ShampooAlfombras[],MATCH("Color Alfombras",ShampooAlfombras[M.P.],0),2),0)</f>
        <v>4.0000000000000001E-3</v>
      </c>
      <c r="Y17" s="69">
        <f>Y$2*IFERROR(INDEX(ShampooAuto[],MATCH("Color Carros",ShampooAuto[M.P.],0),2),0)</f>
        <v>4.0000000000000001E-3</v>
      </c>
      <c r="Z17" s="69">
        <f>Z$2*IFERROR(INDEX(SiliconaAltoBrillo[],MATCH(Produccion[[#This Row],[PRODUCTO]],SiliconaAltoBrillo[M.P.],0),2),0)</f>
        <v>0</v>
      </c>
      <c r="AA17" s="69">
        <f>AA$2*IFERROR(INDEX(Suavizante[],MATCH(Produccion[[#This Row],[PRODUCTO]],Suavizante[M.P.],0),2),0)</f>
        <v>0</v>
      </c>
      <c r="AB17" s="70">
        <f>AB$2*IFERROR(INDEX(Vinagre[],MATCH(Produccion[[#This Row],[PRODUCTO]],Vinagre[M.P.],0),2),0)</f>
        <v>0</v>
      </c>
    </row>
    <row r="18" spans="1:29" hidden="1">
      <c r="A18" s="18" t="s">
        <v>759</v>
      </c>
      <c r="B18" s="31">
        <f t="shared" si="0"/>
        <v>0.3</v>
      </c>
      <c r="C18" s="69">
        <f>$C$2*IFERROR(INDEX(AlcoholIndustrial[],MATCH(Produccion[[#This Row],[PRODUCTO]],AlcoholIndustrial[M.P.],0),2),0)</f>
        <v>0</v>
      </c>
      <c r="D18" s="69">
        <f>$D$2*IFERROR(INDEX(AmbientadorPiso[],MATCH(Produccion[[#This Row],[PRODUCTO]],AmbientadorPiso[M.P.],0),2),0)</f>
        <v>0</v>
      </c>
      <c r="E18" s="69">
        <f>$E$2*IFERROR(INDEX(AmbientadorSpray[],MATCH(Produccion[[#This Row],[PRODUCTO]],AmbientadorSpray[M.P.],0),2),0)</f>
        <v>0</v>
      </c>
      <c r="F18" s="69">
        <f>$F$2*IFERROR(INDEX(Biovarsol[],MATCH(Produccion[[#This Row],[PRODUCTO]],Biovarsol[M.P.],0),2),0)</f>
        <v>0</v>
      </c>
      <c r="G18" s="69">
        <f>G$2*IFERROR(INDEX(BlanqueadorDesinfectante[],MATCH(Produccion[[#This Row],[PRODUCTO]],BlanqueadorDesinfectante[M.P.],0),2),0)</f>
        <v>0</v>
      </c>
      <c r="H18" s="69">
        <f>H$2*IFERROR(INDEX(CeraAutobrillante[],MATCH(Produccion[[#This Row],[PRODUCTO]],CeraAutobrillante[M.P.],0),2),0)</f>
        <v>0</v>
      </c>
      <c r="I18" s="69">
        <f>I$2*IFERROR(INDEX(Creolina[],MATCH(Produccion[[#This Row],[PRODUCTO]],Creolina[M.P.],0),2),0)</f>
        <v>0</v>
      </c>
      <c r="J18" s="69">
        <f>J$2*IFERROR(INDEX(Desencrustante[],MATCH(Produccion[[#This Row],[PRODUCTO]],Desencrustante[M.P.],0),2),0)</f>
        <v>0</v>
      </c>
      <c r="K18" s="69">
        <f>K$2*IFERROR(INDEX(DesengrasanteAcido[],MATCH(Produccion[[#This Row],[PRODUCTO]],DesengrasanteAcido[M.P.],0),2),0)</f>
        <v>0</v>
      </c>
      <c r="L18" s="69">
        <f>L$2*IFERROR(INDEX(DesengrasanteEspumoso[],MATCH(Produccion[[#This Row],[PRODUCTO]],DesengrasanteEspumoso[M.P.],0),2),0)</f>
        <v>0</v>
      </c>
      <c r="M18" s="69">
        <f>M$2*IFERROR(INDEX(DesmanchadorRopaColor[],MATCH(Produccion[[#This Row],[PRODUCTO]],DesmanchadorRopaColor[M.P.],0),2),0)</f>
        <v>0</v>
      </c>
      <c r="N18" s="69">
        <f>N$2*IFERROR(INDEX(DetLavadora[],MATCH(Produccion[[#This Row],[PRODUCTO]],DetLavadora[M.P.],0),2),0)</f>
        <v>0</v>
      </c>
      <c r="O18" s="69">
        <f>O$2*IFERROR(INDEX(DetMultiusos[],MATCH(Produccion[[#This Row],[PRODUCTO]],DetMultiusos[M.P.],0),2),0)</f>
        <v>0</v>
      </c>
      <c r="P18" s="69">
        <f>P$2*IFERROR(INDEX(TipoRey[],MATCH(Produccion[[#This Row],[PRODUCTO]],TipoRey[M.P.],0),2),0)</f>
        <v>0</v>
      </c>
      <c r="Q18" s="69">
        <f>Q$2*IFERROR(INDEX(GelAntibacterial[],MATCH(Produccion[[#This Row],[PRODUCTO]],GelAntibacterial[M.P.],0),2),0)</f>
        <v>0</v>
      </c>
      <c r="R18" s="69">
        <f>R$2*IFERROR(INDEX(JabonManos[],MATCH(Produccion[[#This Row],[PRODUCTO]],JabonManos[M.P.],0),2),0)</f>
        <v>0</v>
      </c>
      <c r="S18" s="69">
        <f>S$2*IFERROR(INDEX(JabonLavaLoza[],MATCH(Produccion[[#This Row],[PRODUCTO]],JabonLavaLoza[M.P.],0),2),0)</f>
        <v>0</v>
      </c>
      <c r="T18" s="69">
        <f>T$2*IFERROR(INDEX(LimpiadorDeSuperficies[],MATCH(Produccion[[#This Row],[PRODUCTO]],LimpiadorDeSuperficies[M.P.],0),2),0)</f>
        <v>0</v>
      </c>
      <c r="U18" s="69">
        <f>U$2*IFERROR(INDEX(LimpiadorHornos[],MATCH(Produccion[[#This Row],[PRODUCTO]],LimpiadorHornos[M.P.],0),2),0)</f>
        <v>0</v>
      </c>
      <c r="V18" s="69">
        <f>V$2*IFERROR(INDEX(Limpiavidrios[],MATCH(Produccion[[#This Row],[PRODUCTO]],Limpiavidrios[M.P.],0),2),0)</f>
        <v>0</v>
      </c>
      <c r="W18" s="69">
        <f>W$2*IFERROR(INDEX(RemovedorDeCeras[],MATCH(Produccion[[#This Row],[PRODUCTO]],RemovedorDeCeras[M.P.],0),2),0)</f>
        <v>0</v>
      </c>
      <c r="X18" s="69">
        <f>X$2*IFERROR(INDEX(ShampooAlfombras[],MATCH(Produccion[[#This Row],[PRODUCTO]],ShampooAlfombras[M.P.],0),2),0)</f>
        <v>0</v>
      </c>
      <c r="Y18" s="69">
        <f>Y$2*IFERROR(INDEX(ShampooAuto[],MATCH(Produccion[[#This Row],[PRODUCTO]],ShampooAuto[M.P.],0),2),0)</f>
        <v>0</v>
      </c>
      <c r="Z18" s="69">
        <f>Z$2*IFERROR(INDEX(SiliconaAltoBrillo[],MATCH(Produccion[[#This Row],[PRODUCTO]],SiliconaAltoBrillo[M.P.],0),2),0)</f>
        <v>0</v>
      </c>
      <c r="AA18" s="69">
        <f>AA$2*IFERROR(INDEX(Suavizante[],MATCH(Produccion[[#This Row],[PRODUCTO]],Suavizante[M.P.],0),2),0)</f>
        <v>0</v>
      </c>
      <c r="AB18" s="70">
        <f>AB$2*IFERROR(INDEX(Vinagre[],MATCH(Produccion[[#This Row],[PRODUCTO]],Vinagre[M.P.],0),2),0)</f>
        <v>0.3</v>
      </c>
    </row>
    <row r="19" spans="1:29" hidden="1">
      <c r="A19" s="18" t="s">
        <v>760</v>
      </c>
      <c r="B19" s="31">
        <f t="shared" si="0"/>
        <v>1.3331999999999999</v>
      </c>
      <c r="C19" s="69">
        <f>$C$2*IFERROR(INDEX(AlcoholIndustrial[],MATCH(Produccion[[#This Row],[PRODUCTO]],AlcoholIndustrial[M.P.],0),2),0)</f>
        <v>0</v>
      </c>
      <c r="D19" s="69">
        <f>$D$2*IFERROR(INDEX(AmbientadorPiso[],MATCH(Produccion[[#This Row],[PRODUCTO]],AmbientadorPiso[M.P.],0),2),0)</f>
        <v>0</v>
      </c>
      <c r="E19" s="69">
        <f>$E$2*IFERROR(INDEX(AmbientadorSpray[],MATCH(Produccion[[#This Row],[PRODUCTO]],AmbientadorSpray[M.P.],0),2),0)</f>
        <v>0</v>
      </c>
      <c r="F19" s="69">
        <f>$F$2*IFERROR(INDEX(Biovarsol[],MATCH(Produccion[[#This Row],[PRODUCTO]],Biovarsol[M.P.],0),2),0)</f>
        <v>0</v>
      </c>
      <c r="G19" s="69">
        <f>G$2*IFERROR(INDEX(BlanqueadorDesinfectante[],MATCH(Produccion[[#This Row],[PRODUCTO]],BlanqueadorDesinfectante[M.P.],0),2),0)</f>
        <v>0</v>
      </c>
      <c r="H19" s="69">
        <f>H$2*IFERROR(INDEX(CeraAutobrillante[],MATCH(Produccion[[#This Row],[PRODUCTO]],CeraAutobrillante[M.P.],0),2),0)</f>
        <v>0</v>
      </c>
      <c r="I19" s="69">
        <f>I$2*IFERROR(INDEX(Creolina[],MATCH(Produccion[[#This Row],[PRODUCTO]],Creolina[M.P.],0),2),0)</f>
        <v>1.3331999999999999</v>
      </c>
      <c r="J19" s="69">
        <f>J$2*IFERROR(INDEX(Desencrustante[],MATCH(Produccion[[#This Row],[PRODUCTO]],Desencrustante[M.P.],0),2),0)</f>
        <v>0</v>
      </c>
      <c r="K19" s="69">
        <f>K$2*IFERROR(INDEX(DesengrasanteAcido[],MATCH(Produccion[[#This Row],[PRODUCTO]],DesengrasanteAcido[M.P.],0),2),0)</f>
        <v>0</v>
      </c>
      <c r="L19" s="69">
        <f>L$2*IFERROR(INDEX(DesengrasanteEspumoso[],MATCH(Produccion[[#This Row],[PRODUCTO]],DesengrasanteEspumoso[M.P.],0),2),0)</f>
        <v>0</v>
      </c>
      <c r="M19" s="69">
        <f>M$2*IFERROR(INDEX(DesmanchadorRopaColor[],MATCH(Produccion[[#This Row],[PRODUCTO]],DesmanchadorRopaColor[M.P.],0),2),0)</f>
        <v>0</v>
      </c>
      <c r="N19" s="69">
        <f>N$2*IFERROR(INDEX(DetLavadora[],MATCH(Produccion[[#This Row],[PRODUCTO]],DetLavadora[M.P.],0),2),0)</f>
        <v>0</v>
      </c>
      <c r="O19" s="69">
        <f>O$2*IFERROR(INDEX(DetMultiusos[],MATCH(Produccion[[#This Row],[PRODUCTO]],DetMultiusos[M.P.],0),2),0)</f>
        <v>0</v>
      </c>
      <c r="P19" s="69">
        <f>P$2*IFERROR(INDEX(TipoRey[],MATCH(Produccion[[#This Row],[PRODUCTO]],TipoRey[M.P.],0),2),0)</f>
        <v>0</v>
      </c>
      <c r="Q19" s="69">
        <f>Q$2*IFERROR(INDEX(GelAntibacterial[],MATCH(Produccion[[#This Row],[PRODUCTO]],GelAntibacterial[M.P.],0),2),0)</f>
        <v>0</v>
      </c>
      <c r="R19" s="69">
        <f>R$2*IFERROR(INDEX(JabonManos[],MATCH(Produccion[[#This Row],[PRODUCTO]],JabonManos[M.P.],0),2),0)</f>
        <v>0</v>
      </c>
      <c r="S19" s="69">
        <f>S$2*IFERROR(INDEX(JabonLavaLoza[],MATCH(Produccion[[#This Row],[PRODUCTO]],JabonLavaLoza[M.P.],0),2),0)</f>
        <v>0</v>
      </c>
      <c r="T19" s="69">
        <f>T$2*IFERROR(INDEX(LimpiadorDeSuperficies[],MATCH(Produccion[[#This Row],[PRODUCTO]],LimpiadorDeSuperficies[M.P.],0),2),0)</f>
        <v>0</v>
      </c>
      <c r="U19" s="69">
        <f>U$2*IFERROR(INDEX(LimpiadorHornos[],MATCH(Produccion[[#This Row],[PRODUCTO]],LimpiadorHornos[M.P.],0),2),0)</f>
        <v>0</v>
      </c>
      <c r="V19" s="69">
        <f>V$2*IFERROR(INDEX(Limpiavidrios[],MATCH(Produccion[[#This Row],[PRODUCTO]],Limpiavidrios[M.P.],0),2),0)</f>
        <v>0</v>
      </c>
      <c r="W19" s="69">
        <f>W$2*IFERROR(INDEX(RemovedorDeCeras[],MATCH(Produccion[[#This Row],[PRODUCTO]],RemovedorDeCeras[M.P.],0),2),0)</f>
        <v>0</v>
      </c>
      <c r="X19" s="69">
        <f>X$2*IFERROR(INDEX(ShampooAlfombras[],MATCH(Produccion[[#This Row],[PRODUCTO]],ShampooAlfombras[M.P.],0),2),0)</f>
        <v>0</v>
      </c>
      <c r="Y19" s="69">
        <f>Y$2*IFERROR(INDEX(ShampooAuto[],MATCH(Produccion[[#This Row],[PRODUCTO]],ShampooAuto[M.P.],0),2),0)</f>
        <v>0</v>
      </c>
      <c r="Z19" s="69">
        <f>Z$2*IFERROR(INDEX(SiliconaAltoBrillo[],MATCH(Produccion[[#This Row],[PRODUCTO]],SiliconaAltoBrillo[M.P.],0),2),0)</f>
        <v>0</v>
      </c>
      <c r="AA19" s="69">
        <f>AA$2*IFERROR(INDEX(Suavizante[],MATCH(Produccion[[#This Row],[PRODUCTO]],Suavizante[M.P.],0),2),0)</f>
        <v>0</v>
      </c>
      <c r="AB19" s="70">
        <f>AB$2*IFERROR(INDEX(Vinagre[],MATCH(Produccion[[#This Row],[PRODUCTO]],Vinagre[M.P.],0),2),0)</f>
        <v>0</v>
      </c>
    </row>
    <row r="20" spans="1:29" hidden="1">
      <c r="A20" s="18" t="s">
        <v>761</v>
      </c>
      <c r="B20" s="31">
        <f t="shared" si="0"/>
        <v>3.0000000000000001E-3</v>
      </c>
      <c r="C20" s="69">
        <f>$C$2*IFERROR(INDEX(AlcoholIndustrial[],MATCH(Produccion[[#This Row],[PRODUCTO]],AlcoholIndustrial[M.P.],0),2),0)</f>
        <v>0</v>
      </c>
      <c r="D20" s="69">
        <f>$D$2*IFERROR(INDEX(AmbientadorPiso[],MATCH(Produccion[[#This Row],[PRODUCTO]],AmbientadorPiso[M.P.],0),2),0)</f>
        <v>0</v>
      </c>
      <c r="E20" s="69">
        <f>$E$2*IFERROR(INDEX(AmbientadorSpray[],MATCH(Produccion[[#This Row],[PRODUCTO]],AmbientadorSpray[M.P.],0),2),0)</f>
        <v>0</v>
      </c>
      <c r="F20" s="69">
        <f>$F$2*IFERROR(INDEX(Biovarsol[],MATCH(Produccion[[#This Row],[PRODUCTO]],Biovarsol[M.P.],0),2),0)</f>
        <v>0</v>
      </c>
      <c r="G20" s="69">
        <f>G$2*IFERROR(INDEX(BlanqueadorDesinfectante[],MATCH(Produccion[[#This Row],[PRODUCTO]],BlanqueadorDesinfectante[M.P.],0),2),0)</f>
        <v>0</v>
      </c>
      <c r="H20" s="69">
        <f>H$2*IFERROR(INDEX(CeraAutobrillante[],MATCH(Produccion[[#This Row],[PRODUCTO]],CeraAutobrillante[M.P.],0),2),0)</f>
        <v>0</v>
      </c>
      <c r="I20" s="69">
        <f>I$2*IFERROR(INDEX(Creolina[],MATCH(Produccion[[#This Row],[PRODUCTO]],Creolina[M.P.],0),2),0)</f>
        <v>0</v>
      </c>
      <c r="J20" s="69">
        <f>J$2*IFERROR(INDEX(Desencrustante[],MATCH(Produccion[[#This Row],[PRODUCTO]],Desencrustante[M.P.],0),2),0)</f>
        <v>0</v>
      </c>
      <c r="K20" s="69">
        <f>K$2*IFERROR(INDEX(DesengrasanteAcido[],MATCH(Produccion[[#This Row],[PRODUCTO]],DesengrasanteAcido[M.P.],0),2),0)</f>
        <v>0</v>
      </c>
      <c r="L20" s="69">
        <f>L$2*IFERROR(INDEX(DesengrasanteEspumoso[],MATCH(Produccion[[#This Row],[PRODUCTO]],DesengrasanteEspumoso[M.P.],0),2),0)</f>
        <v>0</v>
      </c>
      <c r="M20" s="69">
        <f>M$2*IFERROR(INDEX(DesmanchadorRopaColor[],MATCH(Produccion[[#This Row],[PRODUCTO]],DesmanchadorRopaColor[M.P.],0),2),0)</f>
        <v>0</v>
      </c>
      <c r="N20" s="69">
        <f>N$2*IFERROR(INDEX(DetLavadora[],MATCH(Produccion[[#This Row],[PRODUCTO]],DetLavadora[M.P.],0),2),0)</f>
        <v>0</v>
      </c>
      <c r="O20" s="69">
        <f>O$2*IFERROR(INDEX(DetMultiusos[],MATCH(Produccion[[#This Row],[PRODUCTO]],DetMultiusos[M.P.],0),2),0)</f>
        <v>0</v>
      </c>
      <c r="P20" s="69">
        <f>P$2*IFERROR(INDEX(TipoRey[],MATCH(Produccion[[#This Row],[PRODUCTO]],TipoRey[M.P.],0),2),0)</f>
        <v>0</v>
      </c>
      <c r="Q20" s="69">
        <f>Q$2*IFERROR(INDEX(GelAntibacterial[],MATCH(Produccion[[#This Row],[PRODUCTO]],GelAntibacterial[M.P.],0),2),0)</f>
        <v>3.0000000000000001E-3</v>
      </c>
      <c r="R20" s="69">
        <f>R$2*IFERROR(INDEX(JabonManos[],MATCH(Produccion[[#This Row],[PRODUCTO]],JabonManos[M.P.],0),2),0)</f>
        <v>0</v>
      </c>
      <c r="S20" s="69">
        <f>S$2*IFERROR(INDEX(JabonLavaLoza[],MATCH(Produccion[[#This Row],[PRODUCTO]],JabonLavaLoza[M.P.],0),2),0)</f>
        <v>0</v>
      </c>
      <c r="T20" s="69">
        <f>T$2*IFERROR(INDEX(LimpiadorDeSuperficies[],MATCH(Produccion[[#This Row],[PRODUCTO]],LimpiadorDeSuperficies[M.P.],0),2),0)</f>
        <v>0</v>
      </c>
      <c r="U20" s="69">
        <f>U$2*IFERROR(INDEX(LimpiadorHornos[],MATCH(Produccion[[#This Row],[PRODUCTO]],LimpiadorHornos[M.P.],0),2),0)</f>
        <v>0</v>
      </c>
      <c r="V20" s="69">
        <f>V$2*IFERROR(INDEX(Limpiavidrios[],MATCH(Produccion[[#This Row],[PRODUCTO]],Limpiavidrios[M.P.],0),2),0)</f>
        <v>0</v>
      </c>
      <c r="W20" s="69">
        <f>W$2*IFERROR(INDEX(RemovedorDeCeras[],MATCH(Produccion[[#This Row],[PRODUCTO]],RemovedorDeCeras[M.P.],0),2),0)</f>
        <v>0</v>
      </c>
      <c r="X20" s="69">
        <f>X$2*IFERROR(INDEX(ShampooAlfombras[],MATCH(Produccion[[#This Row],[PRODUCTO]],ShampooAlfombras[M.P.],0),2),0)</f>
        <v>0</v>
      </c>
      <c r="Y20" s="69">
        <f>Y$2*IFERROR(INDEX(ShampooAuto[],MATCH(Produccion[[#This Row],[PRODUCTO]],ShampooAuto[M.P.],0),2),0)</f>
        <v>0</v>
      </c>
      <c r="Z20" s="69">
        <f>Z$2*IFERROR(INDEX(SiliconaAltoBrillo[],MATCH(Produccion[[#This Row],[PRODUCTO]],SiliconaAltoBrillo[M.P.],0),2),0)</f>
        <v>0</v>
      </c>
      <c r="AA20" s="69">
        <f>AA$2*IFERROR(INDEX(Suavizante[],MATCH(Produccion[[#This Row],[PRODUCTO]],Suavizante[M.P.],0),2),0)</f>
        <v>0</v>
      </c>
      <c r="AB20" s="70">
        <f>AB$2*IFERROR(INDEX(Vinagre[],MATCH(Produccion[[#This Row],[PRODUCTO]],Vinagre[M.P.],0),2),0)</f>
        <v>0</v>
      </c>
    </row>
    <row r="21" spans="1:29" hidden="1">
      <c r="A21" s="18" t="s">
        <v>762</v>
      </c>
      <c r="B21" s="31">
        <f t="shared" si="0"/>
        <v>0</v>
      </c>
      <c r="C21" s="69">
        <f>$C$2*IFERROR(INDEX(AlcoholIndustrial[],MATCH(Produccion[[#This Row],[PRODUCTO]],AlcoholIndustrial[M.P.],0),2),0)</f>
        <v>0</v>
      </c>
      <c r="D21" s="69">
        <f>$D$2*IFERROR(INDEX(AmbientadorPiso[],MATCH(Produccion[[#This Row],[PRODUCTO]],AmbientadorPiso[M.P.],0),2),0)</f>
        <v>0</v>
      </c>
      <c r="E21" s="69">
        <f>$E$2*IFERROR(INDEX(AmbientadorSpray[],MATCH(Produccion[[#This Row],[PRODUCTO]],AmbientadorSpray[M.P.],0),2),0)</f>
        <v>0</v>
      </c>
      <c r="F21" s="69">
        <f>$F$2*IFERROR(INDEX(Biovarsol[],MATCH(Produccion[[#This Row],[PRODUCTO]],Biovarsol[M.P.],0),2),0)</f>
        <v>0</v>
      </c>
      <c r="G21" s="69">
        <f>G$2*IFERROR(INDEX(BlanqueadorDesinfectante[],MATCH(Produccion[[#This Row],[PRODUCTO]],BlanqueadorDesinfectante[M.P.],0),2),0)</f>
        <v>0</v>
      </c>
      <c r="H21" s="69">
        <f>H$2*IFERROR(INDEX(CeraAutobrillante[],MATCH(Produccion[[#This Row],[PRODUCTO]],CeraAutobrillante[M.P.],0),2),0)</f>
        <v>0</v>
      </c>
      <c r="I21" s="69">
        <f>I$2*IFERROR(INDEX(Creolina[],MATCH(Produccion[[#This Row],[PRODUCTO]],Creolina[M.P.],0),2),0)</f>
        <v>0</v>
      </c>
      <c r="J21" s="69">
        <f>J$2*IFERROR(INDEX(Desencrustante[],MATCH(Produccion[[#This Row],[PRODUCTO]],Desencrustante[M.P.],0),2),0)</f>
        <v>0</v>
      </c>
      <c r="K21" s="69">
        <f>K$2*IFERROR(INDEX(DesengrasanteAcido[],MATCH(Produccion[[#This Row],[PRODUCTO]],DesengrasanteAcido[M.P.],0),2),0)</f>
        <v>0</v>
      </c>
      <c r="L21" s="69">
        <f>L$2*IFERROR(INDEX(DesengrasanteEspumoso[],MATCH(Produccion[[#This Row],[PRODUCTO]],DesengrasanteEspumoso[M.P.],0),2),0)</f>
        <v>0</v>
      </c>
      <c r="M21" s="69">
        <f>M$2*IFERROR(INDEX(DesmanchadorRopaColor[],MATCH(Produccion[[#This Row],[PRODUCTO]],DesmanchadorRopaColor[M.P.],0),2),0)</f>
        <v>0</v>
      </c>
      <c r="N21" s="69">
        <f>N$2*IFERROR(INDEX(DetLavadora[],MATCH(Produccion[[#This Row],[PRODUCTO]],DetLavadora[M.P.],0),2),0)</f>
        <v>0</v>
      </c>
      <c r="O21" s="69">
        <f>O$2*IFERROR(INDEX(DetMultiusos[],MATCH(Produccion[[#This Row],[PRODUCTO]],DetMultiusos[M.P.],0),2),0)</f>
        <v>0</v>
      </c>
      <c r="P21" s="69">
        <f>P$2*IFERROR(INDEX(TipoRey[],MATCH(Produccion[[#This Row],[PRODUCTO]],TipoRey[M.P.],0),2),0)</f>
        <v>0</v>
      </c>
      <c r="Q21" s="69">
        <f>Q$2*IFERROR(INDEX(GelAntibacterial[],MATCH(Produccion[[#This Row],[PRODUCTO]],GelAntibacterial[M.P.],0),2),0)</f>
        <v>0</v>
      </c>
      <c r="R21" s="69">
        <f>R$2*IFERROR(INDEX(JabonManos[],MATCH(Produccion[[#This Row],[PRODUCTO]],JabonManos[M.P.],0),2),0)</f>
        <v>0</v>
      </c>
      <c r="S21" s="69">
        <f>S$2*IFERROR(INDEX(JabonLavaLoza[],MATCH(Produccion[[#This Row],[PRODUCTO]],JabonLavaLoza[M.P.],0),2),0)</f>
        <v>0</v>
      </c>
      <c r="T21" s="69">
        <f>T$2*IFERROR(INDEX(LimpiadorDeSuperficies[],MATCH(Produccion[[#This Row],[PRODUCTO]],LimpiadorDeSuperficies[M.P.],0),2),0)</f>
        <v>0</v>
      </c>
      <c r="U21" s="69">
        <f>U$2*IFERROR(INDEX(LimpiadorHornos[],MATCH(Produccion[[#This Row],[PRODUCTO]],LimpiadorHornos[M.P.],0),2),0)</f>
        <v>0</v>
      </c>
      <c r="V21" s="69">
        <f>V$2*IFERROR(INDEX(Limpiavidrios[],MATCH(Produccion[[#This Row],[PRODUCTO]],Limpiavidrios[M.P.],0),2),0)</f>
        <v>0</v>
      </c>
      <c r="W21" s="69">
        <f>W$2*IFERROR(INDEX(RemovedorDeCeras[],MATCH(Produccion[[#This Row],[PRODUCTO]],RemovedorDeCeras[M.P.],0),2),0)</f>
        <v>0</v>
      </c>
      <c r="X21" s="69">
        <f>X$2*IFERROR(INDEX(ShampooAlfombras[],MATCH(Produccion[[#This Row],[PRODUCTO]],ShampooAlfombras[M.P.],0),2),0)</f>
        <v>0</v>
      </c>
      <c r="Y21" s="69">
        <f>Y$2*IFERROR(INDEX(ShampooAuto[],MATCH(Produccion[[#This Row],[PRODUCTO]],ShampooAuto[M.P.],0),2),0)</f>
        <v>0</v>
      </c>
      <c r="Z21" s="69">
        <f>Z$2*IFERROR(INDEX(SiliconaAltoBrillo[],MATCH(Produccion[[#This Row],[PRODUCTO]],SiliconaAltoBrillo[M.P.],0),2),0)</f>
        <v>0</v>
      </c>
      <c r="AA21" s="69">
        <f>AA$2*IFERROR(INDEX(Suavizante[],MATCH(Produccion[[#This Row],[PRODUCTO]],Suavizante[M.P.],0),2),0)</f>
        <v>0</v>
      </c>
      <c r="AB21" s="70">
        <f>AB$2*IFERROR(INDEX(Vinagre[],MATCH(Produccion[[#This Row],[PRODUCTO]],Vinagre[M.P.],0),2),0)</f>
        <v>0</v>
      </c>
    </row>
    <row r="22" spans="1:29" hidden="1">
      <c r="A22" s="18" t="s">
        <v>763</v>
      </c>
      <c r="B22" s="31">
        <f t="shared" si="0"/>
        <v>0.02</v>
      </c>
      <c r="C22" s="69">
        <f>$C$2*IFERROR(INDEX(AlcoholIndustrial[],MATCH(Produccion[[#This Row],[PRODUCTO]],AlcoholIndustrial[M.P.],0),2),0)</f>
        <v>0</v>
      </c>
      <c r="D22" s="69">
        <f>$D$2*IFERROR(INDEX(AmbientadorPiso[],MATCH(Produccion[[#This Row],[PRODUCTO]],AmbientadorPiso[M.P.],0),2),0)</f>
        <v>0</v>
      </c>
      <c r="E22" s="69">
        <f>$E$2*IFERROR(INDEX(AmbientadorSpray[],MATCH(Produccion[[#This Row],[PRODUCTO]],AmbientadorSpray[M.P.],0),2),0)</f>
        <v>0</v>
      </c>
      <c r="F22" s="69">
        <f>$F$2*IFERROR(INDEX(Biovarsol[],MATCH(Produccion[[#This Row],[PRODUCTO]],Biovarsol[M.P.],0),2),0)</f>
        <v>0.02</v>
      </c>
      <c r="G22" s="69">
        <f>G$2*IFERROR(INDEX(BlanqueadorDesinfectante[],MATCH(Produccion[[#This Row],[PRODUCTO]],BlanqueadorDesinfectante[M.P.],0),2),0)</f>
        <v>0</v>
      </c>
      <c r="H22" s="69">
        <f>H$2*IFERROR(INDEX(CeraAutobrillante[],MATCH(Produccion[[#This Row],[PRODUCTO]],CeraAutobrillante[M.P.],0),2),0)</f>
        <v>0</v>
      </c>
      <c r="I22" s="69">
        <f>I$2*IFERROR(INDEX(Creolina[],MATCH(Produccion[[#This Row],[PRODUCTO]],Creolina[M.P.],0),2),0)</f>
        <v>0</v>
      </c>
      <c r="J22" s="69">
        <f>J$2*IFERROR(INDEX(Desencrustante[],MATCH(Produccion[[#This Row],[PRODUCTO]],Desencrustante[M.P.],0),2),0)</f>
        <v>0</v>
      </c>
      <c r="K22" s="69">
        <f>K$2*IFERROR(INDEX(DesengrasanteAcido[],MATCH(Produccion[[#This Row],[PRODUCTO]],DesengrasanteAcido[M.P.],0),2),0)</f>
        <v>0</v>
      </c>
      <c r="L22" s="69">
        <f>L$2*IFERROR(INDEX(DesengrasanteEspumoso[],MATCH(Produccion[[#This Row],[PRODUCTO]],DesengrasanteEspumoso[M.P.],0),2),0)</f>
        <v>0</v>
      </c>
      <c r="M22" s="69">
        <f>M$2*IFERROR(INDEX(DesmanchadorRopaColor[],MATCH(Produccion[[#This Row],[PRODUCTO]],DesmanchadorRopaColor[M.P.],0),2),0)</f>
        <v>0</v>
      </c>
      <c r="N22" s="69">
        <f>N$2*IFERROR(INDEX(DetLavadora[],MATCH(Produccion[[#This Row],[PRODUCTO]],DetLavadora[M.P.],0),2),0)</f>
        <v>0</v>
      </c>
      <c r="O22" s="69">
        <f>O$2*IFERROR(INDEX(DetMultiusos[],MATCH(Produccion[[#This Row],[PRODUCTO]],DetMultiusos[M.P.],0),2),0)</f>
        <v>0</v>
      </c>
      <c r="P22" s="69">
        <f>P$2*IFERROR(INDEX(TipoRey[],MATCH(Produccion[[#This Row],[PRODUCTO]],TipoRey[M.P.],0),2),0)</f>
        <v>0</v>
      </c>
      <c r="Q22" s="69">
        <f>Q$2*IFERROR(INDEX(GelAntibacterial[],MATCH(Produccion[[#This Row],[PRODUCTO]],GelAntibacterial[M.P.],0),2),0)</f>
        <v>0</v>
      </c>
      <c r="R22" s="69">
        <f>R$2*IFERROR(INDEX(JabonManos[],MATCH(Produccion[[#This Row],[PRODUCTO]],JabonManos[M.P.],0),2),0)</f>
        <v>0</v>
      </c>
      <c r="S22" s="69">
        <f>S$2*IFERROR(INDEX(JabonLavaLoza[],MATCH(Produccion[[#This Row],[PRODUCTO]],JabonLavaLoza[M.P.],0),2),0)</f>
        <v>0</v>
      </c>
      <c r="T22" s="69">
        <f>T$2*IFERROR(INDEX(LimpiadorDeSuperficies[],MATCH(Produccion[[#This Row],[PRODUCTO]],LimpiadorDeSuperficies[M.P.],0),2),0)</f>
        <v>0</v>
      </c>
      <c r="U22" s="69">
        <f>U$2*IFERROR(INDEX(LimpiadorHornos[],MATCH(Produccion[[#This Row],[PRODUCTO]],LimpiadorHornos[M.P.],0),2),0)</f>
        <v>0</v>
      </c>
      <c r="V22" s="69">
        <f>V$2*IFERROR(INDEX(Limpiavidrios[],MATCH(Produccion[[#This Row],[PRODUCTO]],Limpiavidrios[M.P.],0),2),0)</f>
        <v>0</v>
      </c>
      <c r="W22" s="69">
        <f>W$2*IFERROR(INDEX(RemovedorDeCeras[],MATCH(Produccion[[#This Row],[PRODUCTO]],RemovedorDeCeras[M.P.],0),2),0)</f>
        <v>0</v>
      </c>
      <c r="X22" s="69">
        <f>X$2*IFERROR(INDEX(ShampooAlfombras[],MATCH(Produccion[[#This Row],[PRODUCTO]],ShampooAlfombras[M.P.],0),2),0)</f>
        <v>0</v>
      </c>
      <c r="Y22" s="69">
        <f>Y$2*IFERROR(INDEX(ShampooAuto[],MATCH(Produccion[[#This Row],[PRODUCTO]],ShampooAuto[M.P.],0),2),0)</f>
        <v>0</v>
      </c>
      <c r="Z22" s="69">
        <f>Z$2*IFERROR(INDEX(SiliconaAltoBrillo[],MATCH(Produccion[[#This Row],[PRODUCTO]],SiliconaAltoBrillo[M.P.],0),2),0)</f>
        <v>0</v>
      </c>
      <c r="AA22" s="69">
        <f>AA$2*IFERROR(INDEX(Suavizante[],MATCH(Produccion[[#This Row],[PRODUCTO]],Suavizante[M.P.],0),2),0)</f>
        <v>0</v>
      </c>
      <c r="AB22" s="70">
        <f>AB$2*IFERROR(INDEX(Vinagre[],MATCH(Produccion[[#This Row],[PRODUCTO]],Vinagre[M.P.],0),2),0)</f>
        <v>0</v>
      </c>
    </row>
    <row r="23" spans="1:29" hidden="1">
      <c r="A23" s="18" t="s">
        <v>764</v>
      </c>
      <c r="B23" s="31">
        <f t="shared" si="0"/>
        <v>0.06</v>
      </c>
      <c r="C23" s="69">
        <f>$C$2*IFERROR(INDEX(AlcoholIndustrial[],MATCH(Produccion[[#This Row],[PRODUCTO]],AlcoholIndustrial[M.P.],0),2),0)</f>
        <v>0</v>
      </c>
      <c r="D23" s="69">
        <f>$D$2*IFERROR(INDEX(AmbientadorPiso[],MATCH(Produccion[[#This Row],[PRODUCTO]],AmbientadorPiso[M.P.],0),2),0)</f>
        <v>0</v>
      </c>
      <c r="E23" s="69">
        <f>$E$2*IFERROR(INDEX(AmbientadorSpray[],MATCH(Produccion[[#This Row],[PRODUCTO]],AmbientadorSpray[M.P.],0),2),0)</f>
        <v>0</v>
      </c>
      <c r="F23" s="69">
        <f>$F$2*IFERROR(INDEX(Biovarsol[],MATCH(Produccion[[#This Row],[PRODUCTO]],Biovarsol[M.P.],0),2),0)</f>
        <v>0.06</v>
      </c>
      <c r="G23" s="69">
        <f>G$2*IFERROR(INDEX(BlanqueadorDesinfectante[],MATCH(Produccion[[#This Row],[PRODUCTO]],BlanqueadorDesinfectante[M.P.],0),2),0)</f>
        <v>0</v>
      </c>
      <c r="H23" s="69">
        <f>H$2*IFERROR(INDEX(CeraAutobrillante[],MATCH(Produccion[[#This Row],[PRODUCTO]],CeraAutobrillante[M.P.],0),2),0)</f>
        <v>0</v>
      </c>
      <c r="I23" s="69">
        <f>I$2*IFERROR(INDEX(Creolina[],MATCH(Produccion[[#This Row],[PRODUCTO]],Creolina[M.P.],0),2),0)</f>
        <v>0</v>
      </c>
      <c r="J23" s="69">
        <f>J$2*IFERROR(INDEX(Desencrustante[],MATCH(Produccion[[#This Row],[PRODUCTO]],Desencrustante[M.P.],0),2),0)</f>
        <v>0</v>
      </c>
      <c r="K23" s="69">
        <f>K$2*IFERROR(INDEX(DesengrasanteAcido[],MATCH(Produccion[[#This Row],[PRODUCTO]],DesengrasanteAcido[M.P.],0),2),0)</f>
        <v>0</v>
      </c>
      <c r="L23" s="69">
        <f>L$2*IFERROR(INDEX(DesengrasanteEspumoso[],MATCH(Produccion[[#This Row],[PRODUCTO]],DesengrasanteEspumoso[M.P.],0),2),0)</f>
        <v>0</v>
      </c>
      <c r="M23" s="69">
        <f>M$2*IFERROR(INDEX(DesmanchadorRopaColor[],MATCH(Produccion[[#This Row],[PRODUCTO]],DesmanchadorRopaColor[M.P.],0),2),0)</f>
        <v>0</v>
      </c>
      <c r="N23" s="69">
        <f>N$2*IFERROR(INDEX(DetLavadora[],MATCH(Produccion[[#This Row],[PRODUCTO]],DetLavadora[M.P.],0),2),0)</f>
        <v>0</v>
      </c>
      <c r="O23" s="69">
        <f>O$2*IFERROR(INDEX(DetMultiusos[],MATCH(Produccion[[#This Row],[PRODUCTO]],DetMultiusos[M.P.],0),2),0)</f>
        <v>0</v>
      </c>
      <c r="P23" s="69">
        <f>P$2*IFERROR(INDEX(TipoRey[],MATCH(Produccion[[#This Row],[PRODUCTO]],TipoRey[M.P.],0),2),0)</f>
        <v>0</v>
      </c>
      <c r="Q23" s="69">
        <f>Q$2*IFERROR(INDEX(GelAntibacterial[],MATCH(Produccion[[#This Row],[PRODUCTO]],GelAntibacterial[M.P.],0),2),0)</f>
        <v>0</v>
      </c>
      <c r="R23" s="69">
        <f>R$2*IFERROR(INDEX(JabonManos[],MATCH(Produccion[[#This Row],[PRODUCTO]],JabonManos[M.P.],0),2),0)</f>
        <v>0</v>
      </c>
      <c r="S23" s="69">
        <f>S$2*IFERROR(INDEX(JabonLavaLoza[],MATCH(Produccion[[#This Row],[PRODUCTO]],JabonLavaLoza[M.P.],0),2),0)</f>
        <v>0</v>
      </c>
      <c r="T23" s="69">
        <f>T$2*IFERROR(INDEX(LimpiadorDeSuperficies[],MATCH(Produccion[[#This Row],[PRODUCTO]],LimpiadorDeSuperficies[M.P.],0),2),0)</f>
        <v>0</v>
      </c>
      <c r="U23" s="69">
        <f>U$2*IFERROR(INDEX(LimpiadorHornos[],MATCH(Produccion[[#This Row],[PRODUCTO]],LimpiadorHornos[M.P.],0),2),0)</f>
        <v>0</v>
      </c>
      <c r="V23" s="69">
        <f>V$2*IFERROR(INDEX(Limpiavidrios[],MATCH(Produccion[[#This Row],[PRODUCTO]],Limpiavidrios[M.P.],0),2),0)</f>
        <v>0</v>
      </c>
      <c r="W23" s="69">
        <f>W$2*IFERROR(INDEX(RemovedorDeCeras[],MATCH(Produccion[[#This Row],[PRODUCTO]],RemovedorDeCeras[M.P.],0),2),0)</f>
        <v>0</v>
      </c>
      <c r="X23" s="69">
        <f>X$2*IFERROR(INDEX(ShampooAlfombras[],MATCH(Produccion[[#This Row],[PRODUCTO]],ShampooAlfombras[M.P.],0),2),0)</f>
        <v>0</v>
      </c>
      <c r="Y23" s="69">
        <f>Y$2*IFERROR(INDEX(ShampooAuto[],MATCH(Produccion[[#This Row],[PRODUCTO]],ShampooAuto[M.P.],0),2),0)</f>
        <v>0</v>
      </c>
      <c r="Z23" s="69">
        <f>Z$2*IFERROR(INDEX(SiliconaAltoBrillo[],MATCH(Produccion[[#This Row],[PRODUCTO]],SiliconaAltoBrillo[M.P.],0),2),0)</f>
        <v>0</v>
      </c>
      <c r="AA23" s="69">
        <f>AA$2*IFERROR(INDEX(Suavizante[],MATCH(Produccion[[#This Row],[PRODUCTO]],Suavizante[M.P.],0),2),0)</f>
        <v>0</v>
      </c>
      <c r="AB23" s="70">
        <f>AB$2*IFERROR(INDEX(Vinagre[],MATCH(Produccion[[#This Row],[PRODUCTO]],Vinagre[M.P.],0),2),0)</f>
        <v>0</v>
      </c>
    </row>
    <row r="24" spans="1:29" hidden="1">
      <c r="A24" s="18" t="s">
        <v>765</v>
      </c>
      <c r="B24" s="31">
        <f t="shared" si="0"/>
        <v>0.05</v>
      </c>
      <c r="C24" s="69">
        <f>$C$2*IFERROR(INDEX(AlcoholIndustrial[],MATCH(Produccion[[#This Row],[PRODUCTO]],AlcoholIndustrial[M.P.],0),2),0)</f>
        <v>0</v>
      </c>
      <c r="D24" s="69">
        <f>$D$2*IFERROR(INDEX(AmbientadorPiso[],MATCH(Produccion[[#This Row],[PRODUCTO]],AmbientadorPiso[M.P.],0),2),0)</f>
        <v>0</v>
      </c>
      <c r="E24" s="69">
        <f>$E$2*IFERROR(INDEX(AmbientadorSpray[],MATCH(Produccion[[#This Row],[PRODUCTO]],AmbientadorSpray[M.P.],0),2),0)</f>
        <v>0</v>
      </c>
      <c r="F24" s="69">
        <f>$F$2*IFERROR(INDEX(Biovarsol[],MATCH(Produccion[[#This Row],[PRODUCTO]],Biovarsol[M.P.],0),2),0)</f>
        <v>0</v>
      </c>
      <c r="G24" s="69">
        <f>G$2*IFERROR(INDEX(BlanqueadorDesinfectante[],MATCH(Produccion[[#This Row],[PRODUCTO]],BlanqueadorDesinfectante[M.P.],0),2),0)</f>
        <v>0</v>
      </c>
      <c r="H24" s="69">
        <f>H$2*IFERROR(INDEX(CeraAutobrillante[],MATCH(Produccion[[#This Row],[PRODUCTO]],CeraAutobrillante[M.P.],0),2),0)</f>
        <v>0</v>
      </c>
      <c r="I24" s="69">
        <f>I$2*IFERROR(INDEX(Creolina[],MATCH(Produccion[[#This Row],[PRODUCTO]],Creolina[M.P.],0),2),0)</f>
        <v>0</v>
      </c>
      <c r="J24" s="69">
        <f>J$2*IFERROR(INDEX(Desencrustante[],MATCH(Produccion[[#This Row],[PRODUCTO]],Desencrustante[M.P.],0),2),0)</f>
        <v>0.05</v>
      </c>
      <c r="K24" s="69">
        <f>K$2*IFERROR(INDEX(DesengrasanteAcido[],MATCH(Produccion[[#This Row],[PRODUCTO]],DesengrasanteAcido[M.P.],0),2),0)</f>
        <v>0</v>
      </c>
      <c r="L24" s="69">
        <f>L$2*IFERROR(INDEX(DesengrasanteEspumoso[],MATCH(Produccion[[#This Row],[PRODUCTO]],DesengrasanteEspumoso[M.P.],0),2),0)</f>
        <v>0</v>
      </c>
      <c r="M24" s="69">
        <f>M$2*IFERROR(INDEX(DesmanchadorRopaColor[],MATCH(Produccion[[#This Row],[PRODUCTO]],DesmanchadorRopaColor[M.P.],0),2),0)</f>
        <v>0</v>
      </c>
      <c r="N24" s="69">
        <f>N$2*IFERROR(INDEX(DetLavadora[],MATCH(Produccion[[#This Row],[PRODUCTO]],DetLavadora[M.P.],0),2),0)</f>
        <v>0</v>
      </c>
      <c r="O24" s="69">
        <f>O$2*IFERROR(INDEX(DetMultiusos[],MATCH(Produccion[[#This Row],[PRODUCTO]],DetMultiusos[M.P.],0),2),0)</f>
        <v>0</v>
      </c>
      <c r="P24" s="69">
        <f>P$2*IFERROR(INDEX(TipoRey[],MATCH(Produccion[[#This Row],[PRODUCTO]],TipoRey[M.P.],0),2),0)</f>
        <v>0</v>
      </c>
      <c r="Q24" s="69">
        <f>Q$2*IFERROR(INDEX(GelAntibacterial[],MATCH(Produccion[[#This Row],[PRODUCTO]],GelAntibacterial[M.P.],0),2),0)</f>
        <v>0</v>
      </c>
      <c r="R24" s="69">
        <f>R$2*IFERROR(INDEX(JabonManos[],MATCH(Produccion[[#This Row],[PRODUCTO]],JabonManos[M.P.],0),2),0)</f>
        <v>0</v>
      </c>
      <c r="S24" s="69">
        <f>S$2*IFERROR(INDEX(JabonLavaLoza[],MATCH(Produccion[[#This Row],[PRODUCTO]],JabonLavaLoza[M.P.],0),2),0)</f>
        <v>0</v>
      </c>
      <c r="T24" s="69">
        <f>T$2*IFERROR(INDEX(LimpiadorDeSuperficies[],MATCH(Produccion[[#This Row],[PRODUCTO]],LimpiadorDeSuperficies[M.P.],0),2),0)</f>
        <v>0</v>
      </c>
      <c r="U24" s="69">
        <f>U$2*IFERROR(INDEX(LimpiadorHornos[],MATCH(Produccion[[#This Row],[PRODUCTO]],LimpiadorHornos[M.P.],0),2),0)</f>
        <v>0</v>
      </c>
      <c r="V24" s="69">
        <f>V$2*IFERROR(INDEX(Limpiavidrios[],MATCH(Produccion[[#This Row],[PRODUCTO]],Limpiavidrios[M.P.],0),2),0)</f>
        <v>0</v>
      </c>
      <c r="W24" s="69">
        <f>W$2*IFERROR(INDEX(RemovedorDeCeras[],MATCH(Produccion[[#This Row],[PRODUCTO]],RemovedorDeCeras[M.P.],0),2),0)</f>
        <v>0</v>
      </c>
      <c r="X24" s="69">
        <f>X$2*IFERROR(INDEX(ShampooAlfombras[],MATCH(Produccion[[#This Row],[PRODUCTO]],ShampooAlfombras[M.P.],0),2),0)</f>
        <v>0</v>
      </c>
      <c r="Y24" s="69">
        <f>Y$2*IFERROR(INDEX(ShampooAuto[],MATCH(Produccion[[#This Row],[PRODUCTO]],ShampooAuto[M.P.],0),2),0)</f>
        <v>0</v>
      </c>
      <c r="Z24" s="69">
        <f>Z$2*IFERROR(INDEX(SiliconaAltoBrillo[],MATCH(Produccion[[#This Row],[PRODUCTO]],SiliconaAltoBrillo[M.P.],0),2),0)</f>
        <v>0</v>
      </c>
      <c r="AA24" s="69">
        <f>AA$2*IFERROR(INDEX(Suavizante[],MATCH(Produccion[[#This Row],[PRODUCTO]],Suavizante[M.P.],0),2),0)</f>
        <v>0</v>
      </c>
      <c r="AB24" s="70">
        <f>AB$2*IFERROR(INDEX(Vinagre[],MATCH(Produccion[[#This Row],[PRODUCTO]],Vinagre[M.P.],0),2),0)</f>
        <v>0</v>
      </c>
    </row>
    <row r="25" spans="1:29" hidden="1">
      <c r="A25" s="18" t="s">
        <v>766</v>
      </c>
      <c r="B25" s="31">
        <f t="shared" si="0"/>
        <v>0.08</v>
      </c>
      <c r="C25" s="69">
        <f>$C$2*IFERROR(INDEX(AlcoholIndustrial[],MATCH(Produccion[[#This Row],[PRODUCTO]],AlcoholIndustrial[M.P.],0),2),0)</f>
        <v>0</v>
      </c>
      <c r="D25" s="69">
        <f>$D$2*IFERROR(INDEX(AmbientadorPiso[],MATCH(Produccion[[#This Row],[PRODUCTO]],AmbientadorPiso[M.P.],0),2),0)</f>
        <v>0</v>
      </c>
      <c r="E25" s="69">
        <f>$E$2*IFERROR(INDEX(AmbientadorSpray[],MATCH(Produccion[[#This Row],[PRODUCTO]],AmbientadorSpray[M.P.],0),2),0)</f>
        <v>0</v>
      </c>
      <c r="F25" s="69">
        <f>$F$2*IFERROR(INDEX(Biovarsol[],MATCH(Produccion[[#This Row],[PRODUCTO]],Biovarsol[M.P.],0),2),0)</f>
        <v>0</v>
      </c>
      <c r="G25" s="69">
        <f>G$2*IFERROR(INDEX(BlanqueadorDesinfectante[],MATCH(Produccion[[#This Row],[PRODUCTO]],BlanqueadorDesinfectante[M.P.],0),2),0)</f>
        <v>0</v>
      </c>
      <c r="H25" s="69">
        <f>H$2*IFERROR(INDEX(CeraAutobrillante[],MATCH(Produccion[[#This Row],[PRODUCTO]],CeraAutobrillante[M.P.],0),2),0)</f>
        <v>0</v>
      </c>
      <c r="I25" s="69">
        <f>I$2*IFERROR(INDEX(Creolina[],MATCH(Produccion[[#This Row],[PRODUCTO]],Creolina[M.P.],0),2),0)</f>
        <v>0</v>
      </c>
      <c r="J25" s="69">
        <f>J$2*IFERROR(INDEX(Desencrustante[],MATCH(Produccion[[#This Row],[PRODUCTO]],Desencrustante[M.P.],0),2),0)</f>
        <v>0</v>
      </c>
      <c r="K25" s="69">
        <f>K$2*IFERROR(INDEX(DesengrasanteAcido[],MATCH(Produccion[[#This Row],[PRODUCTO]],DesengrasanteAcido[M.P.],0),2),0)</f>
        <v>0</v>
      </c>
      <c r="L25" s="69">
        <f>L$2*IFERROR(INDEX(DesengrasanteEspumoso[],MATCH(Produccion[[#This Row],[PRODUCTO]],DesengrasanteEspumoso[M.P.],0),2),0)</f>
        <v>0</v>
      </c>
      <c r="M25" s="69">
        <f>M$2*IFERROR(INDEX(DesmanchadorRopaColor[],MATCH(Produccion[[#This Row],[PRODUCTO]],DesmanchadorRopaColor[M.P.],0),2),0)</f>
        <v>0</v>
      </c>
      <c r="N25" s="69">
        <f>N$2*IFERROR(INDEX(DetLavadora[],MATCH(Produccion[[#This Row],[PRODUCTO]],DetLavadora[M.P.],0),2),0)</f>
        <v>0</v>
      </c>
      <c r="O25" s="69">
        <f>O$2*IFERROR(INDEX(DetMultiusos[],MATCH(Produccion[[#This Row],[PRODUCTO]],DetMultiusos[M.P.],0),2),0)</f>
        <v>0</v>
      </c>
      <c r="P25" s="69">
        <f>P$2*IFERROR(INDEX(TipoRey[],MATCH(Produccion[[#This Row],[PRODUCTO]],TipoRey[M.P.],0),2),0)</f>
        <v>0</v>
      </c>
      <c r="Q25" s="69">
        <f>Q$2*IFERROR(INDEX(GelAntibacterial[],MATCH(Produccion[[#This Row],[PRODUCTO]],GelAntibacterial[M.P.],0),2),0)</f>
        <v>0</v>
      </c>
      <c r="R25" s="69">
        <f>R$2*IFERROR(INDEX(JabonManos[],MATCH(Produccion[[#This Row],[PRODUCTO]],JabonManos[M.P.],0),2),0)</f>
        <v>0</v>
      </c>
      <c r="S25" s="69">
        <f>S$2*IFERROR(INDEX(JabonLavaLoza[],MATCH(Produccion[[#This Row],[PRODUCTO]],JabonLavaLoza[M.P.],0),2),0)</f>
        <v>0</v>
      </c>
      <c r="T25" s="69">
        <f>T$2*IFERROR(INDEX(LimpiadorDeSuperficies[],MATCH(Produccion[[#This Row],[PRODUCTO]],LimpiadorDeSuperficies[M.P.],0),2),0)</f>
        <v>0</v>
      </c>
      <c r="U25" s="69">
        <f>U$2*IFERROR(INDEX(LimpiadorHornos[],MATCH(Produccion[[#This Row],[PRODUCTO]],LimpiadorHornos[M.P.],0),2),0)</f>
        <v>0</v>
      </c>
      <c r="V25" s="69">
        <f>V$2*IFERROR(INDEX(Limpiavidrios[],MATCH(Produccion[[#This Row],[PRODUCTO]],Limpiavidrios[M.P.],0),2),0)</f>
        <v>0.08</v>
      </c>
      <c r="W25" s="69">
        <f>W$2*IFERROR(INDEX(RemovedorDeCeras[],MATCH(Produccion[[#This Row],[PRODUCTO]],RemovedorDeCeras[M.P.],0),2),0)</f>
        <v>0</v>
      </c>
      <c r="X25" s="69">
        <f>X$2*IFERROR(INDEX(ShampooAlfombras[],MATCH(Produccion[[#This Row],[PRODUCTO]],ShampooAlfombras[M.P.],0),2),0)</f>
        <v>0</v>
      </c>
      <c r="Y25" s="69">
        <f>Y$2*IFERROR(INDEX(ShampooAuto[],MATCH(Produccion[[#This Row],[PRODUCTO]],ShampooAuto[M.P.],0),2),0)</f>
        <v>0</v>
      </c>
      <c r="Z25" s="69">
        <f>Z$2*IFERROR(INDEX(SiliconaAltoBrillo[],MATCH(Produccion[[#This Row],[PRODUCTO]],SiliconaAltoBrillo[M.P.],0),2),0)</f>
        <v>0</v>
      </c>
      <c r="AA25" s="69">
        <f>AA$2*IFERROR(INDEX(Suavizante[],MATCH(Produccion[[#This Row],[PRODUCTO]],Suavizante[M.P.],0),2),0)</f>
        <v>0</v>
      </c>
      <c r="AB25" s="70">
        <f>AB$2*IFERROR(INDEX(Vinagre[],MATCH(Produccion[[#This Row],[PRODUCTO]],Vinagre[M.P.],0),2),0)</f>
        <v>0</v>
      </c>
    </row>
    <row r="26" spans="1:29" hidden="1">
      <c r="A26" s="18" t="s">
        <v>767</v>
      </c>
      <c r="B26" s="31">
        <f t="shared" si="0"/>
        <v>0.04</v>
      </c>
      <c r="C26" s="69">
        <f>$C$2*IFERROR(INDEX(AlcoholIndustrial[],MATCH(Produccion[[#This Row],[PRODUCTO]],AlcoholIndustrial[M.P.],0),2),0)</f>
        <v>0</v>
      </c>
      <c r="D26" s="69">
        <f>$D$2*IFERROR(INDEX(AmbientadorPiso[],MATCH(Produccion[[#This Row],[PRODUCTO]],AmbientadorPiso[M.P.],0),2),0)</f>
        <v>0</v>
      </c>
      <c r="E26" s="69">
        <f>$E$2*IFERROR(INDEX(AmbientadorSpray[],MATCH(Produccion[[#This Row],[PRODUCTO]],AmbientadorSpray[M.P.],0),2),0)</f>
        <v>0</v>
      </c>
      <c r="F26" s="69">
        <f>$F$2*IFERROR(INDEX(Biovarsol[],MATCH(Produccion[[#This Row],[PRODUCTO]],Biovarsol[M.P.],0),2),0)</f>
        <v>0</v>
      </c>
      <c r="G26" s="69">
        <f>G$2*IFERROR(INDEX(BlanqueadorDesinfectante[],MATCH(Produccion[[#This Row],[PRODUCTO]],BlanqueadorDesinfectante[M.P.],0),2),0)</f>
        <v>0</v>
      </c>
      <c r="H26" s="69">
        <f>H$2*IFERROR(INDEX(CeraAutobrillante[],MATCH(Produccion[[#This Row],[PRODUCTO]],CeraAutobrillante[M.P.],0),2),0)</f>
        <v>0</v>
      </c>
      <c r="I26" s="69">
        <f>I$2*IFERROR(INDEX(Creolina[],MATCH(Produccion[[#This Row],[PRODUCTO]],Creolina[M.P.],0),2),0)</f>
        <v>0</v>
      </c>
      <c r="J26" s="69">
        <f>J$2*IFERROR(INDEX(Desencrustante[],MATCH(Produccion[[#This Row],[PRODUCTO]],Desencrustante[M.P.],0),2),0)</f>
        <v>0</v>
      </c>
      <c r="K26" s="69">
        <f>K$2*IFERROR(INDEX(DesengrasanteAcido[],MATCH(Produccion[[#This Row],[PRODUCTO]],DesengrasanteAcido[M.P.],0),2),0)</f>
        <v>0</v>
      </c>
      <c r="L26" s="69">
        <f>L$2*IFERROR(INDEX(DesengrasanteEspumoso[],MATCH(Produccion[[#This Row],[PRODUCTO]],DesengrasanteEspumoso[M.P.],0),2),0)</f>
        <v>0</v>
      </c>
      <c r="M26" s="69">
        <f>M$2*IFERROR(INDEX(DesmanchadorRopaColor[],MATCH(Produccion[[#This Row],[PRODUCTO]],DesmanchadorRopaColor[M.P.],0),2),0)</f>
        <v>0</v>
      </c>
      <c r="N26" s="69">
        <f>N$2*IFERROR(INDEX(DetLavadora[],MATCH(Produccion[[#This Row],[PRODUCTO]],DetLavadora[M.P.],0),2),0)</f>
        <v>0</v>
      </c>
      <c r="O26" s="69">
        <f>O$2*IFERROR(INDEX(DetMultiusos[],MATCH(Produccion[[#This Row],[PRODUCTO]],DetMultiusos[M.P.],0),2),0)</f>
        <v>0</v>
      </c>
      <c r="P26" s="69">
        <f>P$2*IFERROR(INDEX(TipoRey[],MATCH(Produccion[[#This Row],[PRODUCTO]],TipoRey[M.P.],0),2),0)</f>
        <v>0</v>
      </c>
      <c r="Q26" s="69">
        <f>Q$2*IFERROR(INDEX(GelAntibacterial[],MATCH(Produccion[[#This Row],[PRODUCTO]],GelAntibacterial[M.P.],0),2),0)</f>
        <v>0</v>
      </c>
      <c r="R26" s="69">
        <f>R$2*IFERROR(INDEX(JabonManos[],MATCH(Produccion[[#This Row],[PRODUCTO]],JabonManos[M.P.],0),2),0)</f>
        <v>0</v>
      </c>
      <c r="S26" s="69">
        <f>S$2*IFERROR(INDEX(JabonLavaLoza[],MATCH(Produccion[[#This Row],[PRODUCTO]],JabonLavaLoza[M.P.],0),2),0)</f>
        <v>0</v>
      </c>
      <c r="T26" s="69">
        <f>T$2*IFERROR(INDEX(LimpiadorDeSuperficies[],MATCH(Produccion[[#This Row],[PRODUCTO]],LimpiadorDeSuperficies[M.P.],0),2),0)</f>
        <v>0</v>
      </c>
      <c r="U26" s="69">
        <f>U$2*IFERROR(INDEX(LimpiadorHornos[],MATCH(Produccion[[#This Row],[PRODUCTO]],LimpiadorHornos[M.P.],0),2),0)</f>
        <v>0</v>
      </c>
      <c r="V26" s="69">
        <f>V$2*IFERROR(INDEX(Limpiavidrios[],MATCH(Produccion[[#This Row],[PRODUCTO]],Limpiavidrios[M.P.],0),2),0)</f>
        <v>0.04</v>
      </c>
      <c r="W26" s="69">
        <f>W$2*IFERROR(INDEX(RemovedorDeCeras[],MATCH(Produccion[[#This Row],[PRODUCTO]],RemovedorDeCeras[M.P.],0),2),0)</f>
        <v>0</v>
      </c>
      <c r="X26" s="69">
        <f>X$2*IFERROR(INDEX(ShampooAlfombras[],MATCH(Produccion[[#This Row],[PRODUCTO]],ShampooAlfombras[M.P.],0),2),0)</f>
        <v>0</v>
      </c>
      <c r="Y26" s="69">
        <f>Y$2*IFERROR(INDEX(ShampooAuto[],MATCH(Produccion[[#This Row],[PRODUCTO]],ShampooAuto[M.P.],0),2),0)</f>
        <v>0</v>
      </c>
      <c r="Z26" s="69">
        <f>Z$2*IFERROR(INDEX(SiliconaAltoBrillo[],MATCH(Produccion[[#This Row],[PRODUCTO]],SiliconaAltoBrillo[M.P.],0),2),0)</f>
        <v>0</v>
      </c>
      <c r="AA26" s="69">
        <f>AA$2*IFERROR(INDEX(Suavizante[],MATCH(Produccion[[#This Row],[PRODUCTO]],Suavizante[M.P.],0),2),0)</f>
        <v>0</v>
      </c>
      <c r="AB26" s="70">
        <f>AB$2*IFERROR(INDEX(Vinagre[],MATCH(Produccion[[#This Row],[PRODUCTO]],Vinagre[M.P.],0),2),0)</f>
        <v>0</v>
      </c>
    </row>
    <row r="27" spans="1:29">
      <c r="A27" s="18" t="s">
        <v>768</v>
      </c>
      <c r="B27" s="31">
        <f t="shared" si="0"/>
        <v>93.898599999999973</v>
      </c>
      <c r="C27" s="69">
        <f>$C$2*IFERROR(INDEX(AlcoholIndustrial[],MATCH(Produccion[[#This Row],[PRODUCTO]],AlcoholIndustrial[M.P.],0),2),0)</f>
        <v>0.25</v>
      </c>
      <c r="D27" s="69">
        <f>$D$2*IFERROR(INDEX(AmbientadorPiso[],MATCH(Produccion[[#This Row],[PRODUCTO]],AmbientadorPiso[M.P.],0),2),0)</f>
        <v>0.92489999999999994</v>
      </c>
      <c r="E27" s="69">
        <f>$E$2*IFERROR(INDEX(AmbientadorSpray[],MATCH(Produccion[[#This Row],[PRODUCTO]],AmbientadorSpray[M.P.],0),2),0)</f>
        <v>0.90489999999999993</v>
      </c>
      <c r="F27" s="69">
        <f>$F$2*IFERROR(INDEX(Biovarsol[],MATCH(Produccion[[#This Row],[PRODUCTO]],Biovarsol[M.P.],0),2),0)</f>
        <v>0.90899999999999992</v>
      </c>
      <c r="G27" s="69">
        <f>G$2*IFERROR(INDEX(BlanqueadorDesinfectante[],MATCH(Produccion[[#This Row],[PRODUCTO]],BlanqueadorDesinfectante[M.P.],0),2),0)</f>
        <v>0.7</v>
      </c>
      <c r="H27" s="69">
        <f>H$2*IFERROR(INDEX(CeraAutobrillante[],MATCH(Produccion[[#This Row],[PRODUCTO]],CeraAutobrillante[M.P.],0),2),0)</f>
        <v>0.45000000000000007</v>
      </c>
      <c r="I27" s="69">
        <f>I$2*IFERROR(INDEX(Creolina[],MATCH(Produccion[[#This Row],[PRODUCTO]],Creolina[M.P.],0),2),0)</f>
        <v>2.6668000000000003</v>
      </c>
      <c r="J27" s="69">
        <f>J$2*IFERROR(INDEX(Desencrustante[],MATCH(Produccion[[#This Row],[PRODUCTO]],Desencrustante[M.P.],0),2),0)</f>
        <v>0.9</v>
      </c>
      <c r="K27" s="69">
        <f>K$2*IFERROR(INDEX(DesengrasanteAcido[],MATCH(Produccion[[#This Row],[PRODUCTO]],DesengrasanteAcido[M.P.],0),2),0)</f>
        <v>0.76700000000000002</v>
      </c>
      <c r="L27" s="69">
        <f>L$2*IFERROR(INDEX(DesengrasanteEspumoso[],MATCH(Produccion[[#This Row],[PRODUCTO]],DesengrasanteEspumoso[M.P.],0),2),0)</f>
        <v>0.80400000000000005</v>
      </c>
      <c r="M27" s="69">
        <f>M$2*IFERROR(INDEX(DesmanchadorRopaColor[],MATCH(Produccion[[#This Row],[PRODUCTO]],DesmanchadorRopaColor[M.P.],0),2),0)</f>
        <v>0.79500000000000004</v>
      </c>
      <c r="N27" s="69">
        <f>N$2*IFERROR(INDEX(DetLavadora[],MATCH(Produccion[[#This Row],[PRODUCTO]],DetLavadora[M.P.],0),2),0)</f>
        <v>31.096</v>
      </c>
      <c r="O27" s="69">
        <f>O$2*IFERROR(INDEX(DetMultiusos[],MATCH(Produccion[[#This Row],[PRODUCTO]],DetMultiusos[M.P.],0),2),0)</f>
        <v>0.74399999999999999</v>
      </c>
      <c r="P27" s="69">
        <f>P$2*IFERROR(INDEX(TipoRey[],MATCH(Produccion[[#This Row],[PRODUCTO]],TipoRey[M.P.],0),2),0)</f>
        <v>0</v>
      </c>
      <c r="Q27" s="69">
        <f>Q$2*IFERROR(INDEX(GelAntibacterial[],MATCH(Produccion[[#This Row],[PRODUCTO]],GelAntibacterial[M.P.],0),2),0)</f>
        <v>0.64190000000000003</v>
      </c>
      <c r="R27" s="69">
        <f>R$2*IFERROR(INDEX(JabonManos[],MATCH(Produccion[[#This Row],[PRODUCTO]],JabonManos[M.P.],0),2),0)</f>
        <v>15.055999999999997</v>
      </c>
      <c r="S27" s="69">
        <f>S$2*IFERROR(INDEX(JabonLavaLoza[],MATCH(Produccion[[#This Row],[PRODUCTO]],JabonLavaLoza[M.P.],0),2),0)</f>
        <v>0.74229999999999996</v>
      </c>
      <c r="T27" s="69">
        <f>T$2*IFERROR(INDEX(LimpiadorDeSuperficies[],MATCH(Produccion[[#This Row],[PRODUCTO]],LimpiadorDeSuperficies[M.P.],0),2),0)</f>
        <v>0.79679999999999995</v>
      </c>
      <c r="U27" s="69">
        <f>U$2*IFERROR(INDEX(LimpiadorHornos[],MATCH(Produccion[[#This Row],[PRODUCTO]],LimpiadorHornos[M.P.],0),2),0)</f>
        <v>8.468</v>
      </c>
      <c r="V27" s="69">
        <f>V$2*IFERROR(INDEX(Limpiavidrios[],MATCH(Produccion[[#This Row],[PRODUCTO]],Limpiavidrios[M.P.],0),2),0)</f>
        <v>3.8</v>
      </c>
      <c r="W27" s="69">
        <f>W$2*IFERROR(INDEX(RemovedorDeCeras[],MATCH(Produccion[[#This Row],[PRODUCTO]],RemovedorDeCeras[M.P.],0),2),0)</f>
        <v>0.85</v>
      </c>
      <c r="X27" s="69">
        <f>X$2*IFERROR(INDEX(ShampooAlfombras[],MATCH(Produccion[[#This Row],[PRODUCTO]],ShampooAlfombras[M.P.],0),2),0)</f>
        <v>0.74</v>
      </c>
      <c r="Y27" s="69">
        <f>Y$2*IFERROR(INDEX(ShampooAuto[],MATCH(Produccion[[#This Row],[PRODUCTO]],ShampooAuto[M.P.],0),2),0)</f>
        <v>0.77</v>
      </c>
      <c r="Z27" s="69">
        <f>Z$2*IFERROR(INDEX(SiliconaAltoBrillo[],MATCH(Produccion[[#This Row],[PRODUCTO]],SiliconaAltoBrillo[M.P.],0),2),0)</f>
        <v>0.84199999999999997</v>
      </c>
      <c r="AA27" s="69">
        <f>AA$2*IFERROR(INDEX(Suavizante[],MATCH(Produccion[[#This Row],[PRODUCTO]],Suavizante[M.P.],0),2),0)</f>
        <v>18.580000000000002</v>
      </c>
      <c r="AB27" s="70">
        <f>AB$2*IFERROR(INDEX(Vinagre[],MATCH(Produccion[[#This Row],[PRODUCTO]],Vinagre[M.P.],0),2),0)</f>
        <v>0.7</v>
      </c>
      <c r="AC27" s="73"/>
    </row>
    <row r="28" spans="1:29" hidden="1">
      <c r="A28" s="18" t="s">
        <v>769</v>
      </c>
      <c r="B28" s="31">
        <f t="shared" si="0"/>
        <v>1.0499999999999998</v>
      </c>
      <c r="C28" s="69">
        <f>$C$2*IFERROR(INDEX(AlcoholIndustrial[],MATCH(Produccion[[#This Row],[PRODUCTO]],AlcoholIndustrial[M.P.],0),2),0)</f>
        <v>0</v>
      </c>
      <c r="D28" s="69">
        <f>$D$2*IFERROR(INDEX(AmbientadorPiso[],MATCH(Produccion[[#This Row],[PRODUCTO]],AmbientadorPiso[M.P.],0),2),0)</f>
        <v>0</v>
      </c>
      <c r="E28" s="69">
        <f>$E$2*IFERROR(INDEX(AmbientadorSpray[],MATCH(Produccion[[#This Row],[PRODUCTO]],AmbientadorSpray[M.P.],0),2),0)</f>
        <v>0</v>
      </c>
      <c r="F28" s="69">
        <f>$F$2*IFERROR(INDEX(Biovarsol[],MATCH(Produccion[[#This Row],[PRODUCTO]],Biovarsol[M.P.],0),2),0)</f>
        <v>0</v>
      </c>
      <c r="G28" s="69">
        <f>G$2*IFERROR(INDEX(BlanqueadorDesinfectante[],MATCH(Produccion[[#This Row],[PRODUCTO]],BlanqueadorDesinfectante[M.P.],0),2),0)</f>
        <v>0</v>
      </c>
      <c r="H28" s="69">
        <f>H$2*IFERROR(INDEX(CeraAutobrillante[],MATCH(Produccion[[#This Row],[PRODUCTO]],CeraAutobrillante[M.P.],0),2),0)</f>
        <v>1.0499999999999998</v>
      </c>
      <c r="I28" s="69">
        <f>I$2*IFERROR(INDEX(Creolina[],MATCH(Produccion[[#This Row],[PRODUCTO]],Creolina[M.P.],0),2),0)</f>
        <v>0</v>
      </c>
      <c r="J28" s="69">
        <f>J$2*IFERROR(INDEX(Desencrustante[],MATCH(Produccion[[#This Row],[PRODUCTO]],Desencrustante[M.P.],0),2),0)</f>
        <v>0</v>
      </c>
      <c r="K28" s="69">
        <f>K$2*IFERROR(INDEX(DesengrasanteAcido[],MATCH(Produccion[[#This Row],[PRODUCTO]],DesengrasanteAcido[M.P.],0),2),0)</f>
        <v>0</v>
      </c>
      <c r="L28" s="69">
        <f>L$2*IFERROR(INDEX(DesengrasanteEspumoso[],MATCH(Produccion[[#This Row],[PRODUCTO]],DesengrasanteEspumoso[M.P.],0),2),0)</f>
        <v>0</v>
      </c>
      <c r="M28" s="69">
        <f>M$2*IFERROR(INDEX(DesmanchadorRopaColor[],MATCH(Produccion[[#This Row],[PRODUCTO]],DesmanchadorRopaColor[M.P.],0),2),0)</f>
        <v>0</v>
      </c>
      <c r="N28" s="69">
        <f>N$2*IFERROR(INDEX(DetLavadora[],MATCH(Produccion[[#This Row],[PRODUCTO]],DetLavadora[M.P.],0),2),0)</f>
        <v>0</v>
      </c>
      <c r="O28" s="69">
        <f>O$2*IFERROR(INDEX(DetMultiusos[],MATCH(Produccion[[#This Row],[PRODUCTO]],DetMultiusos[M.P.],0),2),0)</f>
        <v>0</v>
      </c>
      <c r="P28" s="69">
        <f>P$2*IFERROR(INDEX(TipoRey[],MATCH(Produccion[[#This Row],[PRODUCTO]],TipoRey[M.P.],0),2),0)</f>
        <v>0</v>
      </c>
      <c r="Q28" s="69">
        <f>Q$2*IFERROR(INDEX(GelAntibacterial[],MATCH(Produccion[[#This Row],[PRODUCTO]],GelAntibacterial[M.P.],0),2),0)</f>
        <v>0</v>
      </c>
      <c r="R28" s="69">
        <f>R$2*IFERROR(INDEX(JabonManos[],MATCH(Produccion[[#This Row],[PRODUCTO]],JabonManos[M.P.],0),2),0)</f>
        <v>0</v>
      </c>
      <c r="S28" s="69">
        <f>S$2*IFERROR(INDEX(JabonLavaLoza[],MATCH(Produccion[[#This Row],[PRODUCTO]],JabonLavaLoza[M.P.],0),2),0)</f>
        <v>0</v>
      </c>
      <c r="T28" s="69">
        <f>T$2*IFERROR(INDEX(LimpiadorDeSuperficies[],MATCH(Produccion[[#This Row],[PRODUCTO]],LimpiadorDeSuperficies[M.P.],0),2),0)</f>
        <v>0</v>
      </c>
      <c r="U28" s="69">
        <f>U$2*IFERROR(INDEX(LimpiadorHornos[],MATCH(Produccion[[#This Row],[PRODUCTO]],LimpiadorHornos[M.P.],0),2),0)</f>
        <v>0</v>
      </c>
      <c r="V28" s="69">
        <f>V$2*IFERROR(INDEX(Limpiavidrios[],MATCH(Produccion[[#This Row],[PRODUCTO]],Limpiavidrios[M.P.],0),2),0)</f>
        <v>0</v>
      </c>
      <c r="W28" s="69">
        <f>W$2*IFERROR(INDEX(RemovedorDeCeras[],MATCH(Produccion[[#This Row],[PRODUCTO]],RemovedorDeCeras[M.P.],0),2),0)</f>
        <v>0</v>
      </c>
      <c r="X28" s="69">
        <f>X$2*IFERROR(INDEX(ShampooAlfombras[],MATCH(Produccion[[#This Row],[PRODUCTO]],ShampooAlfombras[M.P.],0),2),0)</f>
        <v>0</v>
      </c>
      <c r="Y28" s="69">
        <f>Y$2*IFERROR(INDEX(ShampooAuto[],MATCH(Produccion[[#This Row],[PRODUCTO]],ShampooAuto[M.P.],0),2),0)</f>
        <v>0</v>
      </c>
      <c r="Z28" s="69">
        <f>Z$2*IFERROR(INDEX(SiliconaAltoBrillo[],MATCH(Produccion[[#This Row],[PRODUCTO]],SiliconaAltoBrillo[M.P.],0),2),0)</f>
        <v>0</v>
      </c>
      <c r="AA28" s="69">
        <f>AA$2*IFERROR(INDEX(Suavizante[],MATCH(Produccion[[#This Row],[PRODUCTO]],Suavizante[M.P.],0),2),0)</f>
        <v>0</v>
      </c>
      <c r="AB28" s="70">
        <f>AB$2*IFERROR(INDEX(Vinagre[],MATCH(Produccion[[#This Row],[PRODUCTO]],Vinagre[M.P.],0),2),0)</f>
        <v>0</v>
      </c>
    </row>
    <row r="29" spans="1:29" hidden="1">
      <c r="A29" s="18" t="s">
        <v>770</v>
      </c>
      <c r="B29" s="31">
        <f t="shared" si="0"/>
        <v>0</v>
      </c>
      <c r="C29" s="69">
        <f>$C$2*IFERROR(INDEX(AlcoholIndustrial[],MATCH(Produccion[[#This Row],[PRODUCTO]],AlcoholIndustrial[M.P.],0),2),0)</f>
        <v>0</v>
      </c>
      <c r="D29" s="69">
        <f>$D$2*IFERROR(INDEX(AmbientadorPiso[],MATCH(Produccion[[#This Row],[PRODUCTO]],AmbientadorPiso[M.P.],0),2),0)</f>
        <v>0</v>
      </c>
      <c r="E29" s="69">
        <f>$E$2*IFERROR(INDEX(AmbientadorSpray[],MATCH(Produccion[[#This Row],[PRODUCTO]],AmbientadorSpray[M.P.],0),2),0)</f>
        <v>0</v>
      </c>
      <c r="F29" s="69">
        <f>$F$2*IFERROR(INDEX(Biovarsol[],MATCH(Produccion[[#This Row],[PRODUCTO]],Biovarsol[M.P.],0),2),0)</f>
        <v>0</v>
      </c>
      <c r="G29" s="69">
        <f>G$2*IFERROR(INDEX(BlanqueadorDesinfectante[],MATCH(Produccion[[#This Row],[PRODUCTO]],BlanqueadorDesinfectante[M.P.],0),2),0)</f>
        <v>0</v>
      </c>
      <c r="H29" s="69">
        <f>H$2*IFERROR(INDEX(CeraAutobrillante[],MATCH(Produccion[[#This Row],[PRODUCTO]],CeraAutobrillante[M.P.],0),2),0)</f>
        <v>0</v>
      </c>
      <c r="I29" s="69">
        <f>I$2*IFERROR(INDEX(Creolina[],MATCH(Produccion[[#This Row],[PRODUCTO]],Creolina[M.P.],0),2),0)</f>
        <v>0</v>
      </c>
      <c r="J29" s="69">
        <f>J$2*IFERROR(INDEX(Desencrustante[],MATCH(Produccion[[#This Row],[PRODUCTO]],Desencrustante[M.P.],0),2),0)</f>
        <v>0</v>
      </c>
      <c r="K29" s="69">
        <f>K$2*IFERROR(INDEX(DesengrasanteAcido[],MATCH(Produccion[[#This Row],[PRODUCTO]],DesengrasanteAcido[M.P.],0),2),0)</f>
        <v>0</v>
      </c>
      <c r="L29" s="69">
        <f>L$2*IFERROR(INDEX(DesengrasanteEspumoso[],MATCH(Produccion[[#This Row],[PRODUCTO]],DesengrasanteEspumoso[M.P.],0),2),0)</f>
        <v>0</v>
      </c>
      <c r="M29" s="69">
        <f>M$2*IFERROR(INDEX(DesmanchadorRopaColor[],MATCH(Produccion[[#This Row],[PRODUCTO]],DesmanchadorRopaColor[M.P.],0),2),0)</f>
        <v>0</v>
      </c>
      <c r="N29" s="69">
        <f>N$2*IFERROR(INDEX(DetLavadora[],MATCH(Produccion[[#This Row],[PRODUCTO]],DetLavadora[M.P.],0),2),0)</f>
        <v>0</v>
      </c>
      <c r="O29" s="69">
        <f>O$2*IFERROR(INDEX(DetMultiusos[],MATCH(Produccion[[#This Row],[PRODUCTO]],DetMultiusos[M.P.],0),2),0)</f>
        <v>0</v>
      </c>
      <c r="P29" s="69">
        <f>P$2*IFERROR(INDEX(TipoRey[],MATCH(Produccion[[#This Row],[PRODUCTO]],TipoRey[M.P.],0),2),0)</f>
        <v>0</v>
      </c>
      <c r="Q29" s="69">
        <f>Q$2*IFERROR(INDEX(GelAntibacterial[],MATCH(Produccion[[#This Row],[PRODUCTO]],GelAntibacterial[M.P.],0),2),0)</f>
        <v>0</v>
      </c>
      <c r="R29" s="69">
        <f>R$2*IFERROR(INDEX(JabonManos[],MATCH(Produccion[[#This Row],[PRODUCTO]],JabonManos[M.P.],0),2),0)</f>
        <v>0</v>
      </c>
      <c r="S29" s="69">
        <f>S$2*IFERROR(INDEX(JabonLavaLoza[],MATCH(Produccion[[#This Row],[PRODUCTO]],JabonLavaLoza[M.P.],0),2),0)</f>
        <v>0</v>
      </c>
      <c r="T29" s="69">
        <f>T$2*IFERROR(INDEX(LimpiadorDeSuperficies[],MATCH(Produccion[[#This Row],[PRODUCTO]],LimpiadorDeSuperficies[M.P.],0),2),0)</f>
        <v>0</v>
      </c>
      <c r="U29" s="69">
        <f>U$2*IFERROR(INDEX(LimpiadorHornos[],MATCH(Produccion[[#This Row],[PRODUCTO]],LimpiadorHornos[M.P.],0),2),0)</f>
        <v>0</v>
      </c>
      <c r="V29" s="69">
        <f>V$2*IFERROR(INDEX(Limpiavidrios[],MATCH(Produccion[[#This Row],[PRODUCTO]],Limpiavidrios[M.P.],0),2),0)</f>
        <v>0</v>
      </c>
      <c r="W29" s="69">
        <f>W$2*IFERROR(INDEX(RemovedorDeCeras[],MATCH(Produccion[[#This Row],[PRODUCTO]],RemovedorDeCeras[M.P.],0),2),0)</f>
        <v>0</v>
      </c>
      <c r="X29" s="69">
        <f>X$2*IFERROR(INDEX(ShampooAlfombras[],MATCH(Produccion[[#This Row],[PRODUCTO]],ShampooAlfombras[M.P.],0),2),0)</f>
        <v>0</v>
      </c>
      <c r="Y29" s="69">
        <f>Y$2*IFERROR(INDEX(ShampooAuto[],MATCH(Produccion[[#This Row],[PRODUCTO]],ShampooAuto[M.P.],0),2),0)</f>
        <v>0</v>
      </c>
      <c r="Z29" s="69">
        <f>Z$2*IFERROR(INDEX(SiliconaAltoBrillo[],MATCH(Produccion[[#This Row],[PRODUCTO]],SiliconaAltoBrillo[M.P.],0),2),0)</f>
        <v>0</v>
      </c>
      <c r="AA29" s="69">
        <f>AA$2*IFERROR(INDEX(Suavizante[],MATCH(Produccion[[#This Row],[PRODUCTO]],Suavizante[M.P.],0),2),0)</f>
        <v>0</v>
      </c>
      <c r="AB29" s="70">
        <f>AB$2*IFERROR(INDEX(Vinagre[],MATCH(Produccion[[#This Row],[PRODUCTO]],Vinagre[M.P.],0),2),0)</f>
        <v>0</v>
      </c>
    </row>
    <row r="30" spans="1:29">
      <c r="A30" s="18" t="s">
        <v>771</v>
      </c>
      <c r="B30" s="31">
        <f t="shared" si="0"/>
        <v>0.8</v>
      </c>
      <c r="C30" s="69">
        <f>$C$2*IFERROR(INDEX(AlcoholIndustrial[],MATCH(Produccion[[#This Row],[PRODUCTO]],AlcoholIndustrial[M.P.],0),2),0)</f>
        <v>0</v>
      </c>
      <c r="D30" s="69">
        <f>$D$2*IFERROR(INDEX(AmbientadorPiso[],MATCH(Produccion[[#This Row],[PRODUCTO]],AmbientadorPiso[M.P.],0),2),0)</f>
        <v>0</v>
      </c>
      <c r="E30" s="69">
        <f>$E$2*IFERROR(INDEX(AmbientadorSpray[],MATCH(Produccion[[#This Row],[PRODUCTO]],AmbientadorSpray[M.P.],0),2),0)</f>
        <v>0</v>
      </c>
      <c r="F30" s="69">
        <f>$F$2*IFERROR(INDEX(Biovarsol[],MATCH(Produccion[[#This Row],[PRODUCTO]],Biovarsol[M.P.],0),2),0)</f>
        <v>0</v>
      </c>
      <c r="G30" s="69">
        <f>G$2*IFERROR(INDEX(BlanqueadorDesinfectante[],MATCH(Produccion[[#This Row],[PRODUCTO]],BlanqueadorDesinfectante[M.P.],0),2),0)</f>
        <v>0</v>
      </c>
      <c r="H30" s="69">
        <f>H$2*IFERROR(INDEX(CeraAutobrillante[],MATCH(Produccion[[#This Row],[PRODUCTO]],CeraAutobrillante[M.P.],0),2),0)</f>
        <v>0</v>
      </c>
      <c r="I30" s="69">
        <f>I$2*IFERROR(INDEX(Creolina[],MATCH(Produccion[[#This Row],[PRODUCTO]],Creolina[M.P.],0),2),0)</f>
        <v>0</v>
      </c>
      <c r="J30" s="69">
        <f>J$2*IFERROR(INDEX(Desencrustante[],MATCH(Produccion[[#This Row],[PRODUCTO]],Desencrustante[M.P.],0),2),0)</f>
        <v>0</v>
      </c>
      <c r="K30" s="69">
        <f>K$2*IFERROR(INDEX(DesengrasanteAcido[],MATCH(Produccion[[#This Row],[PRODUCTO]],DesengrasanteAcido[M.P.],0),2),0)</f>
        <v>0</v>
      </c>
      <c r="L30" s="69">
        <f>L$2*IFERROR(INDEX(DesengrasanteEspumoso[],MATCH(Produccion[[#This Row],[PRODUCTO]],DesengrasanteEspumoso[M.P.],0),2),0)</f>
        <v>0</v>
      </c>
      <c r="M30" s="69">
        <f>M$2*IFERROR(INDEX(DesmanchadorRopaColor[],MATCH(Produccion[[#This Row],[PRODUCTO]],DesmanchadorRopaColor[M.P.],0),2),0)</f>
        <v>0</v>
      </c>
      <c r="N30" s="69">
        <f>N$2*IFERROR(INDEX(DetLavadora[],MATCH(Produccion[[#This Row],[PRODUCTO]],DetLavadora[M.P.],0),2),0)</f>
        <v>0</v>
      </c>
      <c r="O30" s="69">
        <f>O$2*IFERROR(INDEX(DetMultiusos[],MATCH(Produccion[[#This Row],[PRODUCTO]],DetMultiusos[M.P.],0),2),0)</f>
        <v>0</v>
      </c>
      <c r="P30" s="69">
        <f>P$2*IFERROR(INDEX(TipoRey[],MATCH(Produccion[[#This Row],[PRODUCTO]],TipoRey[M.P.],0),2),0)</f>
        <v>0</v>
      </c>
      <c r="Q30" s="69">
        <f>Q$2*IFERROR(INDEX(GelAntibacterial[],MATCH(Produccion[[#This Row],[PRODUCTO]],GelAntibacterial[M.P.],0),2),0)</f>
        <v>0</v>
      </c>
      <c r="R30" s="69">
        <f>R$2*IFERROR(INDEX(JabonManos[],MATCH(Produccion[[#This Row],[PRODUCTO]],JabonManos[M.P.],0),2),0)</f>
        <v>0.8</v>
      </c>
      <c r="S30" s="69">
        <f>S$2*IFERROR(INDEX(JabonLavaLoza[],MATCH(Produccion[[#This Row],[PRODUCTO]],JabonLavaLoza[M.P.],0),2),0)</f>
        <v>0</v>
      </c>
      <c r="T30" s="69">
        <f>T$2*IFERROR(INDEX(LimpiadorDeSuperficies[],MATCH(Produccion[[#This Row],[PRODUCTO]],LimpiadorDeSuperficies[M.P.],0),2),0)</f>
        <v>0</v>
      </c>
      <c r="U30" s="69">
        <f>U$2*IFERROR(INDEX(LimpiadorHornos[],MATCH(Produccion[[#This Row],[PRODUCTO]],LimpiadorHornos[M.P.],0),2),0)</f>
        <v>0</v>
      </c>
      <c r="V30" s="69">
        <f>V$2*IFERROR(INDEX(Limpiavidrios[],MATCH(Produccion[[#This Row],[PRODUCTO]],Limpiavidrios[M.P.],0),2),0)</f>
        <v>0</v>
      </c>
      <c r="W30" s="69">
        <f>W$2*IFERROR(INDEX(RemovedorDeCeras[],MATCH(Produccion[[#This Row],[PRODUCTO]],RemovedorDeCeras[M.P.],0),2),0)</f>
        <v>0</v>
      </c>
      <c r="X30" s="69">
        <f>X$2*IFERROR(INDEX(ShampooAlfombras[],MATCH(Produccion[[#This Row],[PRODUCTO]],ShampooAlfombras[M.P.],0),2),0)</f>
        <v>0</v>
      </c>
      <c r="Y30" s="69">
        <f>Y$2*IFERROR(INDEX(ShampooAuto[],MATCH(Produccion[[#This Row],[PRODUCTO]],ShampooAuto[M.P.],0),2),0)</f>
        <v>0</v>
      </c>
      <c r="Z30" s="69">
        <f>Z$2*IFERROR(INDEX(SiliconaAltoBrillo[],MATCH(Produccion[[#This Row],[PRODUCTO]],SiliconaAltoBrillo[M.P.],0),2),0)</f>
        <v>0</v>
      </c>
      <c r="AA30" s="69">
        <f>AA$2*IFERROR(INDEX(Suavizante[],MATCH(Produccion[[#This Row],[PRODUCTO]],Suavizante[M.P.],0),2),0)</f>
        <v>0</v>
      </c>
      <c r="AB30" s="70">
        <f>AB$2*IFERROR(INDEX(Vinagre[],MATCH(Produccion[[#This Row],[PRODUCTO]],Vinagre[M.P.],0),2),0)</f>
        <v>0</v>
      </c>
    </row>
    <row r="31" spans="1:29">
      <c r="A31" s="18" t="s">
        <v>772</v>
      </c>
      <c r="B31" s="31">
        <f t="shared" si="0"/>
        <v>0.8</v>
      </c>
      <c r="C31" s="69">
        <f>$C$2*IFERROR(INDEX(AlcoholIndustrial[],MATCH(Produccion[[#This Row],[PRODUCTO]],AlcoholIndustrial[M.P.],0),2),0)</f>
        <v>0</v>
      </c>
      <c r="D31" s="69">
        <f>$D$2*IFERROR(INDEX(AmbientadorPiso[],MATCH(Produccion[[#This Row],[PRODUCTO]],AmbientadorPiso[M.P.],0),2),0)</f>
        <v>0</v>
      </c>
      <c r="E31" s="69">
        <f>$E$2*IFERROR(INDEX(AmbientadorSpray[],MATCH(Produccion[[#This Row],[PRODUCTO]],AmbientadorSpray[M.P.],0),2),0)</f>
        <v>0</v>
      </c>
      <c r="F31" s="69">
        <f>$F$2*IFERROR(INDEX(Biovarsol[],MATCH(Produccion[[#This Row],[PRODUCTO]],Biovarsol[M.P.],0),2),0)</f>
        <v>0</v>
      </c>
      <c r="G31" s="69">
        <f>G$2*IFERROR(INDEX(BlanqueadorDesinfectante[],MATCH(Produccion[[#This Row],[PRODUCTO]],BlanqueadorDesinfectante[M.P.],0),2),0)</f>
        <v>0</v>
      </c>
      <c r="H31" s="69">
        <f>H$2*IFERROR(INDEX(CeraAutobrillante[],MATCH(Produccion[[#This Row],[PRODUCTO]],CeraAutobrillante[M.P.],0),2),0)</f>
        <v>0</v>
      </c>
      <c r="I31" s="69">
        <f>I$2*IFERROR(INDEX(Creolina[],MATCH(Produccion[[#This Row],[PRODUCTO]],Creolina[M.P.],0),2),0)</f>
        <v>0</v>
      </c>
      <c r="J31" s="69">
        <f>J$2*IFERROR(INDEX(Desencrustante[],MATCH(Produccion[[#This Row],[PRODUCTO]],Desencrustante[M.P.],0),2),0)</f>
        <v>0</v>
      </c>
      <c r="K31" s="69">
        <f>K$2*IFERROR(INDEX(DesengrasanteAcido[],MATCH(Produccion[[#This Row],[PRODUCTO]],DesengrasanteAcido[M.P.],0),2),0)</f>
        <v>0</v>
      </c>
      <c r="L31" s="69">
        <f>L$2*IFERROR(INDEX(DesengrasanteEspumoso[],MATCH(Produccion[[#This Row],[PRODUCTO]],DesengrasanteEspumoso[M.P.],0),2),0)</f>
        <v>0</v>
      </c>
      <c r="M31" s="69">
        <f>M$2*IFERROR(INDEX(DesmanchadorRopaColor[],MATCH(Produccion[[#This Row],[PRODUCTO]],DesmanchadorRopaColor[M.P.],0),2),0)</f>
        <v>0</v>
      </c>
      <c r="N31" s="69">
        <f>N$2*IFERROR(INDEX(DetLavadora[],MATCH(Produccion[[#This Row],[PRODUCTO]],DetLavadora[M.P.],0),2),0)</f>
        <v>0</v>
      </c>
      <c r="O31" s="69">
        <f>O$2*IFERROR(INDEX(DetMultiusos[],MATCH(Produccion[[#This Row],[PRODUCTO]],DetMultiusos[M.P.],0),2),0)</f>
        <v>0</v>
      </c>
      <c r="P31" s="69">
        <f>P$2*IFERROR(INDEX(TipoRey[],MATCH(Produccion[[#This Row],[PRODUCTO]],TipoRey[M.P.],0),2),0)</f>
        <v>0</v>
      </c>
      <c r="Q31" s="69">
        <f>Q$2*IFERROR(INDEX(GelAntibacterial[],MATCH(Produccion[[#This Row],[PRODUCTO]],GelAntibacterial[M.P.],0),2),0)</f>
        <v>0</v>
      </c>
      <c r="R31" s="69">
        <f>R$2*IFERROR(INDEX(JabonManos[],MATCH(Produccion[[#This Row],[PRODUCTO]],JabonManos[M.P.],0),2),0)</f>
        <v>0.8</v>
      </c>
      <c r="S31" s="69">
        <f>S$2*IFERROR(INDEX(JabonLavaLoza[],MATCH(Produccion[[#This Row],[PRODUCTO]],JabonLavaLoza[M.P.],0),2),0)</f>
        <v>0</v>
      </c>
      <c r="T31" s="69">
        <f>T$2*IFERROR(INDEX(LimpiadorDeSuperficies[],MATCH(Produccion[[#This Row],[PRODUCTO]],LimpiadorDeSuperficies[M.P.],0),2),0)</f>
        <v>0</v>
      </c>
      <c r="U31" s="69">
        <f>U$2*IFERROR(INDEX(LimpiadorHornos[],MATCH(Produccion[[#This Row],[PRODUCTO]],LimpiadorHornos[M.P.],0),2),0)</f>
        <v>0</v>
      </c>
      <c r="V31" s="69">
        <f>V$2*IFERROR(INDEX(Limpiavidrios[],MATCH(Produccion[[#This Row],[PRODUCTO]],Limpiavidrios[M.P.],0),2),0)</f>
        <v>0</v>
      </c>
      <c r="W31" s="69">
        <f>W$2*IFERROR(INDEX(RemovedorDeCeras[],MATCH(Produccion[[#This Row],[PRODUCTO]],RemovedorDeCeras[M.P.],0),2),0)</f>
        <v>0</v>
      </c>
      <c r="X31" s="69">
        <f>X$2*IFERROR(INDEX(ShampooAlfombras[],MATCH(Produccion[[#This Row],[PRODUCTO]],ShampooAlfombras[M.P.],0),2),0)</f>
        <v>0</v>
      </c>
      <c r="Y31" s="69">
        <f>Y$2*IFERROR(INDEX(ShampooAuto[],MATCH(Produccion[[#This Row],[PRODUCTO]],ShampooAuto[M.P.],0),2),0)</f>
        <v>0</v>
      </c>
      <c r="Z31" s="69">
        <f>Z$2*IFERROR(INDEX(SiliconaAltoBrillo[],MATCH(Produccion[[#This Row],[PRODUCTO]],SiliconaAltoBrillo[M.P.],0),2),0)</f>
        <v>0</v>
      </c>
      <c r="AA31" s="69">
        <f>AA$2*IFERROR(INDEX(Suavizante[],MATCH(Produccion[[#This Row],[PRODUCTO]],Suavizante[M.P.],0),2),0)</f>
        <v>0</v>
      </c>
      <c r="AB31" s="70">
        <f>AB$2*IFERROR(INDEX(Vinagre[],MATCH(Produccion[[#This Row],[PRODUCTO]],Vinagre[M.P.],0),2),0)</f>
        <v>0</v>
      </c>
    </row>
    <row r="32" spans="1:29">
      <c r="A32" s="18" t="s">
        <v>773</v>
      </c>
      <c r="B32" s="31">
        <f t="shared" si="0"/>
        <v>0.11700000000000001</v>
      </c>
      <c r="C32" s="69">
        <f>$C$2*IFERROR(INDEX(AlcoholIndustrial[],MATCH(Produccion[[#This Row],[PRODUCTO]],AlcoholIndustrial[M.P.],0),2),0)</f>
        <v>0</v>
      </c>
      <c r="D32" s="69">
        <f>$D$2*IFERROR(INDEX(AmbientadorPiso[],MATCH(Produccion[[#This Row],[PRODUCTO]],AmbientadorPiso[M.P.],0),2),0)</f>
        <v>2E-3</v>
      </c>
      <c r="E32" s="69">
        <f>$E$2*IFERROR(INDEX(AmbientadorSpray[],MATCH(Produccion[[#This Row],[PRODUCTO]],AmbientadorSpray[M.P.],0),2),0)</f>
        <v>0</v>
      </c>
      <c r="F32" s="69">
        <f>$F$2*IFERROR(INDEX(Biovarsol[],MATCH(Produccion[[#This Row],[PRODUCTO]],Biovarsol[M.P.],0),2),0)</f>
        <v>0</v>
      </c>
      <c r="G32" s="69">
        <f>G$2*IFERROR(INDEX(BlanqueadorDesinfectante[],MATCH(Produccion[[#This Row],[PRODUCTO]],BlanqueadorDesinfectante[M.P.],0),2),0)</f>
        <v>0</v>
      </c>
      <c r="H32" s="69">
        <f>H$2*IFERROR(INDEX(CeraAutobrillante[],MATCH(Produccion[[#This Row],[PRODUCTO]],CeraAutobrillante[M.P.],0),2),0)</f>
        <v>0</v>
      </c>
      <c r="I32" s="69">
        <f>I$2*IFERROR(INDEX(Creolina[],MATCH(Produccion[[#This Row],[PRODUCTO]],Creolina[M.P.],0),2),0)</f>
        <v>0</v>
      </c>
      <c r="J32" s="69">
        <f>J$2*IFERROR(INDEX(Desencrustante[],MATCH(Produccion[[#This Row],[PRODUCTO]],Desencrustante[M.P.],0),2),0)</f>
        <v>0</v>
      </c>
      <c r="K32" s="69">
        <f>K$2*IFERROR(INDEX(DesengrasanteAcido[],MATCH(Produccion[[#This Row],[PRODUCTO]],DesengrasanteAcido[M.P.],0),2),0)</f>
        <v>0</v>
      </c>
      <c r="L32" s="69">
        <f>L$2*IFERROR(INDEX(DesengrasanteEspumoso[],MATCH(Produccion[[#This Row],[PRODUCTO]],DesengrasanteEspumoso[M.P.],0),2),0)</f>
        <v>0</v>
      </c>
      <c r="M32" s="69">
        <f>M$2*IFERROR(INDEX(DesmanchadorRopaColor[],MATCH(Produccion[[#This Row],[PRODUCTO]],DesmanchadorRopaColor[M.P.],0),2),0)</f>
        <v>0</v>
      </c>
      <c r="N32" s="69">
        <f>N$2*IFERROR(INDEX(DetLavadora[],MATCH(Produccion[[#This Row],[PRODUCTO]],DetLavadora[M.P.],0),2),0)</f>
        <v>0</v>
      </c>
      <c r="O32" s="69">
        <f>O$2*IFERROR(INDEX(DetMultiusos[],MATCH(Produccion[[#This Row],[PRODUCTO]],DetMultiusos[M.P.],0),2),0)</f>
        <v>0</v>
      </c>
      <c r="P32" s="69">
        <f>P$2*IFERROR(INDEX(TipoRey[],MATCH(Produccion[[#This Row],[PRODUCTO]],TipoRey[M.P.],0),2),0)</f>
        <v>0</v>
      </c>
      <c r="Q32" s="69">
        <f>Q$2*IFERROR(INDEX(GelAntibacterial[],MATCH(Produccion[[#This Row],[PRODUCTO]],GelAntibacterial[M.P.],0),2),0)</f>
        <v>5.0000000000000001E-3</v>
      </c>
      <c r="R32" s="69">
        <f>R$2*IFERROR(INDEX(JabonManos[],MATCH(Produccion[[#This Row],[PRODUCTO]],JabonManos[M.P.],0),2),0)</f>
        <v>0.1</v>
      </c>
      <c r="S32" s="69">
        <f>S$2*IFERROR(INDEX(JabonLavaLoza[],MATCH(Produccion[[#This Row],[PRODUCTO]],JabonLavaLoza[M.P.],0),2),0)</f>
        <v>0.01</v>
      </c>
      <c r="T32" s="69">
        <f>T$2*IFERROR(INDEX(LimpiadorDeSuperficies[],MATCH(Produccion[[#This Row],[PRODUCTO]],LimpiadorDeSuperficies[M.P.],0),2),0)</f>
        <v>0</v>
      </c>
      <c r="U32" s="69">
        <f>U$2*IFERROR(INDEX(LimpiadorHornos[],MATCH(Produccion[[#This Row],[PRODUCTO]],LimpiadorHornos[M.P.],0),2),0)</f>
        <v>0</v>
      </c>
      <c r="V32" s="69">
        <f>V$2*IFERROR(INDEX(Limpiavidrios[],MATCH(Produccion[[#This Row],[PRODUCTO]],Limpiavidrios[M.P.],0),2),0)</f>
        <v>0</v>
      </c>
      <c r="W32" s="69">
        <f>W$2*IFERROR(INDEX(RemovedorDeCeras[],MATCH(Produccion[[#This Row],[PRODUCTO]],RemovedorDeCeras[M.P.],0),2),0)</f>
        <v>0</v>
      </c>
      <c r="X32" s="69">
        <f>X$2*IFERROR(INDEX(ShampooAlfombras[],MATCH(Produccion[[#This Row],[PRODUCTO]],ShampooAlfombras[M.P.],0),2),0)</f>
        <v>0</v>
      </c>
      <c r="Y32" s="69">
        <f>Y$2*IFERROR(INDEX(ShampooAuto[],MATCH(Produccion[[#This Row],[PRODUCTO]],ShampooAuto[M.P.],0),2),0)</f>
        <v>0</v>
      </c>
      <c r="Z32" s="69">
        <f>Z$2*IFERROR(INDEX(SiliconaAltoBrillo[],MATCH(Produccion[[#This Row],[PRODUCTO]],SiliconaAltoBrillo[M.P.],0),2),0)</f>
        <v>0</v>
      </c>
      <c r="AA32" s="69">
        <f>AA$2*IFERROR(INDEX(Suavizante[],MATCH(Produccion[[#This Row],[PRODUCTO]],Suavizante[M.P.],0),2),0)</f>
        <v>0</v>
      </c>
      <c r="AB32" s="70">
        <f>AB$2*IFERROR(INDEX(Vinagre[],MATCH(Produccion[[#This Row],[PRODUCTO]],Vinagre[M.P.],0),2),0)</f>
        <v>0</v>
      </c>
    </row>
    <row r="33" spans="1:28" hidden="1">
      <c r="A33" s="18" t="s">
        <v>774</v>
      </c>
      <c r="B33" s="31">
        <f t="shared" si="0"/>
        <v>0</v>
      </c>
      <c r="C33" s="69">
        <f>$C$2*IFERROR(INDEX(AlcoholIndustrial[],MATCH(Produccion[[#This Row],[PRODUCTO]],AlcoholIndustrial[M.P.],0),2),0)</f>
        <v>0</v>
      </c>
      <c r="D33" s="69">
        <f>$D$2*IFERROR(INDEX(AmbientadorPiso[],MATCH(Produccion[[#This Row],[PRODUCTO]],AmbientadorPiso[M.P.],0),2),0)</f>
        <v>0</v>
      </c>
      <c r="E33" s="69">
        <f>$E$2*IFERROR(INDEX(AmbientadorSpray[],MATCH(Produccion[[#This Row],[PRODUCTO]],AmbientadorSpray[M.P.],0),2),0)</f>
        <v>0</v>
      </c>
      <c r="F33" s="69">
        <f>$F$2*IFERROR(INDEX(Biovarsol[],MATCH(Produccion[[#This Row],[PRODUCTO]],Biovarsol[M.P.],0),2),0)</f>
        <v>0</v>
      </c>
      <c r="G33" s="69">
        <f>G$2*IFERROR(INDEX(BlanqueadorDesinfectante[],MATCH(Produccion[[#This Row],[PRODUCTO]],BlanqueadorDesinfectante[M.P.],0),2),0)</f>
        <v>0</v>
      </c>
      <c r="H33" s="69">
        <f>H$2*IFERROR(INDEX(CeraAutobrillante[],MATCH(Produccion[[#This Row],[PRODUCTO]],CeraAutobrillante[M.P.],0),2),0)</f>
        <v>0</v>
      </c>
      <c r="I33" s="69">
        <f>I$2*IFERROR(INDEX(Creolina[],MATCH(Produccion[[#This Row],[PRODUCTO]],Creolina[M.P.],0),2),0)</f>
        <v>0</v>
      </c>
      <c r="J33" s="69">
        <f>J$2*IFERROR(INDEX(Desencrustante[],MATCH(Produccion[[#This Row],[PRODUCTO]],Desencrustante[M.P.],0),2),0)</f>
        <v>0</v>
      </c>
      <c r="K33" s="69">
        <f>K$2*IFERROR(INDEX(DesengrasanteAcido[],MATCH(Produccion[[#This Row],[PRODUCTO]],DesengrasanteAcido[M.P.],0),2),0)</f>
        <v>0</v>
      </c>
      <c r="L33" s="69">
        <f>L$2*IFERROR(INDEX(DesengrasanteEspumoso[],MATCH(Produccion[[#This Row],[PRODUCTO]],DesengrasanteEspumoso[M.P.],0),2),0)</f>
        <v>0</v>
      </c>
      <c r="M33" s="69">
        <f>M$2*IFERROR(INDEX(DesmanchadorRopaColor[],MATCH(Produccion[[#This Row],[PRODUCTO]],DesmanchadorRopaColor[M.P.],0),2),0)</f>
        <v>0</v>
      </c>
      <c r="N33" s="69">
        <f>N$2*IFERROR(INDEX(DetLavadora[],MATCH(Produccion[[#This Row],[PRODUCTO]],DetLavadora[M.P.],0),2),0)</f>
        <v>0</v>
      </c>
      <c r="O33" s="69">
        <f>O$2*IFERROR(INDEX(DetMultiusos[],MATCH(Produccion[[#This Row],[PRODUCTO]],DetMultiusos[M.P.],0),2),0)</f>
        <v>0</v>
      </c>
      <c r="P33" s="69">
        <f>P$2*IFERROR(INDEX(TipoRey[],MATCH(Produccion[[#This Row],[PRODUCTO]],TipoRey[M.P.],0),2),0)</f>
        <v>0</v>
      </c>
      <c r="Q33" s="69">
        <f>Q$2*IFERROR(INDEX(GelAntibacterial[],MATCH(Produccion[[#This Row],[PRODUCTO]],GelAntibacterial[M.P.],0),2),0)</f>
        <v>0</v>
      </c>
      <c r="R33" s="69">
        <f>R$2*IFERROR(INDEX(JabonManos[],MATCH(Produccion[[#This Row],[PRODUCTO]],JabonManos[M.P.],0),2),0)</f>
        <v>0</v>
      </c>
      <c r="S33" s="69">
        <f>S$2*IFERROR(INDEX(JabonLavaLoza[],MATCH(Produccion[[#This Row],[PRODUCTO]],JabonLavaLoza[M.P.],0),2),0)</f>
        <v>0</v>
      </c>
      <c r="T33" s="69">
        <f>T$2*IFERROR(INDEX(LimpiadorDeSuperficies[],MATCH(Produccion[[#This Row],[PRODUCTO]],LimpiadorDeSuperficies[M.P.],0),2),0)</f>
        <v>0</v>
      </c>
      <c r="U33" s="69">
        <f>U$2*IFERROR(INDEX(LimpiadorHornos[],MATCH(Produccion[[#This Row],[PRODUCTO]],LimpiadorHornos[M.P.],0),2),0)</f>
        <v>0</v>
      </c>
      <c r="V33" s="69">
        <f>V$2*IFERROR(INDEX(Limpiavidrios[],MATCH(Produccion[[#This Row],[PRODUCTO]],Limpiavidrios[M.P.],0),2),0)</f>
        <v>0</v>
      </c>
      <c r="W33" s="69">
        <f>W$2*IFERROR(INDEX(RemovedorDeCeras[],MATCH(Produccion[[#This Row],[PRODUCTO]],RemovedorDeCeras[M.P.],0),2),0)</f>
        <v>0</v>
      </c>
      <c r="X33" s="69">
        <f>X$2*IFERROR(INDEX(ShampooAlfombras[],MATCH(Produccion[[#This Row],[PRODUCTO]],ShampooAlfombras[M.P.],0),2),0)</f>
        <v>0</v>
      </c>
      <c r="Y33" s="69">
        <f>Y$2*IFERROR(INDEX(ShampooAuto[],MATCH(Produccion[[#This Row],[PRODUCTO]],ShampooAuto[M.P.],0),2),0)</f>
        <v>0</v>
      </c>
      <c r="Z33" s="69">
        <f>Z$2*IFERROR(INDEX(SiliconaAltoBrillo[],MATCH(Produccion[[#This Row],[PRODUCTO]],SiliconaAltoBrillo[M.P.],0),2),0)</f>
        <v>0</v>
      </c>
      <c r="AA33" s="69">
        <f>AA$2*IFERROR(INDEX(Suavizante[],MATCH(Produccion[[#This Row],[PRODUCTO]],Suavizante[M.P.],0),2),0)</f>
        <v>0</v>
      </c>
      <c r="AB33" s="70">
        <f>AB$2*IFERROR(INDEX(Vinagre[],MATCH(Produccion[[#This Row],[PRODUCTO]],Vinagre[M.P.],0),2),0)</f>
        <v>0</v>
      </c>
    </row>
    <row r="34" spans="1:28" hidden="1">
      <c r="A34" s="18" t="s">
        <v>775</v>
      </c>
      <c r="B34" s="31">
        <f t="shared" si="0"/>
        <v>0</v>
      </c>
      <c r="C34" s="69">
        <f>$C$2*IFERROR(INDEX(AlcoholIndustrial[],MATCH(Produccion[[#This Row],[PRODUCTO]],AlcoholIndustrial[M.P.],0),2),0)</f>
        <v>0</v>
      </c>
      <c r="D34" s="69">
        <f>$D$2*IFERROR(INDEX(AmbientadorPiso[],MATCH(Produccion[[#This Row],[PRODUCTO]],AmbientadorPiso[M.P.],0),2),0)</f>
        <v>0</v>
      </c>
      <c r="E34" s="69">
        <f>$E$2*IFERROR(INDEX(AmbientadorSpray[],MATCH(Produccion[[#This Row],[PRODUCTO]],AmbientadorSpray[M.P.],0),2),0)</f>
        <v>0</v>
      </c>
      <c r="F34" s="69">
        <f>$F$2*IFERROR(INDEX(Biovarsol[],MATCH(Produccion[[#This Row],[PRODUCTO]],Biovarsol[M.P.],0),2),0)</f>
        <v>0</v>
      </c>
      <c r="G34" s="69">
        <f>G$2*IFERROR(INDEX(BlanqueadorDesinfectante[],MATCH(Produccion[[#This Row],[PRODUCTO]],BlanqueadorDesinfectante[M.P.],0),2),0)</f>
        <v>0</v>
      </c>
      <c r="H34" s="69">
        <f>H$2*IFERROR(INDEX(CeraAutobrillante[],MATCH(Produccion[[#This Row],[PRODUCTO]],CeraAutobrillante[M.P.],0),2),0)</f>
        <v>0</v>
      </c>
      <c r="I34" s="69">
        <f>I$2*IFERROR(INDEX(Creolina[],MATCH(Produccion[[#This Row],[PRODUCTO]],Creolina[M.P.],0),2),0)</f>
        <v>0</v>
      </c>
      <c r="J34" s="69">
        <f>J$2*IFERROR(INDEX(Desencrustante[],MATCH(Produccion[[#This Row],[PRODUCTO]],Desencrustante[M.P.],0),2),0)</f>
        <v>0</v>
      </c>
      <c r="K34" s="69">
        <f>K$2*IFERROR(INDEX(DesengrasanteAcido[],MATCH(Produccion[[#This Row],[PRODUCTO]],DesengrasanteAcido[M.P.],0),2),0)</f>
        <v>0</v>
      </c>
      <c r="L34" s="69">
        <f>L$2*IFERROR(INDEX(DesengrasanteEspumoso[],MATCH(Produccion[[#This Row],[PRODUCTO]],DesengrasanteEspumoso[M.P.],0),2),0)</f>
        <v>0</v>
      </c>
      <c r="M34" s="69">
        <f>M$2*IFERROR(INDEX(DesmanchadorRopaColor[],MATCH(Produccion[[#This Row],[PRODUCTO]],DesmanchadorRopaColor[M.P.],0),2),0)</f>
        <v>0</v>
      </c>
      <c r="N34" s="69">
        <f>N$2*IFERROR(INDEX(DetLavadora[],MATCH(Produccion[[#This Row],[PRODUCTO]],DetLavadora[M.P.],0),2),0)</f>
        <v>0</v>
      </c>
      <c r="O34" s="69">
        <f>O$2*IFERROR(INDEX(DetMultiusos[],MATCH(Produccion[[#This Row],[PRODUCTO]],DetMultiusos[M.P.],0),2),0)</f>
        <v>0</v>
      </c>
      <c r="P34" s="69">
        <f>P$2*IFERROR(INDEX(TipoRey[],MATCH(Produccion[[#This Row],[PRODUCTO]],TipoRey[M.P.],0),2),0)</f>
        <v>0</v>
      </c>
      <c r="Q34" s="69">
        <f>Q$2*IFERROR(INDEX(GelAntibacterial[],MATCH(Produccion[[#This Row],[PRODUCTO]],GelAntibacterial[M.P.],0),2),0)</f>
        <v>0</v>
      </c>
      <c r="R34" s="69">
        <f>R$2*IFERROR(INDEX(JabonManos[],MATCH(Produccion[[#This Row],[PRODUCTO]],JabonManos[M.P.],0),2),0)</f>
        <v>0</v>
      </c>
      <c r="S34" s="69">
        <f>S$2*IFERROR(INDEX(JabonLavaLoza[],MATCH(Produccion[[#This Row],[PRODUCTO]],JabonLavaLoza[M.P.],0),2),0)</f>
        <v>0</v>
      </c>
      <c r="T34" s="69">
        <f>T$2*IFERROR(INDEX(LimpiadorDeSuperficies[],MATCH(Produccion[[#This Row],[PRODUCTO]],LimpiadorDeSuperficies[M.P.],0),2),0)</f>
        <v>0</v>
      </c>
      <c r="U34" s="69">
        <f>U$2*IFERROR(INDEX(LimpiadorHornos[],MATCH(Produccion[[#This Row],[PRODUCTO]],LimpiadorHornos[M.P.],0),2),0)</f>
        <v>0</v>
      </c>
      <c r="V34" s="69">
        <f>V$2*IFERROR(INDEX(Limpiavidrios[],MATCH(Produccion[[#This Row],[PRODUCTO]],Limpiavidrios[M.P.],0),2),0)</f>
        <v>0</v>
      </c>
      <c r="W34" s="69">
        <f>W$2*IFERROR(INDEX(RemovedorDeCeras[],MATCH(Produccion[[#This Row],[PRODUCTO]],RemovedorDeCeras[M.P.],0),2),0)</f>
        <v>0</v>
      </c>
      <c r="X34" s="69">
        <f>X$2*IFERROR(INDEX(ShampooAlfombras[],MATCH(Produccion[[#This Row],[PRODUCTO]],ShampooAlfombras[M.P.],0),2),0)</f>
        <v>0</v>
      </c>
      <c r="Y34" s="69">
        <f>Y$2*IFERROR(INDEX(ShampooAuto[],MATCH(Produccion[[#This Row],[PRODUCTO]],ShampooAuto[M.P.],0),2),0)</f>
        <v>0</v>
      </c>
      <c r="Z34" s="69">
        <f>Z$2*IFERROR(INDEX(SiliconaAltoBrillo[],MATCH(Produccion[[#This Row],[PRODUCTO]],SiliconaAltoBrillo[M.P.],0),2),0)</f>
        <v>0</v>
      </c>
      <c r="AA34" s="69">
        <f>AA$2*IFERROR(INDEX(Suavizante[],MATCH(Produccion[[#This Row],[PRODUCTO]],Suavizante[M.P.],0),2),0)</f>
        <v>0</v>
      </c>
      <c r="AB34" s="70">
        <f>AB$2*IFERROR(INDEX(Vinagre[],MATCH(Produccion[[#This Row],[PRODUCTO]],Vinagre[M.P.],0),2),0)</f>
        <v>0</v>
      </c>
    </row>
    <row r="35" spans="1:28">
      <c r="A35" s="18" t="s">
        <v>776</v>
      </c>
      <c r="B35" s="31">
        <f t="shared" si="0"/>
        <v>1.0399999999999998</v>
      </c>
      <c r="C35" s="69">
        <f>$C$2*IFERROR(INDEX(AlcoholIndustrial[],MATCH(Produccion[[#This Row],[PRODUCTO]],AlcoholIndustrial[M.P.],0),2),0)</f>
        <v>0</v>
      </c>
      <c r="D35" s="69">
        <f>$D$2*IFERROR(INDEX(AmbientadorPiso[],MATCH(Produccion[[#This Row],[PRODUCTO]],AmbientadorPiso[M.P.],0),2),0)</f>
        <v>0.03</v>
      </c>
      <c r="E35" s="69">
        <f>$E$2*IFERROR(INDEX(AmbientadorSpray[],MATCH(Produccion[[#This Row],[PRODUCTO]],AmbientadorSpray[M.P.],0),2),0)</f>
        <v>2.5000000000000001E-2</v>
      </c>
      <c r="F35" s="69">
        <f>$F$2*IFERROR(INDEX(Biovarsol[],MATCH(Produccion[[#This Row],[PRODUCTO]],Biovarsol[M.P.],0),2),0)</f>
        <v>0</v>
      </c>
      <c r="G35" s="69">
        <f>G$2*IFERROR(INDEX(BlanqueadorDesinfectante[],MATCH(Produccion[[#This Row],[PRODUCTO]],BlanqueadorDesinfectante[M.P.],0),2),0)</f>
        <v>0</v>
      </c>
      <c r="H35" s="69">
        <f>H$2*IFERROR(INDEX(CeraAutobrillante[],MATCH(Produccion[[#This Row],[PRODUCTO]],CeraAutobrillante[M.P.],0),2),0)</f>
        <v>0</v>
      </c>
      <c r="I35" s="69">
        <f>I$2*IFERROR(INDEX(Creolina[],MATCH(Produccion[[#This Row],[PRODUCTO]],Creolina[M.P.],0),2),0)</f>
        <v>0</v>
      </c>
      <c r="J35" s="69">
        <f>J$2*IFERROR(INDEX(Desencrustante[],MATCH(Produccion[[#This Row],[PRODUCTO]],Desencrustante[M.P.],0),2),0)</f>
        <v>0</v>
      </c>
      <c r="K35" s="69">
        <f>K$2*IFERROR(INDEX(DesengrasanteAcido[],MATCH(Produccion[[#This Row],[PRODUCTO]],DesengrasanteAcido[M.P.],0),2),0)</f>
        <v>0</v>
      </c>
      <c r="L35" s="69">
        <f>L$2*IFERROR(INDEX(DesengrasanteEspumoso[],MATCH(Produccion[[#This Row],[PRODUCTO]],DesengrasanteEspumoso[M.P.],0),2),0)</f>
        <v>0</v>
      </c>
      <c r="M35" s="69">
        <f>M$2*IFERROR(INDEX(DesmanchadorRopaColor[],MATCH(Produccion[[#This Row],[PRODUCTO]],DesmanchadorRopaColor[M.P.],0),2),0)</f>
        <v>0</v>
      </c>
      <c r="N35" s="69">
        <f>N$2*IFERROR(INDEX(DetLavadora[],MATCH(Produccion[[#This Row],[PRODUCTO]],DetLavadora[M.P.],0),2),0)</f>
        <v>0.8</v>
      </c>
      <c r="O35" s="69">
        <f>O$2*IFERROR(INDEX(DetMultiusos[],MATCH(Produccion[[#This Row],[PRODUCTO]],DetMultiusos[M.P.],0),2),0)</f>
        <v>5.0000000000000001E-3</v>
      </c>
      <c r="P35" s="69">
        <f>P$2*IFERROR(INDEX(TipoRey[],MATCH(Produccion[[#This Row],[PRODUCTO]],TipoRey[M.P.],0),2),0)</f>
        <v>0</v>
      </c>
      <c r="Q35" s="69">
        <f>Q$2*IFERROR(INDEX(GelAntibacterial[],MATCH(Produccion[[#This Row],[PRODUCTO]],GelAntibacterial[M.P.],0),2),0)</f>
        <v>0</v>
      </c>
      <c r="R35" s="69">
        <f>R$2*IFERROR(INDEX(JabonManos[],MATCH(Produccion[[#This Row],[PRODUCTO]],JabonManos[M.P.],0),2),0)</f>
        <v>0.1</v>
      </c>
      <c r="S35" s="69">
        <f>S$2*IFERROR(INDEX(JabonLavaLoza[],MATCH(Produccion[[#This Row],[PRODUCTO]],JabonLavaLoza[M.P.],0),2),0)</f>
        <v>5.0000000000000001E-3</v>
      </c>
      <c r="T35" s="69">
        <f>T$2*IFERROR(INDEX(LimpiadorDeSuperficies[],MATCH(Produccion[[#This Row],[PRODUCTO]],LimpiadorDeSuperficies[M.P.],0),2),0)</f>
        <v>0.03</v>
      </c>
      <c r="U35" s="69">
        <f>U$2*IFERROR(INDEX(LimpiadorHornos[],MATCH(Produccion[[#This Row],[PRODUCTO]],LimpiadorHornos[M.P.],0),2),0)</f>
        <v>0.03</v>
      </c>
      <c r="V35" s="69">
        <f>V$2*IFERROR(INDEX(Limpiavidrios[],MATCH(Produccion[[#This Row],[PRODUCTO]],Limpiavidrios[M.P.],0),2),0)</f>
        <v>0</v>
      </c>
      <c r="W35" s="69">
        <f>W$2*IFERROR(INDEX(RemovedorDeCeras[],MATCH(Produccion[[#This Row],[PRODUCTO]],RemovedorDeCeras[M.P.],0),2),0)</f>
        <v>0</v>
      </c>
      <c r="X35" s="69">
        <f>X$2*IFERROR(INDEX(ShampooAlfombras[],MATCH(Produccion[[#This Row],[PRODUCTO]],ShampooAlfombras[M.P.],0),2),0)</f>
        <v>5.0000000000000001E-3</v>
      </c>
      <c r="Y35" s="69">
        <f>Y$2*IFERROR(INDEX(ShampooAuto[],MATCH(Produccion[[#This Row],[PRODUCTO]],ShampooAuto[M.P.],0),2),0)</f>
        <v>5.0000000000000001E-3</v>
      </c>
      <c r="Z35" s="69">
        <f>Z$2*IFERROR(INDEX(SiliconaAltoBrillo[],MATCH(Produccion[[#This Row],[PRODUCTO]],SiliconaAltoBrillo[M.P.],0),2),0)</f>
        <v>5.0000000000000001E-3</v>
      </c>
      <c r="AA35" s="69">
        <f>AA$2*IFERROR(INDEX(Suavizante[],MATCH(Produccion[[#This Row],[PRODUCTO]],Suavizante[M.P.],0),2),0)</f>
        <v>0</v>
      </c>
      <c r="AB35" s="70">
        <f>AB$2*IFERROR(INDEX(Vinagre[],MATCH(Produccion[[#This Row],[PRODUCTO]],Vinagre[M.P.],0),2),0)</f>
        <v>0</v>
      </c>
    </row>
    <row r="36" spans="1:28" hidden="1">
      <c r="A36" s="18" t="s">
        <v>777</v>
      </c>
      <c r="B36" s="31">
        <f t="shared" si="0"/>
        <v>0.3</v>
      </c>
      <c r="C36" s="69">
        <f>$C$2*IFERROR(INDEX(AlcoholIndustrial[],MATCH(Produccion[[#This Row],[PRODUCTO]],AlcoholIndustrial[M.P.],0),2),0)</f>
        <v>0</v>
      </c>
      <c r="D36" s="69">
        <f>$D$2*IFERROR(INDEX(AmbientadorPiso[],MATCH(Produccion[[#This Row],[PRODUCTO]],AmbientadorPiso[M.P.],0),2),0)</f>
        <v>0</v>
      </c>
      <c r="E36" s="69">
        <f>$E$2*IFERROR(INDEX(AmbientadorSpray[],MATCH(Produccion[[#This Row],[PRODUCTO]],AmbientadorSpray[M.P.],0),2),0)</f>
        <v>0</v>
      </c>
      <c r="F36" s="69">
        <f>$F$2*IFERROR(INDEX(Biovarsol[],MATCH(Produccion[[#This Row],[PRODUCTO]],Biovarsol[M.P.],0),2),0)</f>
        <v>0</v>
      </c>
      <c r="G36" s="69">
        <f>G$2*IFERROR(INDEX(BlanqueadorDesinfectante[],MATCH(Produccion[[#This Row],[PRODUCTO]],BlanqueadorDesinfectante[M.P.],0),2),0)</f>
        <v>0.3</v>
      </c>
      <c r="H36" s="69">
        <f>H$2*IFERROR(INDEX(CeraAutobrillante[],MATCH(Produccion[[#This Row],[PRODUCTO]],CeraAutobrillante[M.P.],0),2),0)</f>
        <v>0</v>
      </c>
      <c r="I36" s="69">
        <f>I$2*IFERROR(INDEX(Creolina[],MATCH(Produccion[[#This Row],[PRODUCTO]],Creolina[M.P.],0),2),0)</f>
        <v>0</v>
      </c>
      <c r="J36" s="69">
        <f>J$2*IFERROR(INDEX(Desencrustante[],MATCH(Produccion[[#This Row],[PRODUCTO]],Desencrustante[M.P.],0),2),0)</f>
        <v>0</v>
      </c>
      <c r="K36" s="69">
        <f>K$2*IFERROR(INDEX(DesengrasanteAcido[],MATCH(Produccion[[#This Row],[PRODUCTO]],DesengrasanteAcido[M.P.],0),2),0)</f>
        <v>0</v>
      </c>
      <c r="L36" s="69">
        <f>L$2*IFERROR(INDEX(DesengrasanteEspumoso[],MATCH(Produccion[[#This Row],[PRODUCTO]],DesengrasanteEspumoso[M.P.],0),2),0)</f>
        <v>0</v>
      </c>
      <c r="M36" s="69">
        <f>M$2*IFERROR(INDEX(DesmanchadorRopaColor[],MATCH(Produccion[[#This Row],[PRODUCTO]],DesmanchadorRopaColor[M.P.],0),2),0)</f>
        <v>0</v>
      </c>
      <c r="N36" s="69">
        <f>N$2*IFERROR(INDEX(DetLavadora[],MATCH(Produccion[[#This Row],[PRODUCTO]],DetLavadora[M.P.],0),2),0)</f>
        <v>0</v>
      </c>
      <c r="O36" s="69">
        <f>O$2*IFERROR(INDEX(DetMultiusos[],MATCH(Produccion[[#This Row],[PRODUCTO]],DetMultiusos[M.P.],0),2),0)</f>
        <v>0</v>
      </c>
      <c r="P36" s="69">
        <f>P$2*IFERROR(INDEX(TipoRey[],MATCH(Produccion[[#This Row],[PRODUCTO]],TipoRey[M.P.],0),2),0)</f>
        <v>0</v>
      </c>
      <c r="Q36" s="69">
        <f>Q$2*IFERROR(INDEX(GelAntibacterial[],MATCH(Produccion[[#This Row],[PRODUCTO]],GelAntibacterial[M.P.],0),2),0)</f>
        <v>0</v>
      </c>
      <c r="R36" s="69">
        <f>R$2*IFERROR(INDEX(JabonManos[],MATCH(Produccion[[#This Row],[PRODUCTO]],JabonManos[M.P.],0),2),0)</f>
        <v>0</v>
      </c>
      <c r="S36" s="69">
        <f>S$2*IFERROR(INDEX(JabonLavaLoza[],MATCH(Produccion[[#This Row],[PRODUCTO]],JabonLavaLoza[M.P.],0),2),0)</f>
        <v>0</v>
      </c>
      <c r="T36" s="69">
        <f>T$2*IFERROR(INDEX(LimpiadorDeSuperficies[],MATCH(Produccion[[#This Row],[PRODUCTO]],LimpiadorDeSuperficies[M.P.],0),2),0)</f>
        <v>0</v>
      </c>
      <c r="U36" s="69">
        <f>U$2*IFERROR(INDEX(LimpiadorHornos[],MATCH(Produccion[[#This Row],[PRODUCTO]],LimpiadorHornos[M.P.],0),2),0)</f>
        <v>0</v>
      </c>
      <c r="V36" s="69">
        <f>V$2*IFERROR(INDEX(Limpiavidrios[],MATCH(Produccion[[#This Row],[PRODUCTO]],Limpiavidrios[M.P.],0),2),0)</f>
        <v>0</v>
      </c>
      <c r="W36" s="69">
        <f>W$2*IFERROR(INDEX(RemovedorDeCeras[],MATCH(Produccion[[#This Row],[PRODUCTO]],RemovedorDeCeras[M.P.],0),2),0)</f>
        <v>0</v>
      </c>
      <c r="X36" s="69">
        <f>X$2*IFERROR(INDEX(ShampooAlfombras[],MATCH(Produccion[[#This Row],[PRODUCTO]],ShampooAlfombras[M.P.],0),2),0)</f>
        <v>0</v>
      </c>
      <c r="Y36" s="69">
        <f>Y$2*IFERROR(INDEX(ShampooAuto[],MATCH(Produccion[[#This Row],[PRODUCTO]],ShampooAuto[M.P.],0),2),0)</f>
        <v>0</v>
      </c>
      <c r="Z36" s="69">
        <f>Z$2*IFERROR(INDEX(SiliconaAltoBrillo[],MATCH(Produccion[[#This Row],[PRODUCTO]],SiliconaAltoBrillo[M.P.],0),2),0)</f>
        <v>0</v>
      </c>
      <c r="AA36" s="69">
        <f>AA$2*IFERROR(INDEX(Suavizante[],MATCH(Produccion[[#This Row],[PRODUCTO]],Suavizante[M.P.],0),2),0)</f>
        <v>0</v>
      </c>
      <c r="AB36" s="70">
        <f>AB$2*IFERROR(INDEX(Vinagre[],MATCH(Produccion[[#This Row],[PRODUCTO]],Vinagre[M.P.],0),2),0)</f>
        <v>0</v>
      </c>
    </row>
    <row r="37" spans="1:28" hidden="1">
      <c r="A37" s="18" t="s">
        <v>778</v>
      </c>
      <c r="B37" s="31">
        <f t="shared" si="0"/>
        <v>0.2</v>
      </c>
      <c r="C37" s="69">
        <f>$C$2*IFERROR(INDEX(AlcoholIndustrial[],MATCH(Produccion[[#This Row],[PRODUCTO]],AlcoholIndustrial[M.P.],0),2),0)</f>
        <v>0</v>
      </c>
      <c r="D37" s="69">
        <f>$D$2*IFERROR(INDEX(AmbientadorPiso[],MATCH(Produccion[[#This Row],[PRODUCTO]],AmbientadorPiso[M.P.],0),2),0)</f>
        <v>0</v>
      </c>
      <c r="E37" s="69">
        <f>$E$2*IFERROR(INDEX(AmbientadorSpray[],MATCH(Produccion[[#This Row],[PRODUCTO]],AmbientadorSpray[M.P.],0),2),0)</f>
        <v>0</v>
      </c>
      <c r="F37" s="69">
        <f>$F$2*IFERROR(INDEX(Biovarsol[],MATCH(Produccion[[#This Row],[PRODUCTO]],Biovarsol[M.P.],0),2),0)</f>
        <v>0</v>
      </c>
      <c r="G37" s="69">
        <f>G$2*IFERROR(INDEX(BlanqueadorDesinfectante[],MATCH(Produccion[[#This Row],[PRODUCTO]],BlanqueadorDesinfectante[M.P.],0),2),0)</f>
        <v>0</v>
      </c>
      <c r="H37" s="69">
        <f>H$2*IFERROR(INDEX(CeraAutobrillante[],MATCH(Produccion[[#This Row],[PRODUCTO]],CeraAutobrillante[M.P.],0),2),0)</f>
        <v>0</v>
      </c>
      <c r="I37" s="69">
        <f>I$2*IFERROR(INDEX(Creolina[],MATCH(Produccion[[#This Row],[PRODUCTO]],Creolina[M.P.],0),2),0)</f>
        <v>0</v>
      </c>
      <c r="J37" s="69">
        <f>J$2*IFERROR(INDEX(Desencrustante[],MATCH(Produccion[[#This Row],[PRODUCTO]],Desencrustante[M.P.],0),2),0)</f>
        <v>0</v>
      </c>
      <c r="K37" s="69">
        <f>K$2*IFERROR(INDEX(DesengrasanteAcido[],MATCH(Produccion[[#This Row],[PRODUCTO]],DesengrasanteAcido[M.P.],0),2),0)</f>
        <v>0</v>
      </c>
      <c r="L37" s="69">
        <f>L$2*IFERROR(INDEX(DesengrasanteEspumoso[],MATCH(Produccion[[#This Row],[PRODUCTO]],DesengrasanteEspumoso[M.P.],0),2),0)</f>
        <v>0</v>
      </c>
      <c r="M37" s="69">
        <f>M$2*IFERROR(INDEX(DesmanchadorRopaColor[],MATCH(Produccion[[#This Row],[PRODUCTO]],DesmanchadorRopaColor[M.P.],0),2),0)</f>
        <v>0.2</v>
      </c>
      <c r="N37" s="69">
        <f>N$2*IFERROR(INDEX(DetLavadora[],MATCH(Produccion[[#This Row],[PRODUCTO]],DetLavadora[M.P.],0),2),0)</f>
        <v>0</v>
      </c>
      <c r="O37" s="69">
        <f>O$2*IFERROR(INDEX(DetMultiusos[],MATCH(Produccion[[#This Row],[PRODUCTO]],DetMultiusos[M.P.],0),2),0)</f>
        <v>0</v>
      </c>
      <c r="P37" s="69">
        <f>P$2*IFERROR(INDEX(TipoRey[],MATCH(Produccion[[#This Row],[PRODUCTO]],TipoRey[M.P.],0),2),0)</f>
        <v>0</v>
      </c>
      <c r="Q37" s="69">
        <f>Q$2*IFERROR(INDEX(GelAntibacterial[],MATCH(Produccion[[#This Row],[PRODUCTO]],GelAntibacterial[M.P.],0),2),0)</f>
        <v>0</v>
      </c>
      <c r="R37" s="69">
        <f>R$2*IFERROR(INDEX(JabonManos[],MATCH(Produccion[[#This Row],[PRODUCTO]],JabonManos[M.P.],0),2),0)</f>
        <v>0</v>
      </c>
      <c r="S37" s="69">
        <f>S$2*IFERROR(INDEX(JabonLavaLoza[],MATCH(Produccion[[#This Row],[PRODUCTO]],JabonLavaLoza[M.P.],0),2),0)</f>
        <v>0</v>
      </c>
      <c r="T37" s="69">
        <f>T$2*IFERROR(INDEX(LimpiadorDeSuperficies[],MATCH(Produccion[[#This Row],[PRODUCTO]],LimpiadorDeSuperficies[M.P.],0),2),0)</f>
        <v>0</v>
      </c>
      <c r="U37" s="69">
        <f>U$2*IFERROR(INDEX(LimpiadorHornos[],MATCH(Produccion[[#This Row],[PRODUCTO]],LimpiadorHornos[M.P.],0),2),0)</f>
        <v>0</v>
      </c>
      <c r="V37" s="69">
        <f>V$2*IFERROR(INDEX(Limpiavidrios[],MATCH(Produccion[[#This Row],[PRODUCTO]],Limpiavidrios[M.P.],0),2),0)</f>
        <v>0</v>
      </c>
      <c r="W37" s="69">
        <f>W$2*IFERROR(INDEX(RemovedorDeCeras[],MATCH(Produccion[[#This Row],[PRODUCTO]],RemovedorDeCeras[M.P.],0),2),0)</f>
        <v>0</v>
      </c>
      <c r="X37" s="69">
        <f>X$2*IFERROR(INDEX(ShampooAlfombras[],MATCH(Produccion[[#This Row],[PRODUCTO]],ShampooAlfombras[M.P.],0),2),0)</f>
        <v>0</v>
      </c>
      <c r="Y37" s="69">
        <f>Y$2*IFERROR(INDEX(ShampooAuto[],MATCH(Produccion[[#This Row],[PRODUCTO]],ShampooAuto[M.P.],0),2),0)</f>
        <v>0</v>
      </c>
      <c r="Z37" s="69">
        <f>Z$2*IFERROR(INDEX(SiliconaAltoBrillo[],MATCH(Produccion[[#This Row],[PRODUCTO]],SiliconaAltoBrillo[M.P.],0),2),0)</f>
        <v>0</v>
      </c>
      <c r="AA37" s="69">
        <f>AA$2*IFERROR(INDEX(Suavizante[],MATCH(Produccion[[#This Row],[PRODUCTO]],Suavizante[M.P.],0),2),0)</f>
        <v>0</v>
      </c>
      <c r="AB37" s="70">
        <f>AB$2*IFERROR(INDEX(Vinagre[],MATCH(Produccion[[#This Row],[PRODUCTO]],Vinagre[M.P.],0),2),0)</f>
        <v>0</v>
      </c>
    </row>
    <row r="38" spans="1:28" hidden="1">
      <c r="A38" s="18" t="s">
        <v>779</v>
      </c>
      <c r="B38" s="31">
        <f t="shared" si="0"/>
        <v>3.0000000000000001E-3</v>
      </c>
      <c r="C38" s="69">
        <f>$C$2*IFERROR(INDEX(AlcoholIndustrial[],MATCH(Produccion[[#This Row],[PRODUCTO]],AlcoholIndustrial[M.P.],0),2),0)</f>
        <v>0</v>
      </c>
      <c r="D38" s="69">
        <f>$D$2*IFERROR(INDEX(AmbientadorPiso[],MATCH(Produccion[[#This Row],[PRODUCTO]],AmbientadorPiso[M.P.],0),2),0)</f>
        <v>0</v>
      </c>
      <c r="E38" s="69">
        <f>$E$2*IFERROR(INDEX(AmbientadorSpray[],MATCH(Produccion[[#This Row],[PRODUCTO]],AmbientadorSpray[M.P.],0),2),0)</f>
        <v>0</v>
      </c>
      <c r="F38" s="69">
        <f>$F$2*IFERROR(INDEX(Biovarsol[],MATCH(Produccion[[#This Row],[PRODUCTO]],Biovarsol[M.P.],0),2),0)</f>
        <v>0</v>
      </c>
      <c r="G38" s="69">
        <f>G$2*IFERROR(INDEX(BlanqueadorDesinfectante[],MATCH(Produccion[[#This Row],[PRODUCTO]],BlanqueadorDesinfectante[M.P.],0),2),0)</f>
        <v>0</v>
      </c>
      <c r="H38" s="69">
        <f>H$2*IFERROR(INDEX(CeraAutobrillante[],MATCH(Produccion[[#This Row],[PRODUCTO]],CeraAutobrillante[M.P.],0),2),0)</f>
        <v>0</v>
      </c>
      <c r="I38" s="69">
        <f>I$2*IFERROR(INDEX(Creolina[],MATCH(Produccion[[#This Row],[PRODUCTO]],Creolina[M.P.],0),2),0)</f>
        <v>0</v>
      </c>
      <c r="J38" s="69">
        <f>J$2*IFERROR(INDEX(Desencrustante[],MATCH(Produccion[[#This Row],[PRODUCTO]],Desencrustante[M.P.],0),2),0)</f>
        <v>0</v>
      </c>
      <c r="K38" s="69">
        <f>K$2*IFERROR(INDEX(DesengrasanteAcido[],MATCH(Produccion[[#This Row],[PRODUCTO]],DesengrasanteAcido[M.P.],0),2),0)</f>
        <v>0</v>
      </c>
      <c r="L38" s="69">
        <f>L$2*IFERROR(INDEX(DesengrasanteEspumoso[],MATCH(Produccion[[#This Row],[PRODUCTO]],DesengrasanteEspumoso[M.P.],0),2),0)</f>
        <v>0</v>
      </c>
      <c r="M38" s="69">
        <f>M$2*IFERROR(INDEX(DesmanchadorRopaColor[],MATCH(Produccion[[#This Row],[PRODUCTO]],DesmanchadorRopaColor[M.P.],0),2),0)</f>
        <v>3.0000000000000001E-3</v>
      </c>
      <c r="N38" s="69">
        <f>N$2*IFERROR(INDEX(DetLavadora[],MATCH(Produccion[[#This Row],[PRODUCTO]],DetLavadora[M.P.],0),2),0)</f>
        <v>0</v>
      </c>
      <c r="O38" s="69">
        <f>O$2*IFERROR(INDEX(DetMultiusos[],MATCH(Produccion[[#This Row],[PRODUCTO]],DetMultiusos[M.P.],0),2),0)</f>
        <v>0</v>
      </c>
      <c r="P38" s="69">
        <f>P$2*IFERROR(INDEX(TipoRey[],MATCH(Produccion[[#This Row],[PRODUCTO]],TipoRey[M.P.],0),2),0)</f>
        <v>0</v>
      </c>
      <c r="Q38" s="69">
        <f>Q$2*IFERROR(INDEX(GelAntibacterial[],MATCH(Produccion[[#This Row],[PRODUCTO]],GelAntibacterial[M.P.],0),2),0)</f>
        <v>0</v>
      </c>
      <c r="R38" s="69">
        <f>R$2*IFERROR(INDEX(JabonManos[],MATCH(Produccion[[#This Row],[PRODUCTO]],JabonManos[M.P.],0),2),0)</f>
        <v>0</v>
      </c>
      <c r="S38" s="69">
        <f>S$2*IFERROR(INDEX(JabonLavaLoza[],MATCH(Produccion[[#This Row],[PRODUCTO]],JabonLavaLoza[M.P.],0),2),0)</f>
        <v>0</v>
      </c>
      <c r="T38" s="69">
        <f>T$2*IFERROR(INDEX(LimpiadorDeSuperficies[],MATCH(Produccion[[#This Row],[PRODUCTO]],LimpiadorDeSuperficies[M.P.],0),2),0)</f>
        <v>0</v>
      </c>
      <c r="U38" s="69">
        <f>U$2*IFERROR(INDEX(LimpiadorHornos[],MATCH(Produccion[[#This Row],[PRODUCTO]],LimpiadorHornos[M.P.],0),2),0)</f>
        <v>0</v>
      </c>
      <c r="V38" s="69">
        <f>V$2*IFERROR(INDEX(Limpiavidrios[],MATCH(Produccion[[#This Row],[PRODUCTO]],Limpiavidrios[M.P.],0),2),0)</f>
        <v>0</v>
      </c>
      <c r="W38" s="69">
        <f>W$2*IFERROR(INDEX(RemovedorDeCeras[],MATCH(Produccion[[#This Row],[PRODUCTO]],RemovedorDeCeras[M.P.],0),2),0)</f>
        <v>0</v>
      </c>
      <c r="X38" s="69">
        <f>X$2*IFERROR(INDEX(ShampooAlfombras[],MATCH(Produccion[[#This Row],[PRODUCTO]],ShampooAlfombras[M.P.],0),2),0)</f>
        <v>0</v>
      </c>
      <c r="Y38" s="69">
        <f>Y$2*IFERROR(INDEX(ShampooAuto[],MATCH(Produccion[[#This Row],[PRODUCTO]],ShampooAuto[M.P.],0),2),0)</f>
        <v>0</v>
      </c>
      <c r="Z38" s="69">
        <f>Z$2*IFERROR(INDEX(SiliconaAltoBrillo[],MATCH(Produccion[[#This Row],[PRODUCTO]],SiliconaAltoBrillo[M.P.],0),2),0)</f>
        <v>0</v>
      </c>
      <c r="AA38" s="69">
        <f>AA$2*IFERROR(INDEX(Suavizante[],MATCH(Produccion[[#This Row],[PRODUCTO]],Suavizante[M.P.],0),2),0)</f>
        <v>0</v>
      </c>
      <c r="AB38" s="70">
        <f>AB$2*IFERROR(INDEX(Vinagre[],MATCH(Produccion[[#This Row],[PRODUCTO]],Vinagre[M.P.],0),2),0)</f>
        <v>0</v>
      </c>
    </row>
    <row r="39" spans="1:28" hidden="1">
      <c r="A39" s="18" t="s">
        <v>780</v>
      </c>
      <c r="B39" s="31">
        <f t="shared" si="0"/>
        <v>2E-3</v>
      </c>
      <c r="C39" s="69">
        <f>$C$2*IFERROR(INDEX(AlcoholIndustrial[],MATCH(Produccion[[#This Row],[PRODUCTO]],AlcoholIndustrial[M.P.],0),2),0)</f>
        <v>0</v>
      </c>
      <c r="D39" s="69">
        <f>$D$2*IFERROR(INDEX(AmbientadorPiso[],MATCH(Produccion[[#This Row],[PRODUCTO]],AmbientadorPiso[M.P.],0),2),0)</f>
        <v>0</v>
      </c>
      <c r="E39" s="69">
        <f>$E$2*IFERROR(INDEX(AmbientadorSpray[],MATCH(Produccion[[#This Row],[PRODUCTO]],AmbientadorSpray[M.P.],0),2),0)</f>
        <v>0</v>
      </c>
      <c r="F39" s="69">
        <f>$F$2*IFERROR(INDEX(Biovarsol[],MATCH(Produccion[[#This Row],[PRODUCTO]],Biovarsol[M.P.],0),2),0)</f>
        <v>0</v>
      </c>
      <c r="G39" s="69">
        <f>G$2*IFERROR(INDEX(BlanqueadorDesinfectante[],MATCH(Produccion[[#This Row],[PRODUCTO]],BlanqueadorDesinfectante[M.P.],0),2),0)</f>
        <v>0</v>
      </c>
      <c r="H39" s="69">
        <f>H$2*IFERROR(INDEX(CeraAutobrillante[],MATCH(Produccion[[#This Row],[PRODUCTO]],CeraAutobrillante[M.P.],0),2),0)</f>
        <v>0</v>
      </c>
      <c r="I39" s="69">
        <f>I$2*IFERROR(INDEX(Creolina[],MATCH(Produccion[[#This Row],[PRODUCTO]],Creolina[M.P.],0),2),0)</f>
        <v>0</v>
      </c>
      <c r="J39" s="69">
        <f>J$2*IFERROR(INDEX(Desencrustante[],MATCH(Produccion[[#This Row],[PRODUCTO]],Desencrustante[M.P.],0),2),0)</f>
        <v>0</v>
      </c>
      <c r="K39" s="69">
        <f>K$2*IFERROR(INDEX(DesengrasanteAcido[],MATCH(Produccion[[#This Row],[PRODUCTO]],DesengrasanteAcido[M.P.],0),2),0)</f>
        <v>0</v>
      </c>
      <c r="L39" s="69">
        <f>L$2*IFERROR(INDEX(DesengrasanteEspumoso[],MATCH(Produccion[[#This Row],[PRODUCTO]],DesengrasanteEspumoso[M.P.],0),2),0)</f>
        <v>0</v>
      </c>
      <c r="M39" s="69">
        <f>M$2*IFERROR(INDEX(DesmanchadorRopaColor[],MATCH(Produccion[[#This Row],[PRODUCTO]],DesmanchadorRopaColor[M.P.],0),2),0)</f>
        <v>2E-3</v>
      </c>
      <c r="N39" s="69">
        <f>N$2*IFERROR(INDEX(DetLavadora[],MATCH(Produccion[[#This Row],[PRODUCTO]],DetLavadora[M.P.],0),2),0)</f>
        <v>0</v>
      </c>
      <c r="O39" s="69">
        <f>O$2*IFERROR(INDEX(DetMultiusos[],MATCH(Produccion[[#This Row],[PRODUCTO]],DetMultiusos[M.P.],0),2),0)</f>
        <v>0</v>
      </c>
      <c r="P39" s="69">
        <f>P$2*IFERROR(INDEX(TipoRey[],MATCH(Produccion[[#This Row],[PRODUCTO]],TipoRey[M.P.],0),2),0)</f>
        <v>0</v>
      </c>
      <c r="Q39" s="69">
        <f>Q$2*IFERROR(INDEX(GelAntibacterial[],MATCH(Produccion[[#This Row],[PRODUCTO]],GelAntibacterial[M.P.],0),2),0)</f>
        <v>0</v>
      </c>
      <c r="R39" s="69">
        <f>R$2*IFERROR(INDEX(JabonManos[],MATCH(Produccion[[#This Row],[PRODUCTO]],JabonManos[M.P.],0),2),0)</f>
        <v>0</v>
      </c>
      <c r="S39" s="69">
        <f>S$2*IFERROR(INDEX(JabonLavaLoza[],MATCH(Produccion[[#This Row],[PRODUCTO]],JabonLavaLoza[M.P.],0),2),0)</f>
        <v>0</v>
      </c>
      <c r="T39" s="69">
        <f>T$2*IFERROR(INDEX(LimpiadorDeSuperficies[],MATCH(Produccion[[#This Row],[PRODUCTO]],LimpiadorDeSuperficies[M.P.],0),2),0)</f>
        <v>0</v>
      </c>
      <c r="U39" s="69">
        <f>U$2*IFERROR(INDEX(LimpiadorHornos[],MATCH(Produccion[[#This Row],[PRODUCTO]],LimpiadorHornos[M.P.],0),2),0)</f>
        <v>0</v>
      </c>
      <c r="V39" s="69">
        <f>V$2*IFERROR(INDEX(Limpiavidrios[],MATCH(Produccion[[#This Row],[PRODUCTO]],Limpiavidrios[M.P.],0),2),0)</f>
        <v>0</v>
      </c>
      <c r="W39" s="69">
        <f>W$2*IFERROR(INDEX(RemovedorDeCeras[],MATCH(Produccion[[#This Row],[PRODUCTO]],RemovedorDeCeras[M.P.],0),2),0)</f>
        <v>0</v>
      </c>
      <c r="X39" s="69">
        <f>X$2*IFERROR(INDEX(ShampooAlfombras[],MATCH(Produccion[[#This Row],[PRODUCTO]],ShampooAlfombras[M.P.],0),2),0)</f>
        <v>0</v>
      </c>
      <c r="Y39" s="69">
        <f>Y$2*IFERROR(INDEX(ShampooAuto[],MATCH(Produccion[[#This Row],[PRODUCTO]],ShampooAuto[M.P.],0),2),0)</f>
        <v>0</v>
      </c>
      <c r="Z39" s="69">
        <f>Z$2*IFERROR(INDEX(SiliconaAltoBrillo[],MATCH(Produccion[[#This Row],[PRODUCTO]],SiliconaAltoBrillo[M.P.],0),2),0)</f>
        <v>0</v>
      </c>
      <c r="AA39" s="69">
        <f>AA$2*IFERROR(INDEX(Suavizante[],MATCH(Produccion[[#This Row],[PRODUCTO]],Suavizante[M.P.],0),2),0)</f>
        <v>0</v>
      </c>
      <c r="AB39" s="70">
        <f>AB$2*IFERROR(INDEX(Vinagre[],MATCH(Produccion[[#This Row],[PRODUCTO]],Vinagre[M.P.],0),2),0)</f>
        <v>0</v>
      </c>
    </row>
    <row r="40" spans="1:28" hidden="1">
      <c r="A40" s="18" t="s">
        <v>781</v>
      </c>
      <c r="B40" s="31">
        <f t="shared" si="0"/>
        <v>0.1</v>
      </c>
      <c r="C40" s="69">
        <f>$C$2*IFERROR(INDEX(AlcoholIndustrial[],MATCH(Produccion[[#This Row],[PRODUCTO]],AlcoholIndustrial[M.P.],0),2),0)</f>
        <v>0</v>
      </c>
      <c r="D40" s="69">
        <f>$D$2*IFERROR(INDEX(AmbientadorPiso[],MATCH(Produccion[[#This Row],[PRODUCTO]],AmbientadorPiso[M.P.],0),2),0)</f>
        <v>0</v>
      </c>
      <c r="E40" s="69">
        <f>$E$2*IFERROR(INDEX(AmbientadorSpray[],MATCH(Produccion[[#This Row],[PRODUCTO]],AmbientadorSpray[M.P.],0),2),0)</f>
        <v>0</v>
      </c>
      <c r="F40" s="69">
        <f>$F$2*IFERROR(INDEX(Biovarsol[],MATCH(Produccion[[#This Row],[PRODUCTO]],Biovarsol[M.P.],0),2),0)</f>
        <v>0</v>
      </c>
      <c r="G40" s="69">
        <f>G$2*IFERROR(INDEX(BlanqueadorDesinfectante[],MATCH(Produccion[[#This Row],[PRODUCTO]],BlanqueadorDesinfectante[M.P.],0),2),0)</f>
        <v>0</v>
      </c>
      <c r="H40" s="69">
        <f>H$2*IFERROR(INDEX(CeraAutobrillante[],MATCH(Produccion[[#This Row],[PRODUCTO]],CeraAutobrillante[M.P.],0),2),0)</f>
        <v>0</v>
      </c>
      <c r="I40" s="69">
        <f>I$2*IFERROR(INDEX(Creolina[],MATCH(Produccion[[#This Row],[PRODUCTO]],Creolina[M.P.],0),2),0)</f>
        <v>0</v>
      </c>
      <c r="J40" s="69">
        <f>J$2*IFERROR(INDEX(Desencrustante[],MATCH(Produccion[[#This Row],[PRODUCTO]],Desencrustante[M.P.],0),2),0)</f>
        <v>0</v>
      </c>
      <c r="K40" s="69">
        <f>K$2*IFERROR(INDEX(DesengrasanteAcido[],MATCH(Produccion[[#This Row],[PRODUCTO]],DesengrasanteAcido[M.P.],0),2),0)</f>
        <v>0</v>
      </c>
      <c r="L40" s="69">
        <f>L$2*IFERROR(INDEX(DesengrasanteEspumoso[],MATCH(Produccion[[#This Row],[PRODUCTO]],DesengrasanteEspumoso[M.P.],0),2),0)</f>
        <v>0</v>
      </c>
      <c r="M40" s="69">
        <f>M$2*IFERROR(INDEX(DesmanchadorRopaColor[],MATCH(Produccion[[#This Row],[PRODUCTO]],DesmanchadorRopaColor[M.P.],0),2),0)</f>
        <v>0</v>
      </c>
      <c r="N40" s="69">
        <f>N$2*IFERROR(INDEX(DetLavadora[],MATCH(Produccion[[#This Row],[PRODUCTO]],DetLavadora[M.P.],0),2),0)</f>
        <v>0</v>
      </c>
      <c r="O40" s="69">
        <f>O$2*IFERROR(INDEX(DetMultiusos[],MATCH(Produccion[[#This Row],[PRODUCTO]],DetMultiusos[M.P.],0),2),0)</f>
        <v>0</v>
      </c>
      <c r="P40" s="69">
        <f>P$2*IFERROR(INDEX(TipoRey[],MATCH(Produccion[[#This Row],[PRODUCTO]],TipoRey[M.P.],0),2),0)</f>
        <v>0</v>
      </c>
      <c r="Q40" s="69">
        <f>Q$2*IFERROR(INDEX(GelAntibacterial[],MATCH(Produccion[[#This Row],[PRODUCTO]],GelAntibacterial[M.P.],0),2),0)</f>
        <v>0</v>
      </c>
      <c r="R40" s="69">
        <f>R$2*IFERROR(INDEX(JabonManos[],MATCH(Produccion[[#This Row],[PRODUCTO]],JabonManos[M.P.],0),2),0)</f>
        <v>0</v>
      </c>
      <c r="S40" s="69">
        <f>S$2*IFERROR(INDEX(JabonLavaLoza[],MATCH(Produccion[[#This Row],[PRODUCTO]],JabonLavaLoza[M.P.],0),2),0)</f>
        <v>0</v>
      </c>
      <c r="T40" s="69">
        <f>T$2*IFERROR(INDEX(LimpiadorDeSuperficies[],MATCH(Produccion[[#This Row],[PRODUCTO]],LimpiadorDeSuperficies[M.P.],0),2),0)</f>
        <v>0.1</v>
      </c>
      <c r="U40" s="69">
        <f>U$2*IFERROR(INDEX(LimpiadorHornos[],MATCH(Produccion[[#This Row],[PRODUCTO]],LimpiadorHornos[M.P.],0),2),0)</f>
        <v>0</v>
      </c>
      <c r="V40" s="69">
        <f>V$2*IFERROR(INDEX(Limpiavidrios[],MATCH(Produccion[[#This Row],[PRODUCTO]],Limpiavidrios[M.P.],0),2),0)</f>
        <v>0</v>
      </c>
      <c r="W40" s="69">
        <f>W$2*IFERROR(INDEX(RemovedorDeCeras[],MATCH(Produccion[[#This Row],[PRODUCTO]],RemovedorDeCeras[M.P.],0),2),0)</f>
        <v>0</v>
      </c>
      <c r="X40" s="69">
        <f>X$2*IFERROR(INDEX(ShampooAlfombras[],MATCH(Produccion[[#This Row],[PRODUCTO]],ShampooAlfombras[M.P.],0),2),0)</f>
        <v>0</v>
      </c>
      <c r="Y40" s="69">
        <f>Y$2*IFERROR(INDEX(ShampooAuto[],MATCH(Produccion[[#This Row],[PRODUCTO]],ShampooAuto[M.P.],0),2),0)</f>
        <v>0</v>
      </c>
      <c r="Z40" s="69">
        <f>Z$2*IFERROR(INDEX(SiliconaAltoBrillo[],MATCH(Produccion[[#This Row],[PRODUCTO]],SiliconaAltoBrillo[M.P.],0),2),0)</f>
        <v>0</v>
      </c>
      <c r="AA40" s="69">
        <f>AA$2*IFERROR(INDEX(Suavizante[],MATCH(Produccion[[#This Row],[PRODUCTO]],Suavizante[M.P.],0),2),0)</f>
        <v>0</v>
      </c>
      <c r="AB40" s="70">
        <f>AB$2*IFERROR(INDEX(Vinagre[],MATCH(Produccion[[#This Row],[PRODUCTO]],Vinagre[M.P.],0),2),0)</f>
        <v>0</v>
      </c>
    </row>
    <row r="41" spans="1:28" hidden="1">
      <c r="A41" s="18" t="s">
        <v>782</v>
      </c>
      <c r="B41" s="31">
        <f t="shared" si="0"/>
        <v>0.1</v>
      </c>
      <c r="C41" s="69">
        <f>$C$2*IFERROR(INDEX(AlcoholIndustrial[],MATCH(Produccion[[#This Row],[PRODUCTO]],AlcoholIndustrial[M.P.],0),2),0)</f>
        <v>0</v>
      </c>
      <c r="D41" s="69">
        <f>$D$2*IFERROR(INDEX(AmbientadorPiso[],MATCH(Produccion[[#This Row],[PRODUCTO]],AmbientadorPiso[M.P.],0),2),0)</f>
        <v>0</v>
      </c>
      <c r="E41" s="69">
        <f>$E$2*IFERROR(INDEX(AmbientadorSpray[],MATCH(Produccion[[#This Row],[PRODUCTO]],AmbientadorSpray[M.P.],0),2),0)</f>
        <v>0</v>
      </c>
      <c r="F41" s="69">
        <f>$F$2*IFERROR(INDEX(Biovarsol[],MATCH(Produccion[[#This Row],[PRODUCTO]],Biovarsol[M.P.],0),2),0)</f>
        <v>0</v>
      </c>
      <c r="G41" s="69">
        <f>G$2*IFERROR(INDEX(BlanqueadorDesinfectante[],MATCH(Produccion[[#This Row],[PRODUCTO]],BlanqueadorDesinfectante[M.P.],0),2),0)</f>
        <v>0</v>
      </c>
      <c r="H41" s="69">
        <f>H$2*IFERROR(INDEX(CeraAutobrillante[],MATCH(Produccion[[#This Row],[PRODUCTO]],CeraAutobrillante[M.P.],0),2),0)</f>
        <v>0</v>
      </c>
      <c r="I41" s="69">
        <f>I$2*IFERROR(INDEX(Creolina[],MATCH(Produccion[[#This Row],[PRODUCTO]],Creolina[M.P.],0),2),0)</f>
        <v>0</v>
      </c>
      <c r="J41" s="69">
        <f>J$2*IFERROR(INDEX(Desencrustante[],MATCH(Produccion[[#This Row],[PRODUCTO]],Desencrustante[M.P.],0),2),0)</f>
        <v>0</v>
      </c>
      <c r="K41" s="69">
        <f>K$2*IFERROR(INDEX(DesengrasanteAcido[],MATCH(Produccion[[#This Row],[PRODUCTO]],DesengrasanteAcido[M.P.],0),2),0)</f>
        <v>0.1</v>
      </c>
      <c r="L41" s="69">
        <f>L$2*IFERROR(INDEX(DesengrasanteEspumoso[],MATCH(Produccion[[#This Row],[PRODUCTO]],DesengrasanteEspumoso[M.P.],0),2),0)</f>
        <v>0</v>
      </c>
      <c r="M41" s="69">
        <f>M$2*IFERROR(INDEX(DesmanchadorRopaColor[],MATCH(Produccion[[#This Row],[PRODUCTO]],DesmanchadorRopaColor[M.P.],0),2),0)</f>
        <v>0</v>
      </c>
      <c r="N41" s="69">
        <f>N$2*IFERROR(INDEX(DetLavadora[],MATCH(Produccion[[#This Row],[PRODUCTO]],DetLavadora[M.P.],0),2),0)</f>
        <v>0</v>
      </c>
      <c r="O41" s="69">
        <f>O$2*IFERROR(INDEX(DetMultiusos[],MATCH(Produccion[[#This Row],[PRODUCTO]],DetMultiusos[M.P.],0),2),0)</f>
        <v>0</v>
      </c>
      <c r="P41" s="69">
        <f>P$2*IFERROR(INDEX(TipoRey[],MATCH(Produccion[[#This Row],[PRODUCTO]],TipoRey[M.P.],0),2),0)</f>
        <v>0</v>
      </c>
      <c r="Q41" s="69">
        <f>Q$2*IFERROR(INDEX(GelAntibacterial[],MATCH(Produccion[[#This Row],[PRODUCTO]],GelAntibacterial[M.P.],0),2),0)</f>
        <v>0</v>
      </c>
      <c r="R41" s="69">
        <f>R$2*IFERROR(INDEX(JabonManos[],MATCH(Produccion[[#This Row],[PRODUCTO]],JabonManos[M.P.],0),2),0)</f>
        <v>0</v>
      </c>
      <c r="S41" s="69">
        <f>S$2*IFERROR(INDEX(JabonLavaLoza[],MATCH(Produccion[[#This Row],[PRODUCTO]],JabonLavaLoza[M.P.],0),2),0)</f>
        <v>0</v>
      </c>
      <c r="T41" s="69">
        <f>T$2*IFERROR(INDEX(LimpiadorDeSuperficies[],MATCH(Produccion[[#This Row],[PRODUCTO]],LimpiadorDeSuperficies[M.P.],0),2),0)</f>
        <v>0</v>
      </c>
      <c r="U41" s="69">
        <f>U$2*IFERROR(INDEX(LimpiadorHornos[],MATCH(Produccion[[#This Row],[PRODUCTO]],LimpiadorHornos[M.P.],0),2),0)</f>
        <v>0</v>
      </c>
      <c r="V41" s="69">
        <f>V$2*IFERROR(INDEX(Limpiavidrios[],MATCH(Produccion[[#This Row],[PRODUCTO]],Limpiavidrios[M.P.],0),2),0)</f>
        <v>0</v>
      </c>
      <c r="W41" s="69">
        <f>W$2*IFERROR(INDEX(RemovedorDeCeras[],MATCH(Produccion[[#This Row],[PRODUCTO]],RemovedorDeCeras[M.P.],0),2),0)</f>
        <v>0</v>
      </c>
      <c r="X41" s="69">
        <f>X$2*IFERROR(INDEX(ShampooAlfombras[],MATCH(Produccion[[#This Row],[PRODUCTO]],ShampooAlfombras[M.P.],0),2),0)</f>
        <v>0</v>
      </c>
      <c r="Y41" s="69">
        <f>Y$2*IFERROR(INDEX(ShampooAuto[],MATCH(Produccion[[#This Row],[PRODUCTO]],ShampooAuto[M.P.],0),2),0)</f>
        <v>0</v>
      </c>
      <c r="Z41" s="69">
        <f>Z$2*IFERROR(INDEX(SiliconaAltoBrillo[],MATCH(Produccion[[#This Row],[PRODUCTO]],SiliconaAltoBrillo[M.P.],0),2),0)</f>
        <v>0</v>
      </c>
      <c r="AA41" s="69">
        <f>AA$2*IFERROR(INDEX(Suavizante[],MATCH(Produccion[[#This Row],[PRODUCTO]],Suavizante[M.P.],0),2),0)</f>
        <v>0</v>
      </c>
      <c r="AB41" s="70">
        <f>AB$2*IFERROR(INDEX(Vinagre[],MATCH(Produccion[[#This Row],[PRODUCTO]],Vinagre[M.P.],0),2),0)</f>
        <v>0</v>
      </c>
    </row>
    <row r="42" spans="1:28" hidden="1">
      <c r="A42" s="21" t="s">
        <v>783</v>
      </c>
      <c r="B42" s="43">
        <f t="shared" si="0"/>
        <v>0.1</v>
      </c>
      <c r="C42" s="74">
        <f>$C$2*IFERROR(INDEX(AlcoholIndustrial[],MATCH(Produccion[[#This Row],[PRODUCTO]],AlcoholIndustrial[M.P.],0),2),0)</f>
        <v>0</v>
      </c>
      <c r="D42" s="74">
        <f>$D$2*IFERROR(INDEX(AmbientadorPiso[],MATCH(Produccion[[#This Row],[PRODUCTO]],AmbientadorPiso[M.P.],0),2),0)</f>
        <v>0</v>
      </c>
      <c r="E42" s="74">
        <f>$E$2*IFERROR(INDEX(AmbientadorSpray[],MATCH(Produccion[[#This Row],[PRODUCTO]],AmbientadorSpray[M.P.],0),2),0)</f>
        <v>0</v>
      </c>
      <c r="F42" s="74">
        <f>$F$2*IFERROR(INDEX(Biovarsol[],MATCH(Produccion[[#This Row],[PRODUCTO]],Biovarsol[M.P.],0),2),0)</f>
        <v>0</v>
      </c>
      <c r="G42" s="74">
        <f>G$2*IFERROR(INDEX(BlanqueadorDesinfectante[],MATCH(Produccion[[#This Row],[PRODUCTO]],BlanqueadorDesinfectante[M.P.],0),2),0)</f>
        <v>0</v>
      </c>
      <c r="H42" s="74">
        <f>H$2*IFERROR(INDEX(CeraAutobrillante[],MATCH(Produccion[[#This Row],[PRODUCTO]],CeraAutobrillante[M.P.],0),2),0)</f>
        <v>0</v>
      </c>
      <c r="I42" s="74">
        <f>I$2*IFERROR(INDEX(Creolina[],MATCH(Produccion[[#This Row],[PRODUCTO]],Creolina[M.P.],0),2),0)</f>
        <v>0</v>
      </c>
      <c r="J42" s="74">
        <f>J$2*IFERROR(INDEX(Desencrustante[],MATCH(Produccion[[#This Row],[PRODUCTO]],Desencrustante[M.P.],0),2),0)</f>
        <v>0</v>
      </c>
      <c r="K42" s="74">
        <f>K$2*IFERROR(INDEX(DesengrasanteAcido[],MATCH(Produccion[[#This Row],[PRODUCTO]],DesengrasanteAcido[M.P.],0),2),0)</f>
        <v>0.1</v>
      </c>
      <c r="L42" s="74">
        <f>L$2*IFERROR(INDEX(DesengrasanteEspumoso[],MATCH(Produccion[[#This Row],[PRODUCTO]],DesengrasanteEspumoso[M.P.],0),2),0)</f>
        <v>0</v>
      </c>
      <c r="M42" s="74">
        <f>M$2*IFERROR(INDEX(DesmanchadorRopaColor[],MATCH(Produccion[[#This Row],[PRODUCTO]],DesmanchadorRopaColor[M.P.],0),2),0)</f>
        <v>0</v>
      </c>
      <c r="N42" s="74">
        <f>N$2*IFERROR(INDEX(DetLavadora[],MATCH(Produccion[[#This Row],[PRODUCTO]],DetLavadora[M.P.],0),2),0)</f>
        <v>0</v>
      </c>
      <c r="O42" s="74">
        <f>O$2*IFERROR(INDEX(DetMultiusos[],MATCH(Produccion[[#This Row],[PRODUCTO]],DetMultiusos[M.P.],0),2),0)</f>
        <v>0</v>
      </c>
      <c r="P42" s="74">
        <f>P$2*IFERROR(INDEX(TipoRey[],MATCH(Produccion[[#This Row],[PRODUCTO]],TipoRey[M.P.],0),2),0)</f>
        <v>0</v>
      </c>
      <c r="Q42" s="74">
        <f>Q$2*IFERROR(INDEX(GelAntibacterial[],MATCH(Produccion[[#This Row],[PRODUCTO]],GelAntibacterial[M.P.],0),2),0)</f>
        <v>0</v>
      </c>
      <c r="R42" s="74">
        <f>R$2*IFERROR(INDEX(JabonManos[],MATCH(Produccion[[#This Row],[PRODUCTO]],JabonManos[M.P.],0),2),0)</f>
        <v>0</v>
      </c>
      <c r="S42" s="74">
        <f>S$2*IFERROR(INDEX(JabonLavaLoza[],MATCH(Produccion[[#This Row],[PRODUCTO]],JabonLavaLoza[M.P.],0),2),0)</f>
        <v>0</v>
      </c>
      <c r="T42" s="74">
        <f>T$2*IFERROR(INDEX(LimpiadorDeSuperficies[],MATCH(Produccion[[#This Row],[PRODUCTO]],LimpiadorDeSuperficies[M.P.],0),2),0)</f>
        <v>0</v>
      </c>
      <c r="U42" s="74">
        <f>U$2*IFERROR(INDEX(LimpiadorHornos[],MATCH(Produccion[[#This Row],[PRODUCTO]],LimpiadorHornos[M.P.],0),2),0)</f>
        <v>0</v>
      </c>
      <c r="V42" s="74">
        <f>V$2*IFERROR(INDEX(Limpiavidrios[],MATCH(Produccion[[#This Row],[PRODUCTO]],Limpiavidrios[M.P.],0),2),0)</f>
        <v>0</v>
      </c>
      <c r="W42" s="74">
        <f>W$2*IFERROR(INDEX(RemovedorDeCeras[],MATCH(Produccion[[#This Row],[PRODUCTO]],RemovedorDeCeras[M.P.],0),2),0)</f>
        <v>0</v>
      </c>
      <c r="X42" s="74">
        <f>X$2*IFERROR(INDEX(ShampooAlfombras[],MATCH(Produccion[[#This Row],[PRODUCTO]],ShampooAlfombras[M.P.],0),2),0)</f>
        <v>0</v>
      </c>
      <c r="Y42" s="74">
        <f>Y$2*IFERROR(INDEX(ShampooAuto[],MATCH(Produccion[[#This Row],[PRODUCTO]],ShampooAuto[M.P.],0),2),0)</f>
        <v>0</v>
      </c>
      <c r="Z42" s="74">
        <f>Z$2*IFERROR(INDEX(SiliconaAltoBrillo[],MATCH(Produccion[[#This Row],[PRODUCTO]],SiliconaAltoBrillo[M.P.],0),2),0)</f>
        <v>0</v>
      </c>
      <c r="AA42" s="74">
        <f>AA$2*IFERROR(INDEX(Suavizante[],MATCH(Produccion[[#This Row],[PRODUCTO]],Suavizante[M.P.],0),2),0)</f>
        <v>0</v>
      </c>
      <c r="AB42" s="75">
        <f>AB$2*IFERROR(INDEX(Vinagre[],MATCH(Produccion[[#This Row],[PRODUCTO]],Vinagre[M.P.],0),2),0)</f>
        <v>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2"/>
  <sheetViews>
    <sheetView zoomScale="90" zoomScaleNormal="90" workbookViewId="0">
      <pane xSplit="1" ySplit="1" topLeftCell="H21" activePane="bottomRight" state="frozen"/>
      <selection pane="topRight" activeCell="J1" sqref="J1"/>
      <selection pane="bottomLeft" activeCell="A29" sqref="A29"/>
      <selection pane="bottomRight" activeCell="K42" sqref="K42"/>
    </sheetView>
  </sheetViews>
  <sheetFormatPr baseColWidth="10" defaultColWidth="8.7109375" defaultRowHeight="15"/>
  <cols>
    <col min="1" max="1" width="30.7109375" customWidth="1"/>
    <col min="2" max="2" width="14.140625" customWidth="1"/>
    <col min="3" max="28" width="30.7109375" customWidth="1"/>
  </cols>
  <sheetData>
    <row r="1" spans="1:28" ht="28.5">
      <c r="A1" s="76" t="s">
        <v>136</v>
      </c>
      <c r="B1" s="76" t="s">
        <v>784</v>
      </c>
      <c r="C1" s="77" t="s">
        <v>717</v>
      </c>
      <c r="D1" s="77" t="s">
        <v>718</v>
      </c>
      <c r="E1" s="77" t="s">
        <v>719</v>
      </c>
      <c r="F1" s="77" t="s">
        <v>720</v>
      </c>
      <c r="G1" s="77" t="s">
        <v>721</v>
      </c>
      <c r="H1" s="77" t="s">
        <v>722</v>
      </c>
      <c r="I1" s="123" t="s">
        <v>46</v>
      </c>
      <c r="J1" s="77" t="s">
        <v>723</v>
      </c>
      <c r="K1" s="77" t="s">
        <v>724</v>
      </c>
      <c r="L1" s="77" t="s">
        <v>725</v>
      </c>
      <c r="M1" s="77" t="s">
        <v>726</v>
      </c>
      <c r="N1" s="77" t="s">
        <v>727</v>
      </c>
      <c r="O1" s="77" t="s">
        <v>728</v>
      </c>
      <c r="P1" s="77" t="s">
        <v>729</v>
      </c>
      <c r="Q1" s="77" t="s">
        <v>730</v>
      </c>
      <c r="R1" s="77" t="s">
        <v>731</v>
      </c>
      <c r="S1" s="77" t="s">
        <v>732</v>
      </c>
      <c r="T1" s="77" t="s">
        <v>733</v>
      </c>
      <c r="U1" s="77" t="s">
        <v>734</v>
      </c>
      <c r="V1" s="77" t="s">
        <v>735</v>
      </c>
      <c r="W1" s="77" t="s">
        <v>736</v>
      </c>
      <c r="X1" s="77" t="s">
        <v>737</v>
      </c>
      <c r="Y1" s="77" t="s">
        <v>738</v>
      </c>
      <c r="Z1" s="77" t="s">
        <v>739</v>
      </c>
      <c r="AA1" s="77" t="s">
        <v>740</v>
      </c>
      <c r="AB1" s="77" t="s">
        <v>741</v>
      </c>
    </row>
    <row r="2" spans="1:28">
      <c r="A2" s="76" t="s">
        <v>785</v>
      </c>
      <c r="B2" s="76"/>
      <c r="C2" s="76">
        <v>1</v>
      </c>
      <c r="D2" s="76">
        <v>1</v>
      </c>
      <c r="E2" s="76">
        <v>1</v>
      </c>
      <c r="F2" s="76">
        <v>1</v>
      </c>
      <c r="G2" s="76">
        <v>1</v>
      </c>
      <c r="H2" s="76">
        <v>1</v>
      </c>
      <c r="I2" s="76">
        <v>1</v>
      </c>
      <c r="J2" s="76">
        <v>1</v>
      </c>
      <c r="K2" s="76">
        <v>1</v>
      </c>
      <c r="L2" s="76">
        <v>1</v>
      </c>
      <c r="M2" s="76">
        <v>1</v>
      </c>
      <c r="N2" s="76">
        <v>1</v>
      </c>
      <c r="O2" s="76">
        <v>1</v>
      </c>
      <c r="P2" s="76">
        <v>1</v>
      </c>
      <c r="Q2" s="76">
        <v>1</v>
      </c>
      <c r="R2" s="76">
        <v>1</v>
      </c>
      <c r="S2" s="76">
        <v>1</v>
      </c>
      <c r="T2" s="76">
        <v>1</v>
      </c>
      <c r="U2" s="76">
        <v>1</v>
      </c>
      <c r="V2" s="76">
        <v>1</v>
      </c>
      <c r="W2" s="76">
        <v>1</v>
      </c>
      <c r="X2" s="76">
        <v>1</v>
      </c>
      <c r="Y2" s="76">
        <v>1</v>
      </c>
      <c r="Z2" s="76">
        <v>1</v>
      </c>
      <c r="AA2" s="76">
        <v>1</v>
      </c>
      <c r="AB2" s="76">
        <v>1</v>
      </c>
    </row>
    <row r="3" spans="1:28">
      <c r="A3" s="31" t="s">
        <v>744</v>
      </c>
      <c r="B3" s="78">
        <f t="shared" ref="B3:B41" si="0">SUM(C3:AB3)</f>
        <v>699.83269999999993</v>
      </c>
      <c r="C3" s="69">
        <f>C$2*IFERROR(INDEX(AlcoholIndustrial[],MATCH(CostoKg[[#This Row],[PRODUCTO]],AlcoholIndustrial[M.P.],0),3),0)</f>
        <v>0</v>
      </c>
      <c r="D3" s="69">
        <f>D$2*IFERROR(INDEX(AmbientadorPiso[],MATCH(CostoKg[[#This Row],[PRODUCTO]],AmbientadorPiso[M.P.],0),3),0)</f>
        <v>110.49989999999998</v>
      </c>
      <c r="E3" s="69">
        <f>E$2*IFERROR(INDEX(AmbientadorSpray[],MATCH(CostoKg[[#This Row],[PRODUCTO]],AmbientadorSpray[M.P.],0),3),0)</f>
        <v>0</v>
      </c>
      <c r="F3" s="69">
        <f>F$2*IFERROR(INDEX(Biovarsol[],MATCH(CostoKg[[#This Row],[PRODUCTO]],Biovarsol[M.P.],0),3),0)</f>
        <v>0</v>
      </c>
      <c r="G3" s="69">
        <f>G$2*IFERROR(INDEX(BlanqueadorDesinfectante[],MATCH(CostoKg[[#This Row],[PRODUCTO]],BlanqueadorDesinfectante[M.P.],0),3),0)</f>
        <v>0</v>
      </c>
      <c r="H3" s="69">
        <f>H$2*IFERROR(INDEX(CeraAutobrillante[],MATCH(CostoKg[[#This Row],[PRODUCTO]],CeraAutobrillante[M.P.],0),3),0)</f>
        <v>0</v>
      </c>
      <c r="I3" s="69">
        <f>I$2*IFERROR(INDEX(Creolina[],MATCH(CostoKg[[#This Row],[PRODUCTO]],Creolina[M.P.],0),3),0)</f>
        <v>0</v>
      </c>
      <c r="J3" s="69">
        <f>J$2*IFERROR(INDEX(Desencrustante[],MATCH(CostoKg[[#This Row],[PRODUCTO]],Desencrustante[M.P.],0),3),0)</f>
        <v>0</v>
      </c>
      <c r="K3" s="69">
        <f>K$2*IFERROR(INDEX(DesengrasanteAcido[],MATCH(CostoKg[[#This Row],[PRODUCTO]],DesengrasanteAcido[M.P.],0),3),0)</f>
        <v>0</v>
      </c>
      <c r="L3" s="69">
        <f>L$2*IFERROR(INDEX(Desengrasante,MATCH(CostoKg[[#This Row],[PRODUCTO]],DesengrasanteEspumoso[M.P.],0),3),0)</f>
        <v>0</v>
      </c>
      <c r="M3" s="69">
        <f>M$2*IFERROR(INDEX(DesmanchadorRopaColor[],MATCH(CostoKg[[#This Row],[PRODUCTO]],DesmanchadorRopaColor[M.P.],0),3),0)</f>
        <v>0</v>
      </c>
      <c r="N3" s="69">
        <f>N$2*IFERROR(INDEX(DetLavadora[],MATCH(CostoKg[[#This Row],[PRODUCTO]],DetLavadora[M.P.],0),3),0)</f>
        <v>368.33299999999997</v>
      </c>
      <c r="O3" s="69">
        <f>O$2*IFERROR(INDEX(DetMultiusos[],MATCH(CostoKg[[#This Row],[PRODUCTO]],DetMultiusos[M.P.],0),3),0)</f>
        <v>0</v>
      </c>
      <c r="P3" s="69">
        <f>P$2*IFERROR(INDEX(TipoRey[],MATCH(CostoKg[[#This Row],[PRODUCTO]],TipoRey[M.P.],0),3),0)</f>
        <v>0</v>
      </c>
      <c r="Q3" s="69">
        <f>Q$2*IFERROR(INDEX(GelAntibacterial[],MATCH(CostoKg[[#This Row],[PRODUCTO]],GelAntibacterial[M.P.],0),3),0)</f>
        <v>0</v>
      </c>
      <c r="R3" s="69">
        <f>R$2*IFERROR(INDEX(JabonManos[],MATCH(CostoKg[[#This Row],[PRODUCTO]],JabonManos[M.P.],0),3),0)</f>
        <v>0</v>
      </c>
      <c r="S3" s="69">
        <f>S$2*IFERROR(INDEX(JabonLavaLoza[],MATCH(CostoKg[[#This Row],[PRODUCTO]],JabonLavaLoza[M.P.],0),3),0)</f>
        <v>220.99979999999996</v>
      </c>
      <c r="T3" s="69">
        <f>T$2*IFERROR(INDEX(LimpiadorDeSuperficies[],MATCH(CostoKg[[#This Row],[PRODUCTO]],LimpiadorDeSuperficies[M.P.],0),3),0)</f>
        <v>0</v>
      </c>
      <c r="U3" s="69">
        <f>U$2*IFERROR(INDEX(LimpiadorHornos[],MATCH(CostoKg[[#This Row],[PRODUCTO]],LimpiadorHornos[M.P.],0),3),0)</f>
        <v>0</v>
      </c>
      <c r="V3" s="69">
        <f>V$2*IFERROR(INDEX(Limpiavidrios[],MATCH(CostoKg[[#This Row],[PRODUCTO]],Limpiavidrios[M.P.],0),3),0)</f>
        <v>0</v>
      </c>
      <c r="W3" s="69">
        <f>W$2*IFERROR(INDEX(RemovedorDeCeras[],MATCH(CostoKg[[#This Row],[PRODUCTO]],RemovedorDeCeras[M.P.],0),3),0)</f>
        <v>0</v>
      </c>
      <c r="X3" s="69">
        <f>X$2*IFERROR(INDEX(ShampooAlfombras[],MATCH(CostoKg[[#This Row],[PRODUCTO]],ShampooAlfombras[M.P.],0),3),0)</f>
        <v>0</v>
      </c>
      <c r="Y3" s="69">
        <f>Y$2*IFERROR(INDEX(ShampooAuto[],MATCH(CostoKg[[#This Row],[PRODUCTO]], ShampooAuto[M.P.],0),3),0)</f>
        <v>0</v>
      </c>
      <c r="Z3" s="69">
        <f>Z$2*IFERROR(INDEX(SiliconaAltoBrillo[],MATCH(CostoKg[[#This Row],[PRODUCTO]],SiliconaAltoBrillo[M.P.],0),3),0)</f>
        <v>0</v>
      </c>
      <c r="AA3" s="69">
        <f>AA$2*IFERROR(INDEX(Suavizante[],MATCH(CostoKg[[#This Row],[PRODUCTO]],Suavizante[M.P.],0),3),0)</f>
        <v>0</v>
      </c>
      <c r="AB3" s="69">
        <f>AB$2*IFERROR(INDEX(Vinagre[],MATCH(CostoKg[[#This Row],[PRODUCTO]], Vinagre[M.P.],0),3),0)</f>
        <v>0</v>
      </c>
    </row>
    <row r="4" spans="1:28">
      <c r="A4" s="31" t="s">
        <v>745</v>
      </c>
      <c r="B4" s="78">
        <f t="shared" si="0"/>
        <v>6882.1200000000008</v>
      </c>
      <c r="C4" s="69">
        <f>C$2*IFERROR(INDEX(AlcoholIndustrial[],MATCH(CostoKg[[#This Row],[PRODUCTO]],AlcoholIndustrial[M.P.],0),3),0)</f>
        <v>0</v>
      </c>
      <c r="D4" s="69">
        <f>D$2*IFERROR(INDEX(AmbientadorPiso[],MATCH(CostoKg[[#This Row],[PRODUCTO]],AmbientadorPiso[M.P.],0),3),0)</f>
        <v>0</v>
      </c>
      <c r="E4" s="69">
        <f>E$2*IFERROR(INDEX(AmbientadorSpray[],MATCH(CostoKg[[#This Row],[PRODUCTO]],AmbientadorSpray[M.P.],0),3),0)</f>
        <v>0</v>
      </c>
      <c r="F4" s="69">
        <f>F$2*IFERROR(INDEX(Biovarsol[],MATCH(CostoKg[[#This Row],[PRODUCTO]],Biovarsol[M.P.],0),3),0)</f>
        <v>0</v>
      </c>
      <c r="G4" s="69">
        <f>G$2*IFERROR(INDEX(BlanqueadorDesinfectante[],MATCH(CostoKg[[#This Row],[PRODUCTO]],BlanqueadorDesinfectante[M.P.],0),3),0)</f>
        <v>0</v>
      </c>
      <c r="H4" s="69">
        <f>H$2*IFERROR(INDEX(CeraAutobrillante[],MATCH(CostoKg[[#This Row],[PRODUCTO]],CeraAutobrillante[M.P.],0),3),0)</f>
        <v>0</v>
      </c>
      <c r="I4" s="69">
        <f>I$2*IFERROR(INDEX(Creolina[],MATCH(CostoKg[[#This Row],[PRODUCTO]],Creolina[M.P.],0),3),0)</f>
        <v>0</v>
      </c>
      <c r="J4" s="69">
        <f>J$2*IFERROR(INDEX(Desencrustante[],MATCH(CostoKg[[#This Row],[PRODUCTO]],Desencrustante[M.P.],0),3),0)</f>
        <v>0</v>
      </c>
      <c r="K4" s="69">
        <f>K$2*IFERROR(INDEX(DesengrasanteAcido[],MATCH(CostoKg[[#This Row],[PRODUCTO]],DesengrasanteAcido[M.P.],0),3),0)</f>
        <v>0</v>
      </c>
      <c r="L4" s="69">
        <f>L$2*IFERROR(INDEX(DesengrasanteEspumoso[],MATCH(CostoKg[[#This Row],[PRODUCTO]],DesengrasanteEspumoso[M.P.],0),3),0)</f>
        <v>955.85</v>
      </c>
      <c r="M4" s="69">
        <f>M$2*IFERROR(INDEX(DesmanchadorRopaColor[],MATCH(CostoKg[[#This Row],[PRODUCTO]],DesmanchadorRopaColor[M.P.],0),3),0)</f>
        <v>0</v>
      </c>
      <c r="N4" s="69">
        <f>N$2*IFERROR(INDEX(DetLavadora[],MATCH(CostoKg[[#This Row],[PRODUCTO]],DetLavadora[M.P.],0),3),0)</f>
        <v>860.26499999999999</v>
      </c>
      <c r="O4" s="69">
        <f>O$2*IFERROR(INDEX(DetMultiusos[],MATCH(CostoKg[[#This Row],[PRODUCTO]],DetMultiusos[M.P.],0),3),0)</f>
        <v>955.85</v>
      </c>
      <c r="P4" s="69">
        <f>P$2*IFERROR(INDEX(TipoRey[],MATCH(CostoKg[[#This Row],[PRODUCTO]],TipoRey[M.P.],0),3),0)</f>
        <v>955.85</v>
      </c>
      <c r="Q4" s="69">
        <f>Q$2*IFERROR(INDEX(GelAntibacterial[],MATCH(CostoKg[[#This Row],[PRODUCTO]],GelAntibacterial[M.P.],0),3),0)</f>
        <v>0</v>
      </c>
      <c r="R4" s="69">
        <f>R$2*IFERROR(INDEX(JabonManos[],MATCH(CostoKg[[#This Row],[PRODUCTO]],JabonManos[M.P.],0),3),0)</f>
        <v>0</v>
      </c>
      <c r="S4" s="69">
        <f>S$2*IFERROR(INDEX(JabonLavaLoza[],MATCH(CostoKg[[#This Row],[PRODUCTO]],JabonLavaLoza[M.P.],0),3),0)</f>
        <v>1242.605</v>
      </c>
      <c r="T4" s="69">
        <f>T$2*IFERROR(INDEX(LimpiadorDeSuperficies[],MATCH(CostoKg[[#This Row],[PRODUCTO]],LimpiadorDeSuperficies[M.P.],0),3),0)</f>
        <v>0</v>
      </c>
      <c r="U4" s="69">
        <f>U$2*IFERROR(INDEX(LimpiadorHornos[],MATCH(CostoKg[[#This Row],[PRODUCTO]],LimpiadorHornos[M.P.],0),3),0)</f>
        <v>0</v>
      </c>
      <c r="V4" s="69">
        <f>V$2*IFERROR(INDEX(Limpiavidrios[],MATCH(CostoKg[[#This Row],[PRODUCTO]],Limpiavidrios[M.P.],0),3),0)</f>
        <v>0</v>
      </c>
      <c r="W4" s="69">
        <f>W$2*IFERROR(INDEX(RemovedorDeCeras[],MATCH(CostoKg[[#This Row],[PRODUCTO]],RemovedorDeCeras[M.P.],0),3),0)</f>
        <v>0</v>
      </c>
      <c r="X4" s="69">
        <f>X$2*IFERROR(INDEX(ShampooAlfombras[],MATCH(CostoKg[[#This Row],[PRODUCTO]],ShampooAlfombras[M.P.],0),3),0)</f>
        <v>955.85</v>
      </c>
      <c r="Y4" s="69">
        <f>Y$2*IFERROR(INDEX(ShampooAuto[],MATCH(CostoKg[[#This Row],[PRODUCTO]], ShampooAuto[M.P.],0),3),0)</f>
        <v>955.85</v>
      </c>
      <c r="Z4" s="69">
        <f>Z$2*IFERROR(INDEX(SiliconaAltoBrillo[],MATCH(CostoKg[[#This Row],[PRODUCTO]],SiliconaAltoBrillo[M.P.],0),3),0)</f>
        <v>0</v>
      </c>
      <c r="AA4" s="69">
        <f>AA$2*IFERROR(INDEX(Suavizante[],MATCH(CostoKg[[#This Row],[PRODUCTO]],Suavizante[M.P.],0),3),0)</f>
        <v>0</v>
      </c>
      <c r="AB4" s="69">
        <f>AB$2*IFERROR(INDEX(Vinagre[],MATCH(CostoKg[[#This Row],[PRODUCTO]], Vinagre[M.P.],0),3),0)</f>
        <v>0</v>
      </c>
    </row>
    <row r="5" spans="1:28">
      <c r="A5" s="31" t="s">
        <v>746</v>
      </c>
      <c r="B5" s="78">
        <f t="shared" si="0"/>
        <v>1598.6792499999999</v>
      </c>
      <c r="C5" s="69">
        <f>C$2*IFERROR(INDEX(AlcoholIndustrial[],MATCH(CostoKg[[#This Row],[PRODUCTO]],AlcoholIndustrial[M.P.],0),3),0)</f>
        <v>0</v>
      </c>
      <c r="D5" s="69">
        <f>D$2*IFERROR(INDEX(AmbientadorPiso[],MATCH(CostoKg[[#This Row],[PRODUCTO]],AmbientadorPiso[M.P.],0),3),0)</f>
        <v>0</v>
      </c>
      <c r="E5" s="69">
        <f>E$2*IFERROR(INDEX(AmbientadorSpray[],MATCH(CostoKg[[#This Row],[PRODUCTO]],AmbientadorSpray[M.P.],0),3),0)</f>
        <v>0</v>
      </c>
      <c r="F5" s="69">
        <f>F$2*IFERROR(INDEX(Biovarsol[],MATCH(CostoKg[[#This Row],[PRODUCTO]],Biovarsol[M.P.],0),3),0)</f>
        <v>0</v>
      </c>
      <c r="G5" s="69">
        <f>G$2*IFERROR(INDEX(BlanqueadorDesinfectante[],MATCH(CostoKg[[#This Row],[PRODUCTO]],BlanqueadorDesinfectante[M.P.],0),3),0)</f>
        <v>0</v>
      </c>
      <c r="H5" s="69">
        <f>H$2*IFERROR(INDEX(CeraAutobrillante[],MATCH(CostoKg[[#This Row],[PRODUCTO]],CeraAutobrillante[M.P.],0),3),0)</f>
        <v>0</v>
      </c>
      <c r="I5" s="69">
        <f>I$2*IFERROR(INDEX(Creolina[],MATCH(CostoKg[[#This Row],[PRODUCTO]],Creolina[M.P.],0),3),0)</f>
        <v>0</v>
      </c>
      <c r="J5" s="69">
        <f>J$2*IFERROR(INDEX(Desencrustante[],MATCH(CostoKg[[#This Row],[PRODUCTO]],Desencrustante[M.P.],0),3),0)</f>
        <v>0</v>
      </c>
      <c r="K5" s="69">
        <f>K$2*IFERROR(INDEX(DesengrasanteAcido[],MATCH(CostoKg[[#This Row],[PRODUCTO]],DesengrasanteAcido[M.P.],0),3),0)</f>
        <v>0</v>
      </c>
      <c r="L5" s="69">
        <f>L$2*IFERROR(INDEX(DesengrasanteEspumoso[],MATCH(CostoKg[[#This Row],[PRODUCTO]],DesengrasanteEspumoso[M.P.],0),3),0)</f>
        <v>147.52500000000001</v>
      </c>
      <c r="M5" s="69">
        <f>M$2*IFERROR(INDEX(DesmanchadorRopaColor[],MATCH(CostoKg[[#This Row],[PRODUCTO]],DesmanchadorRopaColor[M.P.],0),3),0)</f>
        <v>0</v>
      </c>
      <c r="N5" s="69">
        <f>N$2*IFERROR(INDEX(DetLavadora[],MATCH(CostoKg[[#This Row],[PRODUCTO]],DetLavadora[M.P.],0),3),0)</f>
        <v>122.9375</v>
      </c>
      <c r="O5" s="69">
        <f>O$2*IFERROR(INDEX(DetMultiusos[],MATCH(CostoKg[[#This Row],[PRODUCTO]],DetMultiusos[M.P.],0),3),0)</f>
        <v>98.350000000000009</v>
      </c>
      <c r="P5" s="69">
        <f>P$2*IFERROR(INDEX(TipoRey[],MATCH(CostoKg[[#This Row],[PRODUCTO]],TipoRey[M.P.],0),3),0)</f>
        <v>122.9375</v>
      </c>
      <c r="Q5" s="69">
        <f>Q$2*IFERROR(INDEX(GelAntibacterial[],MATCH(CostoKg[[#This Row],[PRODUCTO]],GelAntibacterial[M.P.],0),3),0)</f>
        <v>0.49175000000000002</v>
      </c>
      <c r="R5" s="69">
        <f>R$2*IFERROR(INDEX(JabonManos[],MATCH(CostoKg[[#This Row],[PRODUCTO]],JabonManos[M.P.],0),3),0)</f>
        <v>0</v>
      </c>
      <c r="S5" s="69">
        <f>S$2*IFERROR(INDEX(JabonLavaLoza[],MATCH(CostoKg[[#This Row],[PRODUCTO]],JabonLavaLoza[M.P.],0),3),0)</f>
        <v>172.11250000000001</v>
      </c>
      <c r="T5" s="69">
        <f>T$2*IFERROR(INDEX(LimpiadorDeSuperficies[],MATCH(CostoKg[[#This Row],[PRODUCTO]],LimpiadorDeSuperficies[M.P.],0),3),0)</f>
        <v>0</v>
      </c>
      <c r="U5" s="69">
        <f>U$2*IFERROR(INDEX(LimpiadorHornos[],MATCH(CostoKg[[#This Row],[PRODUCTO]],LimpiadorHornos[M.P.],0),3),0)</f>
        <v>491.75</v>
      </c>
      <c r="V5" s="69">
        <f>V$2*IFERROR(INDEX(Limpiavidrios[],MATCH(CostoKg[[#This Row],[PRODUCTO]],Limpiavidrios[M.P.],0),3),0)</f>
        <v>0</v>
      </c>
      <c r="W5" s="69">
        <f>W$2*IFERROR(INDEX(RemovedorDeCeras[],MATCH(CostoKg[[#This Row],[PRODUCTO]],RemovedorDeCeras[M.P.],0),3),0)</f>
        <v>245.875</v>
      </c>
      <c r="X5" s="69">
        <f>X$2*IFERROR(INDEX(ShampooAlfombras[],MATCH(CostoKg[[#This Row],[PRODUCTO]],ShampooAlfombras[M.P.],0),3),0)</f>
        <v>98.350000000000009</v>
      </c>
      <c r="Y5" s="69">
        <f>Y$2*IFERROR(INDEX(ShampooAuto[],MATCH(CostoKg[[#This Row],[PRODUCTO]], ShampooAuto[M.P.],0),3),0)</f>
        <v>98.350000000000009</v>
      </c>
      <c r="Z5" s="69">
        <f>Z$2*IFERROR(INDEX(SiliconaAltoBrillo[],MATCH(CostoKg[[#This Row],[PRODUCTO]],SiliconaAltoBrillo[M.P.],0),3),0)</f>
        <v>0</v>
      </c>
      <c r="AA5" s="69">
        <f>AA$2*IFERROR(INDEX(Suavizante[],MATCH(CostoKg[[#This Row],[PRODUCTO]],Suavizante[M.P.],0),3),0)</f>
        <v>0</v>
      </c>
      <c r="AB5" s="69">
        <f>AB$2*IFERROR(INDEX(Vinagre[],MATCH(CostoKg[[#This Row],[PRODUCTO]], Vinagre[M.P.],0),3),0)</f>
        <v>0</v>
      </c>
    </row>
    <row r="6" spans="1:28">
      <c r="A6" s="31" t="s">
        <v>747</v>
      </c>
      <c r="B6" s="78">
        <f t="shared" si="0"/>
        <v>6620.8165799999988</v>
      </c>
      <c r="C6" s="69">
        <f>C$2*IFERROR(INDEX(AlcoholIndustrial[],MATCH(CostoKg[[#This Row],[PRODUCTO]],AlcoholIndustrial[M.P.],0),3),0)</f>
        <v>4280.7003749999994</v>
      </c>
      <c r="D6" s="69">
        <f>D$2*IFERROR(INDEX(AmbientadorPiso[],MATCH(CostoKg[[#This Row],[PRODUCTO]],AmbientadorPiso[M.P.],0),3),0)</f>
        <v>114.15200999999999</v>
      </c>
      <c r="E6" s="69">
        <f>E$2*IFERROR(INDEX(AmbientadorSpray[],MATCH(CostoKg[[#This Row],[PRODUCTO]],AmbientadorSpray[M.P.],0),3),0)</f>
        <v>171.22801499999997</v>
      </c>
      <c r="F6" s="69">
        <f>F$2*IFERROR(INDEX(Biovarsol[],MATCH(CostoKg[[#This Row],[PRODUCTO]],Biovarsol[M.P.],0),3),0)</f>
        <v>0</v>
      </c>
      <c r="G6" s="69">
        <f>G$2*IFERROR(INDEX(BlanqueadorDesinfectante[],MATCH(CostoKg[[#This Row],[PRODUCTO]],BlanqueadorDesinfectante[M.P.],0),3),0)</f>
        <v>0</v>
      </c>
      <c r="H6" s="69">
        <f>H$2*IFERROR(INDEX(CeraAutobrillante[],MATCH(CostoKg[[#This Row],[PRODUCTO]],CeraAutobrillante[M.P.],0),3),0)</f>
        <v>0</v>
      </c>
      <c r="I6" s="69">
        <f>I$2*IFERROR(INDEX(Creolina[],MATCH(CostoKg[[#This Row],[PRODUCTO]],Creolina[M.P.],0),3),0)</f>
        <v>0</v>
      </c>
      <c r="J6" s="69">
        <f>J$2*IFERROR(INDEX(Desencrustante[],MATCH(CostoKg[[#This Row],[PRODUCTO]],Desencrustante[M.P.],0),3),0)</f>
        <v>0</v>
      </c>
      <c r="K6" s="69">
        <f>K$2*IFERROR(INDEX(DesengrasanteAcido[],MATCH(CostoKg[[#This Row],[PRODUCTO]],DesengrasanteAcido[M.P.],0),3),0)</f>
        <v>0</v>
      </c>
      <c r="L6" s="69">
        <f>L$2*IFERROR(INDEX(DesengrasanteEspumoso[],MATCH(CostoKg[[#This Row],[PRODUCTO]],DesengrasanteEspumoso[M.P.],0),3),0)</f>
        <v>0</v>
      </c>
      <c r="M6" s="69">
        <f>M$2*IFERROR(INDEX(DesmanchadorRopaColor[],MATCH(CostoKg[[#This Row],[PRODUCTO]],DesmanchadorRopaColor[M.P.],0),3),0)</f>
        <v>0</v>
      </c>
      <c r="N6" s="69">
        <f>N$2*IFERROR(INDEX(DetLavadora[],MATCH(CostoKg[[#This Row],[PRODUCTO]],DetLavadora[M.P.],0),3),0)</f>
        <v>0</v>
      </c>
      <c r="O6" s="69">
        <f>O$2*IFERROR(INDEX(DetMultiusos[],MATCH(CostoKg[[#This Row],[PRODUCTO]],DetMultiusos[M.P.],0),3),0)</f>
        <v>0</v>
      </c>
      <c r="P6" s="69">
        <f>P$2*IFERROR(INDEX(TipoRey[],MATCH(CostoKg[[#This Row],[PRODUCTO]],TipoRey[M.P.],0),3),0)</f>
        <v>0</v>
      </c>
      <c r="Q6" s="69">
        <f>Q$2*IFERROR(INDEX(GelAntibacterial[],MATCH(CostoKg[[#This Row],[PRODUCTO]],GelAntibacterial[M.P.],0),3),0)</f>
        <v>1997.6601749999998</v>
      </c>
      <c r="R6" s="69">
        <f>R$2*IFERROR(INDEX(JabonManos[],MATCH(CostoKg[[#This Row],[PRODUCTO]],JabonManos[M.P.],0),3),0)</f>
        <v>0</v>
      </c>
      <c r="S6" s="69">
        <f>S$2*IFERROR(INDEX(JabonLavaLoza[],MATCH(CostoKg[[#This Row],[PRODUCTO]],JabonLavaLoza[M.P.],0),3),0)</f>
        <v>0</v>
      </c>
      <c r="T6" s="69">
        <f>T$2*IFERROR(INDEX(LimpiadorDeSuperficies[],MATCH(CostoKg[[#This Row],[PRODUCTO]],LimpiadorDeSuperficies[M.P.],0),3),0)</f>
        <v>0</v>
      </c>
      <c r="U6" s="69">
        <f>U$2*IFERROR(INDEX(LimpiadorHornos[],MATCH(CostoKg[[#This Row],[PRODUCTO]],LimpiadorHornos[M.P.],0),3),0)</f>
        <v>0</v>
      </c>
      <c r="V6" s="69">
        <f>V$2*IFERROR(INDEX(Limpiavidrios[],MATCH(CostoKg[[#This Row],[PRODUCTO]],Limpiavidrios[M.P.],0),3),0)</f>
        <v>57.076004999999995</v>
      </c>
      <c r="W6" s="69">
        <f>W$2*IFERROR(INDEX(RemovedorDeCeras[],MATCH(CostoKg[[#This Row],[PRODUCTO]],RemovedorDeCeras[M.P.],0),3),0)</f>
        <v>0</v>
      </c>
      <c r="X6" s="69">
        <f>X$2*IFERROR(INDEX(ShampooAlfombras[],MATCH(CostoKg[[#This Row],[PRODUCTO]],ShampooAlfombras[M.P.],0),3),0)</f>
        <v>0</v>
      </c>
      <c r="Y6" s="69">
        <f>Y$2*IFERROR(INDEX(ShampooAuto[],MATCH(CostoKg[[#This Row],[PRODUCTO]], ShampooAuto[M.P.],0),3),0)</f>
        <v>0</v>
      </c>
      <c r="Z6" s="69">
        <f>Z$2*IFERROR(INDEX(SiliconaAltoBrillo[],MATCH(CostoKg[[#This Row],[PRODUCTO]],SiliconaAltoBrillo[M.P.],0),3),0)</f>
        <v>0</v>
      </c>
      <c r="AA6" s="69">
        <f>AA$2*IFERROR(INDEX(Suavizante[],MATCH(CostoKg[[#This Row],[PRODUCTO]],Suavizante[M.P.],0),3),0)</f>
        <v>0</v>
      </c>
      <c r="AB6" s="69">
        <f>AB$2*IFERROR(INDEX(Vinagre[],MATCH(CostoKg[[#This Row],[PRODUCTO]], Vinagre[M.P.],0),3),0)</f>
        <v>0</v>
      </c>
    </row>
    <row r="7" spans="1:28">
      <c r="A7" s="31" t="s">
        <v>748</v>
      </c>
      <c r="B7" s="78">
        <f t="shared" si="0"/>
        <v>2140.0102499999998</v>
      </c>
      <c r="C7" s="69">
        <f>C$2*IFERROR(INDEX(AlcoholIndustrial[],MATCH(CostoKg[[#This Row],[PRODUCTO]],AlcoholIndustrial[M.P.],0),3),0)</f>
        <v>0</v>
      </c>
      <c r="D7" s="69">
        <f>D$2*IFERROR(INDEX(AmbientadorPiso[],MATCH(CostoKg[[#This Row],[PRODUCTO]],AmbientadorPiso[M.P.],0),3),0)</f>
        <v>0</v>
      </c>
      <c r="E7" s="69">
        <f>E$2*IFERROR(INDEX(AmbientadorSpray[],MATCH(CostoKg[[#This Row],[PRODUCTO]],AmbientadorSpray[M.P.],0),3),0)</f>
        <v>0</v>
      </c>
      <c r="F7" s="69">
        <f>F$2*IFERROR(INDEX(Biovarsol[],MATCH(CostoKg[[#This Row],[PRODUCTO]],Biovarsol[M.P.],0),3),0)</f>
        <v>0</v>
      </c>
      <c r="G7" s="69">
        <f>G$2*IFERROR(INDEX(BlanqueadorDesinfectante[],MATCH(CostoKg[[#This Row],[PRODUCTO]],BlanqueadorDesinfectante[M.P.],0),3),0)</f>
        <v>0</v>
      </c>
      <c r="H7" s="69">
        <f>H$2*IFERROR(INDEX(CeraAutobrillante[],MATCH(CostoKg[[#This Row],[PRODUCTO]],CeraAutobrillante[M.P.],0),3),0)</f>
        <v>0</v>
      </c>
      <c r="I7" s="69">
        <f>I$2*IFERROR(INDEX(Creolina[],MATCH(CostoKg[[#This Row],[PRODUCTO]],Creolina[M.P.],0),3),0)</f>
        <v>0</v>
      </c>
      <c r="J7" s="69">
        <f>J$2*IFERROR(INDEX(Desencrustante[],MATCH(CostoKg[[#This Row],[PRODUCTO]],Desencrustante[M.P.],0),3),0)</f>
        <v>0</v>
      </c>
      <c r="K7" s="69">
        <f>K$2*IFERROR(INDEX(DesengrasanteAcido[],MATCH(CostoKg[[#This Row],[PRODUCTO]],DesengrasanteAcido[M.P.],0),3),0)</f>
        <v>0</v>
      </c>
      <c r="L7" s="69">
        <f>L$2*IFERROR(INDEX(DesengrasanteEspumoso[],MATCH(CostoKg[[#This Row],[PRODUCTO]],DesengrasanteEspumoso[M.P.],0),3),0)</f>
        <v>0</v>
      </c>
      <c r="M7" s="69">
        <f>M$2*IFERROR(INDEX(DesmanchadorRopaColor[],MATCH(CostoKg[[#This Row],[PRODUCTO]],DesmanchadorRopaColor[M.P.],0),3),0)</f>
        <v>0</v>
      </c>
      <c r="N7" s="69">
        <f>N$2*IFERROR(INDEX(DetLavadora[],MATCH(CostoKg[[#This Row],[PRODUCTO]],DetLavadora[M.P.],0),3),0)</f>
        <v>0</v>
      </c>
      <c r="O7" s="69">
        <f>O$2*IFERROR(INDEX(DetMultiusos[],MATCH(CostoKg[[#This Row],[PRODUCTO]],DetMultiusos[M.P.],0),3),0)</f>
        <v>0</v>
      </c>
      <c r="P7" s="69">
        <f>P$2*IFERROR(INDEX(TipoRey[],MATCH(CostoKg[[#This Row],[PRODUCTO]],TipoRey[M.P.],0),3),0)</f>
        <v>0</v>
      </c>
      <c r="Q7" s="69">
        <f>Q$2*IFERROR(INDEX(GelAntibacterial[],MATCH(CostoKg[[#This Row],[PRODUCTO]],GelAntibacterial[M.P.],0),3),0)</f>
        <v>0</v>
      </c>
      <c r="R7" s="69">
        <f>R$2*IFERROR(INDEX(JabonManos[],MATCH(CostoKg[[#This Row],[PRODUCTO]],JabonManos[M.P.],0),3),0)</f>
        <v>0</v>
      </c>
      <c r="S7" s="69">
        <f>S$2*IFERROR(INDEX(JabonLavaLoza[],MATCH(CostoKg[[#This Row],[PRODUCTO]],JabonLavaLoza[M.P.],0),3),0)</f>
        <v>0</v>
      </c>
      <c r="T7" s="69">
        <f>T$2*IFERROR(INDEX(LimpiadorDeSuperficies[],MATCH(CostoKg[[#This Row],[PRODUCTO]],LimpiadorDeSuperficies[M.P.],0),3),0)</f>
        <v>0</v>
      </c>
      <c r="U7" s="69">
        <f>U$2*IFERROR(INDEX(LimpiadorHornos[],MATCH(CostoKg[[#This Row],[PRODUCTO]],LimpiadorHornos[M.P.],0),3),0)</f>
        <v>0</v>
      </c>
      <c r="V7" s="69">
        <f>V$2*IFERROR(INDEX(Limpiavidrios[],MATCH(CostoKg[[#This Row],[PRODUCTO]],Limpiavidrios[M.P.],0),3),0)</f>
        <v>0</v>
      </c>
      <c r="W7" s="69">
        <f>W$2*IFERROR(INDEX(RemovedorDeCeras[],MATCH(CostoKg[[#This Row],[PRODUCTO]],RemovedorDeCeras[M.P.],0),3),0)</f>
        <v>0</v>
      </c>
      <c r="X7" s="69">
        <f>X$2*IFERROR(INDEX(ShampooAlfombras[],MATCH(CostoKg[[#This Row],[PRODUCTO]],ShampooAlfombras[M.P.],0),3),0)</f>
        <v>0</v>
      </c>
      <c r="Y7" s="69">
        <f>Y$2*IFERROR(INDEX(ShampooAuto[],MATCH(CostoKg[[#This Row],[PRODUCTO]], ShampooAuto[M.P.],0),3),0)</f>
        <v>0</v>
      </c>
      <c r="Z7" s="69">
        <f>Z$2*IFERROR(INDEX(SiliconaAltoBrillo[],MATCH(CostoKg[[#This Row],[PRODUCTO]],SiliconaAltoBrillo[M.P.],0),3),0)</f>
        <v>2140.0102499999998</v>
      </c>
      <c r="AA7" s="69">
        <f>AA$2*IFERROR(INDEX(Suavizante[],MATCH(CostoKg[[#This Row],[PRODUCTO]],Suavizante[M.P.],0),3),0)</f>
        <v>0</v>
      </c>
      <c r="AB7" s="69">
        <f>AB$2*IFERROR(INDEX(Vinagre[],MATCH(CostoKg[[#This Row],[PRODUCTO]], Vinagre[M.P.],0),3),0)</f>
        <v>0</v>
      </c>
    </row>
    <row r="8" spans="1:28">
      <c r="A8" s="31" t="s">
        <v>749</v>
      </c>
      <c r="B8" s="78">
        <f t="shared" si="0"/>
        <v>2460.5349999999999</v>
      </c>
      <c r="C8" s="69">
        <f>C$2*IFERROR(INDEX(AlcoholIndustrial[],MATCH(CostoKg[[#This Row],[PRODUCTO]],AlcoholIndustrial[M.P.],0),3),0)</f>
        <v>0</v>
      </c>
      <c r="D8" s="69">
        <f>D$2*IFERROR(INDEX(AmbientadorPiso[],MATCH(CostoKg[[#This Row],[PRODUCTO]],AmbientadorPiso[M.P.],0),3),0)</f>
        <v>0</v>
      </c>
      <c r="E8" s="69">
        <f>E$2*IFERROR(INDEX(AmbientadorSpray[],MATCH(CostoKg[[#This Row],[PRODUCTO]],AmbientadorSpray[M.P.],0),3),0)</f>
        <v>0</v>
      </c>
      <c r="F8" s="69">
        <f>F$2*IFERROR(INDEX(Biovarsol[],MATCH(CostoKg[[#This Row],[PRODUCTO]],Biovarsol[M.P.],0),3),0)</f>
        <v>0</v>
      </c>
      <c r="G8" s="69">
        <f>G$2*IFERROR(INDEX(BlanqueadorDesinfectante[],MATCH(CostoKg[[#This Row],[PRODUCTO]],BlanqueadorDesinfectante[M.P.],0),3),0)</f>
        <v>0</v>
      </c>
      <c r="H8" s="69">
        <f>H$2*IFERROR(INDEX(CeraAutobrillante[],MATCH(CostoKg[[#This Row],[PRODUCTO]],CeraAutobrillante[M.P.],0),3),0)</f>
        <v>0</v>
      </c>
      <c r="I8" s="69">
        <f>I$2*IFERROR(INDEX(Creolina[],MATCH(CostoKg[[#This Row],[PRODUCTO]],Creolina[M.P.],0),3),0)</f>
        <v>0</v>
      </c>
      <c r="J8" s="69">
        <f>J$2*IFERROR(INDEX(Desencrustante[],MATCH(CostoKg[[#This Row],[PRODUCTO]],Desencrustante[M.P.],0),3),0)</f>
        <v>0</v>
      </c>
      <c r="K8" s="69">
        <f>K$2*IFERROR(INDEX(DesengrasanteAcido[],MATCH(CostoKg[[#This Row],[PRODUCTO]],DesengrasanteAcido[M.P.],0),3),0)</f>
        <v>0</v>
      </c>
      <c r="L8" s="69">
        <f>L$2*IFERROR(INDEX(DesengrasanteEspumoso[],MATCH(CostoKg[[#This Row],[PRODUCTO]],DesengrasanteEspumoso[M.P.],0),3),0)</f>
        <v>0</v>
      </c>
      <c r="M8" s="69">
        <f>M$2*IFERROR(INDEX(DesmanchadorRopaColor[],MATCH(CostoKg[[#This Row],[PRODUCTO]],DesmanchadorRopaColor[M.P.],0),3),0)</f>
        <v>0</v>
      </c>
      <c r="N8" s="69">
        <f>N$2*IFERROR(INDEX(DetLavadora[],MATCH(CostoKg[[#This Row],[PRODUCTO]],DetLavadora[M.P.],0),3),0)</f>
        <v>406.70000000000005</v>
      </c>
      <c r="O8" s="69">
        <f>O$2*IFERROR(INDEX(DetMultiusos[],MATCH(CostoKg[[#This Row],[PRODUCTO]],DetMultiusos[M.P.],0),3),0)</f>
        <v>0</v>
      </c>
      <c r="P8" s="69">
        <f>P$2*IFERROR(INDEX(TipoRey[],MATCH(CostoKg[[#This Row],[PRODUCTO]],TipoRey[M.P.],0),3),0)</f>
        <v>406.70000000000005</v>
      </c>
      <c r="Q8" s="69">
        <f>Q$2*IFERROR(INDEX(GelAntibacterial[],MATCH(CostoKg[[#This Row],[PRODUCTO]],GelAntibacterial[M.P.],0),3),0)</f>
        <v>0</v>
      </c>
      <c r="R8" s="69">
        <f>R$2*IFERROR(INDEX(JabonManos[],MATCH(CostoKg[[#This Row],[PRODUCTO]],JabonManos[M.P.],0),3),0)</f>
        <v>854.06999999999994</v>
      </c>
      <c r="S8" s="69">
        <f>S$2*IFERROR(INDEX(JabonLavaLoza[],MATCH(CostoKg[[#This Row],[PRODUCTO]],JabonLavaLoza[M.P.],0),3),0)</f>
        <v>345.69499999999999</v>
      </c>
      <c r="T8" s="69">
        <f>T$2*IFERROR(INDEX(LimpiadorDeSuperficies[],MATCH(CostoKg[[#This Row],[PRODUCTO]],LimpiadorDeSuperficies[M.P.],0),3),0)</f>
        <v>0</v>
      </c>
      <c r="U8" s="69">
        <f>U$2*IFERROR(INDEX(LimpiadorHornos[],MATCH(CostoKg[[#This Row],[PRODUCTO]],LimpiadorHornos[M.P.],0),3),0)</f>
        <v>0</v>
      </c>
      <c r="V8" s="69">
        <f>V$2*IFERROR(INDEX(Limpiavidrios[],MATCH(CostoKg[[#This Row],[PRODUCTO]],Limpiavidrios[M.P.],0),3),0)</f>
        <v>40.67</v>
      </c>
      <c r="W8" s="69">
        <f>W$2*IFERROR(INDEX(RemovedorDeCeras[],MATCH(CostoKg[[#This Row],[PRODUCTO]],RemovedorDeCeras[M.P.],0),3),0)</f>
        <v>0</v>
      </c>
      <c r="X8" s="69">
        <f>X$2*IFERROR(INDEX(ShampooAlfombras[],MATCH(CostoKg[[#This Row],[PRODUCTO]],ShampooAlfombras[M.P.],0),3),0)</f>
        <v>0</v>
      </c>
      <c r="Y8" s="69">
        <f>Y$2*IFERROR(INDEX(ShampooAuto[],MATCH(CostoKg[[#This Row],[PRODUCTO]], ShampooAuto[M.P.],0),3),0)</f>
        <v>406.70000000000005</v>
      </c>
      <c r="Z8" s="69">
        <f>Z$2*IFERROR(INDEX(SiliconaAltoBrillo[],MATCH(CostoKg[[#This Row],[PRODUCTO]],SiliconaAltoBrillo[M.P.],0),3),0)</f>
        <v>0</v>
      </c>
      <c r="AA8" s="69">
        <f>AA$2*IFERROR(INDEX(Suavizante[],MATCH(CostoKg[[#This Row],[PRODUCTO]],Suavizante[M.P.],0),3),0)</f>
        <v>0</v>
      </c>
      <c r="AB8" s="69">
        <f>AB$2*IFERROR(INDEX(Vinagre[],MATCH(CostoKg[[#This Row],[PRODUCTO]], Vinagre[M.P.],0),3),0)</f>
        <v>0</v>
      </c>
    </row>
    <row r="9" spans="1:28">
      <c r="A9" s="31" t="s">
        <v>750</v>
      </c>
      <c r="B9" s="78">
        <f t="shared" si="0"/>
        <v>518.91</v>
      </c>
      <c r="C9" s="69">
        <f>C$2*IFERROR(INDEX(AlcoholIndustrial[],MATCH(CostoKg[[#This Row],[PRODUCTO]],AlcoholIndustrial[M.P.],0),3),0)</f>
        <v>0</v>
      </c>
      <c r="D9" s="69">
        <f>D$2*IFERROR(INDEX(AmbientadorPiso[],MATCH(CostoKg[[#This Row],[PRODUCTO]],AmbientadorPiso[M.P.],0),3),0)</f>
        <v>0</v>
      </c>
      <c r="E9" s="69">
        <f>E$2*IFERROR(INDEX(AmbientadorSpray[],MATCH(CostoKg[[#This Row],[PRODUCTO]],AmbientadorSpray[M.P.],0),3),0)</f>
        <v>0</v>
      </c>
      <c r="F9" s="69">
        <f>F$2*IFERROR(INDEX(Biovarsol[],MATCH(CostoKg[[#This Row],[PRODUCTO]],Biovarsol[M.P.],0),3),0)</f>
        <v>37.064999999999998</v>
      </c>
      <c r="G9" s="69">
        <f>G$2*IFERROR(INDEX(BlanqueadorDesinfectante[],MATCH(CostoKg[[#This Row],[PRODUCTO]],BlanqueadorDesinfectante[M.P.],0),3),0)</f>
        <v>0</v>
      </c>
      <c r="H9" s="69">
        <f>H$2*IFERROR(INDEX(CeraAutobrillante[],MATCH(CostoKg[[#This Row],[PRODUCTO]],CeraAutobrillante[M.P.],0),3),0)</f>
        <v>0</v>
      </c>
      <c r="I9" s="69">
        <f>I$2*IFERROR(INDEX(Creolina[],MATCH(CostoKg[[#This Row],[PRODUCTO]],Creolina[M.P.],0),3),0)</f>
        <v>0</v>
      </c>
      <c r="J9" s="69">
        <f>J$2*IFERROR(INDEX(Desencrustante[],MATCH(CostoKg[[#This Row],[PRODUCTO]],Desencrustante[M.P.],0),3),0)</f>
        <v>0</v>
      </c>
      <c r="K9" s="69">
        <f>K$2*IFERROR(INDEX(DesengrasanteAcido[],MATCH(CostoKg[[#This Row],[PRODUCTO]],DesengrasanteAcido[M.P.],0),3),0)</f>
        <v>37.064999999999998</v>
      </c>
      <c r="L9" s="69">
        <f>L$2*IFERROR(INDEX(DesengrasanteEspumoso[],MATCH(CostoKg[[#This Row],[PRODUCTO]],DesengrasanteEspumoso[M.P.],0),3),0)</f>
        <v>37.064999999999998</v>
      </c>
      <c r="M9" s="69">
        <f>M$2*IFERROR(INDEX(DesmanchadorRopaColor[],MATCH(CostoKg[[#This Row],[PRODUCTO]],DesmanchadorRopaColor[M.P.],0),3),0)</f>
        <v>0</v>
      </c>
      <c r="N9" s="69">
        <f>N$2*IFERROR(INDEX(DetLavadora[],MATCH(CostoKg[[#This Row],[PRODUCTO]],DetLavadora[M.P.],0),3),0)</f>
        <v>37.064999999999998</v>
      </c>
      <c r="O9" s="69">
        <f>O$2*IFERROR(INDEX(DetMultiusos[],MATCH(CostoKg[[#This Row],[PRODUCTO]],DetMultiusos[M.P.],0),3),0)</f>
        <v>37.064999999999998</v>
      </c>
      <c r="P9" s="69">
        <f>P$2*IFERROR(INDEX(TipoRey[],MATCH(CostoKg[[#This Row],[PRODUCTO]],TipoRey[M.P.],0),3),0)</f>
        <v>37.064999999999998</v>
      </c>
      <c r="Q9" s="69">
        <f>Q$2*IFERROR(INDEX(GelAntibacterial[],MATCH(CostoKg[[#This Row],[PRODUCTO]],GelAntibacterial[M.P.],0),3),0)</f>
        <v>0</v>
      </c>
      <c r="R9" s="69">
        <f>R$2*IFERROR(INDEX(JabonManos[],MATCH(CostoKg[[#This Row],[PRODUCTO]],JabonManos[M.P.],0),3),0)</f>
        <v>37.064999999999998</v>
      </c>
      <c r="S9" s="69">
        <f>S$2*IFERROR(INDEX(JabonLavaLoza[],MATCH(CostoKg[[#This Row],[PRODUCTO]],JabonLavaLoza[M.P.],0),3),0)</f>
        <v>37.064999999999998</v>
      </c>
      <c r="T9" s="69">
        <f>T$2*IFERROR(INDEX(LimpiadorDeSuperficies[],MATCH(CostoKg[[#This Row],[PRODUCTO]],LimpiadorDeSuperficies[M.P.],0),3),0)</f>
        <v>37.064999999999998</v>
      </c>
      <c r="U9" s="69">
        <f>U$2*IFERROR(INDEX(LimpiadorHornos[],MATCH(CostoKg[[#This Row],[PRODUCTO]],LimpiadorHornos[M.P.],0),3),0)</f>
        <v>0</v>
      </c>
      <c r="V9" s="69">
        <f>V$2*IFERROR(INDEX(Limpiavidrios[],MATCH(CostoKg[[#This Row],[PRODUCTO]],Limpiavidrios[M.P.],0),3),0)</f>
        <v>37.064999999999998</v>
      </c>
      <c r="W9" s="69">
        <f>W$2*IFERROR(INDEX(RemovedorDeCeras[],MATCH(CostoKg[[#This Row],[PRODUCTO]],RemovedorDeCeras[M.P.],0),3),0)</f>
        <v>0</v>
      </c>
      <c r="X9" s="69">
        <f>X$2*IFERROR(INDEX(ShampooAlfombras[],MATCH(CostoKg[[#This Row],[PRODUCTO]],ShampooAlfombras[M.P.],0),3),0)</f>
        <v>37.064999999999998</v>
      </c>
      <c r="Y9" s="69">
        <f>Y$2*IFERROR(INDEX(ShampooAuto[],MATCH(CostoKg[[#This Row],[PRODUCTO]], ShampooAuto[M.P.],0),3),0)</f>
        <v>37.064999999999998</v>
      </c>
      <c r="Z9" s="69">
        <f>Z$2*IFERROR(INDEX(SiliconaAltoBrillo[],MATCH(CostoKg[[#This Row],[PRODUCTO]],SiliconaAltoBrillo[M.P.],0),3),0)</f>
        <v>37.064999999999998</v>
      </c>
      <c r="AA9" s="69">
        <f>AA$2*IFERROR(INDEX(Suavizante[],MATCH(CostoKg[[#This Row],[PRODUCTO]],Suavizante[M.P.],0),3),0)</f>
        <v>37.064999999999998</v>
      </c>
      <c r="AB9" s="69">
        <f>AB$2*IFERROR(INDEX(Vinagre[],MATCH(CostoKg[[#This Row],[PRODUCTO]], Vinagre[M.P.],0),3),0)</f>
        <v>0</v>
      </c>
    </row>
    <row r="10" spans="1:28">
      <c r="A10" s="31" t="s">
        <v>751</v>
      </c>
      <c r="B10" s="78">
        <f t="shared" si="0"/>
        <v>2564.7300000000005</v>
      </c>
      <c r="C10" s="69">
        <f>C$2*IFERROR(INDEX(AlcoholIndustrial[],MATCH(CostoKg[[#This Row],[PRODUCTO]],AlcoholIndustrial[M.P.],0),3),0)</f>
        <v>0</v>
      </c>
      <c r="D10" s="69">
        <f>D$2*IFERROR(INDEX(AmbientadorPiso[],MATCH(CostoKg[[#This Row],[PRODUCTO]],AmbientadorPiso[M.P.],0),3),0)</f>
        <v>0</v>
      </c>
      <c r="E10" s="69">
        <f>E$2*IFERROR(INDEX(AmbientadorSpray[],MATCH(CostoKg[[#This Row],[PRODUCTO]],AmbientadorSpray[M.P.],0),3),0)</f>
        <v>0</v>
      </c>
      <c r="F10" s="69">
        <f>F$2*IFERROR(INDEX(Biovarsol[],MATCH(CostoKg[[#This Row],[PRODUCTO]],Biovarsol[M.P.],0),3),0)</f>
        <v>0</v>
      </c>
      <c r="G10" s="69">
        <f>G$2*IFERROR(INDEX(BlanqueadorDesinfectante[],MATCH(CostoKg[[#This Row],[PRODUCTO]],BlanqueadorDesinfectante[M.P.],0),3),0)</f>
        <v>0</v>
      </c>
      <c r="H10" s="69">
        <f>H$2*IFERROR(INDEX(CeraAutobrillante[],MATCH(CostoKg[[#This Row],[PRODUCTO]],CeraAutobrillante[M.P.],0),3),0)</f>
        <v>0</v>
      </c>
      <c r="I10" s="69">
        <f>I$2*IFERROR(INDEX(Creolina[],MATCH(CostoKg[[#This Row],[PRODUCTO]],Creolina[M.P.],0),3),0)</f>
        <v>0</v>
      </c>
      <c r="J10" s="69">
        <f>J$2*IFERROR(INDEX(Desencrustante[],MATCH(CostoKg[[#This Row],[PRODUCTO]],Desencrustante[M.P.],0),3),0)</f>
        <v>474.95000000000005</v>
      </c>
      <c r="K10" s="69">
        <f>K$2*IFERROR(INDEX(DesengrasanteAcido[],MATCH(CostoKg[[#This Row],[PRODUCTO]],DesengrasanteAcido[M.P.],0),3),0)</f>
        <v>284.96999999999997</v>
      </c>
      <c r="L10" s="69">
        <f>L$2*IFERROR(INDEX(DesengrasanteEspumoso[],MATCH(CostoKg[[#This Row],[PRODUCTO]],DesengrasanteEspumoso[M.P.],0),3),0)</f>
        <v>284.96999999999997</v>
      </c>
      <c r="M10" s="69">
        <f>M$2*IFERROR(INDEX(DesmanchadorRopaColor[],MATCH(CostoKg[[#This Row],[PRODUCTO]],DesmanchadorRopaColor[M.P.],0),3),0)</f>
        <v>0</v>
      </c>
      <c r="N10" s="69">
        <f>N$2*IFERROR(INDEX(DetLavadora[],MATCH(CostoKg[[#This Row],[PRODUCTO]],DetLavadora[M.P.],0),3),0)</f>
        <v>0</v>
      </c>
      <c r="O10" s="69">
        <f>O$2*IFERROR(INDEX(DetMultiusos[],MATCH(CostoKg[[#This Row],[PRODUCTO]],DetMultiusos[M.P.],0),3),0)</f>
        <v>0</v>
      </c>
      <c r="P10" s="69">
        <f>P$2*IFERROR(INDEX(TipoRey[],MATCH(CostoKg[[#This Row],[PRODUCTO]],TipoRey[M.P.],0),3),0)</f>
        <v>94.99</v>
      </c>
      <c r="Q10" s="69">
        <f>Q$2*IFERROR(INDEX(GelAntibacterial[],MATCH(CostoKg[[#This Row],[PRODUCTO]],GelAntibacterial[M.P.],0),3),0)</f>
        <v>0</v>
      </c>
      <c r="R10" s="69">
        <f>R$2*IFERROR(INDEX(JabonManos[],MATCH(CostoKg[[#This Row],[PRODUCTO]],JabonManos[M.P.],0),3),0)</f>
        <v>0</v>
      </c>
      <c r="S10" s="69">
        <f>S$2*IFERROR(INDEX(JabonLavaLoza[],MATCH(CostoKg[[#This Row],[PRODUCTO]],JabonLavaLoza[M.P.],0),3),0)</f>
        <v>0</v>
      </c>
      <c r="T10" s="69">
        <f>T$2*IFERROR(INDEX(LimpiadorDeSuperficies[],MATCH(CostoKg[[#This Row],[PRODUCTO]],LimpiadorDeSuperficies[M.P.],0),3),0)</f>
        <v>0</v>
      </c>
      <c r="U10" s="69">
        <f>U$2*IFERROR(INDEX(LimpiadorHornos[],MATCH(CostoKg[[#This Row],[PRODUCTO]],LimpiadorHornos[M.P.],0),3),0)</f>
        <v>474.95000000000005</v>
      </c>
      <c r="V10" s="69">
        <f>V$2*IFERROR(INDEX(Limpiavidrios[],MATCH(CostoKg[[#This Row],[PRODUCTO]],Limpiavidrios[M.P.],0),3),0)</f>
        <v>0</v>
      </c>
      <c r="W10" s="69">
        <f>W$2*IFERROR(INDEX(RemovedorDeCeras[],MATCH(CostoKg[[#This Row],[PRODUCTO]],RemovedorDeCeras[M.P.],0),3),0)</f>
        <v>949.90000000000009</v>
      </c>
      <c r="X10" s="69">
        <f>X$2*IFERROR(INDEX(ShampooAlfombras[],MATCH(CostoKg[[#This Row],[PRODUCTO]],ShampooAlfombras[M.P.],0),3),0)</f>
        <v>0</v>
      </c>
      <c r="Y10" s="69">
        <f>Y$2*IFERROR(INDEX(ShampooAuto[],MATCH(CostoKg[[#This Row],[PRODUCTO]], ShampooAuto[M.P.],0),3),0)</f>
        <v>0</v>
      </c>
      <c r="Z10" s="69">
        <f>Z$2*IFERROR(INDEX(SiliconaAltoBrillo[],MATCH(CostoKg[[#This Row],[PRODUCTO]],SiliconaAltoBrillo[M.P.],0),3),0)</f>
        <v>0</v>
      </c>
      <c r="AA10" s="69">
        <f>AA$2*IFERROR(INDEX(Suavizante[],MATCH(CostoKg[[#This Row],[PRODUCTO]],Suavizante[M.P.],0),3),0)</f>
        <v>0</v>
      </c>
      <c r="AB10" s="69">
        <f>AB$2*IFERROR(INDEX(Vinagre[],MATCH(CostoKg[[#This Row],[PRODUCTO]], Vinagre[M.P.],0),3),0)</f>
        <v>0</v>
      </c>
    </row>
    <row r="11" spans="1:28">
      <c r="A11" s="31" t="s">
        <v>752</v>
      </c>
      <c r="B11" s="78">
        <f t="shared" si="0"/>
        <v>781.15187500000002</v>
      </c>
      <c r="C11" s="69">
        <f>C$2*IFERROR(INDEX(AlcoholIndustrial[],MATCH(CostoKg[[#This Row],[PRODUCTO]],AlcoholIndustrial[M.P.],0),3),0)</f>
        <v>0</v>
      </c>
      <c r="D11" s="69">
        <f>D$2*IFERROR(INDEX(AmbientadorPiso[],MATCH(CostoKg[[#This Row],[PRODUCTO]],AmbientadorPiso[M.P.],0),3),0)</f>
        <v>0</v>
      </c>
      <c r="E11" s="69">
        <f>E$2*IFERROR(INDEX(AmbientadorSpray[],MATCH(CostoKg[[#This Row],[PRODUCTO]],AmbientadorSpray[M.P.],0),3),0)</f>
        <v>0</v>
      </c>
      <c r="F11" s="69">
        <f>F$2*IFERROR(INDEX(Biovarsol[],MATCH(CostoKg[[#This Row],[PRODUCTO]],Biovarsol[M.P.],0),3),0)</f>
        <v>0</v>
      </c>
      <c r="G11" s="69">
        <f>G$2*IFERROR(INDEX(BlanqueadorDesinfectante[],MATCH(CostoKg[[#This Row],[PRODUCTO]],BlanqueadorDesinfectante[M.P.],0),3),0)</f>
        <v>0</v>
      </c>
      <c r="H11" s="69">
        <f>H$2*IFERROR(INDEX(CeraAutobrillante[],MATCH(CostoKg[[#This Row],[PRODUCTO]],CeraAutobrillante[M.P.],0),3),0)</f>
        <v>0</v>
      </c>
      <c r="I11" s="69">
        <f>I$2*IFERROR(INDEX(Creolina[],MATCH(CostoKg[[#This Row],[PRODUCTO]],Creolina[M.P.],0),3),0)</f>
        <v>0</v>
      </c>
      <c r="J11" s="69">
        <f>J$2*IFERROR(INDEX(Desencrustante[],MATCH(CostoKg[[#This Row],[PRODUCTO]],Desencrustante[M.P.],0),3),0)</f>
        <v>0</v>
      </c>
      <c r="K11" s="69">
        <f>K$2*IFERROR(INDEX(DesengrasanteAcido[],MATCH(CostoKg[[#This Row],[PRODUCTO]],DesengrasanteAcido[M.P.],0),3),0)</f>
        <v>0</v>
      </c>
      <c r="L11" s="69">
        <f>L$2*IFERROR(INDEX(DesengrasanteEspumoso[],MATCH(CostoKg[[#This Row],[PRODUCTO]],DesengrasanteEspumoso[M.P.],0),3),0)</f>
        <v>0</v>
      </c>
      <c r="M11" s="69">
        <f>M$2*IFERROR(INDEX(DesmanchadorRopaColor[],MATCH(CostoKg[[#This Row],[PRODUCTO]],DesmanchadorRopaColor[M.P.],0),3),0)</f>
        <v>0</v>
      </c>
      <c r="N11" s="69">
        <f>N$2*IFERROR(INDEX(DetLavadora[],MATCH(CostoKg[[#This Row],[PRODUCTO]],DetLavadora[M.P.],0),3),0)</f>
        <v>0</v>
      </c>
      <c r="O11" s="69">
        <f>O$2*IFERROR(INDEX(DetMultiusos[],MATCH(CostoKg[[#This Row],[PRODUCTO]],DetMultiusos[M.P.],0),3),0)</f>
        <v>0</v>
      </c>
      <c r="P11" s="69">
        <f>P$2*IFERROR(INDEX(TipoRey[],MATCH(CostoKg[[#This Row],[PRODUCTO]],TipoRey[M.P.],0),3),0)</f>
        <v>0</v>
      </c>
      <c r="Q11" s="69">
        <f>Q$2*IFERROR(INDEX(GelAntibacterial[],MATCH(CostoKg[[#This Row],[PRODUCTO]],GelAntibacterial[M.P.],0),3),0)</f>
        <v>0</v>
      </c>
      <c r="R11" s="69">
        <f>R$2*IFERROR(INDEX(JabonManos[],MATCH(CostoKg[[#This Row],[PRODUCTO]],JabonManos[M.P.],0),3),0)</f>
        <v>0</v>
      </c>
      <c r="S11" s="69">
        <f>S$2*IFERROR(INDEX(JabonLavaLoza[],MATCH(CostoKg[[#This Row],[PRODUCTO]],JabonLavaLoza[M.P.],0),3),0)</f>
        <v>0</v>
      </c>
      <c r="T11" s="69">
        <f>T$2*IFERROR(INDEX(LimpiadorDeSuperficies[],MATCH(CostoKg[[#This Row],[PRODUCTO]],LimpiadorDeSuperficies[M.P.],0),3),0)</f>
        <v>0</v>
      </c>
      <c r="U11" s="69">
        <f>U$2*IFERROR(INDEX(LimpiadorHornos[],MATCH(CostoKg[[#This Row],[PRODUCTO]],LimpiadorHornos[M.P.],0),3),0)</f>
        <v>0</v>
      </c>
      <c r="V11" s="69">
        <f>V$2*IFERROR(INDEX(Limpiavidrios[],MATCH(CostoKg[[#This Row],[PRODUCTO]],Limpiavidrios[M.P.],0),3),0)</f>
        <v>0</v>
      </c>
      <c r="W11" s="69">
        <f>W$2*IFERROR(INDEX(RemovedorDeCeras[],MATCH(CostoKg[[#This Row],[PRODUCTO]],RemovedorDeCeras[M.P.],0),3),0)</f>
        <v>0</v>
      </c>
      <c r="X11" s="69">
        <f>X$2*IFERROR(INDEX(ShampooAlfombras[],MATCH(CostoKg[[#This Row],[PRODUCTO]],ShampooAlfombras[M.P.],0),3),0)</f>
        <v>0</v>
      </c>
      <c r="Y11" s="69">
        <f>Y$2*IFERROR(INDEX(ShampooAuto[],MATCH(CostoKg[[#This Row],[PRODUCTO]], ShampooAuto[M.P.],0),3),0)</f>
        <v>0</v>
      </c>
      <c r="Z11" s="69">
        <f>Z$2*IFERROR(INDEX(SiliconaAltoBrillo[],MATCH(CostoKg[[#This Row],[PRODUCTO]],SiliconaAltoBrillo[M.P.],0),3),0)</f>
        <v>0</v>
      </c>
      <c r="AA11" s="69">
        <f>AA$2*IFERROR(INDEX(Suavizante[],MATCH(CostoKg[[#This Row],[PRODUCTO]],Suavizante[M.P.],0),3),0)</f>
        <v>781.15187500000002</v>
      </c>
      <c r="AB11" s="69">
        <f>AB$2*IFERROR(INDEX(Vinagre[],MATCH(CostoKg[[#This Row],[PRODUCTO]], Vinagre[M.P.],0),3),0)</f>
        <v>0</v>
      </c>
    </row>
    <row r="12" spans="1:28">
      <c r="A12" s="31" t="s">
        <v>753</v>
      </c>
      <c r="B12" s="78">
        <f t="shared" si="0"/>
        <v>96.04000000000002</v>
      </c>
      <c r="C12" s="69">
        <f>C$2*IFERROR(INDEX(AlcoholIndustrial[],MATCH(CostoKg[[#This Row],[PRODUCTO]],AlcoholIndustrial[M.P.],0),3),0)</f>
        <v>0</v>
      </c>
      <c r="D12" s="69">
        <f>D$2*IFERROR(INDEX(AmbientadorPiso[],MATCH(CostoKg[[#This Row],[PRODUCTO]],AmbientadorPiso[M.P.],0),3),0)</f>
        <v>0</v>
      </c>
      <c r="E12" s="69">
        <f>E$2*IFERROR(INDEX(AmbientadorSpray[],MATCH(CostoKg[[#This Row],[PRODUCTO]],AmbientadorSpray[M.P.],0),3),0)</f>
        <v>34.300000000000004</v>
      </c>
      <c r="F12" s="69">
        <f>F$2*IFERROR(INDEX(Biovarsol[],MATCH(CostoKg[[#This Row],[PRODUCTO]],Biovarsol[M.P.],0),3),0)</f>
        <v>0</v>
      </c>
      <c r="G12" s="69">
        <f>G$2*IFERROR(INDEX(BlanqueadorDesinfectante[],MATCH(CostoKg[[#This Row],[PRODUCTO]],BlanqueadorDesinfectante[M.P.],0),3),0)</f>
        <v>0</v>
      </c>
      <c r="H12" s="69">
        <f>H$2*IFERROR(INDEX(CeraAutobrillante[],MATCH(CostoKg[[#This Row],[PRODUCTO]],CeraAutobrillante[M.P.],0),3),0)</f>
        <v>0</v>
      </c>
      <c r="I12" s="69">
        <f>I$2*IFERROR(INDEX(Creolina[],MATCH(CostoKg[[#This Row],[PRODUCTO]],Creolina[M.P.],0),3),0)</f>
        <v>0</v>
      </c>
      <c r="J12" s="69">
        <f>J$2*IFERROR(INDEX(Desencrustante[],MATCH(CostoKg[[#This Row],[PRODUCTO]],Desencrustante[M.P.],0),3),0)</f>
        <v>0</v>
      </c>
      <c r="K12" s="69">
        <f>K$2*IFERROR(INDEX(DesengrasanteAcido[],MATCH(CostoKg[[#This Row],[PRODUCTO]],DesengrasanteAcido[M.P.],0),3),0)</f>
        <v>0</v>
      </c>
      <c r="L12" s="69">
        <f>L$2*IFERROR(INDEX(DesengrasanteEspumoso[],MATCH(CostoKg[[#This Row],[PRODUCTO]],DesengrasanteEspumoso[M.P.],0),3),0)</f>
        <v>0</v>
      </c>
      <c r="M12" s="69">
        <f>M$2*IFERROR(INDEX(DesmanchadorRopaColor[],MATCH(CostoKg[[#This Row],[PRODUCTO]],DesmanchadorRopaColor[M.P.],0),3),0)</f>
        <v>0</v>
      </c>
      <c r="N12" s="69">
        <f>N$2*IFERROR(INDEX(DetLavadora[],MATCH(CostoKg[[#This Row],[PRODUCTO]],DetLavadora[M.P.],0),3),0)</f>
        <v>10.290000000000001</v>
      </c>
      <c r="O12" s="69">
        <f>O$2*IFERROR(INDEX(DetMultiusos[],MATCH(CostoKg[[#This Row],[PRODUCTO]],DetMultiusos[M.P.],0),3),0)</f>
        <v>10.290000000000001</v>
      </c>
      <c r="P12" s="69">
        <f>P$2*IFERROR(INDEX(TipoRey[],MATCH(CostoKg[[#This Row],[PRODUCTO]],TipoRey[M.P.],0),3),0)</f>
        <v>10.290000000000001</v>
      </c>
      <c r="Q12" s="69">
        <f>Q$2*IFERROR(INDEX(GelAntibacterial[],MATCH(CostoKg[[#This Row],[PRODUCTO]],GelAntibacterial[M.P.],0),3),0)</f>
        <v>0</v>
      </c>
      <c r="R12" s="69">
        <f>R$2*IFERROR(INDEX(JabonManos[],MATCH(CostoKg[[#This Row],[PRODUCTO]],JabonManos[M.P.],0),3),0)</f>
        <v>0</v>
      </c>
      <c r="S12" s="69">
        <f>S$2*IFERROR(INDEX(JabonLavaLoza[],MATCH(CostoKg[[#This Row],[PRODUCTO]],JabonLavaLoza[M.P.],0),3),0)</f>
        <v>10.290000000000001</v>
      </c>
      <c r="T12" s="69">
        <f>T$2*IFERROR(INDEX(LimpiadorDeSuperficies[],MATCH(CostoKg[[#This Row],[PRODUCTO]],LimpiadorDeSuperficies[M.P.],0),3),0)</f>
        <v>0</v>
      </c>
      <c r="U12" s="69">
        <f>U$2*IFERROR(INDEX(LimpiadorHornos[],MATCH(CostoKg[[#This Row],[PRODUCTO]],LimpiadorHornos[M.P.],0),3),0)</f>
        <v>0</v>
      </c>
      <c r="V12" s="69">
        <f>V$2*IFERROR(INDEX(Limpiavidrios[],MATCH(CostoKg[[#This Row],[PRODUCTO]],Limpiavidrios[M.P.],0),3),0)</f>
        <v>0</v>
      </c>
      <c r="W12" s="69">
        <f>W$2*IFERROR(INDEX(RemovedorDeCeras[],MATCH(CostoKg[[#This Row],[PRODUCTO]],RemovedorDeCeras[M.P.],0),3),0)</f>
        <v>0</v>
      </c>
      <c r="X12" s="69">
        <f>X$2*IFERROR(INDEX(ShampooAlfombras[],MATCH(CostoKg[[#This Row],[PRODUCTO]],ShampooAlfombras[M.P.],0),3),0)</f>
        <v>10.290000000000001</v>
      </c>
      <c r="Y12" s="69">
        <f>Y$2*IFERROR(INDEX(ShampooAuto[],MATCH(CostoKg[[#This Row],[PRODUCTO]], ShampooAuto[M.P.],0),3),0)</f>
        <v>10.290000000000001</v>
      </c>
      <c r="Z12" s="69">
        <f>Z$2*IFERROR(INDEX(SiliconaAltoBrillo[],MATCH(CostoKg[[#This Row],[PRODUCTO]],SiliconaAltoBrillo[M.P.],0),3),0)</f>
        <v>0</v>
      </c>
      <c r="AA12" s="69">
        <f>AA$2*IFERROR(INDEX(Suavizante[],MATCH(CostoKg[[#This Row],[PRODUCTO]],Suavizante[M.P.],0),3),0)</f>
        <v>0</v>
      </c>
      <c r="AB12" s="69">
        <f>AB$2*IFERROR(INDEX(Vinagre[],MATCH(CostoKg[[#This Row],[PRODUCTO]], Vinagre[M.P.],0),3),0)</f>
        <v>0</v>
      </c>
    </row>
    <row r="13" spans="1:28">
      <c r="A13" s="31" t="s">
        <v>754</v>
      </c>
      <c r="B13" s="78">
        <f t="shared" si="0"/>
        <v>26.509</v>
      </c>
      <c r="C13" s="69">
        <f>C$2*IFERROR(INDEX(AlcoholIndustrial[],MATCH(CostoKg[[#This Row],[PRODUCTO]],AlcoholIndustrial[M.P.],0),3),0)</f>
        <v>0</v>
      </c>
      <c r="D13" s="69">
        <f>D$2*IFERROR(INDEX(AmbientadorPiso[],MATCH(CostoKg[[#This Row],[PRODUCTO]],AmbientadorPiso[M.P.],0),3),0)</f>
        <v>0</v>
      </c>
      <c r="E13" s="69">
        <f>E$2*IFERROR(INDEX(AmbientadorSpray[],MATCH(CostoKg[[#This Row],[PRODUCTO]],AmbientadorSpray[M.P.],0),3),0)</f>
        <v>0</v>
      </c>
      <c r="F13" s="69">
        <f>F$2*IFERROR(INDEX(Biovarsol[],MATCH(CostoKg[[#This Row],[PRODUCTO]],Biovarsol[M.P.],0),3),0)</f>
        <v>0</v>
      </c>
      <c r="G13" s="69">
        <f>G$2*IFERROR(INDEX(BlanqueadorDesinfectante[],MATCH(CostoKg[[#This Row],[PRODUCTO]],BlanqueadorDesinfectante[M.P.],0),3),0)</f>
        <v>0</v>
      </c>
      <c r="H13" s="69">
        <f>H$2*IFERROR(INDEX(CeraAutobrillante[],MATCH(CostoKg[[#This Row],[PRODUCTO]],CeraAutobrillante[M.P.],0),3),0)</f>
        <v>0</v>
      </c>
      <c r="I13" s="69">
        <f>I$2*IFERROR(INDEX(Creolina[],MATCH(CostoKg[[#This Row],[PRODUCTO]],Creolina[M.P.],0),3),0)</f>
        <v>0</v>
      </c>
      <c r="J13" s="69">
        <f>J$2*IFERROR(INDEX(Desencrustante[],MATCH(CostoKg[[#This Row],[PRODUCTO]],Desencrustante[M.P.],0),3),0)</f>
        <v>0</v>
      </c>
      <c r="K13" s="69">
        <f>K$2*IFERROR(INDEX(DesengrasanteAcido[],MATCH(CostoKg[[#This Row],[PRODUCTO]],DesengrasanteAcido[M.P.],0),3),0)</f>
        <v>0</v>
      </c>
      <c r="L13" s="69">
        <f>L$2*IFERROR(INDEX(DesengrasanteEspumoso[],MATCH(CostoKg[[#This Row],[PRODUCTO]],DesengrasanteEspumoso[M.P.],0),3),0)</f>
        <v>0</v>
      </c>
      <c r="M13" s="69">
        <f>M$2*IFERROR(INDEX(DesmanchadorRopaColor[],MATCH(CostoKg[[#This Row],[PRODUCTO]],DesmanchadorRopaColor[M.P.],0),3),0)</f>
        <v>0</v>
      </c>
      <c r="N13" s="69">
        <f>N$2*IFERROR(INDEX(DetLavadora[],MATCH(CostoKg[[#This Row],[PRODUCTO]],DetLavadora[M.P.],0),3),0)</f>
        <v>11.361000000000001</v>
      </c>
      <c r="O13" s="69">
        <f>O$2*IFERROR(INDEX(DetMultiusos[],MATCH(CostoKg[[#This Row],[PRODUCTO]],DetMultiusos[M.P.],0),3),0)</f>
        <v>0</v>
      </c>
      <c r="P13" s="69">
        <f>P$2*IFERROR(INDEX(TipoRey[],MATCH(CostoKg[[#This Row],[PRODUCTO]],TipoRey[M.P.],0),3),0)</f>
        <v>11.361000000000001</v>
      </c>
      <c r="Q13" s="69">
        <f>Q$2*IFERROR(INDEX(GelAntibacterial[],MATCH(CostoKg[[#This Row],[PRODUCTO]],GelAntibacterial[M.P.],0),3),0)</f>
        <v>0</v>
      </c>
      <c r="R13" s="69">
        <f>R$2*IFERROR(INDEX(JabonManos[],MATCH(CostoKg[[#This Row],[PRODUCTO]],JabonManos[M.P.],0),3),0)</f>
        <v>0</v>
      </c>
      <c r="S13" s="69">
        <f>S$2*IFERROR(INDEX(JabonLavaLoza[],MATCH(CostoKg[[#This Row],[PRODUCTO]],JabonLavaLoza[M.P.],0),3),0)</f>
        <v>3.7869999999999999</v>
      </c>
      <c r="T13" s="69">
        <f>T$2*IFERROR(INDEX(LimpiadorDeSuperficies[],MATCH(CostoKg[[#This Row],[PRODUCTO]],LimpiadorDeSuperficies[M.P.],0),3),0)</f>
        <v>0</v>
      </c>
      <c r="U13" s="69">
        <f>U$2*IFERROR(INDEX(LimpiadorHornos[],MATCH(CostoKg[[#This Row],[PRODUCTO]],LimpiadorHornos[M.P.],0),3),0)</f>
        <v>0</v>
      </c>
      <c r="V13" s="69">
        <f>V$2*IFERROR(INDEX(Limpiavidrios[],MATCH(CostoKg[[#This Row],[PRODUCTO]],Limpiavidrios[M.P.],0),3),0)</f>
        <v>0</v>
      </c>
      <c r="W13" s="69">
        <f>W$2*IFERROR(INDEX(RemovedorDeCeras[],MATCH(CostoKg[[#This Row],[PRODUCTO]],RemovedorDeCeras[M.P.],0),3),0)</f>
        <v>0</v>
      </c>
      <c r="X13" s="69">
        <f>X$2*IFERROR(INDEX(ShampooAlfombras[],MATCH(CostoKg[[#This Row],[PRODUCTO]],ShampooAlfombras[M.P.],0),3),0)</f>
        <v>0</v>
      </c>
      <c r="Y13" s="69">
        <f>Y$2*IFERROR(INDEX(ShampooAuto[],MATCH(CostoKg[[#This Row],[PRODUCTO]], ShampooAuto[M.P.],0),3),0)</f>
        <v>0</v>
      </c>
      <c r="Z13" s="69">
        <f>Z$2*IFERROR(INDEX(SiliconaAltoBrillo[],MATCH(CostoKg[[#This Row],[PRODUCTO]],SiliconaAltoBrillo[M.P.],0),3),0)</f>
        <v>0</v>
      </c>
      <c r="AA13" s="69">
        <f>AA$2*IFERROR(INDEX(Suavizante[],MATCH(CostoKg[[#This Row],[PRODUCTO]],Suavizante[M.P.],0),3),0)</f>
        <v>0</v>
      </c>
      <c r="AB13" s="69">
        <f>AB$2*IFERROR(INDEX(Vinagre[],MATCH(CostoKg[[#This Row],[PRODUCTO]], Vinagre[M.P.],0),3),0)</f>
        <v>0</v>
      </c>
    </row>
    <row r="14" spans="1:28">
      <c r="A14" s="31" t="s">
        <v>755</v>
      </c>
      <c r="B14" s="78">
        <f t="shared" si="0"/>
        <v>221.55</v>
      </c>
      <c r="C14" s="69">
        <f>C$2*IFERROR(INDEX(AlcoholIndustrial[],MATCH(CostoKg[[#This Row],[PRODUCTO]],AlcoholIndustrial[M.P.],0),3),0)</f>
        <v>0</v>
      </c>
      <c r="D14" s="69">
        <f>D$2*IFERROR(INDEX(AmbientadorPiso[],MATCH(CostoKg[[#This Row],[PRODUCTO]],AmbientadorPiso[M.P.],0),3),0)</f>
        <v>0</v>
      </c>
      <c r="E14" s="69">
        <f>E$2*IFERROR(INDEX(AmbientadorSpray[],MATCH(CostoKg[[#This Row],[PRODUCTO]],AmbientadorSpray[M.P.],0),3),0)</f>
        <v>0</v>
      </c>
      <c r="F14" s="69">
        <f>F$2*IFERROR(INDEX(Biovarsol[],MATCH(CostoKg[[#This Row],[PRODUCTO]],Biovarsol[M.P.],0),3),0)</f>
        <v>0</v>
      </c>
      <c r="G14" s="69">
        <f>G$2*IFERROR(INDEX(BlanqueadorDesinfectante[],MATCH(CostoKg[[#This Row],[PRODUCTO]],BlanqueadorDesinfectante[M.P.],0),3),0)</f>
        <v>0</v>
      </c>
      <c r="H14" s="69">
        <f>H$2*IFERROR(INDEX(CeraAutobrillante[],MATCH(CostoKg[[#This Row],[PRODUCTO]],CeraAutobrillante[M.P.],0),3),0)</f>
        <v>0</v>
      </c>
      <c r="I14" s="69">
        <f>I$2*IFERROR(INDEX(Creolina[],MATCH(CostoKg[[#This Row],[PRODUCTO]],Creolina[M.P.],0),3),0)</f>
        <v>0</v>
      </c>
      <c r="J14" s="69">
        <f>J$2*IFERROR(INDEX(Desencrustante[],MATCH(CostoKg[[#This Row],[PRODUCTO]],Desencrustante[M.P.],0),3),0)</f>
        <v>0</v>
      </c>
      <c r="K14" s="69">
        <f>K$2*IFERROR(INDEX(DesengrasanteAcido[],MATCH(CostoKg[[#This Row],[PRODUCTO]],DesengrasanteAcido[M.P.],0),3),0)</f>
        <v>0</v>
      </c>
      <c r="L14" s="69">
        <f>L$2*IFERROR(INDEX(DesengrasanteEspumoso[],MATCH(CostoKg[[#This Row],[PRODUCTO]],DesengrasanteEspumoso[M.P.],0),3),0)</f>
        <v>8.8620000000000001</v>
      </c>
      <c r="M14" s="69">
        <f>M$2*IFERROR(INDEX(DesmanchadorRopaColor[],MATCH(CostoKg[[#This Row],[PRODUCTO]],DesmanchadorRopaColor[M.P.],0),3),0)</f>
        <v>0</v>
      </c>
      <c r="N14" s="69">
        <f>N$2*IFERROR(INDEX(DetLavadora[],MATCH(CostoKg[[#This Row],[PRODUCTO]],DetLavadora[M.P.],0),3),0)</f>
        <v>0</v>
      </c>
      <c r="O14" s="69">
        <f>O$2*IFERROR(INDEX(DetMultiusos[],MATCH(CostoKg[[#This Row],[PRODUCTO]],DetMultiusos[M.P.],0),3),0)</f>
        <v>59.08</v>
      </c>
      <c r="P14" s="69">
        <f>P$2*IFERROR(INDEX(TipoRey[],MATCH(CostoKg[[#This Row],[PRODUCTO]],TipoRey[M.P.],0),3),0)</f>
        <v>29.54</v>
      </c>
      <c r="Q14" s="69">
        <f>Q$2*IFERROR(INDEX(GelAntibacterial[],MATCH(CostoKg[[#This Row],[PRODUCTO]],GelAntibacterial[M.P.],0),3),0)</f>
        <v>0</v>
      </c>
      <c r="R14" s="69">
        <f>R$2*IFERROR(INDEX(JabonManos[],MATCH(CostoKg[[#This Row],[PRODUCTO]],JabonManos[M.P.],0),3),0)</f>
        <v>5.9080000000000004</v>
      </c>
      <c r="S14" s="69">
        <f>S$2*IFERROR(INDEX(JabonLavaLoza[],MATCH(CostoKg[[#This Row],[PRODUCTO]],JabonLavaLoza[M.P.],0),3),0)</f>
        <v>0</v>
      </c>
      <c r="T14" s="69">
        <f>T$2*IFERROR(INDEX(LimpiadorDeSuperficies[],MATCH(CostoKg[[#This Row],[PRODUCTO]],LimpiadorDeSuperficies[M.P.],0),3),0)</f>
        <v>0</v>
      </c>
      <c r="U14" s="69">
        <f>U$2*IFERROR(INDEX(LimpiadorHornos[],MATCH(CostoKg[[#This Row],[PRODUCTO]],LimpiadorHornos[M.P.],0),3),0)</f>
        <v>0</v>
      </c>
      <c r="V14" s="69">
        <f>V$2*IFERROR(INDEX(Limpiavidrios[],MATCH(CostoKg[[#This Row],[PRODUCTO]],Limpiavidrios[M.P.],0),3),0)</f>
        <v>0</v>
      </c>
      <c r="W14" s="69">
        <f>W$2*IFERROR(INDEX(RemovedorDeCeras[],MATCH(CostoKg[[#This Row],[PRODUCTO]],RemovedorDeCeras[M.P.],0),3),0)</f>
        <v>0</v>
      </c>
      <c r="X14" s="69">
        <f>X$2*IFERROR(INDEX(ShampooAlfombras[],MATCH(CostoKg[[#This Row],[PRODUCTO]],ShampooAlfombras[M.P.],0),3),0)</f>
        <v>59.08</v>
      </c>
      <c r="Y14" s="69">
        <f>Y$2*IFERROR(INDEX(ShampooAuto[],MATCH(CostoKg[[#This Row],[PRODUCTO]], ShampooAuto[M.P.],0),3),0)</f>
        <v>59.08</v>
      </c>
      <c r="Z14" s="69">
        <f>Z$2*IFERROR(INDEX(SiliconaAltoBrillo[],MATCH(CostoKg[[#This Row],[PRODUCTO]],SiliconaAltoBrillo[M.P.],0),3),0)</f>
        <v>0</v>
      </c>
      <c r="AA14" s="69">
        <f>AA$2*IFERROR(INDEX(Suavizante[],MATCH(CostoKg[[#This Row],[PRODUCTO]],Suavizante[M.P.],0),3),0)</f>
        <v>0</v>
      </c>
      <c r="AB14" s="69">
        <f>AB$2*IFERROR(INDEX(Vinagre[],MATCH(CostoKg[[#This Row],[PRODUCTO]], Vinagre[M.P.],0),3),0)</f>
        <v>0</v>
      </c>
    </row>
    <row r="15" spans="1:28">
      <c r="A15" s="31" t="s">
        <v>756</v>
      </c>
      <c r="B15" s="78">
        <f t="shared" si="0"/>
        <v>0</v>
      </c>
      <c r="C15" s="69">
        <f>C$2*IFERROR(INDEX(AlcoholIndustrial[],MATCH(CostoKg[[#This Row],[PRODUCTO]],AlcoholIndustrial[M.P.],0),3),0)</f>
        <v>0</v>
      </c>
      <c r="D15" s="69">
        <f>D$2*IFERROR(INDEX(AmbientadorPiso[],MATCH(CostoKg[[#This Row],[PRODUCTO]],AmbientadorPiso[M.P.],0),3),0)</f>
        <v>0</v>
      </c>
      <c r="E15" s="69">
        <f>E$2*IFERROR(INDEX(AmbientadorSpray[],MATCH(CostoKg[[#This Row],[PRODUCTO]],AmbientadorSpray[M.P.],0),3),0)</f>
        <v>0</v>
      </c>
      <c r="F15" s="69">
        <f>F$2*IFERROR(INDEX(Biovarsol[],MATCH(CostoKg[[#This Row],[PRODUCTO]],Biovarsol[M.P.],0),3),0)</f>
        <v>0</v>
      </c>
      <c r="G15" s="69">
        <f>G$2*IFERROR(INDEX(BlanqueadorDesinfectante[],MATCH(CostoKg[[#This Row],[PRODUCTO]],BlanqueadorDesinfectante[M.P.],0),3),0)</f>
        <v>0</v>
      </c>
      <c r="H15" s="69">
        <f>H$2*IFERROR(INDEX(CeraAutobrillante[],MATCH(CostoKg[[#This Row],[PRODUCTO]],CeraAutobrillante[M.P.],0),3),0)</f>
        <v>0</v>
      </c>
      <c r="I15" s="69">
        <f>I$2*IFERROR(INDEX(Creolina[],MATCH(CostoKg[[#This Row],[PRODUCTO]],Creolina[M.P.],0),3),0)</f>
        <v>0</v>
      </c>
      <c r="J15" s="69">
        <f>J$2*IFERROR(INDEX(Desencrustante[],MATCH(CostoKg[[#This Row],[PRODUCTO]],Desencrustante[M.P.],0),3),0)</f>
        <v>0</v>
      </c>
      <c r="K15" s="69">
        <f>K$2*IFERROR(INDEX(DesengrasanteAcido[],MATCH(CostoKg[[#This Row],[PRODUCTO]],DesengrasanteAcido[M.P.],0),3),0)</f>
        <v>0</v>
      </c>
      <c r="L15" s="69">
        <f>L$2*IFERROR(INDEX(DesengrasanteEspumoso[],MATCH(CostoKg[[#This Row],[PRODUCTO]],DesengrasanteEspumoso[M.P.],0),3),0)</f>
        <v>0</v>
      </c>
      <c r="M15" s="69">
        <f>M$2*IFERROR(INDEX(DesmanchadorRopaColor[],MATCH(CostoKg[[#This Row],[PRODUCTO]],DesmanchadorRopaColor[M.P.],0),3),0)</f>
        <v>0</v>
      </c>
      <c r="N15" s="69">
        <f>N$2*IFERROR(INDEX(DetLavadora[],MATCH(CostoKg[[#This Row],[PRODUCTO]],DetLavadora[M.P.],0),3),0)</f>
        <v>0</v>
      </c>
      <c r="O15" s="69">
        <f>O$2*IFERROR(INDEX(DetMultiusos[],MATCH(CostoKg[[#This Row],[PRODUCTO]],DetMultiusos[M.P.],0),3),0)</f>
        <v>0</v>
      </c>
      <c r="P15" s="69">
        <f>P$2*IFERROR(INDEX(TipoRey[],MATCH(CostoKg[[#This Row],[PRODUCTO]],TipoRey[M.P.],0),3),0)</f>
        <v>0</v>
      </c>
      <c r="Q15" s="69">
        <f>Q$2*IFERROR(INDEX(GelAntibacterial[],MATCH(CostoKg[[#This Row],[PRODUCTO]],GelAntibacterial[M.P.],0),3),0)</f>
        <v>0</v>
      </c>
      <c r="R15" s="69">
        <f>R$2*IFERROR(INDEX(JabonManos[],MATCH(CostoKg[[#This Row],[PRODUCTO]],JabonManos[M.P.],0),3),0)</f>
        <v>0</v>
      </c>
      <c r="S15" s="69">
        <f>S$2*IFERROR(INDEX(JabonLavaLoza[],MATCH(CostoKg[[#This Row],[PRODUCTO]],JabonLavaLoza[M.P.],0),3),0)</f>
        <v>0</v>
      </c>
      <c r="T15" s="69">
        <f>T$2*IFERROR(INDEX(LimpiadorDeSuperficies[],MATCH(CostoKg[[#This Row],[PRODUCTO]],LimpiadorDeSuperficies[M.P.],0),3),0)</f>
        <v>0</v>
      </c>
      <c r="U15" s="69">
        <f>U$2*IFERROR(INDEX(LimpiadorHornos[],MATCH(CostoKg[[#This Row],[PRODUCTO]],LimpiadorHornos[M.P.],0),3),0)</f>
        <v>0</v>
      </c>
      <c r="V15" s="69">
        <f>V$2*IFERROR(INDEX(Limpiavidrios[],MATCH(CostoKg[[#This Row],[PRODUCTO]],Limpiavidrios[M.P.],0),3),0)</f>
        <v>0</v>
      </c>
      <c r="W15" s="69">
        <f>W$2*IFERROR(INDEX(RemovedorDeCeras[],MATCH(CostoKg[[#This Row],[PRODUCTO]],RemovedorDeCeras[M.P.],0),3),0)</f>
        <v>0</v>
      </c>
      <c r="X15" s="69">
        <f>X$2*IFERROR(INDEX(ShampooAlfombras[],MATCH(CostoKg[[#This Row],[PRODUCTO]],ShampooAlfombras[M.P.],0),3),0)</f>
        <v>0</v>
      </c>
      <c r="Y15" s="69">
        <f>Y$2*IFERROR(INDEX(ShampooAuto[],MATCH(CostoKg[[#This Row],[PRODUCTO]], ShampooAuto[M.P.],0),3),0)</f>
        <v>0</v>
      </c>
      <c r="Z15" s="69">
        <f>Z$2*IFERROR(INDEX(SiliconaAltoBrillo[],MATCH(CostoKg[[#This Row],[PRODUCTO]],SiliconaAltoBrillo[M.P.],0),3),0)</f>
        <v>0</v>
      </c>
      <c r="AA15" s="69">
        <f>AA$2*IFERROR(INDEX(Suavizante[],MATCH(CostoKg[[#This Row],[PRODUCTO]],Suavizante[M.P.],0),3),0)</f>
        <v>0</v>
      </c>
      <c r="AB15" s="69">
        <f>AB$2*IFERROR(INDEX(Vinagre[],MATCH(CostoKg[[#This Row],[PRODUCTO]], Vinagre[M.P.],0),3),0)</f>
        <v>0</v>
      </c>
    </row>
    <row r="16" spans="1:28">
      <c r="A16" s="31" t="s">
        <v>757</v>
      </c>
      <c r="B16" s="78">
        <f t="shared" si="0"/>
        <v>7615.7023399999998</v>
      </c>
      <c r="C16" s="69">
        <f>C$2*IFERROR(INDEX(AlcoholIndustrial[],MATCH(CostoKg[[#This Row],[PRODUCTO]],AlcoholIndustrial[M.P.],0),3),0)</f>
        <v>0</v>
      </c>
      <c r="D16" s="69">
        <f>D$2*IFERROR(INDEX(AmbientadorPiso[],MATCH("Fragancia Ambientador",AmbientadorPiso[M.P.],0),3),0)</f>
        <v>1065</v>
      </c>
      <c r="E16" s="69">
        <f>E$2*IFERROR(INDEX(AmbientadorSpray[],MATCH("Fragancia Amb spray",AmbientadorSpray[M.P.],0),3),0)</f>
        <v>1068.2</v>
      </c>
      <c r="F16" s="69">
        <f>F$2*IFERROR(INDEX(Biovarsol[],MATCH(CostoKg[[#This Row],[PRODUCTO]],Biovarsol[M.P.],0),3),0)</f>
        <v>0</v>
      </c>
      <c r="G16" s="69">
        <f>G$2*IFERROR(INDEX(BlanqueadorDesinfectante[],MATCH(CostoKg[[#This Row],[PRODUCTO]],BlanqueadorDesinfectante[M.P.],0),3),0)</f>
        <v>0</v>
      </c>
      <c r="H16" s="69">
        <f>H$2*IFERROR(INDEX(CeraAutobrillante[],MATCH(CostoKg[[#This Row],[PRODUCTO]],CeraAutobrillante[M.P.],0),3),0)</f>
        <v>0</v>
      </c>
      <c r="I16" s="69">
        <f>I$2*IFERROR(INDEX(Creolina[],MATCH(CostoKg[[#This Row],[PRODUCTO]],Creolina[M.P.],0),3),0)</f>
        <v>0</v>
      </c>
      <c r="J16" s="69">
        <f>J$2*IFERROR(INDEX(Desencrustante[],MATCH(CostoKg[[#This Row],[PRODUCTO]],Desencrustante[M.P.],0),3),0)</f>
        <v>0</v>
      </c>
      <c r="K16" s="69">
        <f>K$2*IFERROR(INDEX(DesengrasanteAcido[],MATCH(CostoKg[[#This Row],[PRODUCTO]],DesengrasanteAcido[M.P.],0),3),0)</f>
        <v>0</v>
      </c>
      <c r="L16" s="69">
        <f>L$2*IFERROR(INDEX(DesengrasanteEspumoso[],MATCH(CostoKg[[#This Row],[PRODUCTO]],DesengrasanteEspumoso[M.P.],0),3),0)</f>
        <v>0</v>
      </c>
      <c r="M16" s="69">
        <f>M$2*IFERROR(INDEX(DesmanchadorRopaColor[],MATCH(CostoKg[[#This Row],[PRODUCTO]],DesmanchadorRopaColor[M.P.],0),3),0)</f>
        <v>0</v>
      </c>
      <c r="N16" s="69">
        <f>N$2*IFERROR(INDEX(DetLavadora[],MATCH("Fragancia Lavadora",DetLavadora[M.P.],0),3),0)</f>
        <v>639.57600000000002</v>
      </c>
      <c r="O16" s="69">
        <f>O$2*IFERROR(INDEX(DetMultiusos[],MATCH("Fragancia Multiusos",DetMultiusos[M.P.],0),3),0)</f>
        <v>274.78500000000003</v>
      </c>
      <c r="P16" s="69">
        <f>P$2*IFERROR(INDEX(TipoRey[],MATCH(CostoKg[[#This Row],[PRODUCTO]],TipoRey[M.P.],0),3),0)</f>
        <v>0</v>
      </c>
      <c r="Q16" s="69">
        <f>Q$2*IFERROR(INDEX(GelAntibacterial[],MATCH(CostoKg[[#This Row],[PRODUCTO]],GelAntibacterial[M.P.],0),3),0)</f>
        <v>0</v>
      </c>
      <c r="R16" s="69">
        <f>R$2*IFERROR(INDEX(JabonManos[],MATCH("Fragancia Manos",JabonManos[M.P.],0),3),0)</f>
        <v>370.90129999999999</v>
      </c>
      <c r="S16" s="69">
        <f>S$2*IFERROR(INDEX(JabonLavaLoza[],MATCH("Fragancia limón",JabonLavaLoza[M.P.],0),3),0)</f>
        <v>185.24939999999998</v>
      </c>
      <c r="T16" s="69">
        <f>T$2*IFERROR(INDEX(LimpiadorDeSuperficies[],MATCH("Fragancia limpiador",LimpiadorDeSuperficies[M.P.],0),3),0)</f>
        <v>1582.28</v>
      </c>
      <c r="U16" s="69">
        <f>U$2*IFERROR(INDEX(LimpiadorHornos[],MATCH(CostoKg[[#This Row],[PRODUCTO]],LimpiadorHornos[M.P.],0),3),0)</f>
        <v>0</v>
      </c>
      <c r="V16" s="69">
        <f>V$2*IFERROR(INDEX(Limpiavidrios[],MATCH(CostoKg[[#This Row],[PRODUCTO]],Limpiavidrios[M.P.],0),3),0)</f>
        <v>0</v>
      </c>
      <c r="W16" s="69">
        <f>W$2*IFERROR(INDEX(RemovedorDeCeras[],MATCH(CostoKg[[#This Row],[PRODUCTO]],RemovedorDeCeras[M.P.],0),3),0)</f>
        <v>0</v>
      </c>
      <c r="X16" s="69">
        <f>X$2*IFERROR(INDEX(ShampooAlfombras[],MATCH("Fragancia Alfombras",ShampooAlfombras[M.P.],0),3),0)</f>
        <v>296.8</v>
      </c>
      <c r="Y16" s="69">
        <f>Y$2*IFERROR(INDEX(ShampooAuto[],MATCH("Fragancia Carros",ShampooAuto[M.P.],0),3),0)</f>
        <v>409.85</v>
      </c>
      <c r="Z16" s="69">
        <f>Z$2*IFERROR(INDEX(SiliconaAltoBrillo[],MATCH("Fragancia Talco",SiliconaAltoBrillo[M.P.],0),3),0)</f>
        <v>265.97899999999998</v>
      </c>
      <c r="AA16" s="69">
        <f>AA$2*IFERROR(INDEX(Suavizante[],MATCH("Fragancia suavizante",Suavizante[M.P.],0),3),0)</f>
        <v>1457.0816399999999</v>
      </c>
      <c r="AB16" s="69">
        <f>AB$2*IFERROR(INDEX(Vinagre[],MATCH(CostoKg[[#This Row],[PRODUCTO]], Vinagre[M.P.],0),3),0)</f>
        <v>0</v>
      </c>
    </row>
    <row r="17" spans="1:28">
      <c r="A17" s="31" t="s">
        <v>758</v>
      </c>
      <c r="B17" s="78">
        <f t="shared" si="0"/>
        <v>716.46399999999994</v>
      </c>
      <c r="C17" s="69">
        <f>C$2*IFERROR(INDEX(AlcoholIndustrial[],MATCH(CostoKg[[#This Row],[PRODUCTO]],AlcoholIndustrial[M.P.],0),3),0)</f>
        <v>0</v>
      </c>
      <c r="D17" s="69">
        <f>D$2*IFERROR(INDEX(AmbientadorPiso[],MATCH("Color Ambientador",AmbientadorPiso[M.P.],0),3),0)</f>
        <v>5.8170000000000002</v>
      </c>
      <c r="E17" s="69">
        <f>E$2*IFERROR(INDEX(AmbientadorSpray[],MATCH("Color Amb spray",AmbientadorSpray[M.P.],0),3),0)</f>
        <v>5.8170000000000002</v>
      </c>
      <c r="F17" s="69">
        <f>F$2*IFERROR(INDEX(Biovarsol[],MATCH(CostoKg[[#This Row],[PRODUCTO]],Biovarsol[M.P.],0),3),0)</f>
        <v>0</v>
      </c>
      <c r="G17" s="69">
        <f>G$2*IFERROR(INDEX(BlanqueadorDesinfectante[],MATCH(CostoKg[[#This Row],[PRODUCTO]],BlanqueadorDesinfectante[M.P.],0),3),0)</f>
        <v>0</v>
      </c>
      <c r="H17" s="69">
        <f>H$2*IFERROR(INDEX(CeraAutobrillante[],MATCH(CostoKg[[#This Row],[PRODUCTO]],CeraAutobrillante[M.P.],0),3),0)</f>
        <v>0</v>
      </c>
      <c r="I17" s="69">
        <f>I$2*IFERROR(INDEX(Creolina[],MATCH(CostoKg[[#This Row],[PRODUCTO]],Creolina[M.P.],0),3),0)</f>
        <v>0</v>
      </c>
      <c r="J17" s="69">
        <f>J$2*IFERROR(INDEX(Desencrustante[],MATCH(CostoKg[[#This Row],[PRODUCTO]],Desencrustante[M.P.],0),3),0)</f>
        <v>0</v>
      </c>
      <c r="K17" s="69">
        <f>K$2*IFERROR(INDEX(DesengrasanteAcido[],MATCH(CostoKg[[#This Row],[PRODUCTO]],DesengrasanteAcido[M.P.],0),3),0)</f>
        <v>0</v>
      </c>
      <c r="L17" s="69">
        <f>L$2*IFERROR(INDEX(DesengrasanteEspumoso[],MATCH(CostoKg[[#This Row],[PRODUCTO]],DesengrasanteEspumoso[M.P.],0),3),0)</f>
        <v>0</v>
      </c>
      <c r="M17" s="69">
        <f>M$2*IFERROR(INDEX(DesmanchadorRopaColor[],MATCH(CostoKg[[#This Row],[PRODUCTO]],DesmanchadorRopaColor[M.P.],0),3),0)</f>
        <v>0</v>
      </c>
      <c r="N17" s="69">
        <f>N$2*IFERROR(INDEX(DetLavadora[],MATCH("Color azul",DetLavadora[M.P.],0),3),0)+N$2*IFERROR(INDEX(DetLavadora[],MATCH("Color verde limón",DetLavadora[M.P.],0),3),0)</f>
        <v>34.902000000000001</v>
      </c>
      <c r="O17" s="69">
        <f>O$2*IFERROR(INDEX(DetMultiusos[],MATCH(CostoKg[[#This Row],[PRODUCTO]],DetMultiusos[M.P.],0),3),0)</f>
        <v>0</v>
      </c>
      <c r="P17" s="69">
        <f>P$2*IFERROR(INDEX(TipoRey[],MATCH(CostoKg[[#This Row],[PRODUCTO]],TipoRey[M.P.],0),3),0)</f>
        <v>0</v>
      </c>
      <c r="Q17" s="69">
        <f>Q$2*IFERROR(INDEX(GelAntibacterial[],MATCH(CostoKg[[#This Row],[PRODUCTO]],GelAntibacterial[M.P.],0),3),0)</f>
        <v>0</v>
      </c>
      <c r="R17" s="69">
        <f>R$2*IFERROR(INDEX(JabonManos[],MATCH("Color manos",JabonManos[M.P.],0),3),0)</f>
        <v>11.634</v>
      </c>
      <c r="S17" s="69">
        <f>S$2*IFERROR(INDEX(JabonLavaLoza[],MATCH("Color verde limón",JabonLavaLoza[M.P.],0),3),0)</f>
        <v>11.634</v>
      </c>
      <c r="T17" s="69">
        <f>T$2*IFERROR(INDEX(LimpiadorDeSuperficies[],MATCH("Color limpiador",LimpiadorDeSuperficies[M.P.],0),3),0)</f>
        <v>11.634</v>
      </c>
      <c r="U17" s="69">
        <f>U$2*IFERROR(INDEX(LimpiadorHornos[],MATCH("Color Verde Piranina",LimpiadorHornos[M.P.],0),3),0)</f>
        <v>169.666</v>
      </c>
      <c r="V17" s="69">
        <f>V$2*IFERROR(INDEX(Limpiavidrios[],MATCH(CostoKg[[#This Row],[PRODUCTO]],Limpiavidrios[M.P.],0),3),0)</f>
        <v>0</v>
      </c>
      <c r="W17" s="69">
        <f>W$2*IFERROR(INDEX(RemovedorDeCeras[],MATCH(CostoKg[[#This Row],[PRODUCTO]],RemovedorDeCeras[M.P.],0),3),0)</f>
        <v>0</v>
      </c>
      <c r="X17" s="69">
        <f>X$2*IFERROR(INDEX(ShampooAlfombras[],MATCH("Color Alfombras",ShampooAlfombras[M.P.],0),3),0)</f>
        <v>232.68</v>
      </c>
      <c r="Y17" s="69">
        <f>Y$2*IFERROR(INDEX(ShampooAuto[],MATCH("Color Carros",ShampooAuto[M.P.],0),3),0)</f>
        <v>232.68</v>
      </c>
      <c r="Z17" s="69">
        <f>Z$2*IFERROR(INDEX(SiliconaAltoBrillo[],MATCH(CostoKg[[#This Row],[PRODUCTO]],SiliconaAltoBrillo[M.P.],0),3),0)</f>
        <v>0</v>
      </c>
      <c r="AA17" s="69">
        <f>AA$2*IFERROR(INDEX(Suavizante[],MATCH(CostoKg[[#This Row],[PRODUCTO]],Suavizante[M.P.],0),3),0)</f>
        <v>0</v>
      </c>
      <c r="AB17" s="69">
        <f>AB$2*IFERROR(INDEX(Vinagre[],MATCH(CostoKg[[#This Row],[PRODUCTO]], Vinagre[M.P.],0),3),0)</f>
        <v>0</v>
      </c>
    </row>
    <row r="18" spans="1:28">
      <c r="A18" s="31" t="s">
        <v>759</v>
      </c>
      <c r="B18" s="78">
        <f t="shared" si="0"/>
        <v>997.49474999999995</v>
      </c>
      <c r="C18" s="69">
        <f>C$2*IFERROR(INDEX(AlcoholIndustrial[],MATCH(CostoKg[[#This Row],[PRODUCTO]],AlcoholIndustrial[M.P.],0),3),0)</f>
        <v>0</v>
      </c>
      <c r="D18" s="69">
        <f>D$2*IFERROR(INDEX(AmbientadorPiso[],MATCH(CostoKg[[#This Row],[PRODUCTO]],AmbientadorPiso[M.P.],0),3),0)</f>
        <v>0</v>
      </c>
      <c r="E18" s="69">
        <f>E$2*IFERROR(INDEX(AmbientadorSpray[],MATCH(CostoKg[[#This Row],[PRODUCTO]],AmbientadorSpray[M.P.],0),3),0)</f>
        <v>0</v>
      </c>
      <c r="F18" s="69">
        <f>F$2*IFERROR(INDEX(Biovarsol[],MATCH(CostoKg[[#This Row],[PRODUCTO]],Biovarsol[M.P.],0),3),0)</f>
        <v>0</v>
      </c>
      <c r="G18" s="69">
        <f>G$2*IFERROR(INDEX(BlanqueadorDesinfectante[],MATCH(CostoKg[[#This Row],[PRODUCTO]],BlanqueadorDesinfectante[M.P.],0),3),0)</f>
        <v>0</v>
      </c>
      <c r="H18" s="69">
        <f>H$2*IFERROR(INDEX(CeraAutobrillante[],MATCH(CostoKg[[#This Row],[PRODUCTO]],CeraAutobrillante[M.P.],0),3),0)</f>
        <v>0</v>
      </c>
      <c r="I18" s="69">
        <f>I$2*IFERROR(INDEX(Creolina[],MATCH(CostoKg[[#This Row],[PRODUCTO]],Creolina[M.P.],0),3),0)</f>
        <v>0</v>
      </c>
      <c r="J18" s="69">
        <f>J$2*IFERROR(INDEX(Desencrustante[],MATCH(CostoKg[[#This Row],[PRODUCTO]],Desencrustante[M.P.],0),3),0)</f>
        <v>0</v>
      </c>
      <c r="K18" s="69">
        <f>K$2*IFERROR(INDEX(DesengrasanteAcido[],MATCH(CostoKg[[#This Row],[PRODUCTO]],DesengrasanteAcido[M.P.],0),3),0)</f>
        <v>0</v>
      </c>
      <c r="L18" s="69">
        <f>L$2*IFERROR(INDEX(DesengrasanteEspumoso[],MATCH(CostoKg[[#This Row],[PRODUCTO]],DesengrasanteEspumoso[M.P.],0),3),0)</f>
        <v>0</v>
      </c>
      <c r="M18" s="69">
        <f>M$2*IFERROR(INDEX(DesmanchadorRopaColor[],MATCH(CostoKg[[#This Row],[PRODUCTO]],DesmanchadorRopaColor[M.P.],0),3),0)</f>
        <v>0</v>
      </c>
      <c r="N18" s="69">
        <f>N$2*IFERROR(INDEX(DetLavadora[],MATCH(CostoKg[[#This Row],[PRODUCTO]],DetLavadora[M.P.],0),3),0)</f>
        <v>0</v>
      </c>
      <c r="O18" s="69">
        <f>O$2*IFERROR(INDEX(DetMultiusos[],MATCH(CostoKg[[#This Row],[PRODUCTO]],DetMultiusos[M.P.],0),3),0)</f>
        <v>0</v>
      </c>
      <c r="P18" s="69">
        <f>P$2*IFERROR(INDEX(TipoRey[],MATCH(CostoKg[[#This Row],[PRODUCTO]],TipoRey[M.P.],0),3),0)</f>
        <v>0</v>
      </c>
      <c r="Q18" s="69">
        <f>Q$2*IFERROR(INDEX(GelAntibacterial[],MATCH(CostoKg[[#This Row],[PRODUCTO]],GelAntibacterial[M.P.],0),3),0)</f>
        <v>0</v>
      </c>
      <c r="R18" s="69">
        <f>R$2*IFERROR(INDEX(JabonManos[],MATCH(CostoKg[[#This Row],[PRODUCTO]],JabonManos[M.P.],0),3),0)</f>
        <v>0</v>
      </c>
      <c r="S18" s="69">
        <f>S$2*IFERROR(INDEX(JabonLavaLoza[],MATCH(CostoKg[[#This Row],[PRODUCTO]],JabonLavaLoza[M.P.],0),3),0)</f>
        <v>0</v>
      </c>
      <c r="T18" s="69">
        <f>T$2*IFERROR(INDEX(LimpiadorDeSuperficies[],MATCH(CostoKg[[#This Row],[PRODUCTO]],LimpiadorDeSuperficies[M.P.],0),3),0)</f>
        <v>0</v>
      </c>
      <c r="U18" s="69">
        <f>U$2*IFERROR(INDEX(LimpiadorHornos[],MATCH(CostoKg[[#This Row],[PRODUCTO]],LimpiadorHornos[M.P.],0),3),0)</f>
        <v>0</v>
      </c>
      <c r="V18" s="69">
        <f>V$2*IFERROR(INDEX(Limpiavidrios[],MATCH(CostoKg[[#This Row],[PRODUCTO]],Limpiavidrios[M.P.],0),3),0)</f>
        <v>0</v>
      </c>
      <c r="W18" s="69">
        <f>W$2*IFERROR(INDEX(RemovedorDeCeras[],MATCH(CostoKg[[#This Row],[PRODUCTO]],RemovedorDeCeras[M.P.],0),3),0)</f>
        <v>0</v>
      </c>
      <c r="X18" s="69">
        <f>X$2*IFERROR(INDEX(ShampooAlfombras[],MATCH(CostoKg[[#This Row],[PRODUCTO]],ShampooAlfombras[M.P.],0),3),0)</f>
        <v>0</v>
      </c>
      <c r="Y18" s="69">
        <f>Y$2*IFERROR(INDEX(ShampooAuto[],MATCH(CostoKg[[#This Row],[PRODUCTO]], ShampooAuto[M.P.],0),3),0)</f>
        <v>0</v>
      </c>
      <c r="Z18" s="69">
        <f>Z$2*IFERROR(INDEX(SiliconaAltoBrillo[],MATCH(CostoKg[[#This Row],[PRODUCTO]],SiliconaAltoBrillo[M.P.],0),3),0)</f>
        <v>0</v>
      </c>
      <c r="AA18" s="69">
        <f>AA$2*IFERROR(INDEX(Suavizante[],MATCH(CostoKg[[#This Row],[PRODUCTO]],Suavizante[M.P.],0),3),0)</f>
        <v>0</v>
      </c>
      <c r="AB18" s="69">
        <f>AB$2*IFERROR(INDEX(Vinagre[],MATCH(CostoKg[[#This Row],[PRODUCTO]], Vinagre[M.P.],0),3),0)</f>
        <v>997.49474999999995</v>
      </c>
    </row>
    <row r="19" spans="1:28">
      <c r="A19" s="31" t="s">
        <v>760</v>
      </c>
      <c r="B19" s="78">
        <f t="shared" si="0"/>
        <v>2432.25675</v>
      </c>
      <c r="C19" s="69">
        <f>C$2*IFERROR(INDEX(AlcoholIndustrial[],MATCH(CostoKg[[#This Row],[PRODUCTO]],AlcoholIndustrial[M.P.],0),3),0)</f>
        <v>0</v>
      </c>
      <c r="D19" s="69">
        <f>D$2*IFERROR(INDEX(AmbientadorPiso[],MATCH(CostoKg[[#This Row],[PRODUCTO]],AmbientadorPiso[M.P.],0),3),0)</f>
        <v>0</v>
      </c>
      <c r="E19" s="69">
        <f>E$2*IFERROR(INDEX(AmbientadorSpray[],MATCH(CostoKg[[#This Row],[PRODUCTO]],AmbientadorSpray[M.P.],0),3),0)</f>
        <v>0</v>
      </c>
      <c r="F19" s="69">
        <f>F$2*IFERROR(INDEX(Biovarsol[],MATCH(CostoKg[[#This Row],[PRODUCTO]],Biovarsol[M.P.],0),3),0)</f>
        <v>0</v>
      </c>
      <c r="G19" s="69">
        <f>G$2*IFERROR(INDEX(BlanqueadorDesinfectante[],MATCH(CostoKg[[#This Row],[PRODUCTO]],BlanqueadorDesinfectante[M.P.],0),3),0)</f>
        <v>0</v>
      </c>
      <c r="H19" s="69">
        <f>H$2*IFERROR(INDEX(CeraAutobrillante[],MATCH(CostoKg[[#This Row],[PRODUCTO]],CeraAutobrillante[M.P.],0),3),0)</f>
        <v>0</v>
      </c>
      <c r="I19" s="69">
        <f>I$2*IFERROR(INDEX(Creolina[],MATCH(CostoKg[[#This Row],[PRODUCTO]],Creolina[M.P.],0),3),0)</f>
        <v>2432.25675</v>
      </c>
      <c r="J19" s="69">
        <f>J$2*IFERROR(INDEX(Desencrustante[],MATCH(CostoKg[[#This Row],[PRODUCTO]],Desencrustante[M.P.],0),3),0)</f>
        <v>0</v>
      </c>
      <c r="K19" s="69">
        <f>K$2*IFERROR(INDEX(DesengrasanteAcido[],MATCH(CostoKg[[#This Row],[PRODUCTO]],DesengrasanteAcido[M.P.],0),3),0)</f>
        <v>0</v>
      </c>
      <c r="L19" s="69">
        <f>L$2*IFERROR(INDEX(DesengrasanteEspumoso[],MATCH(CostoKg[[#This Row],[PRODUCTO]],DesengrasanteEspumoso[M.P.],0),3),0)</f>
        <v>0</v>
      </c>
      <c r="M19" s="69">
        <f>M$2*IFERROR(INDEX(DesmanchadorRopaColor[],MATCH(CostoKg[[#This Row],[PRODUCTO]],DesmanchadorRopaColor[M.P.],0),3),0)</f>
        <v>0</v>
      </c>
      <c r="N19" s="69">
        <f>N$2*IFERROR(INDEX(DetLavadora[],MATCH(CostoKg[[#This Row],[PRODUCTO]],DetLavadora[M.P.],0),3),0)</f>
        <v>0</v>
      </c>
      <c r="O19" s="69">
        <f>O$2*IFERROR(INDEX(DetMultiusos[],MATCH(CostoKg[[#This Row],[PRODUCTO]],DetMultiusos[M.P.],0),3),0)</f>
        <v>0</v>
      </c>
      <c r="P19" s="69">
        <f>P$2*IFERROR(INDEX(TipoRey[],MATCH(CostoKg[[#This Row],[PRODUCTO]],TipoRey[M.P.],0),3),0)</f>
        <v>0</v>
      </c>
      <c r="Q19" s="69">
        <f>Q$2*IFERROR(INDEX(GelAntibacterial[],MATCH(CostoKg[[#This Row],[PRODUCTO]],GelAntibacterial[M.P.],0),3),0)</f>
        <v>0</v>
      </c>
      <c r="R19" s="69">
        <f>R$2*IFERROR(INDEX(JabonManos[],MATCH(CostoKg[[#This Row],[PRODUCTO]],JabonManos[M.P.],0),3),0)</f>
        <v>0</v>
      </c>
      <c r="S19" s="69">
        <f>S$2*IFERROR(INDEX(JabonLavaLoza[],MATCH(CostoKg[[#This Row],[PRODUCTO]],JabonLavaLoza[M.P.],0),3),0)</f>
        <v>0</v>
      </c>
      <c r="T19" s="69">
        <f>T$2*IFERROR(INDEX(LimpiadorDeSuperficies[],MATCH(CostoKg[[#This Row],[PRODUCTO]],LimpiadorDeSuperficies[M.P.],0),3),0)</f>
        <v>0</v>
      </c>
      <c r="U19" s="69">
        <f>U$2*IFERROR(INDEX(LimpiadorHornos[],MATCH(CostoKg[[#This Row],[PRODUCTO]],LimpiadorHornos[M.P.],0),3),0)</f>
        <v>0</v>
      </c>
      <c r="V19" s="69">
        <f>V$2*IFERROR(INDEX(Limpiavidrios[],MATCH(CostoKg[[#This Row],[PRODUCTO]],Limpiavidrios[M.P.],0),3),0)</f>
        <v>0</v>
      </c>
      <c r="W19" s="69">
        <f>W$2*IFERROR(INDEX(RemovedorDeCeras[],MATCH(CostoKg[[#This Row],[PRODUCTO]],RemovedorDeCeras[M.P.],0),3),0)</f>
        <v>0</v>
      </c>
      <c r="X19" s="69">
        <f>X$2*IFERROR(INDEX(ShampooAlfombras[],MATCH(CostoKg[[#This Row],[PRODUCTO]],ShampooAlfombras[M.P.],0),3),0)</f>
        <v>0</v>
      </c>
      <c r="Y19" s="69">
        <f>Y$2*IFERROR(INDEX(ShampooAuto[],MATCH(CostoKg[[#This Row],[PRODUCTO]], ShampooAuto[M.P.],0),3),0)</f>
        <v>0</v>
      </c>
      <c r="Z19" s="69">
        <f>Z$2*IFERROR(INDEX(SiliconaAltoBrillo[],MATCH(CostoKg[[#This Row],[PRODUCTO]],SiliconaAltoBrillo[M.P.],0),3),0)</f>
        <v>0</v>
      </c>
      <c r="AA19" s="69">
        <f>AA$2*IFERROR(INDEX(Suavizante[],MATCH(CostoKg[[#This Row],[PRODUCTO]],Suavizante[M.P.],0),3),0)</f>
        <v>0</v>
      </c>
      <c r="AB19" s="69">
        <f>AB$2*IFERROR(INDEX(Vinagre[],MATCH(CostoKg[[#This Row],[PRODUCTO]], Vinagre[M.P.],0),3),0)</f>
        <v>0</v>
      </c>
    </row>
    <row r="20" spans="1:28">
      <c r="A20" s="31" t="s">
        <v>761</v>
      </c>
      <c r="B20" s="78">
        <f t="shared" si="0"/>
        <v>145.95000000000002</v>
      </c>
      <c r="C20" s="69">
        <f>C$2*IFERROR(INDEX(AlcoholIndustrial[],MATCH(CostoKg[[#This Row],[PRODUCTO]],AlcoholIndustrial[M.P.],0),3),0)</f>
        <v>0</v>
      </c>
      <c r="D20" s="69">
        <f>D$2*IFERROR(INDEX(AmbientadorPiso[],MATCH(CostoKg[[#This Row],[PRODUCTO]],AmbientadorPiso[M.P.],0),3),0)</f>
        <v>0</v>
      </c>
      <c r="E20" s="69">
        <f>E$2*IFERROR(INDEX(AmbientadorSpray[],MATCH(CostoKg[[#This Row],[PRODUCTO]],AmbientadorSpray[M.P.],0),3),0)</f>
        <v>0</v>
      </c>
      <c r="F20" s="69">
        <f>F$2*IFERROR(INDEX(Biovarsol[],MATCH(CostoKg[[#This Row],[PRODUCTO]],Biovarsol[M.P.],0),3),0)</f>
        <v>0</v>
      </c>
      <c r="G20" s="69">
        <f>G$2*IFERROR(INDEX(BlanqueadorDesinfectante[],MATCH(CostoKg[[#This Row],[PRODUCTO]],BlanqueadorDesinfectante[M.P.],0),3),0)</f>
        <v>0</v>
      </c>
      <c r="H20" s="69">
        <f>H$2*IFERROR(INDEX(CeraAutobrillante[],MATCH(CostoKg[[#This Row],[PRODUCTO]],CeraAutobrillante[M.P.],0),3),0)</f>
        <v>0</v>
      </c>
      <c r="I20" s="69">
        <f>I$2*IFERROR(INDEX(Creolina[],MATCH(CostoKg[[#This Row],[PRODUCTO]],Creolina[M.P.],0),3),0)</f>
        <v>0</v>
      </c>
      <c r="J20" s="69">
        <f>J$2*IFERROR(INDEX(Desencrustante[],MATCH(CostoKg[[#This Row],[PRODUCTO]],Desencrustante[M.P.],0),3),0)</f>
        <v>0</v>
      </c>
      <c r="K20" s="69">
        <f>K$2*IFERROR(INDEX(DesengrasanteAcido[],MATCH(CostoKg[[#This Row],[PRODUCTO]],DesengrasanteAcido[M.P.],0),3),0)</f>
        <v>0</v>
      </c>
      <c r="L20" s="69">
        <f>L$2*IFERROR(INDEX(DesengrasanteEspumoso[],MATCH(CostoKg[[#This Row],[PRODUCTO]],DesengrasanteEspumoso[M.P.],0),3),0)</f>
        <v>0</v>
      </c>
      <c r="M20" s="69">
        <f>M$2*IFERROR(INDEX(DesmanchadorRopaColor[],MATCH(CostoKg[[#This Row],[PRODUCTO]],DesmanchadorRopaColor[M.P.],0),3),0)</f>
        <v>0</v>
      </c>
      <c r="N20" s="69">
        <f>N$2*IFERROR(INDEX(DetLavadora[],MATCH(CostoKg[[#This Row],[PRODUCTO]],DetLavadora[M.P.],0),3),0)</f>
        <v>0</v>
      </c>
      <c r="O20" s="69">
        <f>O$2*IFERROR(INDEX(DetMultiusos[],MATCH(CostoKg[[#This Row],[PRODUCTO]],DetMultiusos[M.P.],0),3),0)</f>
        <v>0</v>
      </c>
      <c r="P20" s="69">
        <f>P$2*IFERROR(INDEX(TipoRey[],MATCH(CostoKg[[#This Row],[PRODUCTO]],TipoRey[M.P.],0),3),0)</f>
        <v>0</v>
      </c>
      <c r="Q20" s="69">
        <f>Q$2*IFERROR(INDEX(GelAntibacterial[],MATCH(CostoKg[[#This Row],[PRODUCTO]],GelAntibacterial[M.P.],0),3),0)</f>
        <v>145.95000000000002</v>
      </c>
      <c r="R20" s="69">
        <f>R$2*IFERROR(INDEX(JabonManos[],MATCH(CostoKg[[#This Row],[PRODUCTO]],JabonManos[M.P.],0),3),0)</f>
        <v>0</v>
      </c>
      <c r="S20" s="69">
        <f>S$2*IFERROR(INDEX(JabonLavaLoza[],MATCH(CostoKg[[#This Row],[PRODUCTO]],JabonLavaLoza[M.P.],0),3),0)</f>
        <v>0</v>
      </c>
      <c r="T20" s="69">
        <f>T$2*IFERROR(INDEX(LimpiadorDeSuperficies[],MATCH(CostoKg[[#This Row],[PRODUCTO]],LimpiadorDeSuperficies[M.P.],0),3),0)</f>
        <v>0</v>
      </c>
      <c r="U20" s="69">
        <f>U$2*IFERROR(INDEX(LimpiadorHornos[],MATCH(CostoKg[[#This Row],[PRODUCTO]],LimpiadorHornos[M.P.],0),3),0)</f>
        <v>0</v>
      </c>
      <c r="V20" s="69">
        <f>V$2*IFERROR(INDEX(Limpiavidrios[],MATCH(CostoKg[[#This Row],[PRODUCTO]],Limpiavidrios[M.P.],0),3),0)</f>
        <v>0</v>
      </c>
      <c r="W20" s="69">
        <f>W$2*IFERROR(INDEX(RemovedorDeCeras[],MATCH(CostoKg[[#This Row],[PRODUCTO]],RemovedorDeCeras[M.P.],0),3),0)</f>
        <v>0</v>
      </c>
      <c r="X20" s="69">
        <f>X$2*IFERROR(INDEX(ShampooAlfombras[],MATCH(CostoKg[[#This Row],[PRODUCTO]],ShampooAlfombras[M.P.],0),3),0)</f>
        <v>0</v>
      </c>
      <c r="Y20" s="69">
        <f>Y$2*IFERROR(INDEX(ShampooAuto[],MATCH(CostoKg[[#This Row],[PRODUCTO]], ShampooAuto[M.P.],0),3),0)</f>
        <v>0</v>
      </c>
      <c r="Z20" s="69">
        <f>Z$2*IFERROR(INDEX(SiliconaAltoBrillo[],MATCH(CostoKg[[#This Row],[PRODUCTO]],SiliconaAltoBrillo[M.P.],0),3),0)</f>
        <v>0</v>
      </c>
      <c r="AA20" s="69">
        <f>AA$2*IFERROR(INDEX(Suavizante[],MATCH(CostoKg[[#This Row],[PRODUCTO]],Suavizante[M.P.],0),3),0)</f>
        <v>0</v>
      </c>
      <c r="AB20" s="69">
        <f>AB$2*IFERROR(INDEX(Vinagre[],MATCH(CostoKg[[#This Row],[PRODUCTO]], Vinagre[M.P.],0),3),0)</f>
        <v>0</v>
      </c>
    </row>
    <row r="21" spans="1:28">
      <c r="A21" s="31" t="s">
        <v>762</v>
      </c>
      <c r="B21" s="78">
        <f t="shared" si="0"/>
        <v>0</v>
      </c>
      <c r="C21" s="69">
        <f>C$2*IFERROR(INDEX(AlcoholIndustrial[],MATCH(CostoKg[[#This Row],[PRODUCTO]],AlcoholIndustrial[M.P.],0),3),0)</f>
        <v>0</v>
      </c>
      <c r="D21" s="69">
        <f>D$2*IFERROR(INDEX(AmbientadorPiso[],MATCH(CostoKg[[#This Row],[PRODUCTO]],AmbientadorPiso[M.P.],0),3),0)</f>
        <v>0</v>
      </c>
      <c r="E21" s="69">
        <f>E$2*IFERROR(INDEX(AmbientadorSpray[],MATCH(CostoKg[[#This Row],[PRODUCTO]],AmbientadorSpray[M.P.],0),3),0)</f>
        <v>0</v>
      </c>
      <c r="F21" s="69">
        <f>F$2*IFERROR(INDEX(Biovarsol[],MATCH(CostoKg[[#This Row],[PRODUCTO]],Biovarsol[M.P.],0),3),0)</f>
        <v>0</v>
      </c>
      <c r="G21" s="69">
        <f>G$2*IFERROR(INDEX(BlanqueadorDesinfectante[],MATCH(CostoKg[[#This Row],[PRODUCTO]],BlanqueadorDesinfectante[M.P.],0),3),0)</f>
        <v>0</v>
      </c>
      <c r="H21" s="69">
        <f>H$2*IFERROR(INDEX(CeraAutobrillante[],MATCH(CostoKg[[#This Row],[PRODUCTO]],CeraAutobrillante[M.P.],0),3),0)</f>
        <v>0</v>
      </c>
      <c r="I21" s="69">
        <f>I$2*IFERROR(INDEX(Creolina[],MATCH(CostoKg[[#This Row],[PRODUCTO]],Creolina[M.P.],0),3),0)</f>
        <v>0</v>
      </c>
      <c r="J21" s="69">
        <f>J$2*IFERROR(INDEX(Desencrustante[],MATCH(CostoKg[[#This Row],[PRODUCTO]],Desencrustante[M.P.],0),3),0)</f>
        <v>0</v>
      </c>
      <c r="K21" s="69">
        <f>K$2*IFERROR(INDEX(DesengrasanteAcido[],MATCH(CostoKg[[#This Row],[PRODUCTO]],DesengrasanteAcido[M.P.],0),3),0)</f>
        <v>0</v>
      </c>
      <c r="L21" s="69">
        <f>L$2*IFERROR(INDEX(DesengrasanteEspumoso[],MATCH(CostoKg[[#This Row],[PRODUCTO]],DesengrasanteEspumoso[M.P.],0),3),0)</f>
        <v>0</v>
      </c>
      <c r="M21" s="69">
        <f>M$2*IFERROR(INDEX(DesmanchadorRopaColor[],MATCH(CostoKg[[#This Row],[PRODUCTO]],DesmanchadorRopaColor[M.P.],0),3),0)</f>
        <v>0</v>
      </c>
      <c r="N21" s="69">
        <f>N$2*IFERROR(INDEX(DetLavadora[],MATCH(CostoKg[[#This Row],[PRODUCTO]],DetLavadora[M.P.],0),3),0)</f>
        <v>0</v>
      </c>
      <c r="O21" s="69">
        <f>O$2*IFERROR(INDEX(DetMultiusos[],MATCH(CostoKg[[#This Row],[PRODUCTO]],DetMultiusos[M.P.],0),3),0)</f>
        <v>0</v>
      </c>
      <c r="P21" s="69">
        <f>P$2*IFERROR(INDEX(TipoRey[],MATCH(CostoKg[[#This Row],[PRODUCTO]],TipoRey[M.P.],0),3),0)</f>
        <v>0</v>
      </c>
      <c r="Q21" s="69">
        <f>Q$2*IFERROR(INDEX(GelAntibacterial[],MATCH(CostoKg[[#This Row],[PRODUCTO]],GelAntibacterial[M.P.],0),3),0)</f>
        <v>0</v>
      </c>
      <c r="R21" s="69">
        <f>R$2*IFERROR(INDEX(JabonManos[],MATCH(CostoKg[[#This Row],[PRODUCTO]],JabonManos[M.P.],0),3),0)</f>
        <v>0</v>
      </c>
      <c r="S21" s="69">
        <f>S$2*IFERROR(INDEX(JabonLavaLoza[],MATCH(CostoKg[[#This Row],[PRODUCTO]],JabonLavaLoza[M.P.],0),3),0)</f>
        <v>0</v>
      </c>
      <c r="T21" s="69">
        <f>T$2*IFERROR(INDEX(LimpiadorDeSuperficies[],MATCH(CostoKg[[#This Row],[PRODUCTO]],LimpiadorDeSuperficies[M.P.],0),3),0)</f>
        <v>0</v>
      </c>
      <c r="U21" s="69">
        <f>U$2*IFERROR(INDEX(LimpiadorHornos[],MATCH(CostoKg[[#This Row],[PRODUCTO]],LimpiadorHornos[M.P.],0),3),0)</f>
        <v>0</v>
      </c>
      <c r="V21" s="69">
        <f>V$2*IFERROR(INDEX(Limpiavidrios[],MATCH(CostoKg[[#This Row],[PRODUCTO]],Limpiavidrios[M.P.],0),3),0)</f>
        <v>0</v>
      </c>
      <c r="W21" s="69">
        <f>W$2*IFERROR(INDEX(RemovedorDeCeras[],MATCH(CostoKg[[#This Row],[PRODUCTO]],RemovedorDeCeras[M.P.],0),3),0)</f>
        <v>0</v>
      </c>
      <c r="X21" s="69">
        <f>X$2*IFERROR(INDEX(ShampooAlfombras[],MATCH(CostoKg[[#This Row],[PRODUCTO]],ShampooAlfombras[M.P.],0),3),0)</f>
        <v>0</v>
      </c>
      <c r="Y21" s="69">
        <f>Y$2*IFERROR(INDEX(ShampooAuto[],MATCH(CostoKg[[#This Row],[PRODUCTO]], ShampooAuto[M.P.],0),3),0)</f>
        <v>0</v>
      </c>
      <c r="Z21" s="69">
        <f>Z$2*IFERROR(INDEX(SiliconaAltoBrillo[],MATCH(CostoKg[[#This Row],[PRODUCTO]],SiliconaAltoBrillo[M.P.],0),3),0)</f>
        <v>0</v>
      </c>
      <c r="AA21" s="69">
        <f>AA$2*IFERROR(INDEX(Suavizante[],MATCH(CostoKg[[#This Row],[PRODUCTO]],Suavizante[M.P.],0),3),0)</f>
        <v>0</v>
      </c>
      <c r="AB21" s="69">
        <f>AB$2*IFERROR(INDEX(Vinagre[],MATCH(CostoKg[[#This Row],[PRODUCTO]], Vinagre[M.P.],0),3),0)</f>
        <v>0</v>
      </c>
    </row>
    <row r="22" spans="1:28">
      <c r="A22" s="31" t="s">
        <v>763</v>
      </c>
      <c r="B22" s="78">
        <f t="shared" si="0"/>
        <v>0</v>
      </c>
      <c r="C22" s="69">
        <f>C$2*IFERROR(INDEX(AlcoholIndustrial[],MATCH(CostoKg[[#This Row],[PRODUCTO]],AlcoholIndustrial[M.P.],0),3),0)</f>
        <v>0</v>
      </c>
      <c r="D22" s="69">
        <f>D$2*IFERROR(INDEX(AmbientadorPiso[],MATCH(CostoKg[[#This Row],[PRODUCTO]],AmbientadorPiso[M.P.],0),3),0)</f>
        <v>0</v>
      </c>
      <c r="E22" s="69">
        <f>E$2*IFERROR(INDEX(AmbientadorSpray[],MATCH(CostoKg[[#This Row],[PRODUCTO]],AmbientadorSpray[M.P.],0),3),0)</f>
        <v>0</v>
      </c>
      <c r="F22" s="69">
        <f>F$2*IFERROR(INDEX(Biovarsol[],MATCH(CostoKg[[#This Row],[PRODUCTO]],Biovarsol[M.P.],0),3),0)</f>
        <v>0</v>
      </c>
      <c r="G22" s="69">
        <f>G$2*IFERROR(INDEX(BlanqueadorDesinfectante[],MATCH(CostoKg[[#This Row],[PRODUCTO]],BlanqueadorDesinfectante[M.P.],0),3),0)</f>
        <v>0</v>
      </c>
      <c r="H22" s="69">
        <f>H$2*IFERROR(INDEX(CeraAutobrillante[],MATCH(CostoKg[[#This Row],[PRODUCTO]],CeraAutobrillante[M.P.],0),3),0)</f>
        <v>0</v>
      </c>
      <c r="I22" s="69">
        <f>I$2*IFERROR(INDEX(Creolina[],MATCH(CostoKg[[#This Row],[PRODUCTO]],Creolina[M.P.],0),3),0)</f>
        <v>0</v>
      </c>
      <c r="J22" s="69">
        <f>J$2*IFERROR(INDEX(Desencrustante[],MATCH(CostoKg[[#This Row],[PRODUCTO]],Desencrustante[M.P.],0),3),0)</f>
        <v>0</v>
      </c>
      <c r="K22" s="69">
        <f>K$2*IFERROR(INDEX(DesengrasanteAcido[],MATCH(CostoKg[[#This Row],[PRODUCTO]],DesengrasanteAcido[M.P.],0),3),0)</f>
        <v>0</v>
      </c>
      <c r="L22" s="69">
        <f>L$2*IFERROR(INDEX(DesengrasanteEspumoso[],MATCH(CostoKg[[#This Row],[PRODUCTO]],DesengrasanteEspumoso[M.P.],0),3),0)</f>
        <v>0</v>
      </c>
      <c r="M22" s="69">
        <f>M$2*IFERROR(INDEX(DesmanchadorRopaColor[],MATCH(CostoKg[[#This Row],[PRODUCTO]],DesmanchadorRopaColor[M.P.],0),3),0)</f>
        <v>0</v>
      </c>
      <c r="N22" s="69">
        <f>N$2*IFERROR(INDEX(DetLavadora[],MATCH(CostoKg[[#This Row],[PRODUCTO]],DetLavadora[M.P.],0),3),0)</f>
        <v>0</v>
      </c>
      <c r="O22" s="69">
        <f>O$2*IFERROR(INDEX(DetMultiusos[],MATCH(CostoKg[[#This Row],[PRODUCTO]],DetMultiusos[M.P.],0),3),0)</f>
        <v>0</v>
      </c>
      <c r="P22" s="69">
        <f>P$2*IFERROR(INDEX(TipoRey[],MATCH(CostoKg[[#This Row],[PRODUCTO]],TipoRey[M.P.],0),3),0)</f>
        <v>0</v>
      </c>
      <c r="Q22" s="69">
        <f>Q$2*IFERROR(INDEX(GelAntibacterial[],MATCH(CostoKg[[#This Row],[PRODUCTO]],GelAntibacterial[M.P.],0),3),0)</f>
        <v>0</v>
      </c>
      <c r="R22" s="69">
        <f>R$2*IFERROR(INDEX(JabonManos[],MATCH(CostoKg[[#This Row],[PRODUCTO]],JabonManos[M.P.],0),3),0)</f>
        <v>0</v>
      </c>
      <c r="S22" s="69">
        <f>S$2*IFERROR(INDEX(JabonLavaLoza[],MATCH(CostoKg[[#This Row],[PRODUCTO]],JabonLavaLoza[M.P.],0),3),0)</f>
        <v>0</v>
      </c>
      <c r="T22" s="69">
        <f>T$2*IFERROR(INDEX(LimpiadorDeSuperficies[],MATCH(CostoKg[[#This Row],[PRODUCTO]],LimpiadorDeSuperficies[M.P.],0),3),0)</f>
        <v>0</v>
      </c>
      <c r="U22" s="69">
        <f>U$2*IFERROR(INDEX(LimpiadorHornos[],MATCH(CostoKg[[#This Row],[PRODUCTO]],LimpiadorHornos[M.P.],0),3),0)</f>
        <v>0</v>
      </c>
      <c r="V22" s="69">
        <f>V$2*IFERROR(INDEX(Limpiavidrios[],MATCH(CostoKg[[#This Row],[PRODUCTO]],Limpiavidrios[M.P.],0),3),0)</f>
        <v>0</v>
      </c>
      <c r="W22" s="69">
        <f>W$2*IFERROR(INDEX(RemovedorDeCeras[],MATCH(CostoKg[[#This Row],[PRODUCTO]],RemovedorDeCeras[M.P.],0),3),0)</f>
        <v>0</v>
      </c>
      <c r="X22" s="69">
        <f>X$2*IFERROR(INDEX(ShampooAlfombras[],MATCH(CostoKg[[#This Row],[PRODUCTO]],ShampooAlfombras[M.P.],0),3),0)</f>
        <v>0</v>
      </c>
      <c r="Y22" s="69">
        <f>Y$2*IFERROR(INDEX(ShampooAuto[],MATCH(CostoKg[[#This Row],[PRODUCTO]], ShampooAuto[M.P.],0),3),0)</f>
        <v>0</v>
      </c>
      <c r="Z22" s="69">
        <f>Z$2*IFERROR(INDEX(SiliconaAltoBrillo[],MATCH(CostoKg[[#This Row],[PRODUCTO]],SiliconaAltoBrillo[M.P.],0),3),0)</f>
        <v>0</v>
      </c>
      <c r="AA22" s="69">
        <f>AA$2*IFERROR(INDEX(Suavizante[],MATCH(CostoKg[[#This Row],[PRODUCTO]],Suavizante[M.P.],0),3),0)</f>
        <v>0</v>
      </c>
      <c r="AB22" s="69">
        <f>AB$2*IFERROR(INDEX(Vinagre[],MATCH(CostoKg[[#This Row],[PRODUCTO]], Vinagre[M.P.],0),3),0)</f>
        <v>0</v>
      </c>
    </row>
    <row r="23" spans="1:28">
      <c r="A23" s="31" t="s">
        <v>764</v>
      </c>
      <c r="B23" s="78">
        <f t="shared" si="0"/>
        <v>0</v>
      </c>
      <c r="C23" s="69">
        <f>C$2*IFERROR(INDEX(AlcoholIndustrial[],MATCH(CostoKg[[#This Row],[PRODUCTO]],AlcoholIndustrial[M.P.],0),3),0)</f>
        <v>0</v>
      </c>
      <c r="D23" s="69">
        <f>D$2*IFERROR(INDEX(AmbientadorPiso[],MATCH(CostoKg[[#This Row],[PRODUCTO]],AmbientadorPiso[M.P.],0),3),0)</f>
        <v>0</v>
      </c>
      <c r="E23" s="69">
        <f>E$2*IFERROR(INDEX(AmbientadorSpray[],MATCH(CostoKg[[#This Row],[PRODUCTO]],AmbientadorSpray[M.P.],0),3),0)</f>
        <v>0</v>
      </c>
      <c r="F23" s="69">
        <f>F$2*IFERROR(INDEX(Biovarsol[],MATCH(CostoKg[[#This Row],[PRODUCTO]],Biovarsol[M.P.],0),3),0)</f>
        <v>0</v>
      </c>
      <c r="G23" s="69">
        <f>G$2*IFERROR(INDEX(BlanqueadorDesinfectante[],MATCH(CostoKg[[#This Row],[PRODUCTO]],BlanqueadorDesinfectante[M.P.],0),3),0)</f>
        <v>0</v>
      </c>
      <c r="H23" s="69">
        <f>H$2*IFERROR(INDEX(CeraAutobrillante[],MATCH(CostoKg[[#This Row],[PRODUCTO]],CeraAutobrillante[M.P.],0),3),0)</f>
        <v>0</v>
      </c>
      <c r="I23" s="69">
        <f>I$2*IFERROR(INDEX(Creolina[],MATCH(CostoKg[[#This Row],[PRODUCTO]],Creolina[M.P.],0),3),0)</f>
        <v>0</v>
      </c>
      <c r="J23" s="69">
        <f>J$2*IFERROR(INDEX(Desencrustante[],MATCH(CostoKg[[#This Row],[PRODUCTO]],Desencrustante[M.P.],0),3),0)</f>
        <v>0</v>
      </c>
      <c r="K23" s="69">
        <f>K$2*IFERROR(INDEX(DesengrasanteAcido[],MATCH(CostoKg[[#This Row],[PRODUCTO]],DesengrasanteAcido[M.P.],0),3),0)</f>
        <v>0</v>
      </c>
      <c r="L23" s="69">
        <f>L$2*IFERROR(INDEX(DesengrasanteEspumoso[],MATCH(CostoKg[[#This Row],[PRODUCTO]],DesengrasanteEspumoso[M.P.],0),3),0)</f>
        <v>0</v>
      </c>
      <c r="M23" s="69">
        <f>M$2*IFERROR(INDEX(DesmanchadorRopaColor[],MATCH(CostoKg[[#This Row],[PRODUCTO]],DesmanchadorRopaColor[M.P.],0),3),0)</f>
        <v>0</v>
      </c>
      <c r="N23" s="69">
        <f>N$2*IFERROR(INDEX(DetLavadora[],MATCH(CostoKg[[#This Row],[PRODUCTO]],DetLavadora[M.P.],0),3),0)</f>
        <v>0</v>
      </c>
      <c r="O23" s="69">
        <f>O$2*IFERROR(INDEX(DetMultiusos[],MATCH(CostoKg[[#This Row],[PRODUCTO]],DetMultiusos[M.P.],0),3),0)</f>
        <v>0</v>
      </c>
      <c r="P23" s="69">
        <f>P$2*IFERROR(INDEX(TipoRey[],MATCH(CostoKg[[#This Row],[PRODUCTO]],TipoRey[M.P.],0),3),0)</f>
        <v>0</v>
      </c>
      <c r="Q23" s="69">
        <f>Q$2*IFERROR(INDEX(GelAntibacterial[],MATCH(CostoKg[[#This Row],[PRODUCTO]],GelAntibacterial[M.P.],0),3),0)</f>
        <v>0</v>
      </c>
      <c r="R23" s="69">
        <f>R$2*IFERROR(INDEX(JabonManos[],MATCH(CostoKg[[#This Row],[PRODUCTO]],JabonManos[M.P.],0),3),0)</f>
        <v>0</v>
      </c>
      <c r="S23" s="69">
        <f>S$2*IFERROR(INDEX(JabonLavaLoza[],MATCH(CostoKg[[#This Row],[PRODUCTO]],JabonLavaLoza[M.P.],0),3),0)</f>
        <v>0</v>
      </c>
      <c r="T23" s="69">
        <f>T$2*IFERROR(INDEX(LimpiadorDeSuperficies[],MATCH(CostoKg[[#This Row],[PRODUCTO]],LimpiadorDeSuperficies[M.P.],0),3),0)</f>
        <v>0</v>
      </c>
      <c r="U23" s="69">
        <f>U$2*IFERROR(INDEX(LimpiadorHornos[],MATCH(CostoKg[[#This Row],[PRODUCTO]],LimpiadorHornos[M.P.],0),3),0)</f>
        <v>0</v>
      </c>
      <c r="V23" s="69">
        <f>V$2*IFERROR(INDEX(Limpiavidrios[],MATCH(CostoKg[[#This Row],[PRODUCTO]],Limpiavidrios[M.P.],0),3),0)</f>
        <v>0</v>
      </c>
      <c r="W23" s="69">
        <f>W$2*IFERROR(INDEX(RemovedorDeCeras[],MATCH(CostoKg[[#This Row],[PRODUCTO]],RemovedorDeCeras[M.P.],0),3),0)</f>
        <v>0</v>
      </c>
      <c r="X23" s="69">
        <f>X$2*IFERROR(INDEX(ShampooAlfombras[],MATCH(CostoKg[[#This Row],[PRODUCTO]],ShampooAlfombras[M.P.],0),3),0)</f>
        <v>0</v>
      </c>
      <c r="Y23" s="69">
        <f>Y$2*IFERROR(INDEX(ShampooAuto[],MATCH(CostoKg[[#This Row],[PRODUCTO]], ShampooAuto[M.P.],0),3),0)</f>
        <v>0</v>
      </c>
      <c r="Z23" s="69">
        <f>Z$2*IFERROR(INDEX(SiliconaAltoBrillo[],MATCH(CostoKg[[#This Row],[PRODUCTO]],SiliconaAltoBrillo[M.P.],0),3),0)</f>
        <v>0</v>
      </c>
      <c r="AA23" s="69">
        <f>AA$2*IFERROR(INDEX(Suavizante[],MATCH(CostoKg[[#This Row],[PRODUCTO]],Suavizante[M.P.],0),3),0)</f>
        <v>0</v>
      </c>
      <c r="AB23" s="69">
        <f>AB$2*IFERROR(INDEX(Vinagre[],MATCH(CostoKg[[#This Row],[PRODUCTO]], Vinagre[M.P.],0),3),0)</f>
        <v>0</v>
      </c>
    </row>
    <row r="24" spans="1:28">
      <c r="A24" s="31" t="s">
        <v>782</v>
      </c>
      <c r="B24" s="78">
        <f t="shared" si="0"/>
        <v>447.125</v>
      </c>
      <c r="C24" s="69">
        <f>C$2*IFERROR(INDEX(AlcoholIndustrial[],MATCH(CostoKg[[#This Row],[PRODUCTO]],AlcoholIndustrial[M.P.],0),3),0)</f>
        <v>0</v>
      </c>
      <c r="D24" s="69">
        <f>D$2*IFERROR(INDEX(AmbientadorPiso[],MATCH(CostoKg[[#This Row],[PRODUCTO]],AmbientadorPiso[M.P.],0),3),0)</f>
        <v>0</v>
      </c>
      <c r="E24" s="69">
        <f>E$2*IFERROR(INDEX(AmbientadorSpray[],MATCH(CostoKg[[#This Row],[PRODUCTO]],AmbientadorSpray[M.P.],0),3),0)</f>
        <v>0</v>
      </c>
      <c r="F24" s="69">
        <f>F$2*IFERROR(INDEX(Biovarsol[],MATCH(CostoKg[[#This Row],[PRODUCTO]],Biovarsol[M.P.],0),3),0)</f>
        <v>0</v>
      </c>
      <c r="G24" s="69">
        <f>G$2*IFERROR(INDEX(BlanqueadorDesinfectante[],MATCH(CostoKg[[#This Row],[PRODUCTO]],BlanqueadorDesinfectante[M.P.],0),3),0)</f>
        <v>0</v>
      </c>
      <c r="H24" s="69">
        <f>H$2*IFERROR(INDEX(CeraAutobrillante[],MATCH(CostoKg[[#This Row],[PRODUCTO]],CeraAutobrillante[M.P.],0),3),0)</f>
        <v>0</v>
      </c>
      <c r="I24" s="69">
        <f>I$2*IFERROR(INDEX(Creolina[],MATCH(CostoKg[[#This Row],[PRODUCTO]],Creolina[M.P.],0),3),0)</f>
        <v>0</v>
      </c>
      <c r="J24" s="69">
        <f>J$2*IFERROR(INDEX(Desencrustante[],MATCH(CostoKg[[#This Row],[PRODUCTO]],Desencrustante[M.P.],0),3),0)</f>
        <v>0</v>
      </c>
      <c r="K24" s="69">
        <f>K$2*IFERROR(INDEX(DesengrasanteAcido[],MATCH(CostoKg[[#This Row],[PRODUCTO]],DesengrasanteAcido[M.P.],0),3),0)</f>
        <v>447.125</v>
      </c>
      <c r="L24" s="69">
        <f>L$2*IFERROR(INDEX(DesengrasanteEspumoso[],MATCH(CostoKg[[#This Row],[PRODUCTO]],DesengrasanteEspumoso[M.P.],0),3),0)</f>
        <v>0</v>
      </c>
      <c r="M24" s="69">
        <f>M$2*IFERROR(INDEX(DesmanchadorRopaColor[],MATCH(CostoKg[[#This Row],[PRODUCTO]],DesmanchadorRopaColor[M.P.],0),3),0)</f>
        <v>0</v>
      </c>
      <c r="N24" s="69">
        <f>N$2*IFERROR(INDEX(DetLavadora[],MATCH(CostoKg[[#This Row],[PRODUCTO]],DetLavadora[M.P.],0),3),0)</f>
        <v>0</v>
      </c>
      <c r="O24" s="69">
        <f>O$2*IFERROR(INDEX(DetMultiusos[],MATCH(CostoKg[[#This Row],[PRODUCTO]],DetMultiusos[M.P.],0),3),0)</f>
        <v>0</v>
      </c>
      <c r="P24" s="69">
        <f>P$2*IFERROR(INDEX(TipoRey[],MATCH(CostoKg[[#This Row],[PRODUCTO]],TipoRey[M.P.],0),3),0)</f>
        <v>0</v>
      </c>
      <c r="Q24" s="69">
        <f>Q$2*IFERROR(INDEX(GelAntibacterial[],MATCH(CostoKg[[#This Row],[PRODUCTO]],GelAntibacterial[M.P.],0),3),0)</f>
        <v>0</v>
      </c>
      <c r="R24" s="69">
        <f>R$2*IFERROR(INDEX(JabonManos[],MATCH(CostoKg[[#This Row],[PRODUCTO]],JabonManos[M.P.],0),3),0)</f>
        <v>0</v>
      </c>
      <c r="S24" s="69">
        <f>S$2*IFERROR(INDEX(JabonLavaLoza[],MATCH(CostoKg[[#This Row],[PRODUCTO]],JabonLavaLoza[M.P.],0),3),0)</f>
        <v>0</v>
      </c>
      <c r="T24" s="69">
        <f>T$2*IFERROR(INDEX(LimpiadorDeSuperficies[],MATCH(CostoKg[[#This Row],[PRODUCTO]],LimpiadorDeSuperficies[M.P.],0),3),0)</f>
        <v>0</v>
      </c>
      <c r="U24" s="69">
        <f>U$2*IFERROR(INDEX(LimpiadorHornos[],MATCH(CostoKg[[#This Row],[PRODUCTO]],LimpiadorHornos[M.P.],0),3),0)</f>
        <v>0</v>
      </c>
      <c r="V24" s="69">
        <f>V$2*IFERROR(INDEX(Limpiavidrios[],MATCH(CostoKg[[#This Row],[PRODUCTO]],Limpiavidrios[M.P.],0),3),0)</f>
        <v>0</v>
      </c>
      <c r="W24" s="69">
        <f>W$2*IFERROR(INDEX(RemovedorDeCeras[],MATCH(CostoKg[[#This Row],[PRODUCTO]],RemovedorDeCeras[M.P.],0),3),0)</f>
        <v>0</v>
      </c>
      <c r="X24" s="69">
        <f>X$2*IFERROR(INDEX(ShampooAlfombras[],MATCH(CostoKg[[#This Row],[PRODUCTO]],ShampooAlfombras[M.P.],0),3),0)</f>
        <v>0</v>
      </c>
      <c r="Y24" s="69">
        <f>Y$2*IFERROR(INDEX(ShampooAuto[],MATCH(CostoKg[[#This Row],[PRODUCTO]], ShampooAuto[M.P.],0),3),0)</f>
        <v>0</v>
      </c>
      <c r="Z24" s="69">
        <f>Z$2*IFERROR(INDEX(SiliconaAltoBrillo[],MATCH(CostoKg[[#This Row],[PRODUCTO]],SiliconaAltoBrillo[M.P.],0),3),0)</f>
        <v>0</v>
      </c>
      <c r="AA24" s="69">
        <f>AA$2*IFERROR(INDEX(Suavizante[],MATCH(CostoKg[[#This Row],[PRODUCTO]],Suavizante[M.P.],0),3),0)</f>
        <v>0</v>
      </c>
      <c r="AB24" s="69">
        <f>AB$2*IFERROR(INDEX(Vinagre[],MATCH(CostoKg[[#This Row],[PRODUCTO]], Vinagre[M.P.],0),3),0)</f>
        <v>0</v>
      </c>
    </row>
    <row r="25" spans="1:28">
      <c r="A25" s="31" t="s">
        <v>766</v>
      </c>
      <c r="B25" s="78">
        <f t="shared" si="0"/>
        <v>154.35139999999998</v>
      </c>
      <c r="C25" s="69">
        <f>C$2*IFERROR(INDEX(AlcoholIndustrial[],MATCH(CostoKg[[#This Row],[PRODUCTO]],AlcoholIndustrial[M.P.],0),3),0)</f>
        <v>0</v>
      </c>
      <c r="D25" s="69">
        <f>D$2*IFERROR(INDEX(AmbientadorPiso[],MATCH(CostoKg[[#This Row],[PRODUCTO]],AmbientadorPiso[M.P.],0),3),0)</f>
        <v>0</v>
      </c>
      <c r="E25" s="69">
        <f>E$2*IFERROR(INDEX(AmbientadorSpray[],MATCH(CostoKg[[#This Row],[PRODUCTO]],AmbientadorSpray[M.P.],0),3),0)</f>
        <v>0</v>
      </c>
      <c r="F25" s="69">
        <f>F$2*IFERROR(INDEX(Biovarsol[],MATCH(CostoKg[[#This Row],[PRODUCTO]],Biovarsol[M.P.],0),3),0)</f>
        <v>0</v>
      </c>
      <c r="G25" s="69">
        <f>G$2*IFERROR(INDEX(BlanqueadorDesinfectante[],MATCH(CostoKg[[#This Row],[PRODUCTO]],BlanqueadorDesinfectante[M.P.],0),3),0)</f>
        <v>0</v>
      </c>
      <c r="H25" s="69">
        <f>H$2*IFERROR(INDEX(CeraAutobrillante[],MATCH(CostoKg[[#This Row],[PRODUCTO]],CeraAutobrillante[M.P.],0),3),0)</f>
        <v>0</v>
      </c>
      <c r="I25" s="69">
        <f>I$2*IFERROR(INDEX(Creolina[],MATCH(CostoKg[[#This Row],[PRODUCTO]],Creolina[M.P.],0),3),0)</f>
        <v>0</v>
      </c>
      <c r="J25" s="69">
        <f>J$2*IFERROR(INDEX(Desencrustante[],MATCH(CostoKg[[#This Row],[PRODUCTO]],Desencrustante[M.P.],0),3),0)</f>
        <v>0</v>
      </c>
      <c r="K25" s="69">
        <f>K$2*IFERROR(INDEX(DesengrasanteAcido[],MATCH(CostoKg[[#This Row],[PRODUCTO]],DesengrasanteAcido[M.P.],0),3),0)</f>
        <v>0</v>
      </c>
      <c r="L25" s="69">
        <f>L$2*IFERROR(INDEX(DesengrasanteEspumoso[],MATCH(CostoKg[[#This Row],[PRODUCTO]],DesengrasanteEspumoso[M.P.],0),3),0)</f>
        <v>0</v>
      </c>
      <c r="M25" s="69">
        <f>M$2*IFERROR(INDEX(DesmanchadorRopaColor[],MATCH(CostoKg[[#This Row],[PRODUCTO]],DesmanchadorRopaColor[M.P.],0),3),0)</f>
        <v>0</v>
      </c>
      <c r="N25" s="69">
        <f>N$2*IFERROR(INDEX(DetLavadora[],MATCH(CostoKg[[#This Row],[PRODUCTO]],DetLavadora[M.P.],0),3),0)</f>
        <v>0</v>
      </c>
      <c r="O25" s="69">
        <f>O$2*IFERROR(INDEX(DetMultiusos[],MATCH(CostoKg[[#This Row],[PRODUCTO]],DetMultiusos[M.P.],0),3),0)</f>
        <v>0</v>
      </c>
      <c r="P25" s="69">
        <f>P$2*IFERROR(INDEX(TipoRey[],MATCH(CostoKg[[#This Row],[PRODUCTO]],TipoRey[M.P.],0),3),0)</f>
        <v>0</v>
      </c>
      <c r="Q25" s="69">
        <f>Q$2*IFERROR(INDEX(GelAntibacterial[],MATCH(CostoKg[[#This Row],[PRODUCTO]],GelAntibacterial[M.P.],0),3),0)</f>
        <v>0</v>
      </c>
      <c r="R25" s="69">
        <f>R$2*IFERROR(INDEX(JabonManos[],MATCH(CostoKg[[#This Row],[PRODUCTO]],JabonManos[M.P.],0),3),0)</f>
        <v>0</v>
      </c>
      <c r="S25" s="69">
        <f>S$2*IFERROR(INDEX(JabonLavaLoza[],MATCH(CostoKg[[#This Row],[PRODUCTO]],JabonLavaLoza[M.P.],0),3),0)</f>
        <v>0</v>
      </c>
      <c r="T25" s="69">
        <f>T$2*IFERROR(INDEX(LimpiadorDeSuperficies[],MATCH(CostoKg[[#This Row],[PRODUCTO]],LimpiadorDeSuperficies[M.P.],0),3),0)</f>
        <v>0</v>
      </c>
      <c r="U25" s="69">
        <f>U$2*IFERROR(INDEX(LimpiadorHornos[],MATCH(CostoKg[[#This Row],[PRODUCTO]],LimpiadorHornos[M.P.],0),3),0)</f>
        <v>0</v>
      </c>
      <c r="V25" s="69">
        <f>V$2*IFERROR(INDEX(Limpiavidrios[],MATCH(CostoKg[[#This Row],[PRODUCTO]],Limpiavidrios[M.P.],0),3),0)</f>
        <v>154.35139999999998</v>
      </c>
      <c r="W25" s="69">
        <f>W$2*IFERROR(INDEX(RemovedorDeCeras[],MATCH(CostoKg[[#This Row],[PRODUCTO]],RemovedorDeCeras[M.P.],0),3),0)</f>
        <v>0</v>
      </c>
      <c r="X25" s="69">
        <f>X$2*IFERROR(INDEX(ShampooAlfombras[],MATCH(CostoKg[[#This Row],[PRODUCTO]],ShampooAlfombras[M.P.],0),3),0)</f>
        <v>0</v>
      </c>
      <c r="Y25" s="69">
        <f>Y$2*IFERROR(INDEX(ShampooAuto[],MATCH(CostoKg[[#This Row],[PRODUCTO]], ShampooAuto[M.P.],0),3),0)</f>
        <v>0</v>
      </c>
      <c r="Z25" s="69">
        <f>Z$2*IFERROR(INDEX(SiliconaAltoBrillo[],MATCH(CostoKg[[#This Row],[PRODUCTO]],SiliconaAltoBrillo[M.P.],0),3),0)</f>
        <v>0</v>
      </c>
      <c r="AA25" s="69">
        <f>AA$2*IFERROR(INDEX(Suavizante[],MATCH(CostoKg[[#This Row],[PRODUCTO]],Suavizante[M.P.],0),3),0)</f>
        <v>0</v>
      </c>
      <c r="AB25" s="69">
        <f>AB$2*IFERROR(INDEX(Vinagre[],MATCH(CostoKg[[#This Row],[PRODUCTO]], Vinagre[M.P.],0),3),0)</f>
        <v>0</v>
      </c>
    </row>
    <row r="26" spans="1:28">
      <c r="A26" s="31" t="s">
        <v>767</v>
      </c>
      <c r="B26" s="78">
        <f t="shared" si="0"/>
        <v>986.30000000000007</v>
      </c>
      <c r="C26" s="69">
        <f>C$2*IFERROR(INDEX(AlcoholIndustrial[],MATCH(CostoKg[[#This Row],[PRODUCTO]],AlcoholIndustrial[M.P.],0),3),0)</f>
        <v>0</v>
      </c>
      <c r="D26" s="69">
        <f>D$2*IFERROR(INDEX(AmbientadorPiso[],MATCH(CostoKg[[#This Row],[PRODUCTO]],AmbientadorPiso[M.P.],0),3),0)</f>
        <v>0</v>
      </c>
      <c r="E26" s="69">
        <f>E$2*IFERROR(INDEX(AmbientadorSpray[],MATCH(CostoKg[[#This Row],[PRODUCTO]],AmbientadorSpray[M.P.],0),3),0)</f>
        <v>0</v>
      </c>
      <c r="F26" s="69">
        <f>F$2*IFERROR(INDEX(Biovarsol[],MATCH(CostoKg[[#This Row],[PRODUCTO]],Biovarsol[M.P.],0),3),0)</f>
        <v>0</v>
      </c>
      <c r="G26" s="69">
        <f>G$2*IFERROR(INDEX(BlanqueadorDesinfectante[],MATCH(CostoKg[[#This Row],[PRODUCTO]],BlanqueadorDesinfectante[M.P.],0),3),0)</f>
        <v>0</v>
      </c>
      <c r="H26" s="69">
        <f>H$2*IFERROR(INDEX(CeraAutobrillante[],MATCH(CostoKg[[#This Row],[PRODUCTO]],CeraAutobrillante[M.P.],0),3),0)</f>
        <v>0</v>
      </c>
      <c r="I26" s="69">
        <f>I$2*IFERROR(INDEX(Creolina[],MATCH(CostoKg[[#This Row],[PRODUCTO]],Creolina[M.P.],0),3),0)</f>
        <v>0</v>
      </c>
      <c r="J26" s="69">
        <f>J$2*IFERROR(INDEX(Desencrustante[],MATCH(CostoKg[[#This Row],[PRODUCTO]],Desencrustante[M.P.],0),3),0)</f>
        <v>0</v>
      </c>
      <c r="K26" s="69">
        <f>K$2*IFERROR(INDEX(DesengrasanteAcido[],MATCH(CostoKg[[#This Row],[PRODUCTO]],DesengrasanteAcido[M.P.],0),3),0)</f>
        <v>0</v>
      </c>
      <c r="L26" s="69">
        <f>L$2*IFERROR(INDEX(DesengrasanteEspumoso[],MATCH(CostoKg[[#This Row],[PRODUCTO]],DesengrasanteEspumoso[M.P.],0),3),0)</f>
        <v>0</v>
      </c>
      <c r="M26" s="69">
        <f>M$2*IFERROR(INDEX(DesmanchadorRopaColor[],MATCH(CostoKg[[#This Row],[PRODUCTO]],DesmanchadorRopaColor[M.P.],0),3),0)</f>
        <v>0</v>
      </c>
      <c r="N26" s="69">
        <f>N$2*IFERROR(INDEX(DetLavadora[],MATCH(CostoKg[[#This Row],[PRODUCTO]],DetLavadora[M.P.],0),3),0)</f>
        <v>0</v>
      </c>
      <c r="O26" s="69">
        <f>O$2*IFERROR(INDEX(DetMultiusos[],MATCH(CostoKg[[#This Row],[PRODUCTO]],DetMultiusos[M.P.],0),3),0)</f>
        <v>0</v>
      </c>
      <c r="P26" s="69">
        <f>P$2*IFERROR(INDEX(TipoRey[],MATCH(CostoKg[[#This Row],[PRODUCTO]],TipoRey[M.P.],0),3),0)</f>
        <v>0</v>
      </c>
      <c r="Q26" s="69">
        <f>Q$2*IFERROR(INDEX(GelAntibacterial[],MATCH(CostoKg[[#This Row],[PRODUCTO]],GelAntibacterial[M.P.],0),3),0)</f>
        <v>0</v>
      </c>
      <c r="R26" s="69">
        <f>R$2*IFERROR(INDEX(JabonManos[],MATCH(CostoKg[[#This Row],[PRODUCTO]],JabonManos[M.P.],0),3),0)</f>
        <v>0</v>
      </c>
      <c r="S26" s="69">
        <f>S$2*IFERROR(INDEX(JabonLavaLoza[],MATCH(CostoKg[[#This Row],[PRODUCTO]],JabonLavaLoza[M.P.],0),3),0)</f>
        <v>0</v>
      </c>
      <c r="T26" s="69">
        <f>T$2*IFERROR(INDEX(LimpiadorDeSuperficies[],MATCH(CostoKg[[#This Row],[PRODUCTO]],LimpiadorDeSuperficies[M.P.],0),3),0)</f>
        <v>0</v>
      </c>
      <c r="U26" s="69">
        <f>U$2*IFERROR(INDEX(LimpiadorHornos[],MATCH(CostoKg[[#This Row],[PRODUCTO]],LimpiadorHornos[M.P.],0),3),0)</f>
        <v>0</v>
      </c>
      <c r="V26" s="69">
        <f>V$2*IFERROR(INDEX(Limpiavidrios[],MATCH(CostoKg[[#This Row],[PRODUCTO]],Limpiavidrios[M.P.],0),3),0)</f>
        <v>986.30000000000007</v>
      </c>
      <c r="W26" s="69">
        <f>W$2*IFERROR(INDEX(RemovedorDeCeras[],MATCH(CostoKg[[#This Row],[PRODUCTO]],RemovedorDeCeras[M.P.],0),3),0)</f>
        <v>0</v>
      </c>
      <c r="X26" s="69">
        <f>X$2*IFERROR(INDEX(ShampooAlfombras[],MATCH(CostoKg[[#This Row],[PRODUCTO]],ShampooAlfombras[M.P.],0),3),0)</f>
        <v>0</v>
      </c>
      <c r="Y26" s="69">
        <f>Y$2*IFERROR(INDEX(ShampooAuto[],MATCH(CostoKg[[#This Row],[PRODUCTO]], ShampooAuto[M.P.],0),3),0)</f>
        <v>0</v>
      </c>
      <c r="Z26" s="69">
        <f>Z$2*IFERROR(INDEX(SiliconaAltoBrillo[],MATCH(CostoKg[[#This Row],[PRODUCTO]],SiliconaAltoBrillo[M.P.],0),3),0)</f>
        <v>0</v>
      </c>
      <c r="AA26" s="69">
        <f>AA$2*IFERROR(INDEX(Suavizante[],MATCH(CostoKg[[#This Row],[PRODUCTO]],Suavizante[M.P.],0),3),0)</f>
        <v>0</v>
      </c>
      <c r="AB26" s="69">
        <f>AB$2*IFERROR(INDEX(Vinagre[],MATCH(CostoKg[[#This Row],[PRODUCTO]], Vinagre[M.P.],0),3),0)</f>
        <v>0</v>
      </c>
    </row>
    <row r="27" spans="1:28">
      <c r="A27" s="31" t="s">
        <v>768</v>
      </c>
      <c r="B27" s="78">
        <f t="shared" si="0"/>
        <v>12844.975</v>
      </c>
      <c r="C27" s="69">
        <f>C$2*IFERROR(INDEX(AlcoholIndustrial[],MATCH(CostoKg[[#This Row],[PRODUCTO]],AlcoholIndustrial[M.P.],0),3),0)</f>
        <v>162.5</v>
      </c>
      <c r="D27" s="69">
        <f>D$2*IFERROR(INDEX(AmbientadorPiso[],MATCH(CostoKg[[#This Row],[PRODUCTO]],AmbientadorPiso[M.P.],0),3),0)</f>
        <v>601.18499999999995</v>
      </c>
      <c r="E27" s="69">
        <f>E$2*IFERROR(INDEX(AmbientadorSpray[],MATCH(CostoKg[[#This Row],[PRODUCTO]],AmbientadorSpray[M.P.],0),3),0)</f>
        <v>588.18499999999995</v>
      </c>
      <c r="F27" s="69">
        <f>F$2*IFERROR(INDEX(Biovarsol[],MATCH(CostoKg[[#This Row],[PRODUCTO]],Biovarsol[M.P.],0),3),0)</f>
        <v>590.84999999999991</v>
      </c>
      <c r="G27" s="69">
        <f>G$2*IFERROR(INDEX(BlanqueadorDesinfectante[],MATCH(CostoKg[[#This Row],[PRODUCTO]],BlanqueadorDesinfectante[M.P.],0),3),0)</f>
        <v>454.99999999999994</v>
      </c>
      <c r="H27" s="69">
        <f>H$2*IFERROR(INDEX(CeraAutobrillante[],MATCH(CostoKg[[#This Row],[PRODUCTO]],CeraAutobrillante[M.P.],0),3),0)</f>
        <v>195.00000000000003</v>
      </c>
      <c r="I27" s="69">
        <f>I$2*IFERROR(INDEX(Creolina[],MATCH(CostoKg[[#This Row],[PRODUCTO]],Creolina[M.P.],0),3),0)</f>
        <v>433.35500000000002</v>
      </c>
      <c r="J27" s="69">
        <f>J$2*IFERROR(INDEX(Desencrustante[],MATCH(CostoKg[[#This Row],[PRODUCTO]],Desencrustante[M.P.],0),3),0)</f>
        <v>585</v>
      </c>
      <c r="K27" s="69">
        <f>K$2*IFERROR(INDEX(DesengrasanteAcido[],MATCH(CostoKg[[#This Row],[PRODUCTO]],DesengrasanteAcido[M.P.],0),3),0)</f>
        <v>498.55</v>
      </c>
      <c r="L27" s="69">
        <f>L$2*IFERROR(INDEX(DesengrasanteEspumoso[],MATCH(CostoKg[[#This Row],[PRODUCTO]],DesengrasanteEspumoso[M.P.],0),3),0)</f>
        <v>522.6</v>
      </c>
      <c r="M27" s="69">
        <f>M$2*IFERROR(INDEX(DesmanchadorRopaColor[],MATCH(CostoKg[[#This Row],[PRODUCTO]],DesmanchadorRopaColor[M.P.],0),3),0)</f>
        <v>516.75</v>
      </c>
      <c r="N27" s="69">
        <f>N$2*IFERROR(INDEX(DetLavadora[],MATCH(CostoKg[[#This Row],[PRODUCTO]],DetLavadora[M.P.],0),3),0)</f>
        <v>505.31</v>
      </c>
      <c r="O27" s="69">
        <f>O$2*IFERROR(INDEX(DetMultiusos[],MATCH(CostoKg[[#This Row],[PRODUCTO]],DetMultiusos[M.P.],0),3),0)</f>
        <v>483.6</v>
      </c>
      <c r="P27" s="69">
        <f>P$2*IFERROR(INDEX(TipoRey[],MATCH(CostoKg[[#This Row],[PRODUCTO]],TipoRey[M.P.],0),3),0)</f>
        <v>492.05</v>
      </c>
      <c r="Q27" s="69">
        <f>Q$2*IFERROR(INDEX(GelAntibacterial[],MATCH(CostoKg[[#This Row],[PRODUCTO]],GelAntibacterial[M.P.],0),3),0)</f>
        <v>417.23500000000001</v>
      </c>
      <c r="R27" s="69">
        <f>R$2*IFERROR(INDEX(JabonManos[],MATCH(CostoKg[[#This Row],[PRODUCTO]],JabonManos[M.P.],0),3),0)</f>
        <v>489.31999999999994</v>
      </c>
      <c r="S27" s="69">
        <f>S$2*IFERROR(INDEX(JabonLavaLoza[],MATCH(CostoKg[[#This Row],[PRODUCTO]],JabonLavaLoza[M.P.],0),3),0)</f>
        <v>482.49499999999995</v>
      </c>
      <c r="T27" s="69">
        <f>T$2*IFERROR(INDEX(LimpiadorDeSuperficies[],MATCH(CostoKg[[#This Row],[PRODUCTO]],LimpiadorDeSuperficies[M.P.],0),3),0)</f>
        <v>517.91999999999996</v>
      </c>
      <c r="U27" s="69">
        <f>U$2*IFERROR(INDEX(LimpiadorHornos[],MATCH(CostoKg[[#This Row],[PRODUCTO]],LimpiadorHornos[M.P.],0),3),0)</f>
        <v>550.41999999999996</v>
      </c>
      <c r="V27" s="69">
        <f>V$2*IFERROR(INDEX(Limpiavidrios[],MATCH(CostoKg[[#This Row],[PRODUCTO]],Limpiavidrios[M.P.],0),3),0)</f>
        <v>617.5</v>
      </c>
      <c r="W27" s="69">
        <f>W$2*IFERROR(INDEX(RemovedorDeCeras[],MATCH(CostoKg[[#This Row],[PRODUCTO]],RemovedorDeCeras[M.P.],0),3),0)</f>
        <v>552.5</v>
      </c>
      <c r="X27" s="69">
        <f>X$2*IFERROR(INDEX(ShampooAlfombras[],MATCH(CostoKg[[#This Row],[PRODUCTO]],ShampooAlfombras[M.P.],0),3),0)</f>
        <v>481</v>
      </c>
      <c r="Y27" s="69">
        <f>Y$2*IFERROR(INDEX(ShampooAuto[],MATCH(CostoKg[[#This Row],[PRODUCTO]], ShampooAuto[M.P.],0),3),0)</f>
        <v>500.5</v>
      </c>
      <c r="Z27" s="69">
        <f>Z$2*IFERROR(INDEX(SiliconaAltoBrillo[],MATCH(CostoKg[[#This Row],[PRODUCTO]],SiliconaAltoBrillo[M.P.],0),3),0)</f>
        <v>547.29999999999995</v>
      </c>
      <c r="AA27" s="69">
        <f>AA$2*IFERROR(INDEX(Suavizante[],MATCH(CostoKg[[#This Row],[PRODUCTO]],Suavizante[M.P.],0),3),0)</f>
        <v>603.85</v>
      </c>
      <c r="AB27" s="69">
        <f>AB$2*IFERROR(INDEX(Vinagre[],MATCH(CostoKg[[#This Row],[PRODUCTO]], Vinagre[M.P.],0),3),0)</f>
        <v>454.99999999999994</v>
      </c>
    </row>
    <row r="28" spans="1:28">
      <c r="A28" s="31" t="s">
        <v>769</v>
      </c>
      <c r="B28" s="78">
        <f t="shared" si="0"/>
        <v>6649.2999999999993</v>
      </c>
      <c r="C28" s="69">
        <f>C$2*IFERROR(INDEX(AlcoholIndustrial[],MATCH(CostoKg[[#This Row],[PRODUCTO]],AlcoholIndustrial[M.P.],0),3),0)</f>
        <v>0</v>
      </c>
      <c r="D28" s="69">
        <f>D$2*IFERROR(INDEX(AmbientadorPiso[],MATCH(CostoKg[[#This Row],[PRODUCTO]],AmbientadorPiso[M.P.],0),3),0)</f>
        <v>0</v>
      </c>
      <c r="E28" s="69">
        <f>E$2*IFERROR(INDEX(AmbientadorSpray[],MATCH(CostoKg[[#This Row],[PRODUCTO]],AmbientadorSpray[M.P.],0),3),0)</f>
        <v>0</v>
      </c>
      <c r="F28" s="69">
        <f>F$2*IFERROR(INDEX(Biovarsol[],MATCH(CostoKg[[#This Row],[PRODUCTO]],Biovarsol[M.P.],0),3),0)</f>
        <v>0</v>
      </c>
      <c r="G28" s="69">
        <f>G$2*IFERROR(INDEX(BlanqueadorDesinfectante[],MATCH(CostoKg[[#This Row],[PRODUCTO]],BlanqueadorDesinfectante[M.P.],0),3),0)</f>
        <v>0</v>
      </c>
      <c r="H28" s="69">
        <f>H$2*IFERROR(INDEX(CeraAutobrillante[],MATCH(CostoKg[[#This Row],[PRODUCTO]],CeraAutobrillante[M.P.],0),3),0)</f>
        <v>6649.2999999999993</v>
      </c>
      <c r="I28" s="69">
        <f>I$2*IFERROR(INDEX(Creolina[],MATCH(CostoKg[[#This Row],[PRODUCTO]],Creolina[M.P.],0),3),0)</f>
        <v>0</v>
      </c>
      <c r="J28" s="69">
        <f>J$2*IFERROR(INDEX(Desencrustante[],MATCH(CostoKg[[#This Row],[PRODUCTO]],Desencrustante[M.P.],0),3),0)</f>
        <v>0</v>
      </c>
      <c r="K28" s="69">
        <f>K$2*IFERROR(INDEX(DesengrasanteAcido[],MATCH(CostoKg[[#This Row],[PRODUCTO]],DesengrasanteAcido[M.P.],0),3),0)</f>
        <v>0</v>
      </c>
      <c r="L28" s="69">
        <f>L$2*IFERROR(INDEX(DesengrasanteEspumoso[],MATCH(CostoKg[[#This Row],[PRODUCTO]],DesengrasanteEspumoso[M.P.],0),3),0)</f>
        <v>0</v>
      </c>
      <c r="M28" s="69">
        <f>M$2*IFERROR(INDEX(DesmanchadorRopaColor[],MATCH(CostoKg[[#This Row],[PRODUCTO]],DesmanchadorRopaColor[M.P.],0),3),0)</f>
        <v>0</v>
      </c>
      <c r="N28" s="69">
        <f>N$2*IFERROR(INDEX(DetLavadora[],MATCH(CostoKg[[#This Row],[PRODUCTO]],DetLavadora[M.P.],0),3),0)</f>
        <v>0</v>
      </c>
      <c r="O28" s="69">
        <f>O$2*IFERROR(INDEX(DetMultiusos[],MATCH(CostoKg[[#This Row],[PRODUCTO]],DetMultiusos[M.P.],0),3),0)</f>
        <v>0</v>
      </c>
      <c r="P28" s="69">
        <f>P$2*IFERROR(INDEX(TipoRey[],MATCH(CostoKg[[#This Row],[PRODUCTO]],TipoRey[M.P.],0),3),0)</f>
        <v>0</v>
      </c>
      <c r="Q28" s="69">
        <f>Q$2*IFERROR(INDEX(GelAntibacterial[],MATCH(CostoKg[[#This Row],[PRODUCTO]],GelAntibacterial[M.P.],0),3),0)</f>
        <v>0</v>
      </c>
      <c r="R28" s="69">
        <f>R$2*IFERROR(INDEX(JabonManos[],MATCH(CostoKg[[#This Row],[PRODUCTO]],JabonManos[M.P.],0),3),0)</f>
        <v>0</v>
      </c>
      <c r="S28" s="69">
        <f>S$2*IFERROR(INDEX(JabonLavaLoza[],MATCH(CostoKg[[#This Row],[PRODUCTO]],JabonLavaLoza[M.P.],0),3),0)</f>
        <v>0</v>
      </c>
      <c r="T28" s="69">
        <f>T$2*IFERROR(INDEX(LimpiadorDeSuperficies[],MATCH(CostoKg[[#This Row],[PRODUCTO]],LimpiadorDeSuperficies[M.P.],0),3),0)</f>
        <v>0</v>
      </c>
      <c r="U28" s="69">
        <f>U$2*IFERROR(INDEX(LimpiadorHornos[],MATCH(CostoKg[[#This Row],[PRODUCTO]],LimpiadorHornos[M.P.],0),3),0)</f>
        <v>0</v>
      </c>
      <c r="V28" s="69">
        <f>V$2*IFERROR(INDEX(Limpiavidrios[],MATCH(CostoKg[[#This Row],[PRODUCTO]],Limpiavidrios[M.P.],0),3),0)</f>
        <v>0</v>
      </c>
      <c r="W28" s="69">
        <f>W$2*IFERROR(INDEX(RemovedorDeCeras[],MATCH(CostoKg[[#This Row],[PRODUCTO]],RemovedorDeCeras[M.P.],0),3),0)</f>
        <v>0</v>
      </c>
      <c r="X28" s="69">
        <f>X$2*IFERROR(INDEX(ShampooAlfombras[],MATCH(CostoKg[[#This Row],[PRODUCTO]],ShampooAlfombras[M.P.],0),3),0)</f>
        <v>0</v>
      </c>
      <c r="Y28" s="69">
        <f>Y$2*IFERROR(INDEX(ShampooAuto[],MATCH(CostoKg[[#This Row],[PRODUCTO]], ShampooAuto[M.P.],0),3),0)</f>
        <v>0</v>
      </c>
      <c r="Z28" s="69">
        <f>Z$2*IFERROR(INDEX(SiliconaAltoBrillo[],MATCH(CostoKg[[#This Row],[PRODUCTO]],SiliconaAltoBrillo[M.P.],0),3),0)</f>
        <v>0</v>
      </c>
      <c r="AA28" s="69">
        <f>AA$2*IFERROR(INDEX(Suavizante[],MATCH(CostoKg[[#This Row],[PRODUCTO]],Suavizante[M.P.],0),3),0)</f>
        <v>0</v>
      </c>
      <c r="AB28" s="69">
        <f>AB$2*IFERROR(INDEX(Vinagre[],MATCH(CostoKg[[#This Row],[PRODUCTO]], Vinagre[M.P.],0),3),0)</f>
        <v>0</v>
      </c>
    </row>
    <row r="29" spans="1:28">
      <c r="A29" s="31" t="s">
        <v>770</v>
      </c>
      <c r="B29" s="78">
        <f t="shared" si="0"/>
        <v>0</v>
      </c>
      <c r="C29" s="69">
        <f>C$2*IFERROR(INDEX(AlcoholIndustrial[],MATCH(CostoKg[[#This Row],[PRODUCTO]],AlcoholIndustrial[M.P.],0),3),0)</f>
        <v>0</v>
      </c>
      <c r="D29" s="69">
        <f>D$2*IFERROR(INDEX(AmbientadorPiso[],MATCH(CostoKg[[#This Row],[PRODUCTO]],AmbientadorPiso[M.P.],0),3),0)</f>
        <v>0</v>
      </c>
      <c r="E29" s="69">
        <f>E$2*IFERROR(INDEX(AmbientadorSpray[],MATCH(CostoKg[[#This Row],[PRODUCTO]],AmbientadorSpray[M.P.],0),3),0)</f>
        <v>0</v>
      </c>
      <c r="F29" s="69">
        <f>F$2*IFERROR(INDEX(Biovarsol[],MATCH(CostoKg[[#This Row],[PRODUCTO]],Biovarsol[M.P.],0),3),0)</f>
        <v>0</v>
      </c>
      <c r="G29" s="69">
        <f>G$2*IFERROR(INDEX(BlanqueadorDesinfectante[],MATCH(CostoKg[[#This Row],[PRODUCTO]],BlanqueadorDesinfectante[M.P.],0),3),0)</f>
        <v>0</v>
      </c>
      <c r="H29" s="69">
        <f>H$2*IFERROR(INDEX(CeraAutobrillante[],MATCH(CostoKg[[#This Row],[PRODUCTO]],CeraAutobrillante[M.P.],0),3),0)</f>
        <v>0</v>
      </c>
      <c r="I29" s="69">
        <f>I$2*IFERROR(INDEX(Creolina[],MATCH(CostoKg[[#This Row],[PRODUCTO]],Creolina[M.P.],0),3),0)</f>
        <v>0</v>
      </c>
      <c r="J29" s="69">
        <f>J$2*IFERROR(INDEX(Desencrustante[],MATCH(CostoKg[[#This Row],[PRODUCTO]],Desencrustante[M.P.],0),3),0)</f>
        <v>0</v>
      </c>
      <c r="K29" s="69">
        <f>K$2*IFERROR(INDEX(DesengrasanteAcido[],MATCH(CostoKg[[#This Row],[PRODUCTO]],DesengrasanteAcido[M.P.],0),3),0)</f>
        <v>0</v>
      </c>
      <c r="L29" s="69">
        <f>L$2*IFERROR(INDEX(DesengrasanteEspumoso[],MATCH(CostoKg[[#This Row],[PRODUCTO]],DesengrasanteEspumoso[M.P.],0),3),0)</f>
        <v>0</v>
      </c>
      <c r="M29" s="69">
        <f>M$2*IFERROR(INDEX(DesmanchadorRopaColor[],MATCH(CostoKg[[#This Row],[PRODUCTO]],DesmanchadorRopaColor[M.P.],0),3),0)</f>
        <v>0</v>
      </c>
      <c r="N29" s="69">
        <f>N$2*IFERROR(INDEX(DetLavadora[],MATCH(CostoKg[[#This Row],[PRODUCTO]],DetLavadora[M.P.],0),3),0)</f>
        <v>0</v>
      </c>
      <c r="O29" s="69">
        <f>O$2*IFERROR(INDEX(DetMultiusos[],MATCH(CostoKg[[#This Row],[PRODUCTO]],DetMultiusos[M.P.],0),3),0)</f>
        <v>0</v>
      </c>
      <c r="P29" s="69">
        <f>P$2*IFERROR(INDEX(TipoRey[],MATCH(CostoKg[[#This Row],[PRODUCTO]],TipoRey[M.P.],0),3),0)</f>
        <v>0</v>
      </c>
      <c r="Q29" s="69">
        <f>Q$2*IFERROR(INDEX(GelAntibacterial[],MATCH(CostoKg[[#This Row],[PRODUCTO]],GelAntibacterial[M.P.],0),3),0)</f>
        <v>0</v>
      </c>
      <c r="R29" s="69">
        <f>R$2*IFERROR(INDEX(JabonManos[],MATCH(CostoKg[[#This Row],[PRODUCTO]],JabonManos[M.P.],0),3),0)</f>
        <v>0</v>
      </c>
      <c r="S29" s="69">
        <f>S$2*IFERROR(INDEX(JabonLavaLoza[],MATCH(CostoKg[[#This Row],[PRODUCTO]],JabonLavaLoza[M.P.],0),3),0)</f>
        <v>0</v>
      </c>
      <c r="T29" s="69">
        <f>T$2*IFERROR(INDEX(LimpiadorDeSuperficies[],MATCH(CostoKg[[#This Row],[PRODUCTO]],LimpiadorDeSuperficies[M.P.],0),3),0)</f>
        <v>0</v>
      </c>
      <c r="U29" s="69">
        <f>U$2*IFERROR(INDEX(LimpiadorHornos[],MATCH(CostoKg[[#This Row],[PRODUCTO]],LimpiadorHornos[M.P.],0),3),0)</f>
        <v>0</v>
      </c>
      <c r="V29" s="69">
        <f>V$2*IFERROR(INDEX(Limpiavidrios[],MATCH(CostoKg[[#This Row],[PRODUCTO]],Limpiavidrios[M.P.],0),3),0)</f>
        <v>0</v>
      </c>
      <c r="W29" s="69">
        <f>W$2*IFERROR(INDEX(RemovedorDeCeras[],MATCH(CostoKg[[#This Row],[PRODUCTO]],RemovedorDeCeras[M.P.],0),3),0)</f>
        <v>0</v>
      </c>
      <c r="X29" s="69">
        <f>X$2*IFERROR(INDEX(ShampooAlfombras[],MATCH(CostoKg[[#This Row],[PRODUCTO]],ShampooAlfombras[M.P.],0),3),0)</f>
        <v>0</v>
      </c>
      <c r="Y29" s="69">
        <f>Y$2*IFERROR(INDEX(ShampooAuto[],MATCH(CostoKg[[#This Row],[PRODUCTO]], ShampooAuto[M.P.],0),3),0)</f>
        <v>0</v>
      </c>
      <c r="Z29" s="69">
        <f>Z$2*IFERROR(INDEX(SiliconaAltoBrillo[],MATCH(CostoKg[[#This Row],[PRODUCTO]],SiliconaAltoBrillo[M.P.],0),3),0)</f>
        <v>0</v>
      </c>
      <c r="AA29" s="69">
        <f>AA$2*IFERROR(INDEX(Suavizante[],MATCH(CostoKg[[#This Row],[PRODUCTO]],Suavizante[M.P.],0),3),0)</f>
        <v>0</v>
      </c>
      <c r="AB29" s="69">
        <f>AB$2*IFERROR(INDEX(Vinagre[],MATCH(CostoKg[[#This Row],[PRODUCTO]], Vinagre[M.P.],0),3),0)</f>
        <v>0</v>
      </c>
    </row>
    <row r="30" spans="1:28">
      <c r="A30" s="31" t="s">
        <v>771</v>
      </c>
      <c r="B30" s="78">
        <f t="shared" si="0"/>
        <v>491.02269999999999</v>
      </c>
      <c r="C30" s="69">
        <f>C$2*IFERROR(INDEX(AlcoholIndustrial[],MATCH(CostoKg[[#This Row],[PRODUCTO]],AlcoholIndustrial[M.P.],0),3),0)</f>
        <v>0</v>
      </c>
      <c r="D30" s="69">
        <f>D$2*IFERROR(INDEX(AmbientadorPiso[],MATCH(CostoKg[[#This Row],[PRODUCTO]],AmbientadorPiso[M.P.],0),3),0)</f>
        <v>0</v>
      </c>
      <c r="E30" s="69">
        <f>E$2*IFERROR(INDEX(AmbientadorSpray[],MATCH(CostoKg[[#This Row],[PRODUCTO]],AmbientadorSpray[M.P.],0),3),0)</f>
        <v>0</v>
      </c>
      <c r="F30" s="69">
        <f>F$2*IFERROR(INDEX(Biovarsol[],MATCH(CostoKg[[#This Row],[PRODUCTO]],Biovarsol[M.P.],0),3),0)</f>
        <v>0</v>
      </c>
      <c r="G30" s="69">
        <f>G$2*IFERROR(INDEX(BlanqueadorDesinfectante[],MATCH(CostoKg[[#This Row],[PRODUCTO]],BlanqueadorDesinfectante[M.P.],0),3),0)</f>
        <v>0</v>
      </c>
      <c r="H30" s="69">
        <f>H$2*IFERROR(INDEX(CeraAutobrillante[],MATCH(CostoKg[[#This Row],[PRODUCTO]],CeraAutobrillante[M.P.],0),3),0)</f>
        <v>0</v>
      </c>
      <c r="I30" s="69">
        <f>I$2*IFERROR(INDEX(Creolina[],MATCH(CostoKg[[#This Row],[PRODUCTO]],Creolina[M.P.],0),3),0)</f>
        <v>0</v>
      </c>
      <c r="J30" s="69">
        <f>J$2*IFERROR(INDEX(Desencrustante[],MATCH(CostoKg[[#This Row],[PRODUCTO]],Desencrustante[M.P.],0),3),0)</f>
        <v>0</v>
      </c>
      <c r="K30" s="69">
        <f>K$2*IFERROR(INDEX(DesengrasanteAcido[],MATCH(CostoKg[[#This Row],[PRODUCTO]],DesengrasanteAcido[M.P.],0),3),0)</f>
        <v>0</v>
      </c>
      <c r="L30" s="69">
        <f>L$2*IFERROR(INDEX(DesengrasanteEspumoso[],MATCH(CostoKg[[#This Row],[PRODUCTO]],DesengrasanteEspumoso[M.P.],0),3),0)</f>
        <v>0</v>
      </c>
      <c r="M30" s="69">
        <f>M$2*IFERROR(INDEX(DesmanchadorRopaColor[],MATCH(CostoKg[[#This Row],[PRODUCTO]],DesmanchadorRopaColor[M.P.],0),3),0)</f>
        <v>0</v>
      </c>
      <c r="N30" s="69">
        <f>N$2*IFERROR(INDEX(DetLavadora[],MATCH(CostoKg[[#This Row],[PRODUCTO]],DetLavadora[M.P.],0),3),0)</f>
        <v>0</v>
      </c>
      <c r="O30" s="69">
        <f>O$2*IFERROR(INDEX(DetMultiusos[],MATCH(CostoKg[[#This Row],[PRODUCTO]],DetMultiusos[M.P.],0),3),0)</f>
        <v>0</v>
      </c>
      <c r="P30" s="69">
        <f>P$2*IFERROR(INDEX(TipoRey[],MATCH(CostoKg[[#This Row],[PRODUCTO]],TipoRey[M.P.],0),3),0)</f>
        <v>0</v>
      </c>
      <c r="Q30" s="69">
        <f>Q$2*IFERROR(INDEX(GelAntibacterial[],MATCH(CostoKg[[#This Row],[PRODUCTO]],GelAntibacterial[M.P.],0),3),0)</f>
        <v>0</v>
      </c>
      <c r="R30" s="69">
        <f>R$2*IFERROR(INDEX(JabonManos[],MATCH(CostoKg[[#This Row],[PRODUCTO]],JabonManos[M.P.],0),3),0)</f>
        <v>491.02269999999999</v>
      </c>
      <c r="S30" s="69">
        <f>S$2*IFERROR(INDEX(JabonLavaLoza[],MATCH(CostoKg[[#This Row],[PRODUCTO]],JabonLavaLoza[M.P.],0),3),0)</f>
        <v>0</v>
      </c>
      <c r="T30" s="69">
        <f>T$2*IFERROR(INDEX(LimpiadorDeSuperficies[],MATCH(CostoKg[[#This Row],[PRODUCTO]],LimpiadorDeSuperficies[M.P.],0),3),0)</f>
        <v>0</v>
      </c>
      <c r="U30" s="69">
        <f>U$2*IFERROR(INDEX(LimpiadorHornos[],MATCH(CostoKg[[#This Row],[PRODUCTO]],LimpiadorHornos[M.P.],0),3),0)</f>
        <v>0</v>
      </c>
      <c r="V30" s="69">
        <f>V$2*IFERROR(INDEX(Limpiavidrios[],MATCH(CostoKg[[#This Row],[PRODUCTO]],Limpiavidrios[M.P.],0),3),0)</f>
        <v>0</v>
      </c>
      <c r="W30" s="69">
        <f>W$2*IFERROR(INDEX(RemovedorDeCeras[],MATCH(CostoKg[[#This Row],[PRODUCTO]],RemovedorDeCeras[M.P.],0),3),0)</f>
        <v>0</v>
      </c>
      <c r="X30" s="69">
        <f>X$2*IFERROR(INDEX(ShampooAlfombras[],MATCH(CostoKg[[#This Row],[PRODUCTO]],ShampooAlfombras[M.P.],0),3),0)</f>
        <v>0</v>
      </c>
      <c r="Y30" s="69">
        <f>Y$2*IFERROR(INDEX(ShampooAuto[],MATCH(CostoKg[[#This Row],[PRODUCTO]], ShampooAuto[M.P.],0),3),0)</f>
        <v>0</v>
      </c>
      <c r="Z30" s="69">
        <f>Z$2*IFERROR(INDEX(SiliconaAltoBrillo[],MATCH(CostoKg[[#This Row],[PRODUCTO]],SiliconaAltoBrillo[M.P.],0),3),0)</f>
        <v>0</v>
      </c>
      <c r="AA30" s="69">
        <f>AA$2*IFERROR(INDEX(Suavizante[],MATCH(CostoKg[[#This Row],[PRODUCTO]],Suavizante[M.P.],0),3),0)</f>
        <v>0</v>
      </c>
      <c r="AB30" s="69">
        <f>AB$2*IFERROR(INDEX(Vinagre[],MATCH(CostoKg[[#This Row],[PRODUCTO]], Vinagre[M.P.],0),3),0)</f>
        <v>0</v>
      </c>
    </row>
    <row r="31" spans="1:28">
      <c r="A31" s="31" t="s">
        <v>772</v>
      </c>
      <c r="B31" s="78">
        <f t="shared" si="0"/>
        <v>330.57499999999999</v>
      </c>
      <c r="C31" s="69">
        <f>C$2*IFERROR(INDEX(AlcoholIndustrial[],MATCH(CostoKg[[#This Row],[PRODUCTO]],AlcoholIndustrial[M.P.],0),3),0)</f>
        <v>0</v>
      </c>
      <c r="D31" s="69">
        <f>D$2*IFERROR(INDEX(AmbientadorPiso[],MATCH(CostoKg[[#This Row],[PRODUCTO]],AmbientadorPiso[M.P.],0),3),0)</f>
        <v>0</v>
      </c>
      <c r="E31" s="69">
        <f>E$2*IFERROR(INDEX(AmbientadorSpray[],MATCH(CostoKg[[#This Row],[PRODUCTO]],AmbientadorSpray[M.P.],0),3),0)</f>
        <v>0</v>
      </c>
      <c r="F31" s="69">
        <f>F$2*IFERROR(INDEX(Biovarsol[],MATCH(CostoKg[[#This Row],[PRODUCTO]],Biovarsol[M.P.],0),3),0)</f>
        <v>0</v>
      </c>
      <c r="G31" s="69">
        <f>G$2*IFERROR(INDEX(BlanqueadorDesinfectante[],MATCH(CostoKg[[#This Row],[PRODUCTO]],BlanqueadorDesinfectante[M.P.],0),3),0)</f>
        <v>0</v>
      </c>
      <c r="H31" s="69">
        <f>H$2*IFERROR(INDEX(CeraAutobrillante[],MATCH(CostoKg[[#This Row],[PRODUCTO]],CeraAutobrillante[M.P.],0),3),0)</f>
        <v>0</v>
      </c>
      <c r="I31" s="69">
        <f>I$2*IFERROR(INDEX(Creolina[],MATCH(CostoKg[[#This Row],[PRODUCTO]],Creolina[M.P.],0),3),0)</f>
        <v>0</v>
      </c>
      <c r="J31" s="69">
        <f>J$2*IFERROR(INDEX(Desencrustante[],MATCH(CostoKg[[#This Row],[PRODUCTO]],Desencrustante[M.P.],0),3),0)</f>
        <v>0</v>
      </c>
      <c r="K31" s="69">
        <f>K$2*IFERROR(INDEX(DesengrasanteAcido[],MATCH(CostoKg[[#This Row],[PRODUCTO]],DesengrasanteAcido[M.P.],0),3),0)</f>
        <v>0</v>
      </c>
      <c r="L31" s="69">
        <f>L$2*IFERROR(INDEX(DesengrasanteEspumoso[],MATCH(CostoKg[[#This Row],[PRODUCTO]],DesengrasanteEspumoso[M.P.],0),3),0)</f>
        <v>0</v>
      </c>
      <c r="M31" s="69">
        <f>M$2*IFERROR(INDEX(DesmanchadorRopaColor[],MATCH(CostoKg[[#This Row],[PRODUCTO]],DesmanchadorRopaColor[M.P.],0),3),0)</f>
        <v>0</v>
      </c>
      <c r="N31" s="69">
        <f>N$2*IFERROR(INDEX(DetLavadora[],MATCH(CostoKg[[#This Row],[PRODUCTO]],DetLavadora[M.P.],0),3),0)</f>
        <v>0</v>
      </c>
      <c r="O31" s="69">
        <f>O$2*IFERROR(INDEX(DetMultiusos[],MATCH(CostoKg[[#This Row],[PRODUCTO]],DetMultiusos[M.P.],0),3),0)</f>
        <v>0</v>
      </c>
      <c r="P31" s="69">
        <f>P$2*IFERROR(INDEX(TipoRey[],MATCH(CostoKg[[#This Row],[PRODUCTO]],TipoRey[M.P.],0),3),0)</f>
        <v>0</v>
      </c>
      <c r="Q31" s="69">
        <f>Q$2*IFERROR(INDEX(GelAntibacterial[],MATCH(CostoKg[[#This Row],[PRODUCTO]],GelAntibacterial[M.P.],0),3),0)</f>
        <v>0</v>
      </c>
      <c r="R31" s="69">
        <f>R$2*IFERROR(INDEX(JabonManos[],MATCH(CostoKg[[#This Row],[PRODUCTO]],JabonManos[M.P.],0),3),0)</f>
        <v>330.57499999999999</v>
      </c>
      <c r="S31" s="69">
        <f>S$2*IFERROR(INDEX(JabonLavaLoza[],MATCH(CostoKg[[#This Row],[PRODUCTO]],JabonLavaLoza[M.P.],0),3),0)</f>
        <v>0</v>
      </c>
      <c r="T31" s="69">
        <f>T$2*IFERROR(INDEX(LimpiadorDeSuperficies[],MATCH(CostoKg[[#This Row],[PRODUCTO]],LimpiadorDeSuperficies[M.P.],0),3),0)</f>
        <v>0</v>
      </c>
      <c r="U31" s="69">
        <f>U$2*IFERROR(INDEX(LimpiadorHornos[],MATCH(CostoKg[[#This Row],[PRODUCTO]],LimpiadorHornos[M.P.],0),3),0)</f>
        <v>0</v>
      </c>
      <c r="V31" s="69">
        <f>V$2*IFERROR(INDEX(Limpiavidrios[],MATCH(CostoKg[[#This Row],[PRODUCTO]],Limpiavidrios[M.P.],0),3),0)</f>
        <v>0</v>
      </c>
      <c r="W31" s="69">
        <f>W$2*IFERROR(INDEX(RemovedorDeCeras[],MATCH(CostoKg[[#This Row],[PRODUCTO]],RemovedorDeCeras[M.P.],0),3),0)</f>
        <v>0</v>
      </c>
      <c r="X31" s="69">
        <f>X$2*IFERROR(INDEX(ShampooAlfombras[],MATCH(CostoKg[[#This Row],[PRODUCTO]],ShampooAlfombras[M.P.],0),3),0)</f>
        <v>0</v>
      </c>
      <c r="Y31" s="69">
        <f>Y$2*IFERROR(INDEX(ShampooAuto[],MATCH(CostoKg[[#This Row],[PRODUCTO]], ShampooAuto[M.P.],0),3),0)</f>
        <v>0</v>
      </c>
      <c r="Z31" s="69">
        <f>Z$2*IFERROR(INDEX(SiliconaAltoBrillo[],MATCH(CostoKg[[#This Row],[PRODUCTO]],SiliconaAltoBrillo[M.P.],0),3),0)</f>
        <v>0</v>
      </c>
      <c r="AA31" s="69">
        <f>AA$2*IFERROR(INDEX(Suavizante[],MATCH(CostoKg[[#This Row],[PRODUCTO]],Suavizante[M.P.],0),3),0)</f>
        <v>0</v>
      </c>
      <c r="AB31" s="69">
        <f>AB$2*IFERROR(INDEX(Vinagre[],MATCH(CostoKg[[#This Row],[PRODUCTO]], Vinagre[M.P.],0),3),0)</f>
        <v>0</v>
      </c>
    </row>
    <row r="32" spans="1:28">
      <c r="A32" s="31" t="s">
        <v>773</v>
      </c>
      <c r="B32" s="78">
        <f t="shared" si="0"/>
        <v>176.90750000000003</v>
      </c>
      <c r="C32" s="69">
        <f>C$2*IFERROR(INDEX(AlcoholIndustrial[],MATCH(CostoKg[[#This Row],[PRODUCTO]],AlcoholIndustrial[M.P.],0),3),0)</f>
        <v>0</v>
      </c>
      <c r="D32" s="69">
        <f>D$2*IFERROR(INDEX(AmbientadorPiso[],MATCH(CostoKg[[#This Row],[PRODUCTO]],AmbientadorPiso[M.P.],0),3),0)</f>
        <v>16.0825</v>
      </c>
      <c r="E32" s="69">
        <f>E$2*IFERROR(INDEX(AmbientadorSpray[],MATCH(CostoKg[[#This Row],[PRODUCTO]],AmbientadorSpray[M.P.],0),3),0)</f>
        <v>0</v>
      </c>
      <c r="F32" s="69">
        <f>F$2*IFERROR(INDEX(Biovarsol[],MATCH(CostoKg[[#This Row],[PRODUCTO]],Biovarsol[M.P.],0),3),0)</f>
        <v>0</v>
      </c>
      <c r="G32" s="69">
        <f>G$2*IFERROR(INDEX(BlanqueadorDesinfectante[],MATCH(CostoKg[[#This Row],[PRODUCTO]],BlanqueadorDesinfectante[M.P.],0),3),0)</f>
        <v>0</v>
      </c>
      <c r="H32" s="69">
        <f>H$2*IFERROR(INDEX(CeraAutobrillante[],MATCH(CostoKg[[#This Row],[PRODUCTO]],CeraAutobrillante[M.P.],0),3),0)</f>
        <v>0</v>
      </c>
      <c r="I32" s="69">
        <f>I$2*IFERROR(INDEX(Creolina[],MATCH(CostoKg[[#This Row],[PRODUCTO]],Creolina[M.P.],0),3),0)</f>
        <v>0</v>
      </c>
      <c r="J32" s="69">
        <f>J$2*IFERROR(INDEX(Desencrustante[],MATCH(CostoKg[[#This Row],[PRODUCTO]],Desencrustante[M.P.],0),3),0)</f>
        <v>0</v>
      </c>
      <c r="K32" s="69">
        <f>K$2*IFERROR(INDEX(DesengrasanteAcido[],MATCH(CostoKg[[#This Row],[PRODUCTO]],DesengrasanteAcido[M.P.],0),3),0)</f>
        <v>0</v>
      </c>
      <c r="L32" s="69">
        <f>L$2*IFERROR(INDEX(DesengrasanteEspumoso[],MATCH(CostoKg[[#This Row],[PRODUCTO]],DesengrasanteEspumoso[M.P.],0),3),0)</f>
        <v>0</v>
      </c>
      <c r="M32" s="69">
        <f>M$2*IFERROR(INDEX(DesmanchadorRopaColor[],MATCH(CostoKg[[#This Row],[PRODUCTO]],DesmanchadorRopaColor[M.P.],0),3),0)</f>
        <v>0</v>
      </c>
      <c r="N32" s="69">
        <f>N$2*IFERROR(INDEX(DetLavadora[],MATCH(CostoKg[[#This Row],[PRODUCTO]],DetLavadora[M.P.],0),3),0)</f>
        <v>0</v>
      </c>
      <c r="O32" s="69">
        <f>O$2*IFERROR(INDEX(DetMultiusos[],MATCH(CostoKg[[#This Row],[PRODUCTO]],DetMultiusos[M.P.],0),3),0)</f>
        <v>0</v>
      </c>
      <c r="P32" s="69">
        <f>P$2*IFERROR(INDEX(TipoRey[],MATCH(CostoKg[[#This Row],[PRODUCTO]],TipoRey[M.P.],0),3),0)</f>
        <v>0</v>
      </c>
      <c r="Q32" s="69">
        <f>Q$2*IFERROR(INDEX(GelAntibacterial[],MATCH(CostoKg[[#This Row],[PRODUCTO]],GelAntibacterial[M.P.],0),3),0)</f>
        <v>40.206250000000004</v>
      </c>
      <c r="R32" s="69">
        <f>R$2*IFERROR(INDEX(JabonManos[],MATCH(CostoKg[[#This Row],[PRODUCTO]],JabonManos[M.P.],0),3),0)</f>
        <v>40.206250000000004</v>
      </c>
      <c r="S32" s="69">
        <f>S$2*IFERROR(INDEX(JabonLavaLoza[],MATCH(CostoKg[[#This Row],[PRODUCTO]],JabonLavaLoza[M.P.],0),3),0)</f>
        <v>80.412500000000009</v>
      </c>
      <c r="T32" s="69">
        <f>T$2*IFERROR(INDEX(LimpiadorDeSuperficies[],MATCH(CostoKg[[#This Row],[PRODUCTO]],LimpiadorDeSuperficies[M.P.],0),3),0)</f>
        <v>0</v>
      </c>
      <c r="U32" s="69">
        <f>U$2*IFERROR(INDEX(LimpiadorHornos[],MATCH(CostoKg[[#This Row],[PRODUCTO]],LimpiadorHornos[M.P.],0),3),0)</f>
        <v>0</v>
      </c>
      <c r="V32" s="69">
        <f>V$2*IFERROR(INDEX(Limpiavidrios[],MATCH(CostoKg[[#This Row],[PRODUCTO]],Limpiavidrios[M.P.],0),3),0)</f>
        <v>0</v>
      </c>
      <c r="W32" s="69">
        <f>W$2*IFERROR(INDEX(RemovedorDeCeras[],MATCH(CostoKg[[#This Row],[PRODUCTO]],RemovedorDeCeras[M.P.],0),3),0)</f>
        <v>0</v>
      </c>
      <c r="X32" s="69">
        <f>X$2*IFERROR(INDEX(ShampooAlfombras[],MATCH(CostoKg[[#This Row],[PRODUCTO]],ShampooAlfombras[M.P.],0),3),0)</f>
        <v>0</v>
      </c>
      <c r="Y32" s="69">
        <f>Y$2*IFERROR(INDEX(ShampooAuto[],MATCH(CostoKg[[#This Row],[PRODUCTO]], ShampooAuto[M.P.],0),3),0)</f>
        <v>0</v>
      </c>
      <c r="Z32" s="69">
        <f>Z$2*IFERROR(INDEX(SiliconaAltoBrillo[],MATCH(CostoKg[[#This Row],[PRODUCTO]],SiliconaAltoBrillo[M.P.],0),3),0)</f>
        <v>0</v>
      </c>
      <c r="AA32" s="69">
        <f>AA$2*IFERROR(INDEX(Suavizante[],MATCH(CostoKg[[#This Row],[PRODUCTO]],Suavizante[M.P.],0),3),0)</f>
        <v>0</v>
      </c>
      <c r="AB32" s="69">
        <f>AB$2*IFERROR(INDEX(Vinagre[],MATCH(CostoKg[[#This Row],[PRODUCTO]], Vinagre[M.P.],0),3),0)</f>
        <v>0</v>
      </c>
    </row>
    <row r="33" spans="1:28">
      <c r="A33" s="31" t="s">
        <v>774</v>
      </c>
      <c r="B33" s="78">
        <f t="shared" si="0"/>
        <v>103.67559999999999</v>
      </c>
      <c r="C33" s="69">
        <f>C$2*IFERROR(INDEX(AlcoholIndustrial[],MATCH(CostoKg[[#This Row],[PRODUCTO]],AlcoholIndustrial[M.P.],0),3),0)</f>
        <v>0</v>
      </c>
      <c r="D33" s="69">
        <f>D$2*IFERROR(INDEX(AmbientadorPiso[],MATCH(CostoKg[[#This Row],[PRODUCTO]],AmbientadorPiso[M.P.],0),3),0)</f>
        <v>0</v>
      </c>
      <c r="E33" s="69">
        <f>E$2*IFERROR(INDEX(AmbientadorSpray[],MATCH(CostoKg[[#This Row],[PRODUCTO]],AmbientadorSpray[M.P.],0),3),0)</f>
        <v>0</v>
      </c>
      <c r="F33" s="69">
        <f>F$2*IFERROR(INDEX(Biovarsol[],MATCH(CostoKg[[#This Row],[PRODUCTO]],Biovarsol[M.P.],0),3),0)</f>
        <v>0</v>
      </c>
      <c r="G33" s="69">
        <f>G$2*IFERROR(INDEX(BlanqueadorDesinfectante[],MATCH(CostoKg[[#This Row],[PRODUCTO]],BlanqueadorDesinfectante[M.P.],0),3),0)</f>
        <v>0</v>
      </c>
      <c r="H33" s="69">
        <f>H$2*IFERROR(INDEX(CeraAutobrillante[],MATCH(CostoKg[[#This Row],[PRODUCTO]],CeraAutobrillante[M.P.],0),3),0)</f>
        <v>0</v>
      </c>
      <c r="I33" s="69">
        <f>I$2*IFERROR(INDEX(Creolina[],MATCH(CostoKg[[#This Row],[PRODUCTO]],Creolina[M.P.],0),3),0)</f>
        <v>0</v>
      </c>
      <c r="J33" s="69">
        <f>J$2*IFERROR(INDEX(Desencrustante[],MATCH(CostoKg[[#This Row],[PRODUCTO]],Desencrustante[M.P.],0),3),0)</f>
        <v>0</v>
      </c>
      <c r="K33" s="69">
        <f>K$2*IFERROR(INDEX(DesengrasanteAcido[],MATCH(CostoKg[[#This Row],[PRODUCTO]],DesengrasanteAcido[M.P.],0),3),0)</f>
        <v>0</v>
      </c>
      <c r="L33" s="69">
        <f>L$2*IFERROR(INDEX(DesengrasanteEspumoso[],MATCH(CostoKg[[#This Row],[PRODUCTO]],DesengrasanteEspumoso[M.P.],0),3),0)</f>
        <v>0</v>
      </c>
      <c r="M33" s="69">
        <f>M$2*IFERROR(INDEX(DesmanchadorRopaColor[],MATCH(CostoKg[[#This Row],[PRODUCTO]],DesmanchadorRopaColor[M.P.],0),3),0)</f>
        <v>0</v>
      </c>
      <c r="N33" s="69">
        <f>N$2*IFERROR(INDEX(DetLavadora[],MATCH(CostoKg[[#This Row],[PRODUCTO]],DetLavadora[M.P.],0),3),0)</f>
        <v>0</v>
      </c>
      <c r="O33" s="69">
        <f>O$2*IFERROR(INDEX(DetMultiusos[],MATCH(CostoKg[[#This Row],[PRODUCTO]],DetMultiusos[M.P.],0),3),0)</f>
        <v>0</v>
      </c>
      <c r="P33" s="69">
        <f>P$2*IFERROR(INDEX(TipoRey[],MATCH(CostoKg[[#This Row],[PRODUCTO]],TipoRey[M.P.],0),3),0)</f>
        <v>103.67559999999999</v>
      </c>
      <c r="Q33" s="69">
        <f>Q$2*IFERROR(INDEX(GelAntibacterial[],MATCH(CostoKg[[#This Row],[PRODUCTO]],GelAntibacterial[M.P.],0),3),0)</f>
        <v>0</v>
      </c>
      <c r="R33" s="69">
        <f>R$2*IFERROR(INDEX(JabonManos[],MATCH(CostoKg[[#This Row],[PRODUCTO]],JabonManos[M.P.],0),3),0)</f>
        <v>0</v>
      </c>
      <c r="S33" s="69">
        <f>S$2*IFERROR(INDEX(JabonLavaLoza[],MATCH(CostoKg[[#This Row],[PRODUCTO]],JabonLavaLoza[M.P.],0),3),0)</f>
        <v>0</v>
      </c>
      <c r="T33" s="69">
        <f>T$2*IFERROR(INDEX(LimpiadorDeSuperficies[],MATCH(CostoKg[[#This Row],[PRODUCTO]],LimpiadorDeSuperficies[M.P.],0),3),0)</f>
        <v>0</v>
      </c>
      <c r="U33" s="69">
        <f>U$2*IFERROR(INDEX(LimpiadorHornos[],MATCH(CostoKg[[#This Row],[PRODUCTO]],LimpiadorHornos[M.P.],0),3),0)</f>
        <v>0</v>
      </c>
      <c r="V33" s="69">
        <f>V$2*IFERROR(INDEX(Limpiavidrios[],MATCH(CostoKg[[#This Row],[PRODUCTO]],Limpiavidrios[M.P.],0),3),0)</f>
        <v>0</v>
      </c>
      <c r="W33" s="69">
        <f>W$2*IFERROR(INDEX(RemovedorDeCeras[],MATCH(CostoKg[[#This Row],[PRODUCTO]],RemovedorDeCeras[M.P.],0),3),0)</f>
        <v>0</v>
      </c>
      <c r="X33" s="69">
        <f>X$2*IFERROR(INDEX(ShampooAlfombras[],MATCH(CostoKg[[#This Row],[PRODUCTO]],ShampooAlfombras[M.P.],0),3),0)</f>
        <v>0</v>
      </c>
      <c r="Y33" s="69">
        <f>Y$2*IFERROR(INDEX(ShampooAuto[],MATCH(CostoKg[[#This Row],[PRODUCTO]], ShampooAuto[M.P.],0),3),0)</f>
        <v>0</v>
      </c>
      <c r="Z33" s="69">
        <f>Z$2*IFERROR(INDEX(SiliconaAltoBrillo[],MATCH(CostoKg[[#This Row],[PRODUCTO]],SiliconaAltoBrillo[M.P.],0),3),0)</f>
        <v>0</v>
      </c>
      <c r="AA33" s="69">
        <f>AA$2*IFERROR(INDEX(Suavizante[],MATCH(CostoKg[[#This Row],[PRODUCTO]],Suavizante[M.P.],0),3),0)</f>
        <v>0</v>
      </c>
      <c r="AB33" s="69">
        <f>AB$2*IFERROR(INDEX(Vinagre[],MATCH(CostoKg[[#This Row],[PRODUCTO]], Vinagre[M.P.],0),3),0)</f>
        <v>0</v>
      </c>
    </row>
    <row r="34" spans="1:28">
      <c r="A34" s="31" t="s">
        <v>775</v>
      </c>
      <c r="B34" s="78">
        <f t="shared" si="0"/>
        <v>560.56000000000006</v>
      </c>
      <c r="C34" s="69">
        <f>C$2*IFERROR(INDEX(AlcoholIndustrial[],MATCH(CostoKg[[#This Row],[PRODUCTO]],AlcoholIndustrial[M.P.],0),3),0)</f>
        <v>0</v>
      </c>
      <c r="D34" s="69">
        <f>D$2*IFERROR(INDEX(AmbientadorPiso[],MATCH(CostoKg[[#This Row],[PRODUCTO]],AmbientadorPiso[M.P.],0),3),0)</f>
        <v>0</v>
      </c>
      <c r="E34" s="69">
        <f>E$2*IFERROR(INDEX(AmbientadorSpray[],MATCH(CostoKg[[#This Row],[PRODUCTO]],AmbientadorSpray[M.P.],0),3),0)</f>
        <v>0</v>
      </c>
      <c r="F34" s="69">
        <f>F$2*IFERROR(INDEX(Biovarsol[],MATCH(CostoKg[[#This Row],[PRODUCTO]],Biovarsol[M.P.],0),3),0)</f>
        <v>0</v>
      </c>
      <c r="G34" s="69">
        <f>G$2*IFERROR(INDEX(BlanqueadorDesinfectante[],MATCH(CostoKg[[#This Row],[PRODUCTO]],BlanqueadorDesinfectante[M.P.],0),3),0)</f>
        <v>0</v>
      </c>
      <c r="H34" s="69">
        <f>H$2*IFERROR(INDEX(CeraAutobrillante[],MATCH(CostoKg[[#This Row],[PRODUCTO]],CeraAutobrillante[M.P.],0),3),0)</f>
        <v>0</v>
      </c>
      <c r="I34" s="69">
        <f>I$2*IFERROR(INDEX(Creolina[],MATCH(CostoKg[[#This Row],[PRODUCTO]],Creolina[M.P.],0),3),0)</f>
        <v>0</v>
      </c>
      <c r="J34" s="69">
        <f>J$2*IFERROR(INDEX(Desencrustante[],MATCH(CostoKg[[#This Row],[PRODUCTO]],Desencrustante[M.P.],0),3),0)</f>
        <v>0</v>
      </c>
      <c r="K34" s="69">
        <f>K$2*IFERROR(INDEX(DesengrasanteAcido[],MATCH(CostoKg[[#This Row],[PRODUCTO]],DesengrasanteAcido[M.P.],0),3),0)</f>
        <v>0</v>
      </c>
      <c r="L34" s="69">
        <f>L$2*IFERROR(INDEX(DesengrasanteEspumoso[],MATCH(CostoKg[[#This Row],[PRODUCTO]],DesengrasanteEspumoso[M.P.],0),3),0)</f>
        <v>0</v>
      </c>
      <c r="M34" s="69">
        <f>M$2*IFERROR(INDEX(DesmanchadorRopaColor[],MATCH(CostoKg[[#This Row],[PRODUCTO]],DesmanchadorRopaColor[M.P.],0),3),0)</f>
        <v>0</v>
      </c>
      <c r="N34" s="69">
        <f>N$2*IFERROR(INDEX(DetLavadora[],MATCH(CostoKg[[#This Row],[PRODUCTO]],DetLavadora[M.P.],0),3),0)</f>
        <v>0</v>
      </c>
      <c r="O34" s="69">
        <f>O$2*IFERROR(INDEX(DetMultiusos[],MATCH(CostoKg[[#This Row],[PRODUCTO]],DetMultiusos[M.P.],0),3),0)</f>
        <v>0</v>
      </c>
      <c r="P34" s="69">
        <f>P$2*IFERROR(INDEX(TipoRey[],MATCH(CostoKg[[#This Row],[PRODUCTO]],TipoRey[M.P.],0),3),0)</f>
        <v>560.56000000000006</v>
      </c>
      <c r="Q34" s="69">
        <f>Q$2*IFERROR(INDEX(GelAntibacterial[],MATCH(CostoKg[[#This Row],[PRODUCTO]],GelAntibacterial[M.P.],0),3),0)</f>
        <v>0</v>
      </c>
      <c r="R34" s="69">
        <f>R$2*IFERROR(INDEX(JabonManos[],MATCH(CostoKg[[#This Row],[PRODUCTO]],JabonManos[M.P.],0),3),0)</f>
        <v>0</v>
      </c>
      <c r="S34" s="69">
        <f>S$2*IFERROR(INDEX(JabonLavaLoza[],MATCH(CostoKg[[#This Row],[PRODUCTO]],JabonLavaLoza[M.P.],0),3),0)</f>
        <v>0</v>
      </c>
      <c r="T34" s="69">
        <f>T$2*IFERROR(INDEX(LimpiadorDeSuperficies[],MATCH(CostoKg[[#This Row],[PRODUCTO]],LimpiadorDeSuperficies[M.P.],0),3),0)</f>
        <v>0</v>
      </c>
      <c r="U34" s="69">
        <f>U$2*IFERROR(INDEX(LimpiadorHornos[],MATCH(CostoKg[[#This Row],[PRODUCTO]],LimpiadorHornos[M.P.],0),3),0)</f>
        <v>0</v>
      </c>
      <c r="V34" s="69">
        <f>V$2*IFERROR(INDEX(Limpiavidrios[],MATCH(CostoKg[[#This Row],[PRODUCTO]],Limpiavidrios[M.P.],0),3),0)</f>
        <v>0</v>
      </c>
      <c r="W34" s="69">
        <f>W$2*IFERROR(INDEX(RemovedorDeCeras[],MATCH(CostoKg[[#This Row],[PRODUCTO]],RemovedorDeCeras[M.P.],0),3),0)</f>
        <v>0</v>
      </c>
      <c r="X34" s="69">
        <f>X$2*IFERROR(INDEX(ShampooAlfombras[],MATCH(CostoKg[[#This Row],[PRODUCTO]],ShampooAlfombras[M.P.],0),3),0)</f>
        <v>0</v>
      </c>
      <c r="Y34" s="69">
        <f>Y$2*IFERROR(INDEX(ShampooAuto[],MATCH(CostoKg[[#This Row],[PRODUCTO]], ShampooAuto[M.P.],0),3),0)</f>
        <v>0</v>
      </c>
      <c r="Z34" s="69">
        <f>Z$2*IFERROR(INDEX(SiliconaAltoBrillo[],MATCH(CostoKg[[#This Row],[PRODUCTO]],SiliconaAltoBrillo[M.P.],0),3),0)</f>
        <v>0</v>
      </c>
      <c r="AA34" s="69">
        <f>AA$2*IFERROR(INDEX(Suavizante[],MATCH(CostoKg[[#This Row],[PRODUCTO]],Suavizante[M.P.],0),3),0)</f>
        <v>0</v>
      </c>
      <c r="AB34" s="69">
        <f>AB$2*IFERROR(INDEX(Vinagre[],MATCH(CostoKg[[#This Row],[PRODUCTO]], Vinagre[M.P.],0),3),0)</f>
        <v>0</v>
      </c>
    </row>
    <row r="35" spans="1:28">
      <c r="A35" s="31" t="s">
        <v>776</v>
      </c>
      <c r="B35" s="78">
        <f t="shared" si="0"/>
        <v>3321.0636200000004</v>
      </c>
      <c r="C35" s="69">
        <f>C$2*IFERROR(INDEX(AlcoholIndustrial[],MATCH(CostoKg[[#This Row],[PRODUCTO]],AlcoholIndustrial[M.P.],0),3),0)</f>
        <v>0</v>
      </c>
      <c r="D35" s="69">
        <f>D$2*IFERROR(INDEX(AmbientadorPiso[],MATCH(CostoKg[[#This Row],[PRODUCTO]],AmbientadorPiso[M.P.],0),3),0)</f>
        <v>630.58169999999996</v>
      </c>
      <c r="E35" s="69">
        <f>E$2*IFERROR(INDEX(AmbientadorSpray[],MATCH(CostoKg[[#This Row],[PRODUCTO]],AmbientadorSpray[M.P.],0),3),0)</f>
        <v>525.48474999999996</v>
      </c>
      <c r="F35" s="69">
        <f>F$2*IFERROR(INDEX(Biovarsol[],MATCH(CostoKg[[#This Row],[PRODUCTO]],Biovarsol[M.P.],0),3),0)</f>
        <v>0</v>
      </c>
      <c r="G35" s="69">
        <f>G$2*IFERROR(INDEX(BlanqueadorDesinfectante[],MATCH(CostoKg[[#This Row],[PRODUCTO]],BlanqueadorDesinfectante[M.P.],0),3),0)</f>
        <v>0</v>
      </c>
      <c r="H35" s="69">
        <f>H$2*IFERROR(INDEX(CeraAutobrillante[],MATCH(CostoKg[[#This Row],[PRODUCTO]],CeraAutobrillante[M.P.],0),3),0)</f>
        <v>0</v>
      </c>
      <c r="I35" s="69">
        <f>I$2*IFERROR(INDEX(Creolina[],MATCH(CostoKg[[#This Row],[PRODUCTO]],Creolina[M.P.],0),3),0)</f>
        <v>0</v>
      </c>
      <c r="J35" s="69">
        <f>J$2*IFERROR(INDEX(Desencrustante[],MATCH(CostoKg[[#This Row],[PRODUCTO]],Desencrustante[M.P.],0),3),0)</f>
        <v>0</v>
      </c>
      <c r="K35" s="69">
        <f>K$2*IFERROR(INDEX(DesengrasanteAcido[],MATCH(CostoKg[[#This Row],[PRODUCTO]],DesengrasanteAcido[M.P.],0),3),0)</f>
        <v>0</v>
      </c>
      <c r="L35" s="69">
        <f>L$2*IFERROR(INDEX(DesengrasanteEspumoso[],MATCH(CostoKg[[#This Row],[PRODUCTO]],DesengrasanteEspumoso[M.P.],0),3),0)</f>
        <v>0</v>
      </c>
      <c r="M35" s="69">
        <f>M$2*IFERROR(INDEX(DesmanchadorRopaColor[],MATCH(CostoKg[[#This Row],[PRODUCTO]],DesmanchadorRopaColor[M.P.],0),3),0)</f>
        <v>0</v>
      </c>
      <c r="N35" s="69">
        <f>N$2*IFERROR(INDEX(DetLavadora[],MATCH(CostoKg[[#This Row],[PRODUCTO]],DetLavadora[M.P.],0),3),0)</f>
        <v>420.38779999999997</v>
      </c>
      <c r="O35" s="69">
        <f>O$2*IFERROR(INDEX(DetMultiusos[],MATCH(CostoKg[[#This Row],[PRODUCTO]],DetMultiusos[M.P.],0),3),0)</f>
        <v>105.09694999999999</v>
      </c>
      <c r="P35" s="69">
        <f>P$2*IFERROR(INDEX(TipoRey[],MATCH(CostoKg[[#This Row],[PRODUCTO]],TipoRey[M.P.],0),3),0)</f>
        <v>420.38779999999997</v>
      </c>
      <c r="Q35" s="69">
        <f>Q$2*IFERROR(INDEX(GelAntibacterial[],MATCH(CostoKg[[#This Row],[PRODUCTO]],GelAntibacterial[M.P.],0),3),0)</f>
        <v>0</v>
      </c>
      <c r="R35" s="69">
        <f>R$2*IFERROR(INDEX(JabonManos[],MATCH(CostoKg[[#This Row],[PRODUCTO]],JabonManos[M.P.],0),3),0)</f>
        <v>105.09694999999999</v>
      </c>
      <c r="S35" s="69">
        <f>S$2*IFERROR(INDEX(JabonLavaLoza[],MATCH(CostoKg[[#This Row],[PRODUCTO]],JabonLavaLoza[M.P.],0),3),0)</f>
        <v>105.09694999999999</v>
      </c>
      <c r="T35" s="69">
        <f>T$2*IFERROR(INDEX(LimpiadorDeSuperficies[],MATCH(CostoKg[[#This Row],[PRODUCTO]],LimpiadorDeSuperficies[M.P.],0),3),0)</f>
        <v>630.58169999999996</v>
      </c>
      <c r="U35" s="69">
        <f>U$2*IFERROR(INDEX(LimpiadorHornos[],MATCH(CostoKg[[#This Row],[PRODUCTO]],LimpiadorHornos[M.P.],0),3),0)</f>
        <v>63.058169999999997</v>
      </c>
      <c r="V35" s="69">
        <f>V$2*IFERROR(INDEX(Limpiavidrios[],MATCH(CostoKg[[#This Row],[PRODUCTO]],Limpiavidrios[M.P.],0),3),0)</f>
        <v>0</v>
      </c>
      <c r="W35" s="69">
        <f>W$2*IFERROR(INDEX(RemovedorDeCeras[],MATCH(CostoKg[[#This Row],[PRODUCTO]],RemovedorDeCeras[M.P.],0),3),0)</f>
        <v>0</v>
      </c>
      <c r="X35" s="69">
        <f>X$2*IFERROR(INDEX(ShampooAlfombras[],MATCH(CostoKg[[#This Row],[PRODUCTO]],ShampooAlfombras[M.P.],0),3),0)</f>
        <v>105.09694999999999</v>
      </c>
      <c r="Y35" s="69">
        <f>Y$2*IFERROR(INDEX(ShampooAuto[],MATCH(CostoKg[[#This Row],[PRODUCTO]], ShampooAuto[M.P.],0),3),0)</f>
        <v>105.09694999999999</v>
      </c>
      <c r="Z35" s="69">
        <f>Z$2*IFERROR(INDEX(SiliconaAltoBrillo[],MATCH(CostoKg[[#This Row],[PRODUCTO]],SiliconaAltoBrillo[M.P.],0),3),0)</f>
        <v>105.09694999999999</v>
      </c>
      <c r="AA35" s="69">
        <f>AA$2*IFERROR(INDEX(Suavizante[],MATCH(CostoKg[[#This Row],[PRODUCTO]],Suavizante[M.P.],0),3),0)</f>
        <v>0</v>
      </c>
      <c r="AB35" s="69">
        <f>AB$2*IFERROR(INDEX(Vinagre[],MATCH(CostoKg[[#This Row],[PRODUCTO]], Vinagre[M.P.],0),3),0)</f>
        <v>0</v>
      </c>
    </row>
    <row r="36" spans="1:28">
      <c r="A36" s="31" t="s">
        <v>777</v>
      </c>
      <c r="B36" s="78">
        <f t="shared" si="0"/>
        <v>840.01312499999995</v>
      </c>
      <c r="C36" s="69">
        <f>C$2*IFERROR(INDEX(AlcoholIndustrial[],MATCH(CostoKg[[#This Row],[PRODUCTO]],AlcoholIndustrial[M.P.],0),3),0)</f>
        <v>0</v>
      </c>
      <c r="D36" s="69">
        <f>D$2*IFERROR(INDEX(AmbientadorPiso[],MATCH(CostoKg[[#This Row],[PRODUCTO]],AmbientadorPiso[M.P.],0),3),0)</f>
        <v>0</v>
      </c>
      <c r="E36" s="69">
        <f>E$2*IFERROR(INDEX(AmbientadorSpray[],MATCH(CostoKg[[#This Row],[PRODUCTO]],AmbientadorSpray[M.P.],0),3),0)</f>
        <v>0</v>
      </c>
      <c r="F36" s="69">
        <f>F$2*IFERROR(INDEX(Biovarsol[],MATCH(CostoKg[[#This Row],[PRODUCTO]],Biovarsol[M.P.],0),3),0)</f>
        <v>0</v>
      </c>
      <c r="G36" s="69">
        <f>G$2*IFERROR(INDEX(BlanqueadorDesinfectante[],MATCH(CostoKg[[#This Row],[PRODUCTO]],BlanqueadorDesinfectante[M.P.],0),3),0)</f>
        <v>840.01312499999995</v>
      </c>
      <c r="H36" s="69">
        <f>H$2*IFERROR(INDEX(CeraAutobrillante[],MATCH(CostoKg[[#This Row],[PRODUCTO]],CeraAutobrillante[M.P.],0),3),0)</f>
        <v>0</v>
      </c>
      <c r="I36" s="69">
        <f>I$2*IFERROR(INDEX(Creolina[],MATCH(CostoKg[[#This Row],[PRODUCTO]],Creolina[M.P.],0),3),0)</f>
        <v>0</v>
      </c>
      <c r="J36" s="69">
        <f>J$2*IFERROR(INDEX(Desencrustante[],MATCH(CostoKg[[#This Row],[PRODUCTO]],Desencrustante[M.P.],0),3),0)</f>
        <v>0</v>
      </c>
      <c r="K36" s="69">
        <f>K$2*IFERROR(INDEX(DesengrasanteAcido[],MATCH(CostoKg[[#This Row],[PRODUCTO]],DesengrasanteAcido[M.P.],0),3),0)</f>
        <v>0</v>
      </c>
      <c r="L36" s="69">
        <f>L$2*IFERROR(INDEX(DesengrasanteEspumoso[],MATCH(CostoKg[[#This Row],[PRODUCTO]],DesengrasanteEspumoso[M.P.],0),3),0)</f>
        <v>0</v>
      </c>
      <c r="M36" s="69">
        <f>M$2*IFERROR(INDEX(DesmanchadorRopaColor[],MATCH(CostoKg[[#This Row],[PRODUCTO]],DesmanchadorRopaColor[M.P.],0),3),0)</f>
        <v>0</v>
      </c>
      <c r="N36" s="69">
        <f>N$2*IFERROR(INDEX(DetLavadora[],MATCH(CostoKg[[#This Row],[PRODUCTO]],DetLavadora[M.P.],0),3),0)</f>
        <v>0</v>
      </c>
      <c r="O36" s="69">
        <f>O$2*IFERROR(INDEX(DetMultiusos[],MATCH(CostoKg[[#This Row],[PRODUCTO]],DetMultiusos[M.P.],0),3),0)</f>
        <v>0</v>
      </c>
      <c r="P36" s="69">
        <f>P$2*IFERROR(INDEX(TipoRey[],MATCH(CostoKg[[#This Row],[PRODUCTO]],TipoRey[M.P.],0),3),0)</f>
        <v>0</v>
      </c>
      <c r="Q36" s="69">
        <f>Q$2*IFERROR(INDEX(GelAntibacterial[],MATCH(CostoKg[[#This Row],[PRODUCTO]],GelAntibacterial[M.P.],0),3),0)</f>
        <v>0</v>
      </c>
      <c r="R36" s="69">
        <f>R$2*IFERROR(INDEX(JabonManos[],MATCH(CostoKg[[#This Row],[PRODUCTO]],JabonManos[M.P.],0),3),0)</f>
        <v>0</v>
      </c>
      <c r="S36" s="69">
        <f>S$2*IFERROR(INDEX(JabonLavaLoza[],MATCH(CostoKg[[#This Row],[PRODUCTO]],JabonLavaLoza[M.P.],0),3),0)</f>
        <v>0</v>
      </c>
      <c r="T36" s="69">
        <f>T$2*IFERROR(INDEX(LimpiadorDeSuperficies[],MATCH(CostoKg[[#This Row],[PRODUCTO]],LimpiadorDeSuperficies[M.P.],0),3),0)</f>
        <v>0</v>
      </c>
      <c r="U36" s="69">
        <f>U$2*IFERROR(INDEX(LimpiadorHornos[],MATCH(CostoKg[[#This Row],[PRODUCTO]],LimpiadorHornos[M.P.],0),3),0)</f>
        <v>0</v>
      </c>
      <c r="V36" s="69">
        <f>V$2*IFERROR(INDEX(Limpiavidrios[],MATCH(CostoKg[[#This Row],[PRODUCTO]],Limpiavidrios[M.P.],0),3),0)</f>
        <v>0</v>
      </c>
      <c r="W36" s="69">
        <f>W$2*IFERROR(INDEX(RemovedorDeCeras[],MATCH(CostoKg[[#This Row],[PRODUCTO]],RemovedorDeCeras[M.P.],0),3),0)</f>
        <v>0</v>
      </c>
      <c r="X36" s="69">
        <f>X$2*IFERROR(INDEX(ShampooAlfombras[],MATCH(CostoKg[[#This Row],[PRODUCTO]],ShampooAlfombras[M.P.],0),3),0)</f>
        <v>0</v>
      </c>
      <c r="Y36" s="69">
        <f>Y$2*IFERROR(INDEX(ShampooAuto[],MATCH(CostoKg[[#This Row],[PRODUCTO]], ShampooAuto[M.P.],0),3),0)</f>
        <v>0</v>
      </c>
      <c r="Z36" s="69">
        <f>Z$2*IFERROR(INDEX(SiliconaAltoBrillo[],MATCH(CostoKg[[#This Row],[PRODUCTO]],SiliconaAltoBrillo[M.P.],0),3),0)</f>
        <v>0</v>
      </c>
      <c r="AA36" s="69">
        <f>AA$2*IFERROR(INDEX(Suavizante[],MATCH(CostoKg[[#This Row],[PRODUCTO]],Suavizante[M.P.],0),3),0)</f>
        <v>0</v>
      </c>
      <c r="AB36" s="69">
        <f>AB$2*IFERROR(INDEX(Vinagre[],MATCH(CostoKg[[#This Row],[PRODUCTO]], Vinagre[M.P.],0),3),0)</f>
        <v>0</v>
      </c>
    </row>
    <row r="37" spans="1:28">
      <c r="A37" s="18" t="s">
        <v>778</v>
      </c>
      <c r="B37" s="78">
        <f t="shared" si="0"/>
        <v>763.74666666666667</v>
      </c>
      <c r="C37" s="69">
        <f>C$2*IFERROR(INDEX(AlcoholIndustrial[],MATCH(CostoKg[[#This Row],[PRODUCTO]],AlcoholIndustrial[M.P.],0),3),0)</f>
        <v>0</v>
      </c>
      <c r="D37" s="69">
        <f>D$2*IFERROR(INDEX(AmbientadorPiso[],MATCH(CostoKg[[#This Row],[PRODUCTO]],AmbientadorPiso[M.P.],0),3),0)</f>
        <v>0</v>
      </c>
      <c r="E37" s="69">
        <f>E$2*IFERROR(INDEX(AmbientadorSpray[],MATCH(CostoKg[[#This Row],[PRODUCTO]],AmbientadorSpray[M.P.],0),3),0)</f>
        <v>0</v>
      </c>
      <c r="F37" s="69">
        <f>F$2*IFERROR(INDEX(Biovarsol[],MATCH(CostoKg[[#This Row],[PRODUCTO]],Biovarsol[M.P.],0),3),0)</f>
        <v>0</v>
      </c>
      <c r="G37" s="69">
        <f>G$2*IFERROR(INDEX(BlanqueadorDesinfectante[],MATCH(CostoKg[[#This Row],[PRODUCTO]],BlanqueadorDesinfectante[M.P.],0),3),0)</f>
        <v>0</v>
      </c>
      <c r="H37" s="69">
        <f>H$2*IFERROR(INDEX(CeraAutobrillante[],MATCH(CostoKg[[#This Row],[PRODUCTO]],CeraAutobrillante[M.P.],0),3),0)</f>
        <v>0</v>
      </c>
      <c r="I37" s="69">
        <f>I$2*IFERROR(INDEX(Creolina[],MATCH(CostoKg[[#This Row],[PRODUCTO]],Creolina[M.P.],0),3),0)</f>
        <v>0</v>
      </c>
      <c r="J37" s="69">
        <f>J$2*IFERROR(INDEX(Desencrustante[],MATCH(CostoKg[[#This Row],[PRODUCTO]],Desencrustante[M.P.],0),3),0)</f>
        <v>0</v>
      </c>
      <c r="K37" s="69">
        <f>K$2*IFERROR(INDEX(DesengrasanteAcido[],MATCH(CostoKg[[#This Row],[PRODUCTO]],DesengrasanteAcido[M.P.],0),3),0)</f>
        <v>0</v>
      </c>
      <c r="L37" s="69">
        <f>L$2*IFERROR(INDEX(DesengrasanteEspumoso[],MATCH(CostoKg[[#This Row],[PRODUCTO]],DesengrasanteEspumoso[M.P.],0),3),0)</f>
        <v>0</v>
      </c>
      <c r="M37" s="69">
        <f>M$2*IFERROR(INDEX(DesmanchadorRopaColor[],MATCH(CostoKg[[#This Row],[PRODUCTO]],DesmanchadorRopaColor[M.P.],0),3),0)</f>
        <v>763.74666666666667</v>
      </c>
      <c r="N37" s="69">
        <f>N$2*IFERROR(INDEX(DetLavadora[],MATCH(CostoKg[[#This Row],[PRODUCTO]],DetLavadora[M.P.],0),3),0)</f>
        <v>0</v>
      </c>
      <c r="O37" s="69">
        <f>O$2*IFERROR(INDEX(DetMultiusos[],MATCH(CostoKg[[#This Row],[PRODUCTO]],DetMultiusos[M.P.],0),3),0)</f>
        <v>0</v>
      </c>
      <c r="P37" s="69">
        <f>P$2*IFERROR(INDEX(TipoRey[],MATCH(CostoKg[[#This Row],[PRODUCTO]],TipoRey[M.P.],0),3),0)</f>
        <v>0</v>
      </c>
      <c r="Q37" s="69">
        <f>Q$2*IFERROR(INDEX(GelAntibacterial[],MATCH(CostoKg[[#This Row],[PRODUCTO]],GelAntibacterial[M.P.],0),3),0)</f>
        <v>0</v>
      </c>
      <c r="R37" s="69">
        <f>R$2*IFERROR(INDEX(JabonManos[],MATCH(CostoKg[[#This Row],[PRODUCTO]],JabonManos[M.P.],0),3),0)</f>
        <v>0</v>
      </c>
      <c r="S37" s="69">
        <f>S$2*IFERROR(INDEX(JabonLavaLoza[],MATCH(CostoKg[[#This Row],[PRODUCTO]],JabonLavaLoza[M.P.],0),3),0)</f>
        <v>0</v>
      </c>
      <c r="T37" s="69">
        <f>T$2*IFERROR(INDEX(LimpiadorDeSuperficies[],MATCH(CostoKg[[#This Row],[PRODUCTO]],LimpiadorDeSuperficies[M.P.],0),3),0)</f>
        <v>0</v>
      </c>
      <c r="U37" s="69">
        <f>U$2*IFERROR(INDEX(LimpiadorHornos[],MATCH(CostoKg[[#This Row],[PRODUCTO]],LimpiadorHornos[M.P.],0),3),0)</f>
        <v>0</v>
      </c>
      <c r="V37" s="69">
        <f>V$2*IFERROR(INDEX(Limpiavidrios[],MATCH(CostoKg[[#This Row],[PRODUCTO]],Limpiavidrios[M.P.],0),3),0)</f>
        <v>0</v>
      </c>
      <c r="W37" s="69">
        <f>W$2*IFERROR(INDEX(RemovedorDeCeras[],MATCH(CostoKg[[#This Row],[PRODUCTO]],RemovedorDeCeras[M.P.],0),3),0)</f>
        <v>0</v>
      </c>
      <c r="X37" s="69">
        <f>X$2*IFERROR(INDEX(ShampooAlfombras[],MATCH(CostoKg[[#This Row],[PRODUCTO]],ShampooAlfombras[M.P.],0),3),0)</f>
        <v>0</v>
      </c>
      <c r="Y37" s="69">
        <f>Y$2*IFERROR(INDEX(ShampooAuto[],MATCH(CostoKg[[#This Row],[PRODUCTO]], ShampooAuto[M.P.],0),3),0)</f>
        <v>0</v>
      </c>
      <c r="Z37" s="69">
        <f>Z$2*IFERROR(INDEX(SiliconaAltoBrillo[],MATCH(CostoKg[[#This Row],[PRODUCTO]],SiliconaAltoBrillo[M.P.],0),3),0)</f>
        <v>0</v>
      </c>
      <c r="AA37" s="69">
        <f>AA$2*IFERROR(INDEX(Suavizante[],MATCH(CostoKg[[#This Row],[PRODUCTO]],Suavizante[M.P.],0),3),0)</f>
        <v>0</v>
      </c>
      <c r="AB37" s="70">
        <f>AB$2*IFERROR(INDEX(Vinagre[],MATCH(CostoKg[[#This Row],[PRODUCTO]], Vinagre[M.P.],0),3),0)</f>
        <v>0</v>
      </c>
    </row>
    <row r="38" spans="1:28">
      <c r="A38" s="18" t="s">
        <v>779</v>
      </c>
      <c r="B38" s="78">
        <f t="shared" si="0"/>
        <v>59.913000000000004</v>
      </c>
      <c r="C38" s="69">
        <f>C$2*IFERROR(INDEX(AlcoholIndustrial[],MATCH(CostoKg[[#This Row],[PRODUCTO]],AlcoholIndustrial[M.P.],0),3),0)</f>
        <v>0</v>
      </c>
      <c r="D38" s="69">
        <f>D$2*IFERROR(INDEX(AmbientadorPiso[],MATCH(CostoKg[[#This Row],[PRODUCTO]],AmbientadorPiso[M.P.],0),3),0)</f>
        <v>0</v>
      </c>
      <c r="E38" s="69">
        <f>E$2*IFERROR(INDEX(AmbientadorSpray[],MATCH(CostoKg[[#This Row],[PRODUCTO]],AmbientadorSpray[M.P.],0),3),0)</f>
        <v>0</v>
      </c>
      <c r="F38" s="69">
        <f>F$2*IFERROR(INDEX(Biovarsol[],MATCH(CostoKg[[#This Row],[PRODUCTO]],Biovarsol[M.P.],0),3),0)</f>
        <v>0</v>
      </c>
      <c r="G38" s="69">
        <f>G$2*IFERROR(INDEX(BlanqueadorDesinfectante[],MATCH(CostoKg[[#This Row],[PRODUCTO]],BlanqueadorDesinfectante[M.P.],0),3),0)</f>
        <v>0</v>
      </c>
      <c r="H38" s="69">
        <f>H$2*IFERROR(INDEX(CeraAutobrillante[],MATCH(CostoKg[[#This Row],[PRODUCTO]],CeraAutobrillante[M.P.],0),3),0)</f>
        <v>0</v>
      </c>
      <c r="I38" s="69">
        <f>I$2*IFERROR(INDEX(Creolina[],MATCH(CostoKg[[#This Row],[PRODUCTO]],Creolina[M.P.],0),3),0)</f>
        <v>0</v>
      </c>
      <c r="J38" s="69">
        <f>J$2*IFERROR(INDEX(Desencrustante[],MATCH(CostoKg[[#This Row],[PRODUCTO]],Desencrustante[M.P.],0),3),0)</f>
        <v>0</v>
      </c>
      <c r="K38" s="69">
        <f>K$2*IFERROR(INDEX(DesengrasanteAcido[],MATCH(CostoKg[[#This Row],[PRODUCTO]],DesengrasanteAcido[M.P.],0),3),0)</f>
        <v>0</v>
      </c>
      <c r="L38" s="69">
        <f>L$2*IFERROR(INDEX(DesengrasanteEspumoso[],MATCH(CostoKg[[#This Row],[PRODUCTO]],DesengrasanteEspumoso[M.P.],0),3),0)</f>
        <v>0</v>
      </c>
      <c r="M38" s="69">
        <f>M$2*IFERROR(INDEX(DesmanchadorRopaColor[],MATCH(CostoKg[[#This Row],[PRODUCTO]],DesmanchadorRopaColor[M.P.],0),3),0)</f>
        <v>59.913000000000004</v>
      </c>
      <c r="N38" s="69">
        <f>N$2*IFERROR(INDEX(DetLavadora[],MATCH(CostoKg[[#This Row],[PRODUCTO]],DetLavadora[M.P.],0),3),0)</f>
        <v>0</v>
      </c>
      <c r="O38" s="69">
        <f>O$2*IFERROR(INDEX(DetMultiusos[],MATCH(CostoKg[[#This Row],[PRODUCTO]],DetMultiusos[M.P.],0),3),0)</f>
        <v>0</v>
      </c>
      <c r="P38" s="69">
        <f>P$2*IFERROR(INDEX(TipoRey[],MATCH(CostoKg[[#This Row],[PRODUCTO]],TipoRey[M.P.],0),3),0)</f>
        <v>0</v>
      </c>
      <c r="Q38" s="69">
        <f>Q$2*IFERROR(INDEX(GelAntibacterial[],MATCH(CostoKg[[#This Row],[PRODUCTO]],GelAntibacterial[M.P.],0),3),0)</f>
        <v>0</v>
      </c>
      <c r="R38" s="69">
        <f>R$2*IFERROR(INDEX(JabonManos[],MATCH(CostoKg[[#This Row],[PRODUCTO]],JabonManos[M.P.],0),3),0)</f>
        <v>0</v>
      </c>
      <c r="S38" s="69">
        <f>S$2*IFERROR(INDEX(JabonLavaLoza[],MATCH(CostoKg[[#This Row],[PRODUCTO]],JabonLavaLoza[M.P.],0),3),0)</f>
        <v>0</v>
      </c>
      <c r="T38" s="69">
        <f>T$2*IFERROR(INDEX(LimpiadorDeSuperficies[],MATCH(CostoKg[[#This Row],[PRODUCTO]],LimpiadorDeSuperficies[M.P.],0),3),0)</f>
        <v>0</v>
      </c>
      <c r="U38" s="69">
        <f>U$2*IFERROR(INDEX(LimpiadorHornos[],MATCH(CostoKg[[#This Row],[PRODUCTO]],LimpiadorHornos[M.P.],0),3),0)</f>
        <v>0</v>
      </c>
      <c r="V38" s="69">
        <f>V$2*IFERROR(INDEX(Limpiavidrios[],MATCH(CostoKg[[#This Row],[PRODUCTO]],Limpiavidrios[M.P.],0),3),0)</f>
        <v>0</v>
      </c>
      <c r="W38" s="69">
        <f>W$2*IFERROR(INDEX(RemovedorDeCeras[],MATCH(CostoKg[[#This Row],[PRODUCTO]],RemovedorDeCeras[M.P.],0),3),0)</f>
        <v>0</v>
      </c>
      <c r="X38" s="69">
        <f>X$2*IFERROR(INDEX(ShampooAlfombras[],MATCH(CostoKg[[#This Row],[PRODUCTO]],ShampooAlfombras[M.P.],0),3),0)</f>
        <v>0</v>
      </c>
      <c r="Y38" s="69">
        <f>Y$2*IFERROR(INDEX(ShampooAuto[],MATCH(CostoKg[[#This Row],[PRODUCTO]], ShampooAuto[M.P.],0),3),0)</f>
        <v>0</v>
      </c>
      <c r="Z38" s="69">
        <f>Z$2*IFERROR(INDEX(SiliconaAltoBrillo[],MATCH(CostoKg[[#This Row],[PRODUCTO]],SiliconaAltoBrillo[M.P.],0),3),0)</f>
        <v>0</v>
      </c>
      <c r="AA38" s="69">
        <f>AA$2*IFERROR(INDEX(Suavizante[],MATCH(CostoKg[[#This Row],[PRODUCTO]],Suavizante[M.P.],0),3),0)</f>
        <v>0</v>
      </c>
      <c r="AB38" s="70">
        <f>AB$2*IFERROR(INDEX(Vinagre[],MATCH(CostoKg[[#This Row],[PRODUCTO]], Vinagre[M.P.],0),3),0)</f>
        <v>0</v>
      </c>
    </row>
    <row r="39" spans="1:28">
      <c r="A39" s="18" t="s">
        <v>780</v>
      </c>
      <c r="B39" s="78">
        <f t="shared" si="0"/>
        <v>14</v>
      </c>
      <c r="C39" s="69">
        <f>C$2*IFERROR(INDEX(AlcoholIndustrial[],MATCH(CostoKg[[#This Row],[PRODUCTO]],AlcoholIndustrial[M.P.],0),3),0)</f>
        <v>0</v>
      </c>
      <c r="D39" s="69">
        <f>D$2*IFERROR(INDEX(AmbientadorPiso[],MATCH(CostoKg[[#This Row],[PRODUCTO]],AmbientadorPiso[M.P.],0),3),0)</f>
        <v>0</v>
      </c>
      <c r="E39" s="69">
        <f>E$2*IFERROR(INDEX(AmbientadorSpray[],MATCH(CostoKg[[#This Row],[PRODUCTO]],AmbientadorSpray[M.P.],0),3),0)</f>
        <v>0</v>
      </c>
      <c r="F39" s="69">
        <f>F$2*IFERROR(INDEX(Biovarsol[],MATCH(CostoKg[[#This Row],[PRODUCTO]],Biovarsol[M.P.],0),3),0)</f>
        <v>0</v>
      </c>
      <c r="G39" s="69">
        <f>G$2*IFERROR(INDEX(BlanqueadorDesinfectante[],MATCH(CostoKg[[#This Row],[PRODUCTO]],BlanqueadorDesinfectante[M.P.],0),3),0)</f>
        <v>0</v>
      </c>
      <c r="H39" s="69">
        <f>H$2*IFERROR(INDEX(CeraAutobrillante[],MATCH(CostoKg[[#This Row],[PRODUCTO]],CeraAutobrillante[M.P.],0),3),0)</f>
        <v>0</v>
      </c>
      <c r="I39" s="69">
        <f>I$2*IFERROR(INDEX(Creolina[],MATCH(CostoKg[[#This Row],[PRODUCTO]],Creolina[M.P.],0),3),0)</f>
        <v>0</v>
      </c>
      <c r="J39" s="69">
        <f>J$2*IFERROR(INDEX(Desencrustante[],MATCH(CostoKg[[#This Row],[PRODUCTO]],Desencrustante[M.P.],0),3),0)</f>
        <v>0</v>
      </c>
      <c r="K39" s="69">
        <f>K$2*IFERROR(INDEX(DesengrasanteAcido[],MATCH(CostoKg[[#This Row],[PRODUCTO]],DesengrasanteAcido[M.P.],0),3),0)</f>
        <v>0</v>
      </c>
      <c r="L39" s="69">
        <f>L$2*IFERROR(INDEX(DesengrasanteEspumoso[],MATCH(CostoKg[[#This Row],[PRODUCTO]],DesengrasanteEspumoso[M.P.],0),3),0)</f>
        <v>0</v>
      </c>
      <c r="M39" s="69">
        <f>M$2*IFERROR(INDEX(DesmanchadorRopaColor[],MATCH(CostoKg[[#This Row],[PRODUCTO]],DesmanchadorRopaColor[M.P.],0),3),0)</f>
        <v>14</v>
      </c>
      <c r="N39" s="69">
        <f>N$2*IFERROR(INDEX(DetLavadora[],MATCH(CostoKg[[#This Row],[PRODUCTO]],DetLavadora[M.P.],0),3),0)</f>
        <v>0</v>
      </c>
      <c r="O39" s="69">
        <f>O$2*IFERROR(INDEX(DetMultiusos[],MATCH(CostoKg[[#This Row],[PRODUCTO]],DetMultiusos[M.P.],0),3),0)</f>
        <v>0</v>
      </c>
      <c r="P39" s="69">
        <f>P$2*IFERROR(INDEX(TipoRey[],MATCH(CostoKg[[#This Row],[PRODUCTO]],TipoRey[M.P.],0),3),0)</f>
        <v>0</v>
      </c>
      <c r="Q39" s="69">
        <f>Q$2*IFERROR(INDEX(GelAntibacterial[],MATCH(CostoKg[[#This Row],[PRODUCTO]],GelAntibacterial[M.P.],0),3),0)</f>
        <v>0</v>
      </c>
      <c r="R39" s="69">
        <f>R$2*IFERROR(INDEX(JabonManos[],MATCH(CostoKg[[#This Row],[PRODUCTO]],JabonManos[M.P.],0),3),0)</f>
        <v>0</v>
      </c>
      <c r="S39" s="69">
        <f>S$2*IFERROR(INDEX(JabonLavaLoza[],MATCH(CostoKg[[#This Row],[PRODUCTO]],JabonLavaLoza[M.P.],0),3),0)</f>
        <v>0</v>
      </c>
      <c r="T39" s="69">
        <f>T$2*IFERROR(INDEX(LimpiadorDeSuperficies[],MATCH(CostoKg[[#This Row],[PRODUCTO]],LimpiadorDeSuperficies[M.P.],0),3),0)</f>
        <v>0</v>
      </c>
      <c r="U39" s="69">
        <f>U$2*IFERROR(INDEX(LimpiadorHornos[],MATCH(CostoKg[[#This Row],[PRODUCTO]],LimpiadorHornos[M.P.],0),3),0)</f>
        <v>0</v>
      </c>
      <c r="V39" s="69">
        <f>V$2*IFERROR(INDEX(Limpiavidrios[],MATCH(CostoKg[[#This Row],[PRODUCTO]],Limpiavidrios[M.P.],0),3),0)</f>
        <v>0</v>
      </c>
      <c r="W39" s="69">
        <f>W$2*IFERROR(INDEX(RemovedorDeCeras[],MATCH(CostoKg[[#This Row],[PRODUCTO]],RemovedorDeCeras[M.P.],0),3),0)</f>
        <v>0</v>
      </c>
      <c r="X39" s="69">
        <f>X$2*IFERROR(INDEX(ShampooAlfombras[],MATCH(CostoKg[[#This Row],[PRODUCTO]],ShampooAlfombras[M.P.],0),3),0)</f>
        <v>0</v>
      </c>
      <c r="Y39" s="69">
        <f>Y$2*IFERROR(INDEX(ShampooAuto[],MATCH(CostoKg[[#This Row],[PRODUCTO]], ShampooAuto[M.P.],0),3),0)</f>
        <v>0</v>
      </c>
      <c r="Z39" s="69">
        <f>Z$2*IFERROR(INDEX(SiliconaAltoBrillo[],MATCH(CostoKg[[#This Row],[PRODUCTO]],SiliconaAltoBrillo[M.P.],0),3),0)</f>
        <v>0</v>
      </c>
      <c r="AA39" s="69">
        <f>AA$2*IFERROR(INDEX(Suavizante[],MATCH(CostoKg[[#This Row],[PRODUCTO]],Suavizante[M.P.],0),3),0)</f>
        <v>0</v>
      </c>
      <c r="AB39" s="70">
        <f>AB$2*IFERROR(INDEX(Vinagre[],MATCH(CostoKg[[#This Row],[PRODUCTO]], Vinagre[M.P.],0),3),0)</f>
        <v>0</v>
      </c>
    </row>
    <row r="40" spans="1:28">
      <c r="A40" s="18" t="s">
        <v>783</v>
      </c>
      <c r="B40" s="78">
        <f t="shared" si="0"/>
        <v>640.5</v>
      </c>
      <c r="C40" s="69">
        <f>C$2*IFERROR(INDEX(AlcoholIndustrial[],MATCH(CostoKg[[#This Row],[PRODUCTO]],AlcoholIndustrial[M.P.],0),3),0)</f>
        <v>0</v>
      </c>
      <c r="D40" s="69">
        <f>D$2*IFERROR(INDEX(AmbientadorPiso[],MATCH(CostoKg[[#This Row],[PRODUCTO]],AmbientadorPiso[M.P.],0),3),0)</f>
        <v>0</v>
      </c>
      <c r="E40" s="69">
        <f>E$2*IFERROR(INDEX(AmbientadorSpray[],MATCH(CostoKg[[#This Row],[PRODUCTO]],AmbientadorSpray[M.P.],0),3),0)</f>
        <v>0</v>
      </c>
      <c r="F40" s="69">
        <f>F$2*IFERROR(INDEX(Biovarsol[],MATCH(CostoKg[[#This Row],[PRODUCTO]],Biovarsol[M.P.],0),3),0)</f>
        <v>0</v>
      </c>
      <c r="G40" s="69">
        <f>G$2*IFERROR(INDEX(BlanqueadorDesinfectante[],MATCH(CostoKg[[#This Row],[PRODUCTO]],BlanqueadorDesinfectante[M.P.],0),3),0)</f>
        <v>0</v>
      </c>
      <c r="H40" s="69">
        <f>H$2*IFERROR(INDEX(CeraAutobrillante[],MATCH(CostoKg[[#This Row],[PRODUCTO]],CeraAutobrillante[M.P.],0),3),0)</f>
        <v>0</v>
      </c>
      <c r="I40" s="69">
        <f>I$2*IFERROR(INDEX(Creolina[],MATCH(CostoKg[[#This Row],[PRODUCTO]],Creolina[M.P.],0),3),0)</f>
        <v>0</v>
      </c>
      <c r="J40" s="69">
        <f>J$2*IFERROR(INDEX(Desencrustante[],MATCH(CostoKg[[#This Row],[PRODUCTO]],Desencrustante[M.P.],0),3),0)</f>
        <v>0</v>
      </c>
      <c r="K40" s="69">
        <f>K$2*IFERROR(INDEX(DesengrasanteAcido[],MATCH(CostoKg[[#This Row],[PRODUCTO]],DesengrasanteAcido[M.P.],0),3),0)</f>
        <v>640.5</v>
      </c>
      <c r="L40" s="69">
        <f>L$2*IFERROR(INDEX(DesengrasanteEspumoso[],MATCH(CostoKg[[#This Row],[PRODUCTO]],DesengrasanteEspumoso[M.P.],0),3),0)</f>
        <v>0</v>
      </c>
      <c r="M40" s="69">
        <f>M$2*IFERROR(INDEX(DesmanchadorRopaColor[],MATCH(CostoKg[[#This Row],[PRODUCTO]],DesmanchadorRopaColor[M.P.],0),3),0)</f>
        <v>0</v>
      </c>
      <c r="N40" s="69">
        <f>N$2*IFERROR(INDEX(DetLavadora[],MATCH(CostoKg[[#This Row],[PRODUCTO]],DetLavadora[M.P.],0),3),0)</f>
        <v>0</v>
      </c>
      <c r="O40" s="69">
        <f>O$2*IFERROR(INDEX(DetMultiusos[],MATCH(CostoKg[[#This Row],[PRODUCTO]],DetMultiusos[M.P.],0),3),0)</f>
        <v>0</v>
      </c>
      <c r="P40" s="69">
        <f>P$2*IFERROR(INDEX(TipoRey[],MATCH(CostoKg[[#This Row],[PRODUCTO]],TipoRey[M.P.],0),3),0)</f>
        <v>0</v>
      </c>
      <c r="Q40" s="69">
        <f>Q$2*IFERROR(INDEX(GelAntibacterial[],MATCH(CostoKg[[#This Row],[PRODUCTO]],GelAntibacterial[M.P.],0),3),0)</f>
        <v>0</v>
      </c>
      <c r="R40" s="69">
        <f>R$2*IFERROR(INDEX(JabonManos[],MATCH(CostoKg[[#This Row],[PRODUCTO]],JabonManos[M.P.],0),3),0)</f>
        <v>0</v>
      </c>
      <c r="S40" s="69">
        <f>S$2*IFERROR(INDEX(JabonLavaLoza[],MATCH(CostoKg[[#This Row],[PRODUCTO]],JabonLavaLoza[M.P.],0),3),0)</f>
        <v>0</v>
      </c>
      <c r="T40" s="69">
        <f>T$2*IFERROR(INDEX(LimpiadorDeSuperficies[],MATCH(CostoKg[[#This Row],[PRODUCTO]],LimpiadorDeSuperficies[M.P.],0),3),0)</f>
        <v>0</v>
      </c>
      <c r="U40" s="69">
        <f>U$2*IFERROR(INDEX(LimpiadorHornos[],MATCH(CostoKg[[#This Row],[PRODUCTO]],LimpiadorHornos[M.P.],0),3),0)</f>
        <v>0</v>
      </c>
      <c r="V40" s="69">
        <f>V$2*IFERROR(INDEX(Limpiavidrios[],MATCH(CostoKg[[#This Row],[PRODUCTO]],Limpiavidrios[M.P.],0),3),0)</f>
        <v>0</v>
      </c>
      <c r="W40" s="69">
        <f>W$2*IFERROR(INDEX(RemovedorDeCeras[],MATCH(CostoKg[[#This Row],[PRODUCTO]],RemovedorDeCeras[M.P.],0),3),0)</f>
        <v>0</v>
      </c>
      <c r="X40" s="69">
        <f>X$2*IFERROR(INDEX(ShampooAlfombras[],MATCH(CostoKg[[#This Row],[PRODUCTO]],ShampooAlfombras[M.P.],0),3),0)</f>
        <v>0</v>
      </c>
      <c r="Y40" s="69">
        <f>Y$2*IFERROR(INDEX(ShampooAuto[],MATCH(CostoKg[[#This Row],[PRODUCTO]], ShampooAuto[M.P.],0),3),0)</f>
        <v>0</v>
      </c>
      <c r="Z40" s="69">
        <f>Z$2*IFERROR(INDEX(SiliconaAltoBrillo[],MATCH(CostoKg[[#This Row],[PRODUCTO]],SiliconaAltoBrillo[M.P.],0),3),0)</f>
        <v>0</v>
      </c>
      <c r="AA40" s="69">
        <f>AA$2*IFERROR(INDEX(Suavizante[],MATCH(CostoKg[[#This Row],[PRODUCTO]],Suavizante[M.P.],0),3),0)</f>
        <v>0</v>
      </c>
      <c r="AB40" s="70">
        <f>AB$2*IFERROR(INDEX(Vinagre[],MATCH(CostoKg[[#This Row],[PRODUCTO]], Vinagre[M.P.],0),3),0)</f>
        <v>0</v>
      </c>
    </row>
    <row r="41" spans="1:28">
      <c r="A41" s="18" t="s">
        <v>781</v>
      </c>
      <c r="B41" s="78">
        <f t="shared" si="0"/>
        <v>949.90000000000009</v>
      </c>
      <c r="C41" s="69">
        <f>C$2*IFERROR(INDEX(AlcoholIndustrial[],MATCH(CostoKg[[#This Row],[PRODUCTO]],AlcoholIndustrial[M.P.],0),3),0)</f>
        <v>0</v>
      </c>
      <c r="D41" s="69">
        <f>D$2*IFERROR(INDEX(AmbientadorPiso[],MATCH(CostoKg[[#This Row],[PRODUCTO]],AmbientadorPiso[M.P.],0),3),0)</f>
        <v>0</v>
      </c>
      <c r="E41" s="69">
        <f>E$2*IFERROR(INDEX(AmbientadorSpray[],MATCH(CostoKg[[#This Row],[PRODUCTO]],AmbientadorSpray[M.P.],0),3),0)</f>
        <v>0</v>
      </c>
      <c r="F41" s="69">
        <f>F$2*IFERROR(INDEX(Biovarsol[],MATCH(CostoKg[[#This Row],[PRODUCTO]],Biovarsol[M.P.],0),3),0)</f>
        <v>0</v>
      </c>
      <c r="G41" s="69">
        <f>G$2*IFERROR(INDEX(BlanqueadorDesinfectante[],MATCH(CostoKg[[#This Row],[PRODUCTO]],BlanqueadorDesinfectante[M.P.],0),3),0)</f>
        <v>0</v>
      </c>
      <c r="H41" s="69">
        <f>H$2*IFERROR(INDEX(CeraAutobrillante[],MATCH(CostoKg[[#This Row],[PRODUCTO]],CeraAutobrillante[M.P.],0),3),0)</f>
        <v>0</v>
      </c>
      <c r="I41" s="69">
        <f>I$2*IFERROR(INDEX(Creolina[],MATCH(CostoKg[[#This Row],[PRODUCTO]],Creolina[M.P.],0),3),0)</f>
        <v>0</v>
      </c>
      <c r="J41" s="69">
        <f>J$2*IFERROR(INDEX(Desencrustante[],MATCH(CostoKg[[#This Row],[PRODUCTO]],Desencrustante[M.P.],0),3),0)</f>
        <v>0</v>
      </c>
      <c r="K41" s="69">
        <f>K$2*IFERROR(INDEX(DesengrasanteAcido[],MATCH(CostoKg[[#This Row],[PRODUCTO]],DesengrasanteAcido[M.P.],0),3),0)</f>
        <v>0</v>
      </c>
      <c r="L41" s="69">
        <f>L$2*IFERROR(INDEX(DesengrasanteEspumoso[],MATCH(CostoKg[[#This Row],[PRODUCTO]],DesengrasanteEspumoso[M.P.],0),3),0)</f>
        <v>0</v>
      </c>
      <c r="M41" s="69">
        <f>M$2*IFERROR(INDEX(DesmanchadorRopaColor[],MATCH(CostoKg[[#This Row],[PRODUCTO]],DesmanchadorRopaColor[M.P.],0),3),0)</f>
        <v>0</v>
      </c>
      <c r="N41" s="69">
        <f>N$2*IFERROR(INDEX(DetLavadora[],MATCH(CostoKg[[#This Row],[PRODUCTO]],DetLavadora[M.P.],0),3),0)</f>
        <v>0</v>
      </c>
      <c r="O41" s="69">
        <f>O$2*IFERROR(INDEX(DetMultiusos[],MATCH(CostoKg[[#This Row],[PRODUCTO]],DetMultiusos[M.P.],0),3),0)</f>
        <v>0</v>
      </c>
      <c r="P41" s="69">
        <f>P$2*IFERROR(INDEX(TipoRey[],MATCH(CostoKg[[#This Row],[PRODUCTO]],TipoRey[M.P.],0),3),0)</f>
        <v>0</v>
      </c>
      <c r="Q41" s="69">
        <f>Q$2*IFERROR(INDEX(GelAntibacterial[],MATCH(CostoKg[[#This Row],[PRODUCTO]],GelAntibacterial[M.P.],0),3),0)</f>
        <v>0</v>
      </c>
      <c r="R41" s="69">
        <f>R$2*IFERROR(INDEX(JabonManos[],MATCH(CostoKg[[#This Row],[PRODUCTO]],JabonManos[M.P.],0),3),0)</f>
        <v>0</v>
      </c>
      <c r="S41" s="69">
        <f>S$2*IFERROR(INDEX(JabonLavaLoza[],MATCH(CostoKg[[#This Row],[PRODUCTO]],JabonLavaLoza[M.P.],0),3),0)</f>
        <v>0</v>
      </c>
      <c r="T41" s="69">
        <f>T$2*IFERROR(INDEX(LimpiadorDeSuperficies[],MATCH(CostoKg[[#This Row],[PRODUCTO]],LimpiadorDeSuperficies[M.P.],0),3),0)</f>
        <v>949.90000000000009</v>
      </c>
      <c r="U41" s="69">
        <f>U$2*IFERROR(INDEX(LimpiadorHornos[],MATCH(CostoKg[[#This Row],[PRODUCTO]],LimpiadorHornos[M.P.],0),3),0)</f>
        <v>0</v>
      </c>
      <c r="V41" s="69">
        <f>V$2*IFERROR(INDEX(Limpiavidrios[],MATCH(CostoKg[[#This Row],[PRODUCTO]],Limpiavidrios[M.P.],0),3),0)</f>
        <v>0</v>
      </c>
      <c r="W41" s="69">
        <f>W$2*IFERROR(INDEX(RemovedorDeCeras[],MATCH(CostoKg[[#This Row],[PRODUCTO]],RemovedorDeCeras[M.P.],0),3),0)</f>
        <v>0</v>
      </c>
      <c r="X41" s="69">
        <f>X$2*IFERROR(INDEX(ShampooAlfombras[],MATCH(CostoKg[[#This Row],[PRODUCTO]],ShampooAlfombras[M.P.],0),3),0)</f>
        <v>0</v>
      </c>
      <c r="Y41" s="69">
        <f>Y$2*IFERROR(INDEX(ShampooAuto[],MATCH(CostoKg[[#This Row],[PRODUCTO]], ShampooAuto[M.P.],0),3),0)</f>
        <v>0</v>
      </c>
      <c r="Z41" s="69">
        <f>Z$2*IFERROR(INDEX(SiliconaAltoBrillo[],MATCH(CostoKg[[#This Row],[PRODUCTO]],SiliconaAltoBrillo[M.P.],0),3),0)</f>
        <v>0</v>
      </c>
      <c r="AA41" s="69">
        <f>AA$2*IFERROR(INDEX(Suavizante[],MATCH(CostoKg[[#This Row],[PRODUCTO]],Suavizante[M.P.],0),3),0)</f>
        <v>0</v>
      </c>
      <c r="AB41" s="70">
        <f>AB$2*IFERROR(INDEX(Vinagre[],MATCH(CostoKg[[#This Row],[PRODUCTO]], Vinagre[M.P.],0),3),0)</f>
        <v>0</v>
      </c>
    </row>
    <row r="42" spans="1:28">
      <c r="A42" s="79" t="s">
        <v>786</v>
      </c>
      <c r="B42" s="74">
        <f t="shared" ref="B42:AB42" si="1">SUM(B3:B41)</f>
        <v>65852.681106666656</v>
      </c>
      <c r="C42" s="74">
        <f t="shared" si="1"/>
        <v>4443.2003749999994</v>
      </c>
      <c r="D42" s="74">
        <f t="shared" si="1"/>
        <v>2543.3181100000002</v>
      </c>
      <c r="E42" s="74">
        <f t="shared" si="1"/>
        <v>2393.2147650000002</v>
      </c>
      <c r="F42" s="74">
        <f t="shared" si="1"/>
        <v>627.91499999999996</v>
      </c>
      <c r="G42" s="74">
        <f t="shared" si="1"/>
        <v>1295.0131249999999</v>
      </c>
      <c r="H42" s="74">
        <f t="shared" si="1"/>
        <v>6844.2999999999993</v>
      </c>
      <c r="I42" s="74">
        <f t="shared" si="1"/>
        <v>2865.61175</v>
      </c>
      <c r="J42" s="74">
        <f t="shared" si="1"/>
        <v>1059.95</v>
      </c>
      <c r="K42" s="74">
        <f t="shared" si="1"/>
        <v>1908.21</v>
      </c>
      <c r="L42" s="74">
        <f t="shared" si="1"/>
        <v>1956.8720000000003</v>
      </c>
      <c r="M42" s="74">
        <f t="shared" si="1"/>
        <v>1354.4096666666667</v>
      </c>
      <c r="N42" s="74">
        <f t="shared" si="1"/>
        <v>3417.1273000000001</v>
      </c>
      <c r="O42" s="74">
        <f t="shared" si="1"/>
        <v>2024.1169500000001</v>
      </c>
      <c r="P42" s="74">
        <f t="shared" si="1"/>
        <v>3245.4069</v>
      </c>
      <c r="Q42" s="74">
        <f t="shared" si="1"/>
        <v>2601.5431749999998</v>
      </c>
      <c r="R42" s="74">
        <f t="shared" si="1"/>
        <v>2735.7992000000004</v>
      </c>
      <c r="S42" s="74">
        <f t="shared" si="1"/>
        <v>2897.4421499999999</v>
      </c>
      <c r="T42" s="74">
        <f t="shared" si="1"/>
        <v>3729.3807000000002</v>
      </c>
      <c r="U42" s="74">
        <f t="shared" si="1"/>
        <v>1749.8441700000001</v>
      </c>
      <c r="V42" s="74">
        <f t="shared" si="1"/>
        <v>1892.962405</v>
      </c>
      <c r="W42" s="74">
        <f t="shared" si="1"/>
        <v>1748.2750000000001</v>
      </c>
      <c r="X42" s="74">
        <f t="shared" si="1"/>
        <v>2276.2119499999999</v>
      </c>
      <c r="Y42" s="74">
        <f t="shared" si="1"/>
        <v>2815.4619499999999</v>
      </c>
      <c r="Z42" s="74">
        <f t="shared" si="1"/>
        <v>3095.4511999999995</v>
      </c>
      <c r="AA42" s="74">
        <f t="shared" si="1"/>
        <v>2879.1485149999999</v>
      </c>
      <c r="AB42" s="75">
        <f t="shared" si="1"/>
        <v>1452.4947499999998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3"/>
  <sheetViews>
    <sheetView showGridLines="0" zoomScale="90" zoomScaleNormal="90" workbookViewId="0">
      <selection activeCell="B14" sqref="B14"/>
    </sheetView>
  </sheetViews>
  <sheetFormatPr baseColWidth="10" defaultColWidth="11.42578125" defaultRowHeight="15"/>
  <cols>
    <col min="1" max="1" width="11.42578125" style="80"/>
    <col min="2" max="2" width="31" style="80" customWidth="1"/>
    <col min="3" max="4" width="10.7109375" style="80" customWidth="1"/>
    <col min="5" max="5" width="5.7109375" style="80" customWidth="1"/>
    <col min="6" max="6" width="32.42578125" style="80" customWidth="1"/>
    <col min="7" max="8" width="10.7109375" style="80" customWidth="1"/>
    <col min="9" max="9" width="5.7109375" style="80" customWidth="1"/>
    <col min="10" max="10" width="28.7109375" style="80" customWidth="1"/>
    <col min="11" max="11" width="10.7109375" style="80" customWidth="1"/>
    <col min="12" max="12" width="10.7109375" style="81" customWidth="1"/>
    <col min="13" max="1024" width="11.42578125" style="80"/>
  </cols>
  <sheetData>
    <row r="1" spans="1:1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  <c r="M1" s="82"/>
    </row>
    <row r="2" spans="1:13" s="86" customFormat="1">
      <c r="A2" s="84"/>
      <c r="B2" s="127" t="s">
        <v>787</v>
      </c>
      <c r="C2" s="127"/>
      <c r="D2" s="127"/>
      <c r="E2" s="84"/>
      <c r="F2" s="127" t="s">
        <v>788</v>
      </c>
      <c r="G2" s="127"/>
      <c r="H2" s="127"/>
      <c r="I2" s="84"/>
      <c r="J2" s="127" t="s">
        <v>789</v>
      </c>
      <c r="K2" s="127"/>
      <c r="L2" s="127"/>
      <c r="M2" s="84"/>
    </row>
    <row r="3" spans="1:13" s="86" customFormat="1">
      <c r="A3" s="84"/>
      <c r="B3" s="85" t="s">
        <v>790</v>
      </c>
      <c r="C3" s="85" t="s">
        <v>791</v>
      </c>
      <c r="D3" s="85" t="s">
        <v>792</v>
      </c>
      <c r="E3" s="84"/>
      <c r="F3" s="85" t="s">
        <v>790</v>
      </c>
      <c r="G3" s="85" t="s">
        <v>791</v>
      </c>
      <c r="H3" s="85" t="s">
        <v>792</v>
      </c>
      <c r="I3" s="84"/>
      <c r="J3" s="85" t="s">
        <v>790</v>
      </c>
      <c r="K3" s="85" t="s">
        <v>791</v>
      </c>
      <c r="L3" s="87" t="s">
        <v>792</v>
      </c>
      <c r="M3" s="84"/>
    </row>
    <row r="4" spans="1:13">
      <c r="A4" s="82"/>
      <c r="B4" s="88" t="s">
        <v>22</v>
      </c>
      <c r="C4" s="89">
        <f>1-SUM(C5:C15)</f>
        <v>0.77739999999999998</v>
      </c>
      <c r="D4" s="90">
        <f>C4*VLOOKUP(B4,MateriasPrimas[],3,0)</f>
        <v>505.31</v>
      </c>
      <c r="E4" s="82"/>
      <c r="F4" s="88" t="s">
        <v>22</v>
      </c>
      <c r="G4" s="89">
        <f>1-SUM(G5:G14)</f>
        <v>0.75700000000000001</v>
      </c>
      <c r="H4" s="91">
        <f>G4*VLOOKUP(F4,MateriasPrimas[],3,0)</f>
        <v>492.05</v>
      </c>
      <c r="I4" s="82"/>
      <c r="J4" s="88" t="s">
        <v>22</v>
      </c>
      <c r="K4" s="89">
        <f>1-SUM(K5:K14)</f>
        <v>0.74399999999999999</v>
      </c>
      <c r="L4" s="91">
        <f>K4*VLOOKUP(J4,MateriasPrimas[],3,0)</f>
        <v>483.6</v>
      </c>
      <c r="M4" s="82"/>
    </row>
    <row r="5" spans="1:13">
      <c r="A5" s="82"/>
      <c r="B5" s="88" t="s">
        <v>19</v>
      </c>
      <c r="C5" s="89">
        <v>0.09</v>
      </c>
      <c r="D5" s="90">
        <f>C5*VLOOKUP(B5,MateriasPrimas[],3,0)</f>
        <v>860.26499999999999</v>
      </c>
      <c r="E5" s="82"/>
      <c r="F5" s="88" t="s">
        <v>19</v>
      </c>
      <c r="G5" s="89">
        <v>0.1</v>
      </c>
      <c r="H5" s="91">
        <f>G5*VLOOKUP(F5,MateriasPrimas[],3,0)</f>
        <v>955.85</v>
      </c>
      <c r="I5" s="82"/>
      <c r="J5" s="88" t="s">
        <v>19</v>
      </c>
      <c r="K5" s="89">
        <v>0.1</v>
      </c>
      <c r="L5" s="91">
        <f>K5*VLOOKUP(J5,MateriasPrimas[],3,0)</f>
        <v>955.85</v>
      </c>
      <c r="M5" s="82"/>
    </row>
    <row r="6" spans="1:13">
      <c r="A6" s="82"/>
      <c r="B6" s="88" t="s">
        <v>116</v>
      </c>
      <c r="C6" s="89">
        <v>2.5000000000000001E-2</v>
      </c>
      <c r="D6" s="90">
        <f>C6*VLOOKUP(B6,MateriasPrimas[],3,0)</f>
        <v>122.9375</v>
      </c>
      <c r="E6" s="82"/>
      <c r="F6" s="88" t="s">
        <v>116</v>
      </c>
      <c r="G6" s="89">
        <v>2.5000000000000001E-2</v>
      </c>
      <c r="H6" s="91">
        <f>G6*VLOOKUP(F6,MateriasPrimas[],3,0)</f>
        <v>122.9375</v>
      </c>
      <c r="I6" s="82"/>
      <c r="J6" s="88" t="s">
        <v>116</v>
      </c>
      <c r="K6" s="89">
        <v>0.02</v>
      </c>
      <c r="L6" s="91">
        <f>K6*VLOOKUP(J6,MateriasPrimas[],3,0)</f>
        <v>98.350000000000009</v>
      </c>
      <c r="M6" s="82"/>
    </row>
    <row r="7" spans="1:13">
      <c r="A7" s="82"/>
      <c r="B7" s="88" t="s">
        <v>134</v>
      </c>
      <c r="C7" s="89">
        <v>7.0000000000000007E-2</v>
      </c>
      <c r="D7" s="90">
        <f>C7*VLOOKUP(B7,MateriasPrimas[],3,0)</f>
        <v>406.70000000000005</v>
      </c>
      <c r="E7" s="82"/>
      <c r="F7" s="88" t="s">
        <v>134</v>
      </c>
      <c r="G7" s="89">
        <v>7.0000000000000007E-2</v>
      </c>
      <c r="H7" s="91">
        <f>G7*VLOOKUP(F7,MateriasPrimas[],3,0)</f>
        <v>406.70000000000005</v>
      </c>
      <c r="I7" s="82"/>
      <c r="J7" s="88" t="s">
        <v>90</v>
      </c>
      <c r="K7" s="89">
        <v>0.1</v>
      </c>
      <c r="L7" s="91">
        <f>K7*VLOOKUP(J7,MateriasPrimas[],3,0)</f>
        <v>497.70000000000005</v>
      </c>
      <c r="M7" s="82"/>
    </row>
    <row r="8" spans="1:13">
      <c r="A8" s="82"/>
      <c r="B8" s="88" t="s">
        <v>31</v>
      </c>
      <c r="C8" s="89">
        <v>3.0000000000000001E-3</v>
      </c>
      <c r="D8" s="90">
        <f>C8*VLOOKUP(B8,MateriasPrimas[],3,0)</f>
        <v>37.064999999999998</v>
      </c>
      <c r="E8" s="82"/>
      <c r="F8" s="88" t="s">
        <v>31</v>
      </c>
      <c r="G8" s="89">
        <v>3.0000000000000001E-3</v>
      </c>
      <c r="H8" s="91">
        <f>G8*VLOOKUP(F8,MateriasPrimas[],3,0)</f>
        <v>37.064999999999998</v>
      </c>
      <c r="I8" s="82"/>
      <c r="J8" s="88" t="s">
        <v>31</v>
      </c>
      <c r="K8" s="89">
        <v>3.0000000000000001E-3</v>
      </c>
      <c r="L8" s="91">
        <f>K8*VLOOKUP(J8,MateriasPrimas[],3,0)</f>
        <v>37.064999999999998</v>
      </c>
      <c r="M8" s="82"/>
    </row>
    <row r="9" spans="1:13">
      <c r="A9" s="82"/>
      <c r="B9" s="88" t="s">
        <v>96</v>
      </c>
      <c r="C9" s="89">
        <v>3.0000000000000001E-3</v>
      </c>
      <c r="D9" s="90">
        <f>C9*VLOOKUP(B9,MateriasPrimas[],3,0)</f>
        <v>11.361000000000001</v>
      </c>
      <c r="E9" s="82"/>
      <c r="F9" s="88" t="s">
        <v>29</v>
      </c>
      <c r="G9" s="89">
        <v>0.01</v>
      </c>
      <c r="H9" s="91">
        <f>G9*VLOOKUP(F9,MateriasPrimas[],3,0)</f>
        <v>94.99</v>
      </c>
      <c r="I9" s="82"/>
      <c r="J9" s="88" t="s">
        <v>123</v>
      </c>
      <c r="K9" s="89">
        <v>3.0000000000000001E-3</v>
      </c>
      <c r="L9" s="91">
        <f>K9*VLOOKUP(J9,MateriasPrimas[],3,0)</f>
        <v>10.290000000000001</v>
      </c>
      <c r="M9" s="82"/>
    </row>
    <row r="10" spans="1:13">
      <c r="A10" s="82"/>
      <c r="B10" s="88" t="s">
        <v>123</v>
      </c>
      <c r="C10" s="89">
        <v>3.0000000000000001E-3</v>
      </c>
      <c r="D10" s="90">
        <f>C10*VLOOKUP(B10,MateriasPrimas[],3,0)</f>
        <v>10.290000000000001</v>
      </c>
      <c r="E10" s="82"/>
      <c r="F10" s="88" t="s">
        <v>96</v>
      </c>
      <c r="G10" s="89">
        <v>3.0000000000000001E-3</v>
      </c>
      <c r="H10" s="91">
        <f>G10*VLOOKUP(F10,MateriasPrimas[],3,0)</f>
        <v>11.361000000000001</v>
      </c>
      <c r="I10" s="82"/>
      <c r="J10" s="88" t="s">
        <v>106</v>
      </c>
      <c r="K10" s="89">
        <v>5.0000000000000001E-3</v>
      </c>
      <c r="L10" s="91">
        <f>K10*VLOOKUP(J10,MateriasPrimas[],3,0)</f>
        <v>105.09694999999999</v>
      </c>
      <c r="M10" s="82"/>
    </row>
    <row r="11" spans="1:13">
      <c r="A11" s="82"/>
      <c r="B11" s="88" t="s">
        <v>39</v>
      </c>
      <c r="C11" s="89">
        <v>4.0000000000000002E-4</v>
      </c>
      <c r="D11" s="90">
        <f>C11*VLOOKUP(B11,MateriasPrimas[],3,0)</f>
        <v>23.268000000000001</v>
      </c>
      <c r="E11" s="82"/>
      <c r="F11" s="88" t="s">
        <v>123</v>
      </c>
      <c r="G11" s="89">
        <v>3.0000000000000001E-3</v>
      </c>
      <c r="H11" s="91">
        <f>G11*VLOOKUP(F11,MateriasPrimas[],3,0)</f>
        <v>10.290000000000001</v>
      </c>
      <c r="I11" s="82"/>
      <c r="J11" s="88" t="s">
        <v>87</v>
      </c>
      <c r="K11" s="89">
        <v>5.0000000000000001E-3</v>
      </c>
      <c r="L11" s="91">
        <f>K11*VLOOKUP(J11,MateriasPrimas[],3,0)</f>
        <v>274.78500000000003</v>
      </c>
      <c r="M11" s="82"/>
    </row>
    <row r="12" spans="1:13">
      <c r="A12" s="82"/>
      <c r="B12" s="88" t="s">
        <v>44</v>
      </c>
      <c r="C12" s="89">
        <v>2.0000000000000001E-4</v>
      </c>
      <c r="D12" s="90">
        <f>C12*VLOOKUP(B12,MateriasPrimas[],3,0)</f>
        <v>11.634</v>
      </c>
      <c r="E12" s="82"/>
      <c r="F12" s="88" t="s">
        <v>40</v>
      </c>
      <c r="G12" s="89">
        <v>1E-3</v>
      </c>
      <c r="H12" s="91">
        <f>G12*VLOOKUP(F12,MateriasPrimas[],3,0)</f>
        <v>103.67559999999999</v>
      </c>
      <c r="I12" s="82"/>
      <c r="J12" s="88" t="s">
        <v>111</v>
      </c>
      <c r="K12" s="89">
        <v>0.02</v>
      </c>
      <c r="L12" s="91">
        <f>K12*VLOOKUP(J12,MateriasPrimas[],3,0)</f>
        <v>59.08</v>
      </c>
      <c r="M12" s="82"/>
    </row>
    <row r="13" spans="1:13">
      <c r="A13" s="82"/>
      <c r="B13" s="88" t="s">
        <v>106</v>
      </c>
      <c r="C13" s="89">
        <v>0.02</v>
      </c>
      <c r="D13" s="90">
        <f>C13*VLOOKUP(B13,MateriasPrimas[],3,0)</f>
        <v>420.38779999999997</v>
      </c>
      <c r="E13" s="82"/>
      <c r="F13" s="88" t="s">
        <v>106</v>
      </c>
      <c r="G13" s="89">
        <v>0.02</v>
      </c>
      <c r="H13" s="91">
        <f>G13*VLOOKUP(F13,MateriasPrimas[],3,0)</f>
        <v>420.38779999999997</v>
      </c>
      <c r="I13" s="82"/>
      <c r="J13" s="92"/>
      <c r="K13" s="93"/>
      <c r="L13" s="94">
        <f>SUM(L4:L12)</f>
        <v>2521.8169499999999</v>
      </c>
      <c r="M13" s="82"/>
    </row>
    <row r="14" spans="1:13">
      <c r="A14" s="82"/>
      <c r="B14" s="88" t="s">
        <v>81</v>
      </c>
      <c r="C14" s="89">
        <v>8.0000000000000002E-3</v>
      </c>
      <c r="D14" s="90">
        <f>C14*VLOOKUP(B14,MateriasPrimas[],3,0)</f>
        <v>639.57600000000002</v>
      </c>
      <c r="E14" s="82"/>
      <c r="F14" s="88" t="s">
        <v>83</v>
      </c>
      <c r="G14" s="89">
        <v>8.0000000000000002E-3</v>
      </c>
      <c r="H14" s="91">
        <f>G14*VLOOKUP(F14,MateriasPrimas[],3,0)</f>
        <v>560.56000000000006</v>
      </c>
      <c r="I14" s="82"/>
      <c r="J14" s="92"/>
      <c r="K14" s="93"/>
      <c r="L14" s="83"/>
      <c r="M14" s="82"/>
    </row>
    <row r="15" spans="1:13">
      <c r="A15" s="82"/>
      <c r="B15" s="88" t="s">
        <v>120</v>
      </c>
      <c r="C15" s="89">
        <v>0</v>
      </c>
      <c r="D15" s="90">
        <f>C15*VLOOKUP(B15,MateriasPrimas[],3,0)</f>
        <v>0</v>
      </c>
      <c r="E15" s="82"/>
      <c r="F15" s="88" t="s">
        <v>111</v>
      </c>
      <c r="G15" s="89">
        <v>0.01</v>
      </c>
      <c r="H15" s="91">
        <f>G15*VLOOKUP(F15,MateriasPrimas[],3,0)</f>
        <v>29.54</v>
      </c>
      <c r="I15" s="82"/>
      <c r="J15" s="82"/>
      <c r="K15" s="82"/>
      <c r="L15" s="83"/>
      <c r="M15" s="82"/>
    </row>
    <row r="16" spans="1:13">
      <c r="A16" s="82"/>
      <c r="B16" s="88" t="s">
        <v>30</v>
      </c>
      <c r="C16" s="89">
        <v>0.01</v>
      </c>
      <c r="D16" s="90">
        <f>C16*VLOOKUP(B16,MateriasPrimas[],3,0)</f>
        <v>368.33299999999997</v>
      </c>
      <c r="E16" s="82"/>
      <c r="F16" s="92"/>
      <c r="G16" s="93"/>
      <c r="H16" s="94">
        <f>SUM(H4:H15)</f>
        <v>3245.4069</v>
      </c>
      <c r="I16" s="82"/>
      <c r="J16" s="82"/>
      <c r="K16" s="82"/>
      <c r="L16" s="83"/>
      <c r="M16" s="82"/>
    </row>
    <row r="17" spans="1:13">
      <c r="A17" s="82"/>
      <c r="B17" s="92"/>
      <c r="C17" s="93"/>
      <c r="D17" s="95">
        <f>SUM(DetLavadora[Costo (Kg)])</f>
        <v>3417.1273000000006</v>
      </c>
      <c r="E17" s="82"/>
      <c r="F17" s="82"/>
      <c r="G17" s="82"/>
      <c r="H17" s="82"/>
      <c r="I17" s="82"/>
      <c r="J17" s="82"/>
      <c r="K17" s="82"/>
      <c r="L17" s="83"/>
      <c r="M17" s="82"/>
    </row>
    <row r="18" spans="1:13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3"/>
      <c r="M18" s="82"/>
    </row>
    <row r="19" spans="1:13" s="86" customFormat="1">
      <c r="A19" s="84"/>
      <c r="B19" s="127" t="s">
        <v>793</v>
      </c>
      <c r="C19" s="127"/>
      <c r="D19" s="127"/>
      <c r="E19" s="84"/>
      <c r="F19" s="127" t="s">
        <v>794</v>
      </c>
      <c r="G19" s="127"/>
      <c r="H19" s="127"/>
      <c r="I19" s="84"/>
      <c r="J19" s="127" t="s">
        <v>795</v>
      </c>
      <c r="K19" s="127"/>
      <c r="L19" s="127"/>
      <c r="M19" s="84"/>
    </row>
    <row r="20" spans="1:13" s="86" customFormat="1">
      <c r="A20" s="84"/>
      <c r="B20" s="85" t="s">
        <v>790</v>
      </c>
      <c r="C20" s="85" t="s">
        <v>791</v>
      </c>
      <c r="D20" s="85" t="s">
        <v>792</v>
      </c>
      <c r="E20" s="84"/>
      <c r="F20" s="85" t="s">
        <v>790</v>
      </c>
      <c r="G20" s="85" t="s">
        <v>791</v>
      </c>
      <c r="H20" s="85" t="s">
        <v>792</v>
      </c>
      <c r="I20" s="84"/>
      <c r="J20" s="85" t="s">
        <v>790</v>
      </c>
      <c r="K20" s="85" t="s">
        <v>791</v>
      </c>
      <c r="L20" s="87" t="s">
        <v>792</v>
      </c>
      <c r="M20" s="84"/>
    </row>
    <row r="21" spans="1:13">
      <c r="A21" s="82"/>
      <c r="B21" s="88" t="s">
        <v>22</v>
      </c>
      <c r="C21" s="89">
        <f>1-SUM(C22:C24)</f>
        <v>0.92900000000000005</v>
      </c>
      <c r="D21" s="91">
        <f>C21*VLOOKUP(B21,MateriasPrimas[],3,0)</f>
        <v>603.85</v>
      </c>
      <c r="E21" s="82"/>
      <c r="F21" s="88" t="s">
        <v>22</v>
      </c>
      <c r="G21" s="89">
        <f>1-SUM(G22:G32)</f>
        <v>0.74</v>
      </c>
      <c r="H21" s="91">
        <f>G21*VLOOKUP(F21,MateriasPrimas[],3,0)</f>
        <v>481</v>
      </c>
      <c r="I21" s="82"/>
      <c r="J21" s="88" t="s">
        <v>22</v>
      </c>
      <c r="K21" s="89">
        <f>1-SUM(K22:K32)</f>
        <v>0.77</v>
      </c>
      <c r="L21" s="91">
        <f>K21*VLOOKUP(J21,MateriasPrimas[],3,0)</f>
        <v>500.5</v>
      </c>
      <c r="M21" s="82"/>
    </row>
    <row r="22" spans="1:13">
      <c r="A22" s="82"/>
      <c r="B22" s="88" t="s">
        <v>32</v>
      </c>
      <c r="C22" s="89">
        <v>0.05</v>
      </c>
      <c r="D22" s="91">
        <f>C22*VLOOKUP(B22,MateriasPrimas[],3,0)</f>
        <v>781.15187500000002</v>
      </c>
      <c r="E22" s="82"/>
      <c r="F22" s="88" t="s">
        <v>19</v>
      </c>
      <c r="G22" s="89">
        <v>0.1</v>
      </c>
      <c r="H22" s="91">
        <f>G22*VLOOKUP(F22,MateriasPrimas[],3,0)</f>
        <v>955.85</v>
      </c>
      <c r="I22" s="82"/>
      <c r="J22" s="88" t="s">
        <v>19</v>
      </c>
      <c r="K22" s="89">
        <v>0.1</v>
      </c>
      <c r="L22" s="91">
        <f>K22*VLOOKUP(J22,MateriasPrimas[],3,0)</f>
        <v>955.85</v>
      </c>
      <c r="M22" s="82"/>
    </row>
    <row r="23" spans="1:13">
      <c r="A23" s="82"/>
      <c r="B23" s="88" t="s">
        <v>88</v>
      </c>
      <c r="C23" s="89">
        <v>1.7999999999999999E-2</v>
      </c>
      <c r="D23" s="91">
        <f>C23*VLOOKUP(B23,MateriasPrimas[],3,0)</f>
        <v>1457.0816399999999</v>
      </c>
      <c r="E23" s="82"/>
      <c r="F23" s="88" t="s">
        <v>116</v>
      </c>
      <c r="G23" s="89">
        <v>0.02</v>
      </c>
      <c r="H23" s="91">
        <f>G23*VLOOKUP(F23,MateriasPrimas[],3,0)</f>
        <v>98.350000000000009</v>
      </c>
      <c r="I23" s="82"/>
      <c r="J23" s="88" t="s">
        <v>116</v>
      </c>
      <c r="K23" s="89">
        <v>0.02</v>
      </c>
      <c r="L23" s="91">
        <f>K23*VLOOKUP(J23,MateriasPrimas[],3,0)</f>
        <v>98.350000000000009</v>
      </c>
      <c r="M23" s="82"/>
    </row>
    <row r="24" spans="1:13">
      <c r="A24" s="82"/>
      <c r="B24" s="88" t="s">
        <v>31</v>
      </c>
      <c r="C24" s="89">
        <v>3.0000000000000001E-3</v>
      </c>
      <c r="D24" s="91">
        <f>C24*VLOOKUP(B24,MateriasPrimas[],3,0)</f>
        <v>37.064999999999998</v>
      </c>
      <c r="E24" s="82"/>
      <c r="F24" s="88" t="s">
        <v>90</v>
      </c>
      <c r="G24" s="89">
        <v>0.1</v>
      </c>
      <c r="H24" s="91">
        <f>G24*VLOOKUP(F24,MateriasPrimas[],3,0)</f>
        <v>497.70000000000005</v>
      </c>
      <c r="I24" s="82"/>
      <c r="J24" s="88" t="s">
        <v>134</v>
      </c>
      <c r="K24" s="89">
        <v>7.0000000000000007E-2</v>
      </c>
      <c r="L24" s="91">
        <f>K24*VLOOKUP(J24,MateriasPrimas[],3,0)</f>
        <v>406.70000000000005</v>
      </c>
      <c r="M24" s="82"/>
    </row>
    <row r="25" spans="1:13">
      <c r="A25" s="82"/>
      <c r="B25" s="82"/>
      <c r="C25" s="82"/>
      <c r="D25" s="96">
        <f>SUM(D21:D24)</f>
        <v>2879.1485149999999</v>
      </c>
      <c r="E25" s="82"/>
      <c r="F25" s="88" t="s">
        <v>31</v>
      </c>
      <c r="G25" s="89">
        <v>3.0000000000000001E-3</v>
      </c>
      <c r="H25" s="91">
        <f>G25*VLOOKUP(F25,MateriasPrimas[],3,0)</f>
        <v>37.064999999999998</v>
      </c>
      <c r="I25" s="82"/>
      <c r="J25" s="88" t="s">
        <v>31</v>
      </c>
      <c r="K25" s="89">
        <v>3.0000000000000001E-3</v>
      </c>
      <c r="L25" s="91">
        <f>K25*VLOOKUP(J25,MateriasPrimas[],3,0)</f>
        <v>37.064999999999998</v>
      </c>
      <c r="M25" s="82"/>
    </row>
    <row r="26" spans="1:13">
      <c r="A26" s="82"/>
      <c r="B26" s="82"/>
      <c r="C26" s="82"/>
      <c r="D26" s="82"/>
      <c r="E26" s="82"/>
      <c r="F26" s="88" t="s">
        <v>123</v>
      </c>
      <c r="G26" s="89">
        <v>3.0000000000000001E-3</v>
      </c>
      <c r="H26" s="91">
        <f>G26*VLOOKUP(F26,MateriasPrimas[],3,0)</f>
        <v>10.290000000000001</v>
      </c>
      <c r="I26" s="82"/>
      <c r="J26" s="88" t="s">
        <v>123</v>
      </c>
      <c r="K26" s="89">
        <v>3.0000000000000001E-3</v>
      </c>
      <c r="L26" s="91">
        <f>K26*VLOOKUP(J26,MateriasPrimas[],3,0)</f>
        <v>10.290000000000001</v>
      </c>
      <c r="M26" s="82"/>
    </row>
    <row r="27" spans="1:13">
      <c r="A27" s="82"/>
      <c r="B27" s="82"/>
      <c r="C27" s="82"/>
      <c r="D27" s="82"/>
      <c r="E27" s="82"/>
      <c r="F27" s="88" t="s">
        <v>36</v>
      </c>
      <c r="G27" s="89">
        <v>4.0000000000000001E-3</v>
      </c>
      <c r="H27" s="91">
        <f>G27*VLOOKUP(F27,MateriasPrimas[],3,0)</f>
        <v>232.68</v>
      </c>
      <c r="I27" s="82"/>
      <c r="J27" s="88" t="s">
        <v>41</v>
      </c>
      <c r="K27" s="89">
        <v>4.0000000000000001E-3</v>
      </c>
      <c r="L27" s="91">
        <f>K27*VLOOKUP(J27,MateriasPrimas[],3,0)</f>
        <v>232.68</v>
      </c>
      <c r="M27" s="82"/>
    </row>
    <row r="28" spans="1:13">
      <c r="A28" s="82"/>
      <c r="B28" s="82"/>
      <c r="C28" s="82"/>
      <c r="D28" s="82"/>
      <c r="E28" s="82"/>
      <c r="F28" s="88" t="s">
        <v>106</v>
      </c>
      <c r="G28" s="89">
        <v>5.0000000000000001E-3</v>
      </c>
      <c r="H28" s="91">
        <f>G28*VLOOKUP(F28,MateriasPrimas[],3,0)</f>
        <v>105.09694999999999</v>
      </c>
      <c r="I28" s="82"/>
      <c r="J28" s="88" t="s">
        <v>106</v>
      </c>
      <c r="K28" s="89">
        <v>5.0000000000000001E-3</v>
      </c>
      <c r="L28" s="91">
        <f>K28*VLOOKUP(J28,MateriasPrimas[],3,0)</f>
        <v>105.09694999999999</v>
      </c>
      <c r="M28" s="82"/>
    </row>
    <row r="29" spans="1:13">
      <c r="A29" s="82"/>
      <c r="B29" s="82"/>
      <c r="C29" s="82"/>
      <c r="D29" s="82"/>
      <c r="E29" s="82"/>
      <c r="F29" s="88" t="s">
        <v>78</v>
      </c>
      <c r="G29" s="89">
        <v>5.0000000000000001E-3</v>
      </c>
      <c r="H29" s="91">
        <f>G29*VLOOKUP(F29,MateriasPrimas[],3,0)</f>
        <v>296.8</v>
      </c>
      <c r="I29" s="82"/>
      <c r="J29" s="88" t="s">
        <v>82</v>
      </c>
      <c r="K29" s="89">
        <v>5.0000000000000001E-3</v>
      </c>
      <c r="L29" s="91">
        <f>K29*VLOOKUP(J29,MateriasPrimas[],3,0)</f>
        <v>409.85</v>
      </c>
      <c r="M29" s="82"/>
    </row>
    <row r="30" spans="1:13">
      <c r="A30" s="82"/>
      <c r="B30" s="82"/>
      <c r="C30" s="82"/>
      <c r="D30" s="82"/>
      <c r="E30" s="82"/>
      <c r="F30" s="88" t="s">
        <v>111</v>
      </c>
      <c r="G30" s="89">
        <v>0.02</v>
      </c>
      <c r="H30" s="91">
        <f>G30*VLOOKUP(F30,MateriasPrimas[],3,0)</f>
        <v>59.08</v>
      </c>
      <c r="I30" s="82"/>
      <c r="J30" s="88" t="s">
        <v>111</v>
      </c>
      <c r="K30" s="89">
        <v>0.02</v>
      </c>
      <c r="L30" s="91">
        <f>K30*VLOOKUP(J30,MateriasPrimas[],3,0)</f>
        <v>59.08</v>
      </c>
      <c r="M30" s="82"/>
    </row>
    <row r="31" spans="1:13">
      <c r="A31" s="82"/>
      <c r="B31" s="82"/>
      <c r="C31" s="82"/>
      <c r="D31" s="82"/>
      <c r="E31" s="97"/>
      <c r="F31" s="82"/>
      <c r="G31" s="82"/>
      <c r="H31" s="96">
        <f>SUM(H21:H30)</f>
        <v>2773.9119499999997</v>
      </c>
      <c r="I31" s="82"/>
      <c r="J31" s="82"/>
      <c r="K31" s="82"/>
      <c r="L31" s="96">
        <f>SUM(L21:L30)</f>
        <v>2815.4619499999999</v>
      </c>
      <c r="M31" s="82"/>
    </row>
    <row r="32" spans="1:13">
      <c r="A32" s="82"/>
      <c r="B32" s="82"/>
      <c r="C32" s="82"/>
      <c r="D32" s="82"/>
      <c r="E32" s="97"/>
      <c r="F32" s="82"/>
      <c r="G32" s="82"/>
      <c r="H32" s="82"/>
      <c r="I32" s="82"/>
      <c r="J32" s="82"/>
      <c r="K32" s="82"/>
      <c r="L32" s="83"/>
      <c r="M32" s="82"/>
    </row>
    <row r="33" spans="1:13">
      <c r="A33" s="82"/>
      <c r="B33" s="127" t="s">
        <v>796</v>
      </c>
      <c r="C33" s="127"/>
      <c r="D33" s="127"/>
      <c r="E33" s="97"/>
      <c r="F33" s="82"/>
      <c r="G33" s="82"/>
      <c r="H33" s="82"/>
      <c r="I33" s="82"/>
      <c r="J33" s="82"/>
      <c r="K33" s="82"/>
      <c r="L33" s="83"/>
      <c r="M33" s="82"/>
    </row>
    <row r="34" spans="1:13">
      <c r="A34" s="82"/>
      <c r="B34" s="85" t="s">
        <v>790</v>
      </c>
      <c r="C34" s="85" t="s">
        <v>791</v>
      </c>
      <c r="D34" s="87" t="s">
        <v>792</v>
      </c>
      <c r="E34" s="97"/>
      <c r="F34" s="82"/>
      <c r="G34" s="82"/>
      <c r="H34" s="82"/>
      <c r="I34" s="82"/>
      <c r="J34" s="82"/>
      <c r="K34" s="82"/>
      <c r="L34" s="83"/>
      <c r="M34" s="82"/>
    </row>
    <row r="35" spans="1:13">
      <c r="A35" s="82"/>
      <c r="B35" s="88" t="s">
        <v>22</v>
      </c>
      <c r="C35" s="89">
        <f>1-SUM(C36:C43)</f>
        <v>0.80400000000000005</v>
      </c>
      <c r="D35" s="91">
        <f>C35*VLOOKUP(B35,MateriasPrimas[],3,0)</f>
        <v>522.6</v>
      </c>
      <c r="E35" s="97"/>
      <c r="F35" s="82"/>
      <c r="G35" s="82"/>
      <c r="H35" s="82"/>
      <c r="I35" s="82"/>
      <c r="J35" s="82"/>
      <c r="K35" s="82"/>
      <c r="L35" s="83"/>
      <c r="M35" s="82"/>
    </row>
    <row r="36" spans="1:13">
      <c r="A36" s="82"/>
      <c r="B36" s="88" t="s">
        <v>19</v>
      </c>
      <c r="C36" s="89">
        <v>0.1</v>
      </c>
      <c r="D36" s="91">
        <f>C36*VLOOKUP(B36,MateriasPrimas[],3,0)</f>
        <v>955.85</v>
      </c>
      <c r="E36" s="97"/>
      <c r="F36" s="82"/>
      <c r="G36" s="82"/>
      <c r="H36" s="82"/>
      <c r="I36" s="82"/>
      <c r="J36" s="82"/>
      <c r="K36" s="82"/>
      <c r="L36" s="83"/>
      <c r="M36" s="82"/>
    </row>
    <row r="37" spans="1:13">
      <c r="A37" s="82"/>
      <c r="B37" s="88" t="s">
        <v>116</v>
      </c>
      <c r="C37" s="89">
        <v>0.03</v>
      </c>
      <c r="D37" s="91">
        <f>C37*VLOOKUP(B37,MateriasPrimas[],3,0)</f>
        <v>147.52500000000001</v>
      </c>
      <c r="E37" s="82"/>
      <c r="F37" s="82"/>
      <c r="G37" s="82"/>
      <c r="H37" s="82"/>
      <c r="I37" s="82"/>
      <c r="J37" s="82"/>
      <c r="K37" s="82"/>
      <c r="L37" s="83"/>
      <c r="M37" s="82"/>
    </row>
    <row r="38" spans="1:13">
      <c r="A38" s="82"/>
      <c r="B38" s="88" t="s">
        <v>90</v>
      </c>
      <c r="C38" s="89">
        <v>0.03</v>
      </c>
      <c r="D38" s="91">
        <f>C38*VLOOKUP(B38,MateriasPrimas[],3,0)</f>
        <v>149.31</v>
      </c>
      <c r="E38" s="82"/>
      <c r="F38" s="82"/>
      <c r="G38" s="82"/>
      <c r="H38" s="82"/>
      <c r="I38" s="82"/>
      <c r="J38" s="82"/>
      <c r="K38" s="82"/>
      <c r="L38" s="83"/>
      <c r="M38" s="82"/>
    </row>
    <row r="39" spans="1:13">
      <c r="A39" s="82"/>
      <c r="B39" s="88" t="s">
        <v>31</v>
      </c>
      <c r="C39" s="89">
        <v>3.0000000000000001E-3</v>
      </c>
      <c r="D39" s="91">
        <f>C39*VLOOKUP(B39,MateriasPrimas[],3,0)</f>
        <v>37.064999999999998</v>
      </c>
      <c r="E39" s="82" t="s">
        <v>797</v>
      </c>
      <c r="F39" s="82"/>
      <c r="G39" s="82"/>
      <c r="H39" s="82"/>
      <c r="I39" s="82"/>
      <c r="J39" s="82"/>
      <c r="K39" s="82"/>
      <c r="L39" s="83"/>
      <c r="M39" s="82"/>
    </row>
    <row r="40" spans="1:13">
      <c r="A40" s="82"/>
      <c r="B40" s="88" t="s">
        <v>29</v>
      </c>
      <c r="C40" s="89">
        <v>0.03</v>
      </c>
      <c r="D40" s="91">
        <f>C40*VLOOKUP(B40,MateriasPrimas[],3,0)</f>
        <v>284.96999999999997</v>
      </c>
      <c r="E40" s="82"/>
      <c r="F40" s="82"/>
      <c r="G40" s="82"/>
      <c r="H40" s="82"/>
      <c r="I40" s="82"/>
      <c r="J40" s="82"/>
      <c r="K40" s="82"/>
      <c r="L40" s="83"/>
      <c r="M40" s="82"/>
    </row>
    <row r="41" spans="1:13">
      <c r="A41" s="82"/>
      <c r="B41" s="88" t="s">
        <v>798</v>
      </c>
      <c r="C41" s="89">
        <v>3.0000000000000001E-3</v>
      </c>
      <c r="D41" s="91">
        <f>C41*VLOOKUP(B41,MateriasPrimas[],3,0)</f>
        <v>8.8620000000000001</v>
      </c>
      <c r="E41" s="82"/>
      <c r="F41" s="82"/>
      <c r="G41" s="82"/>
      <c r="H41" s="82"/>
      <c r="I41" s="82"/>
      <c r="J41" s="82"/>
      <c r="K41" s="82"/>
      <c r="L41" s="83"/>
      <c r="M41" s="82"/>
    </row>
    <row r="42" spans="1:13">
      <c r="A42" s="82"/>
      <c r="B42" s="88" t="s">
        <v>799</v>
      </c>
      <c r="C42" s="89">
        <v>0</v>
      </c>
      <c r="D42" s="91">
        <f>IFERROR(C42*VLOOKUP(B42,MateriasPrimas[],3,0),0)</f>
        <v>0</v>
      </c>
      <c r="E42" s="82"/>
      <c r="F42" s="82"/>
      <c r="G42" s="82"/>
      <c r="H42" s="82"/>
      <c r="I42" s="82"/>
      <c r="J42" s="82"/>
      <c r="K42" s="82"/>
      <c r="L42" s="83"/>
      <c r="M42" s="82"/>
    </row>
    <row r="43" spans="1:13">
      <c r="A43" s="82"/>
      <c r="B43" s="92"/>
      <c r="C43" s="93"/>
      <c r="D43" s="98">
        <f>SUM(D35:D42)</f>
        <v>2106.1820000000002</v>
      </c>
      <c r="E43" s="82"/>
      <c r="F43" s="82"/>
      <c r="G43" s="82"/>
      <c r="H43" s="82"/>
      <c r="I43" s="82"/>
      <c r="J43" s="82"/>
      <c r="K43" s="82"/>
      <c r="L43" s="83"/>
      <c r="M43" s="82"/>
    </row>
  </sheetData>
  <mergeCells count="7">
    <mergeCell ref="B33:D33"/>
    <mergeCell ref="B2:D2"/>
    <mergeCell ref="F2:H2"/>
    <mergeCell ref="J2:L2"/>
    <mergeCell ref="B19:D19"/>
    <mergeCell ref="F19:H19"/>
    <mergeCell ref="J19:L19"/>
  </mergeCells>
  <pageMargins left="0.7" right="0.7" top="0.75" bottom="0.75" header="0.51180555555555496" footer="0.51180555555555496"/>
  <pageSetup firstPageNumber="0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showGridLines="0" zoomScale="90" zoomScaleNormal="90" workbookViewId="0">
      <selection activeCell="J6" sqref="J6"/>
    </sheetView>
  </sheetViews>
  <sheetFormatPr baseColWidth="10" defaultColWidth="11.42578125" defaultRowHeight="15"/>
  <cols>
    <col min="2" max="2" width="20" customWidth="1"/>
    <col min="4" max="4" width="12.140625" customWidth="1"/>
    <col min="8" max="8" width="12.140625" customWidth="1"/>
    <col min="10" max="10" width="15.42578125" customWidth="1"/>
    <col min="11" max="11" width="12.42578125" customWidth="1"/>
    <col min="12" max="12" width="13.28515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>
      <c r="A2" s="1"/>
      <c r="B2" s="127" t="s">
        <v>788</v>
      </c>
      <c r="C2" s="127"/>
      <c r="D2" s="127"/>
      <c r="E2" s="1"/>
      <c r="F2" s="127" t="s">
        <v>800</v>
      </c>
      <c r="G2" s="127"/>
      <c r="H2" s="127"/>
      <c r="I2" s="1"/>
      <c r="J2" s="128" t="s">
        <v>801</v>
      </c>
      <c r="K2" s="128"/>
      <c r="L2" s="128"/>
    </row>
    <row r="3" spans="1:12">
      <c r="A3" s="1"/>
      <c r="B3" s="85" t="s">
        <v>790</v>
      </c>
      <c r="C3" s="85" t="s">
        <v>791</v>
      </c>
      <c r="D3" s="85" t="s">
        <v>792</v>
      </c>
      <c r="E3" s="1"/>
      <c r="F3" s="85" t="s">
        <v>790</v>
      </c>
      <c r="G3" s="85" t="s">
        <v>791</v>
      </c>
      <c r="H3" s="85" t="s">
        <v>792</v>
      </c>
      <c r="I3" s="1"/>
      <c r="J3" s="99" t="s">
        <v>790</v>
      </c>
      <c r="K3" s="100" t="s">
        <v>791</v>
      </c>
      <c r="L3" s="101" t="s">
        <v>792</v>
      </c>
    </row>
    <row r="4" spans="1:12">
      <c r="A4" s="1"/>
      <c r="B4" s="88" t="s">
        <v>22</v>
      </c>
      <c r="C4" s="89">
        <f>1-SUM(C5:C14)</f>
        <v>0.72499999999999998</v>
      </c>
      <c r="D4" s="91">
        <f>IFERROR(C4*VLOOKUP(B4,MateriasPrimas[],3,0),0)</f>
        <v>471.25</v>
      </c>
      <c r="E4" s="1"/>
      <c r="F4" s="88" t="s">
        <v>22</v>
      </c>
      <c r="G4" s="89">
        <f>1-SUM(G5:G14)</f>
        <v>0.69389999999999996</v>
      </c>
      <c r="H4" s="91">
        <f>IFERROR(G4*VLOOKUP(F4,MateriasPrimas[],3,0),0)</f>
        <v>451.03499999999997</v>
      </c>
      <c r="I4" s="1"/>
      <c r="J4" s="18" t="s">
        <v>22</v>
      </c>
      <c r="K4" s="102">
        <f>1-K5-K6-K7-K8</f>
        <v>0.76700000000000002</v>
      </c>
      <c r="L4" s="124">
        <f>IFERROR(K4*VLOOKUP(J4,MateriasPrimas[],3,0),0)</f>
        <v>498.55</v>
      </c>
    </row>
    <row r="5" spans="1:12">
      <c r="A5" s="1"/>
      <c r="B5" s="88" t="s">
        <v>802</v>
      </c>
      <c r="C5" s="89">
        <v>0.1</v>
      </c>
      <c r="D5" s="91">
        <f>IFERROR(C5*VLOOKUP(B5,MateriasPrimas[],3,0),0)</f>
        <v>0</v>
      </c>
      <c r="E5" s="1"/>
      <c r="F5" s="88" t="s">
        <v>91</v>
      </c>
      <c r="G5" s="89">
        <v>0.3</v>
      </c>
      <c r="H5" s="91">
        <f>IFERROR(G5*VLOOKUP(F5,MateriasPrimas[],3,0),0)</f>
        <v>2412.375</v>
      </c>
      <c r="I5" s="1"/>
      <c r="J5" s="18" t="s">
        <v>15</v>
      </c>
      <c r="K5" s="102">
        <v>0.1</v>
      </c>
      <c r="L5" s="124">
        <f>IFERROR(K5*VLOOKUP(J5,MateriasPrimas[],3,0),0)</f>
        <v>447.125</v>
      </c>
    </row>
    <row r="6" spans="1:12">
      <c r="A6" s="1"/>
      <c r="B6" s="88" t="s">
        <v>116</v>
      </c>
      <c r="C6" s="89">
        <v>2.5000000000000001E-2</v>
      </c>
      <c r="D6" s="91">
        <f>IFERROR(C6*VLOOKUP(B6,MateriasPrimas[],3,0),0)</f>
        <v>122.9375</v>
      </c>
      <c r="E6" s="1"/>
      <c r="F6" s="88" t="s">
        <v>30</v>
      </c>
      <c r="G6" s="89">
        <v>3.0000000000000001E-3</v>
      </c>
      <c r="H6" s="91">
        <f>IFERROR(G6*VLOOKUP(F6,MateriasPrimas[],3,0),0)</f>
        <v>110.49989999999998</v>
      </c>
      <c r="I6" s="1"/>
      <c r="J6" s="18" t="s">
        <v>16</v>
      </c>
      <c r="K6" s="102">
        <v>0.1</v>
      </c>
      <c r="L6" s="124">
        <f>IFERROR(K6*VLOOKUP(J6,MateriasPrimas[],3,0),0)</f>
        <v>640.5</v>
      </c>
    </row>
    <row r="7" spans="1:12">
      <c r="A7" s="1"/>
      <c r="B7" s="88" t="s">
        <v>90</v>
      </c>
      <c r="C7" s="89">
        <v>0.1</v>
      </c>
      <c r="D7" s="91">
        <f>IFERROR(C7*VLOOKUP(B7,MateriasPrimas[],3,0),0)</f>
        <v>497.70000000000005</v>
      </c>
      <c r="E7" s="1"/>
      <c r="F7" s="88" t="s">
        <v>116</v>
      </c>
      <c r="G7" s="89">
        <v>1E-4</v>
      </c>
      <c r="H7" s="103">
        <f>IFERROR(G7*VLOOKUP(F7,MateriasPrimas[],3,0),0)</f>
        <v>0.49175000000000002</v>
      </c>
      <c r="I7" s="1"/>
      <c r="J7" s="18" t="s">
        <v>29</v>
      </c>
      <c r="K7" s="102">
        <v>0.03</v>
      </c>
      <c r="L7" s="124">
        <f>IFERROR(K7*VLOOKUP(J7,MateriasPrimas[],3,0),0)</f>
        <v>284.96999999999997</v>
      </c>
    </row>
    <row r="8" spans="1:12">
      <c r="A8" s="1"/>
      <c r="B8" s="88" t="s">
        <v>31</v>
      </c>
      <c r="C8" s="89">
        <v>3.0000000000000001E-3</v>
      </c>
      <c r="D8" s="91">
        <f>IFERROR(C8*VLOOKUP(B8,MateriasPrimas[],3,0),0)</f>
        <v>37.064999999999998</v>
      </c>
      <c r="E8" s="1"/>
      <c r="F8" s="88" t="s">
        <v>31</v>
      </c>
      <c r="G8" s="89">
        <v>3.0000000000000001E-3</v>
      </c>
      <c r="H8" s="91">
        <f>IFERROR(G8*VLOOKUP(F8,MateriasPrimas[],3,0),0)</f>
        <v>37.064999999999998</v>
      </c>
      <c r="I8" s="1"/>
      <c r="J8" s="21" t="s">
        <v>31</v>
      </c>
      <c r="K8" s="104">
        <v>3.0000000000000001E-3</v>
      </c>
      <c r="L8" s="124">
        <f>IFERROR(K8*VLOOKUP(J8,MateriasPrimas[],3,0),0)</f>
        <v>37.064999999999998</v>
      </c>
    </row>
    <row r="9" spans="1:12">
      <c r="A9" s="1"/>
      <c r="B9" s="88" t="s">
        <v>29</v>
      </c>
      <c r="C9" s="89">
        <v>0.01</v>
      </c>
      <c r="D9" s="91">
        <f>IFERROR(C9*VLOOKUP(B9,MateriasPrimas[],3,0),0)</f>
        <v>94.99</v>
      </c>
      <c r="E9" s="1"/>
      <c r="F9" s="92"/>
      <c r="G9" s="93"/>
      <c r="H9" s="96">
        <f>SUM(H4:H8)</f>
        <v>3011.4666499999998</v>
      </c>
      <c r="I9" s="1"/>
      <c r="J9" s="1"/>
      <c r="K9" s="125"/>
      <c r="L9" s="126">
        <f>SUM(DesengrasanteAcido[Costo (Kg)])</f>
        <v>1908.21</v>
      </c>
    </row>
    <row r="10" spans="1:12">
      <c r="A10" s="1"/>
      <c r="B10" s="88" t="s">
        <v>96</v>
      </c>
      <c r="C10" s="89">
        <v>3.0000000000000001E-3</v>
      </c>
      <c r="D10" s="91">
        <f>IFERROR(C10*VLOOKUP(B10,MateriasPrimas[],3,0),0)</f>
        <v>11.361000000000001</v>
      </c>
      <c r="E10" s="1"/>
      <c r="F10" s="1"/>
      <c r="G10" s="1"/>
      <c r="H10" s="1"/>
      <c r="I10" s="1"/>
      <c r="J10" s="1"/>
    </row>
    <row r="11" spans="1:12">
      <c r="A11" s="1"/>
      <c r="B11" s="88" t="s">
        <v>40</v>
      </c>
      <c r="C11" s="89">
        <v>1E-3</v>
      </c>
      <c r="D11" s="91">
        <f>IFERROR(C11*VLOOKUP(B11,MateriasPrimas[],3,0),0)</f>
        <v>103.67559999999999</v>
      </c>
      <c r="E11" s="1"/>
      <c r="F11" s="1"/>
      <c r="G11" s="1"/>
      <c r="H11" s="1"/>
      <c r="I11" s="1"/>
      <c r="J11" s="1"/>
    </row>
    <row r="12" spans="1:12">
      <c r="A12" s="1"/>
      <c r="B12" s="88" t="s">
        <v>106</v>
      </c>
      <c r="C12" s="89">
        <v>0.02</v>
      </c>
      <c r="D12" s="91">
        <f>IFERROR(C12*VLOOKUP(B12,MateriasPrimas[],3,0),0)</f>
        <v>420.38779999999997</v>
      </c>
      <c r="E12" s="1"/>
      <c r="F12" s="1"/>
      <c r="G12" s="1"/>
      <c r="H12" s="1"/>
      <c r="I12" s="1"/>
      <c r="J12" s="1"/>
    </row>
    <row r="13" spans="1:12">
      <c r="A13" s="1"/>
      <c r="B13" s="88" t="s">
        <v>83</v>
      </c>
      <c r="C13" s="89">
        <v>8.0000000000000002E-3</v>
      </c>
      <c r="D13" s="91">
        <f>IFERROR(C13*VLOOKUP(B13,MateriasPrimas[],3,0),0)</f>
        <v>560.56000000000006</v>
      </c>
      <c r="E13" s="1"/>
      <c r="F13" s="1"/>
      <c r="G13" s="1"/>
      <c r="H13" s="1"/>
      <c r="I13" s="1"/>
      <c r="J13" s="1"/>
    </row>
    <row r="14" spans="1:12">
      <c r="A14" s="1"/>
      <c r="B14" s="88" t="s">
        <v>30</v>
      </c>
      <c r="C14" s="89">
        <v>5.0000000000000001E-3</v>
      </c>
      <c r="D14" s="91">
        <f>IFERROR(C14*VLOOKUP(B14,MateriasPrimas[],3,0),0)</f>
        <v>184.16649999999998</v>
      </c>
      <c r="E14" s="1"/>
      <c r="F14" s="1"/>
      <c r="G14" s="1"/>
      <c r="H14" s="1"/>
      <c r="I14" s="1"/>
      <c r="J14" s="1"/>
    </row>
    <row r="15" spans="1:12">
      <c r="A15" s="1"/>
      <c r="B15" s="92"/>
      <c r="C15" s="93"/>
      <c r="D15" s="94">
        <f>SUM(D4:D14)</f>
        <v>2504.0934000000002</v>
      </c>
      <c r="E15" s="1"/>
      <c r="F15" s="1"/>
      <c r="G15" s="1"/>
      <c r="H15" s="1"/>
      <c r="I15" s="1"/>
      <c r="J15" s="1"/>
    </row>
  </sheetData>
  <mergeCells count="3">
    <mergeCell ref="B2:D2"/>
    <mergeCell ref="F2:H2"/>
    <mergeCell ref="J2:L2"/>
  </mergeCells>
  <pageMargins left="0.7" right="0.7" top="0.75" bottom="0.75" header="0.51180555555555496" footer="0.51180555555555496"/>
  <pageSetup firstPageNumber="0" orientation="portrait" horizontalDpi="300" verticalDpi="300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5"/>
  <sheetViews>
    <sheetView showGridLines="0" topLeftCell="A5" zoomScale="90" zoomScaleNormal="90" workbookViewId="0">
      <selection activeCell="F19" sqref="F19"/>
    </sheetView>
  </sheetViews>
  <sheetFormatPr baseColWidth="10" defaultColWidth="11.42578125" defaultRowHeight="15"/>
  <cols>
    <col min="1" max="1" width="5.7109375" style="80" customWidth="1"/>
    <col min="2" max="2" width="35.85546875" style="80" customWidth="1"/>
    <col min="3" max="3" width="10.7109375" style="80" customWidth="1"/>
    <col min="4" max="4" width="11.7109375" style="80" customWidth="1"/>
    <col min="5" max="5" width="5.7109375" style="80" customWidth="1"/>
    <col min="6" max="6" width="31.5703125" style="80" customWidth="1"/>
    <col min="7" max="8" width="10.7109375" style="80" customWidth="1"/>
    <col min="9" max="9" width="5.7109375" style="80" customWidth="1"/>
    <col min="10" max="10" width="28.5703125" style="80" customWidth="1"/>
    <col min="11" max="11" width="10.7109375" style="80" customWidth="1"/>
    <col min="12" max="12" width="11.7109375" style="80" customWidth="1"/>
    <col min="13" max="1024" width="11.42578125" style="80"/>
  </cols>
  <sheetData>
    <row r="1" spans="1:1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s="86" customFormat="1">
      <c r="A2" s="84"/>
      <c r="B2" s="127" t="s">
        <v>803</v>
      </c>
      <c r="C2" s="127"/>
      <c r="D2" s="127"/>
      <c r="E2" s="84"/>
      <c r="F2" s="127" t="s">
        <v>804</v>
      </c>
      <c r="G2" s="127"/>
      <c r="H2" s="127"/>
      <c r="I2" s="84"/>
      <c r="J2" s="127" t="s">
        <v>805</v>
      </c>
      <c r="K2" s="127"/>
      <c r="L2" s="127"/>
      <c r="M2" s="84"/>
      <c r="N2" s="84"/>
      <c r="O2" s="84"/>
    </row>
    <row r="3" spans="1:15" s="86" customFormat="1">
      <c r="A3" s="84"/>
      <c r="B3" s="85" t="s">
        <v>790</v>
      </c>
      <c r="C3" s="85" t="s">
        <v>791</v>
      </c>
      <c r="D3" s="85" t="s">
        <v>792</v>
      </c>
      <c r="E3" s="84"/>
      <c r="F3" s="85" t="s">
        <v>790</v>
      </c>
      <c r="G3" s="85" t="s">
        <v>791</v>
      </c>
      <c r="H3" s="85" t="s">
        <v>806</v>
      </c>
      <c r="I3" s="84"/>
      <c r="J3" s="85" t="s">
        <v>790</v>
      </c>
      <c r="K3" s="85" t="s">
        <v>791</v>
      </c>
      <c r="L3" s="85" t="s">
        <v>792</v>
      </c>
      <c r="M3" s="84"/>
      <c r="N3" s="84"/>
      <c r="O3" s="84"/>
    </row>
    <row r="4" spans="1:15">
      <c r="A4" s="82"/>
      <c r="B4" s="88" t="s">
        <v>22</v>
      </c>
      <c r="C4" s="105">
        <f>1-C5-C6-C7</f>
        <v>0.79500000000000004</v>
      </c>
      <c r="D4" s="91">
        <f>C4*VLOOKUP(B4,MateriasPrimas[],3,0)</f>
        <v>516.75</v>
      </c>
      <c r="E4" s="82"/>
      <c r="F4" s="88" t="s">
        <v>22</v>
      </c>
      <c r="G4" s="105">
        <v>0.7</v>
      </c>
      <c r="H4" s="91">
        <f>IFERROR(G4*VLOOKUP(F4,MateriasPrimas[],3,0),0)</f>
        <v>454.99999999999994</v>
      </c>
      <c r="I4" s="82"/>
      <c r="J4" s="88" t="s">
        <v>22</v>
      </c>
      <c r="K4" s="89">
        <f>1-K5-K6-K7-K8-K9-K10</f>
        <v>0.79679999999999995</v>
      </c>
      <c r="L4" s="91">
        <f>IFERROR(K4*VLOOKUP(J4,MateriasPrimas[],3,0),0)</f>
        <v>517.91999999999996</v>
      </c>
      <c r="M4" s="82"/>
      <c r="N4" s="82"/>
      <c r="O4" s="82"/>
    </row>
    <row r="5" spans="1:15">
      <c r="A5" s="82"/>
      <c r="B5" s="88" t="s">
        <v>103</v>
      </c>
      <c r="C5" s="105">
        <v>0.2</v>
      </c>
      <c r="D5" s="91">
        <f>C5*VLOOKUP(B5,MateriasPrimas[],3,0)</f>
        <v>763.74666666666667</v>
      </c>
      <c r="E5" s="82"/>
      <c r="F5" s="88" t="s">
        <v>777</v>
      </c>
      <c r="G5" s="105">
        <v>0.3</v>
      </c>
      <c r="H5" s="91">
        <f>IFERROR(G5*VLOOKUP(F5,MateriasPrimas[],3,0),0)</f>
        <v>840.01312499999995</v>
      </c>
      <c r="I5" s="82"/>
      <c r="J5" s="88" t="s">
        <v>23</v>
      </c>
      <c r="K5" s="89">
        <v>0.1</v>
      </c>
      <c r="L5" s="91">
        <f>IFERROR(K5*VLOOKUP(J5,MateriasPrimas[],3,0),0)</f>
        <v>949.90000000000009</v>
      </c>
      <c r="M5" s="82"/>
      <c r="N5" s="82"/>
      <c r="O5" s="82"/>
    </row>
    <row r="6" spans="1:15">
      <c r="A6" s="82"/>
      <c r="B6" s="88" t="s">
        <v>121</v>
      </c>
      <c r="C6" s="105">
        <v>3.0000000000000001E-3</v>
      </c>
      <c r="D6" s="91">
        <f>C6*VLOOKUP(B6,MateriasPrimas[],3,0)</f>
        <v>59.913000000000004</v>
      </c>
      <c r="E6" s="82"/>
      <c r="F6" s="82"/>
      <c r="G6" s="82"/>
      <c r="H6" s="96">
        <f>SUM(H4:H5)</f>
        <v>1295.0131249999999</v>
      </c>
      <c r="I6" s="82"/>
      <c r="J6" s="88" t="s">
        <v>90</v>
      </c>
      <c r="K6" s="89">
        <v>0.05</v>
      </c>
      <c r="L6" s="91">
        <f>IFERROR(K6*VLOOKUP(J6,MateriasPrimas[],3,0),0)</f>
        <v>248.85000000000002</v>
      </c>
      <c r="M6" s="82"/>
      <c r="N6" s="82"/>
      <c r="O6" s="82"/>
    </row>
    <row r="7" spans="1:15">
      <c r="A7" s="82"/>
      <c r="B7" s="88" t="s">
        <v>122</v>
      </c>
      <c r="C7" s="105">
        <v>2E-3</v>
      </c>
      <c r="D7" s="91">
        <f>IFERROR(C7*VLOOKUP(B7,MateriasPrimas[],3,0),0)</f>
        <v>14</v>
      </c>
      <c r="E7" s="82"/>
      <c r="F7" s="82"/>
      <c r="G7" s="82"/>
      <c r="H7" s="82"/>
      <c r="I7" s="82"/>
      <c r="J7" s="88" t="s">
        <v>31</v>
      </c>
      <c r="K7" s="89">
        <v>3.0000000000000001E-3</v>
      </c>
      <c r="L7" s="91">
        <f>IFERROR(K7*VLOOKUP(J7,MateriasPrimas[],3,0),0)</f>
        <v>37.064999999999998</v>
      </c>
      <c r="M7" s="82"/>
      <c r="N7" s="82"/>
      <c r="O7" s="82"/>
    </row>
    <row r="8" spans="1:15">
      <c r="A8" s="82"/>
      <c r="B8" s="82"/>
      <c r="C8" s="82"/>
      <c r="D8" s="96">
        <f>SUM(D4:D7)</f>
        <v>1354.4096666666667</v>
      </c>
      <c r="E8" s="82"/>
      <c r="F8" s="82"/>
      <c r="G8" s="82"/>
      <c r="H8" s="82"/>
      <c r="I8" s="82"/>
      <c r="J8" s="88" t="s">
        <v>42</v>
      </c>
      <c r="K8" s="89">
        <v>2.0000000000000001E-4</v>
      </c>
      <c r="L8" s="91">
        <f>IFERROR(K8*VLOOKUP(J8,MateriasPrimas[],3,0),0)</f>
        <v>11.634</v>
      </c>
      <c r="M8" s="82"/>
      <c r="N8" s="82"/>
      <c r="O8" s="82"/>
    </row>
    <row r="9" spans="1:15">
      <c r="A9" s="82"/>
      <c r="B9" s="82"/>
      <c r="C9" s="82"/>
      <c r="D9" s="82"/>
      <c r="E9" s="82"/>
      <c r="F9" s="82"/>
      <c r="G9" s="82"/>
      <c r="H9" s="82"/>
      <c r="I9" s="82"/>
      <c r="J9" s="88" t="s">
        <v>106</v>
      </c>
      <c r="K9" s="89">
        <v>0.03</v>
      </c>
      <c r="L9" s="91">
        <f>IFERROR(K9*VLOOKUP(J9,MateriasPrimas[],3,0),0)</f>
        <v>630.58169999999996</v>
      </c>
      <c r="M9" s="82"/>
      <c r="N9" s="82"/>
      <c r="O9" s="82"/>
    </row>
    <row r="10" spans="1:15">
      <c r="A10" s="82"/>
      <c r="B10" s="82"/>
      <c r="C10" s="82"/>
      <c r="D10" s="82"/>
      <c r="E10" s="82"/>
      <c r="F10" s="82"/>
      <c r="G10" s="82"/>
      <c r="H10" s="82"/>
      <c r="I10" s="82"/>
      <c r="J10" s="88" t="s">
        <v>85</v>
      </c>
      <c r="K10" s="89">
        <v>0.02</v>
      </c>
      <c r="L10" s="91">
        <f>IFERROR(K10*VLOOKUP(J10,MateriasPrimas[],3,0),0)</f>
        <v>1582.28</v>
      </c>
      <c r="M10" s="82"/>
      <c r="N10" s="82"/>
      <c r="O10" s="82"/>
    </row>
    <row r="11" spans="1:1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96">
        <f>SUM(L4:L10)</f>
        <v>3978.2307000000001</v>
      </c>
      <c r="M11" s="82"/>
      <c r="N11" s="82"/>
      <c r="O11" s="82"/>
    </row>
    <row r="12" spans="1:1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1:15" s="86" customFormat="1">
      <c r="A13" s="84"/>
      <c r="B13" s="127" t="s">
        <v>807</v>
      </c>
      <c r="C13" s="127"/>
      <c r="D13" s="127"/>
      <c r="E13" s="84"/>
      <c r="F13" s="127" t="s">
        <v>808</v>
      </c>
      <c r="G13" s="127"/>
      <c r="H13" s="127"/>
      <c r="I13" s="84"/>
      <c r="J13" s="127" t="s">
        <v>809</v>
      </c>
      <c r="K13" s="127"/>
      <c r="L13" s="127"/>
      <c r="M13" s="84"/>
      <c r="N13" s="84"/>
      <c r="O13" s="84"/>
    </row>
    <row r="14" spans="1:15" s="86" customFormat="1">
      <c r="A14" s="84"/>
      <c r="B14" s="85" t="s">
        <v>790</v>
      </c>
      <c r="C14" s="85" t="s">
        <v>791</v>
      </c>
      <c r="D14" s="85" t="s">
        <v>792</v>
      </c>
      <c r="E14" s="84"/>
      <c r="F14" s="85" t="s">
        <v>790</v>
      </c>
      <c r="G14" s="85" t="s">
        <v>791</v>
      </c>
      <c r="H14" s="85" t="s">
        <v>792</v>
      </c>
      <c r="I14" s="84"/>
      <c r="J14" s="85" t="s">
        <v>790</v>
      </c>
      <c r="K14" s="85" t="s">
        <v>791</v>
      </c>
      <c r="L14" s="85" t="s">
        <v>792</v>
      </c>
      <c r="M14" s="84"/>
      <c r="N14" s="84"/>
      <c r="O14" s="84"/>
    </row>
    <row r="15" spans="1:15">
      <c r="A15" s="82"/>
      <c r="B15" s="88" t="s">
        <v>22</v>
      </c>
      <c r="C15" s="89">
        <f>1-C16-C17-C18-C19</f>
        <v>0.8468</v>
      </c>
      <c r="D15" s="91">
        <f>IFERROR(C15*VLOOKUP(B15,MateriasPrimas[],3,0),0)</f>
        <v>550.41999999999996</v>
      </c>
      <c r="E15" s="82"/>
      <c r="F15" s="88" t="s">
        <v>22</v>
      </c>
      <c r="G15" s="89">
        <f>1-G16-G17-G18-G19-G20</f>
        <v>0.95</v>
      </c>
      <c r="H15" s="91">
        <f>IFERROR(G15*VLOOKUP(F15,MateriasPrimas[],3,0),0)</f>
        <v>617.5</v>
      </c>
      <c r="I15" s="82"/>
      <c r="J15" s="88" t="s">
        <v>22</v>
      </c>
      <c r="K15" s="89">
        <f>1-K16-K17-K18-K19</f>
        <v>0.64190000000000003</v>
      </c>
      <c r="L15" s="91">
        <f>IFERROR(K15*VLOOKUP(J15,MateriasPrimas[],3,0),0)</f>
        <v>417.23500000000001</v>
      </c>
      <c r="M15" s="82"/>
      <c r="N15" s="82"/>
      <c r="O15" s="82"/>
    </row>
    <row r="16" spans="1:15">
      <c r="A16" s="82"/>
      <c r="B16" s="88" t="s">
        <v>116</v>
      </c>
      <c r="C16" s="89">
        <v>0.1</v>
      </c>
      <c r="D16" s="91">
        <f>IFERROR(C16*VLOOKUP(B16,MateriasPrimas[],3,0),0)</f>
        <v>491.75</v>
      </c>
      <c r="E16" s="82"/>
      <c r="F16" s="88" t="s">
        <v>77</v>
      </c>
      <c r="G16" s="89">
        <v>0.01</v>
      </c>
      <c r="H16" s="91">
        <f>IFERROR(G16*VLOOKUP(F16,MateriasPrimas[],3,0),0)</f>
        <v>57.076004999999995</v>
      </c>
      <c r="I16" s="82"/>
      <c r="J16" s="88" t="s">
        <v>104</v>
      </c>
      <c r="K16" s="89">
        <v>3.0000000000000001E-3</v>
      </c>
      <c r="L16" s="91">
        <f>IFERROR(K16*VLOOKUP(J16,MateriasPrimas[],3,0),0)</f>
        <v>145.95000000000002</v>
      </c>
      <c r="M16" s="82"/>
      <c r="N16" s="82"/>
      <c r="O16" s="82"/>
    </row>
    <row r="17" spans="1:15">
      <c r="A17" s="82"/>
      <c r="B17" s="88" t="s">
        <v>29</v>
      </c>
      <c r="C17" s="89">
        <v>0.05</v>
      </c>
      <c r="D17" s="91">
        <f>IFERROR(C17*VLOOKUP(B17,MateriasPrimas[],3,0),0)</f>
        <v>474.95000000000005</v>
      </c>
      <c r="E17" s="82"/>
      <c r="F17" s="88" t="s">
        <v>95</v>
      </c>
      <c r="G17" s="89">
        <v>0.02</v>
      </c>
      <c r="H17" s="91">
        <f>IFERROR(G17*VLOOKUP(F17,MateriasPrimas[],3,0),0)</f>
        <v>154.35139999999998</v>
      </c>
      <c r="I17" s="82"/>
      <c r="J17" s="88" t="s">
        <v>116</v>
      </c>
      <c r="K17" s="89">
        <v>1E-4</v>
      </c>
      <c r="L17" s="91">
        <f>IFERROR(K17*VLOOKUP(J17,MateriasPrimas[],3,0),0)</f>
        <v>0.49175000000000002</v>
      </c>
      <c r="M17" s="82"/>
      <c r="N17" s="82"/>
      <c r="O17" s="82"/>
    </row>
    <row r="18" spans="1:15">
      <c r="A18" s="82"/>
      <c r="B18" s="88" t="s">
        <v>106</v>
      </c>
      <c r="C18" s="89">
        <v>3.0000000000000001E-3</v>
      </c>
      <c r="D18" s="91">
        <f>IFERROR(C18*VLOOKUP(B18,MateriasPrimas[],3,0),0)</f>
        <v>63.058169999999997</v>
      </c>
      <c r="E18" s="82"/>
      <c r="F18" s="88" t="s">
        <v>134</v>
      </c>
      <c r="G18" s="89">
        <v>7.0000000000000001E-3</v>
      </c>
      <c r="H18" s="91">
        <f>IFERROR(G18*VLOOKUP(F18,MateriasPrimas[],3,0),0)</f>
        <v>40.67</v>
      </c>
      <c r="I18" s="82"/>
      <c r="J18" s="88" t="s">
        <v>77</v>
      </c>
      <c r="K18" s="89">
        <v>0.35</v>
      </c>
      <c r="L18" s="91">
        <f>IFERROR(K18*VLOOKUP(J18,MateriasPrimas[],3,0),0)</f>
        <v>1997.6601749999998</v>
      </c>
      <c r="M18" s="82"/>
      <c r="N18" s="82"/>
      <c r="O18" s="82"/>
    </row>
    <row r="19" spans="1:15">
      <c r="A19" s="82"/>
      <c r="B19" s="88" t="s">
        <v>45</v>
      </c>
      <c r="C19" s="89">
        <v>2.0000000000000001E-4</v>
      </c>
      <c r="D19" s="91">
        <f>IFERROR(C19*VLOOKUP(B19,MateriasPrimas[],3,0),0)</f>
        <v>169.666</v>
      </c>
      <c r="E19" s="82"/>
      <c r="F19" s="88" t="s">
        <v>31</v>
      </c>
      <c r="G19" s="89">
        <v>3.0000000000000001E-3</v>
      </c>
      <c r="H19" s="91">
        <f>IFERROR(G19*VLOOKUP(F19,MateriasPrimas[],3,0),0)</f>
        <v>37.064999999999998</v>
      </c>
      <c r="I19" s="82"/>
      <c r="J19" s="88" t="s">
        <v>91</v>
      </c>
      <c r="K19" s="89">
        <v>5.0000000000000001E-3</v>
      </c>
      <c r="L19" s="91">
        <f>IFERROR(K19*VLOOKUP(J19,MateriasPrimas[],3,0),0)</f>
        <v>40.206250000000004</v>
      </c>
      <c r="M19" s="82"/>
      <c r="N19" s="82"/>
      <c r="O19" s="82"/>
    </row>
    <row r="20" spans="1:15">
      <c r="A20" s="82"/>
      <c r="B20" s="82"/>
      <c r="C20" s="82"/>
      <c r="D20" s="96">
        <f>SUM(D15:D19)</f>
        <v>1749.8441700000001</v>
      </c>
      <c r="E20" s="82"/>
      <c r="F20" s="88" t="s">
        <v>105</v>
      </c>
      <c r="G20" s="89">
        <v>0.01</v>
      </c>
      <c r="H20" s="91">
        <f>IFERROR(G20*VLOOKUP(F20,MateriasPrimas[],3,0),0)</f>
        <v>986.30000000000007</v>
      </c>
      <c r="I20" s="82"/>
      <c r="J20" s="82"/>
      <c r="K20" s="82"/>
      <c r="L20" s="96">
        <f>SUM(L15:L19)</f>
        <v>2601.5431749999998</v>
      </c>
      <c r="M20" s="82"/>
      <c r="N20" s="82"/>
      <c r="O20" s="82"/>
    </row>
    <row r="21" spans="1:15">
      <c r="A21" s="82"/>
      <c r="B21" s="82"/>
      <c r="C21" s="82"/>
      <c r="D21" s="82"/>
      <c r="E21" s="82"/>
      <c r="F21" s="88" t="s">
        <v>39</v>
      </c>
      <c r="G21" s="89">
        <v>1E-4</v>
      </c>
      <c r="H21" s="91">
        <f>IFERROR(G21*VLOOKUP(F21,MateriasPrimas[],3,0),0)</f>
        <v>5.8170000000000002</v>
      </c>
      <c r="I21" s="82"/>
      <c r="J21" s="82"/>
      <c r="K21" s="82"/>
      <c r="L21" s="82"/>
      <c r="M21" s="82"/>
      <c r="N21" s="82"/>
      <c r="O21" s="82"/>
    </row>
    <row r="22" spans="1:15">
      <c r="A22" s="82"/>
      <c r="B22" s="82"/>
      <c r="C22" s="82"/>
      <c r="D22" s="82"/>
      <c r="E22" s="82"/>
      <c r="F22" s="82"/>
      <c r="G22" s="82"/>
      <c r="H22" s="96">
        <f>SUM(H15:H21)</f>
        <v>1898.7794050000002</v>
      </c>
      <c r="I22" s="82"/>
      <c r="J22" s="129"/>
      <c r="K22" s="129"/>
      <c r="L22" s="129"/>
      <c r="M22" s="82"/>
      <c r="N22" s="82"/>
      <c r="O22" s="82"/>
    </row>
    <row r="23" spans="1:15">
      <c r="A23" s="82"/>
      <c r="B23" s="82"/>
      <c r="C23" s="82"/>
      <c r="D23" s="82"/>
      <c r="E23" s="82"/>
      <c r="F23" s="82"/>
      <c r="G23" s="82"/>
      <c r="H23" s="82"/>
      <c r="I23" s="82"/>
      <c r="J23" s="106"/>
      <c r="K23" s="106"/>
      <c r="L23" s="106"/>
      <c r="M23" s="82"/>
      <c r="N23" s="82"/>
      <c r="O23" s="82"/>
    </row>
    <row r="24" spans="1:15">
      <c r="A24" s="82"/>
      <c r="B24" s="127" t="s">
        <v>810</v>
      </c>
      <c r="C24" s="127"/>
      <c r="D24" s="127"/>
      <c r="E24" s="82"/>
      <c r="F24" s="127" t="s">
        <v>811</v>
      </c>
      <c r="G24" s="127"/>
      <c r="H24" s="127"/>
      <c r="I24" s="82"/>
      <c r="J24" s="127" t="s">
        <v>812</v>
      </c>
      <c r="K24" s="127"/>
      <c r="L24" s="127"/>
      <c r="M24" s="82"/>
      <c r="N24" s="82"/>
      <c r="O24" s="82"/>
    </row>
    <row r="25" spans="1:15">
      <c r="A25" s="82"/>
      <c r="B25" s="85" t="s">
        <v>790</v>
      </c>
      <c r="C25" s="85" t="s">
        <v>791</v>
      </c>
      <c r="D25" s="85" t="s">
        <v>792</v>
      </c>
      <c r="E25" s="82"/>
      <c r="F25" s="85" t="s">
        <v>790</v>
      </c>
      <c r="G25" s="85" t="s">
        <v>791</v>
      </c>
      <c r="H25" s="85" t="s">
        <v>792</v>
      </c>
      <c r="I25" s="82"/>
      <c r="J25" s="85" t="s">
        <v>790</v>
      </c>
      <c r="K25" s="85" t="s">
        <v>791</v>
      </c>
      <c r="L25" s="85" t="s">
        <v>792</v>
      </c>
      <c r="M25" s="82"/>
      <c r="N25" s="82"/>
      <c r="O25" s="82"/>
    </row>
    <row r="26" spans="1:15">
      <c r="A26" s="82"/>
      <c r="B26" s="88" t="s">
        <v>22</v>
      </c>
      <c r="C26" s="89">
        <f>1-C27-C28-C29-C30</f>
        <v>0.90899999999999992</v>
      </c>
      <c r="D26" s="91">
        <f>IFERROR(C26*VLOOKUP(B26,MateriasPrimas[],3,0),0)</f>
        <v>590.84999999999991</v>
      </c>
      <c r="E26" s="82"/>
      <c r="F26" s="88" t="s">
        <v>747</v>
      </c>
      <c r="G26" s="107">
        <v>0.75</v>
      </c>
      <c r="H26" s="108">
        <f>IFERROR(G26*VLOOKUP(F26,MateriasPrimas[],3,0),0)</f>
        <v>4280.7003749999994</v>
      </c>
      <c r="I26" s="82"/>
      <c r="J26" s="88" t="s">
        <v>22</v>
      </c>
      <c r="K26" s="89">
        <v>0.219</v>
      </c>
      <c r="L26" s="91">
        <f>IFERROR(K26*VLOOKUP(J26,MateriasPrimas[],3,0),0)</f>
        <v>142.35</v>
      </c>
      <c r="M26" s="82"/>
      <c r="N26" s="82"/>
      <c r="O26" s="82"/>
    </row>
    <row r="27" spans="1:15">
      <c r="A27" s="82"/>
      <c r="B27" s="88" t="s">
        <v>813</v>
      </c>
      <c r="C27" s="89">
        <v>0.02</v>
      </c>
      <c r="D27" s="91">
        <f>IFERROR(C27*VLOOKUP(B27,MateriasPrimas[],3,0),0)</f>
        <v>0</v>
      </c>
      <c r="E27" s="82"/>
      <c r="F27" s="88" t="s">
        <v>768</v>
      </c>
      <c r="G27" s="107">
        <v>0.25</v>
      </c>
      <c r="H27" s="88">
        <f>IFERROR(G27*VLOOKUP(F27,MateriasPrimas[],3,0),0)</f>
        <v>162.5</v>
      </c>
      <c r="I27" s="82"/>
      <c r="J27" s="88" t="s">
        <v>104</v>
      </c>
      <c r="K27" s="89">
        <v>0.01</v>
      </c>
      <c r="L27" s="91">
        <f>IFERROR(K27*VLOOKUP(J27,MateriasPrimas[],3,0),0)</f>
        <v>486.5</v>
      </c>
      <c r="M27" s="82"/>
      <c r="N27" s="82"/>
      <c r="O27" s="82"/>
    </row>
    <row r="28" spans="1:15">
      <c r="A28" s="82"/>
      <c r="B28" s="88" t="s">
        <v>814</v>
      </c>
      <c r="C28" s="89">
        <v>0.06</v>
      </c>
      <c r="D28" s="91">
        <f>IFERROR(C28*VLOOKUP(B28,MateriasPrimas[],3,0),0)</f>
        <v>0</v>
      </c>
      <c r="E28" s="82"/>
      <c r="F28" s="82"/>
      <c r="G28" s="82"/>
      <c r="H28" s="109"/>
      <c r="I28" s="82"/>
      <c r="J28" s="88" t="s">
        <v>116</v>
      </c>
      <c r="K28" s="89">
        <v>1E-3</v>
      </c>
      <c r="L28" s="91">
        <f>IFERROR(K28*VLOOKUP(J28,MateriasPrimas[],3,0),0)</f>
        <v>4.9175000000000004</v>
      </c>
      <c r="M28" s="82"/>
      <c r="N28" s="82"/>
      <c r="O28" s="82"/>
    </row>
    <row r="29" spans="1:15">
      <c r="A29" s="82"/>
      <c r="B29" s="88" t="s">
        <v>815</v>
      </c>
      <c r="C29" s="89">
        <v>3.0000000000000001E-3</v>
      </c>
      <c r="D29" s="91">
        <f>IFERROR(C29*VLOOKUP(B29,MateriasPrimas[],3,0),0)</f>
        <v>37.064999999999998</v>
      </c>
      <c r="E29" s="82"/>
      <c r="F29" s="82"/>
      <c r="G29" s="82"/>
      <c r="H29" s="82"/>
      <c r="I29" s="82"/>
      <c r="J29" s="88" t="s">
        <v>77</v>
      </c>
      <c r="K29" s="89">
        <v>0.75</v>
      </c>
      <c r="L29" s="91">
        <f>IFERROR(K29*VLOOKUP(J29,MateriasPrimas[],3,0),0)</f>
        <v>4280.7003749999994</v>
      </c>
      <c r="M29" s="82"/>
      <c r="N29" s="82"/>
      <c r="O29" s="82"/>
    </row>
    <row r="30" spans="1:15">
      <c r="A30" s="82"/>
      <c r="B30" s="88" t="s">
        <v>816</v>
      </c>
      <c r="C30" s="89">
        <v>8.0000000000000002E-3</v>
      </c>
      <c r="D30" s="91">
        <f>IFERROR(C30*VLOOKUP(B30,MateriasPrimas[],3,0),0)</f>
        <v>0</v>
      </c>
      <c r="E30" s="82"/>
      <c r="F30" s="82"/>
      <c r="G30" s="82"/>
      <c r="H30" s="82"/>
      <c r="I30" s="82"/>
      <c r="J30" s="88" t="s">
        <v>98</v>
      </c>
      <c r="K30" s="89">
        <v>0.02</v>
      </c>
      <c r="L30" s="91">
        <f>IFERROR(K30*VLOOKUP(J30,MateriasPrimas[],3,0),0)</f>
        <v>142.97499999999999</v>
      </c>
      <c r="M30" s="82"/>
      <c r="N30" s="82"/>
      <c r="O30" s="82"/>
    </row>
    <row r="31" spans="1:15">
      <c r="A31" s="82"/>
      <c r="B31" s="82"/>
      <c r="C31" s="82"/>
      <c r="D31" s="96">
        <f>SUM(D26:D30)</f>
        <v>627.91499999999996</v>
      </c>
      <c r="E31" s="82"/>
      <c r="F31" s="82"/>
      <c r="G31" s="82"/>
      <c r="H31" s="82"/>
      <c r="I31" s="82"/>
      <c r="J31" s="82"/>
      <c r="K31" s="110">
        <f>SUM(K26:K30)</f>
        <v>1</v>
      </c>
      <c r="L31" s="96">
        <f>SUM(L26:L30)</f>
        <v>5057.4428749999997</v>
      </c>
      <c r="M31" s="82"/>
      <c r="N31" s="82"/>
      <c r="O31" s="82"/>
    </row>
    <row r="32" spans="1: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1:15">
      <c r="A33" s="82"/>
      <c r="B33" s="127" t="s">
        <v>760</v>
      </c>
      <c r="C33" s="127"/>
      <c r="D33" s="127"/>
      <c r="E33" s="82"/>
      <c r="F33" s="127" t="s">
        <v>817</v>
      </c>
      <c r="G33" s="127"/>
      <c r="H33" s="127"/>
      <c r="I33" s="82"/>
      <c r="J33" s="127" t="s">
        <v>818</v>
      </c>
      <c r="K33" s="127"/>
      <c r="L33" s="127"/>
      <c r="M33" s="82"/>
      <c r="N33" s="82"/>
      <c r="O33" s="82"/>
    </row>
    <row r="34" spans="1:15">
      <c r="A34" s="82"/>
      <c r="B34" s="85" t="s">
        <v>790</v>
      </c>
      <c r="C34" s="85" t="s">
        <v>791</v>
      </c>
      <c r="D34" s="85" t="s">
        <v>792</v>
      </c>
      <c r="E34" s="82"/>
      <c r="F34" s="85" t="s">
        <v>790</v>
      </c>
      <c r="G34" s="85" t="s">
        <v>791</v>
      </c>
      <c r="H34" s="85" t="s">
        <v>792</v>
      </c>
      <c r="I34" s="82"/>
      <c r="J34" s="85" t="s">
        <v>790</v>
      </c>
      <c r="K34" s="85" t="s">
        <v>791</v>
      </c>
      <c r="L34" s="85" t="s">
        <v>792</v>
      </c>
      <c r="M34" s="82"/>
      <c r="N34" s="82"/>
      <c r="O34" s="82"/>
    </row>
    <row r="35" spans="1:15">
      <c r="A35" s="82"/>
      <c r="B35" s="88" t="s">
        <v>760</v>
      </c>
      <c r="C35" s="107">
        <v>0.33329999999999999</v>
      </c>
      <c r="D35" s="108">
        <f>IFERROR(C35*VLOOKUP(B35,MateriasPrimas[],3,0),0)</f>
        <v>2432.25675</v>
      </c>
      <c r="E35" s="82"/>
      <c r="F35" s="88" t="s">
        <v>22</v>
      </c>
      <c r="G35" s="89">
        <f>1-SUM(G36:G37)</f>
        <v>0.85</v>
      </c>
      <c r="H35" s="91">
        <f>IFERROR(G35*VLOOKUP(F35,MateriasPrimas[],3,0),0)</f>
        <v>552.5</v>
      </c>
      <c r="I35" s="82"/>
      <c r="J35" s="88" t="s">
        <v>22</v>
      </c>
      <c r="K35" s="107">
        <f>1-K36</f>
        <v>0.7</v>
      </c>
      <c r="L35" s="111">
        <f>IFERROR(K35*VLOOKUP(J35,MateriasPrimas[],3,0),0)</f>
        <v>454.99999999999994</v>
      </c>
      <c r="M35" s="82"/>
      <c r="N35" s="82"/>
      <c r="O35" s="82"/>
    </row>
    <row r="36" spans="1:15">
      <c r="A36" s="82"/>
      <c r="B36" s="88" t="s">
        <v>768</v>
      </c>
      <c r="C36" s="107">
        <f>1-C35</f>
        <v>0.66670000000000007</v>
      </c>
      <c r="D36" s="88">
        <f>IFERROR(C36*VLOOKUP(B36,MateriasPrimas[],3,0),0)</f>
        <v>433.35500000000002</v>
      </c>
      <c r="E36" s="82"/>
      <c r="F36" s="88" t="s">
        <v>29</v>
      </c>
      <c r="G36" s="89">
        <v>0.1</v>
      </c>
      <c r="H36" s="91">
        <f>IFERROR(G36*VLOOKUP(F36,MateriasPrimas[],3,0),0)</f>
        <v>949.90000000000009</v>
      </c>
      <c r="I36" s="82"/>
      <c r="J36" s="88" t="s">
        <v>11</v>
      </c>
      <c r="K36" s="107">
        <v>0.3</v>
      </c>
      <c r="L36" s="111">
        <f>IFERROR(K36*VLOOKUP(J36,MateriasPrimas[],3,0),0)</f>
        <v>997.49474999999995</v>
      </c>
      <c r="M36" s="82"/>
      <c r="N36" s="82"/>
      <c r="O36" s="82"/>
    </row>
    <row r="37" spans="1:15">
      <c r="A37" s="82"/>
      <c r="B37" s="82"/>
      <c r="C37" s="82"/>
      <c r="D37" s="109">
        <f>D35+D36</f>
        <v>2865.61175</v>
      </c>
      <c r="E37" s="82"/>
      <c r="F37" s="88" t="s">
        <v>116</v>
      </c>
      <c r="G37" s="89">
        <v>0.05</v>
      </c>
      <c r="H37" s="91">
        <f>IFERROR(G37*VLOOKUP(F37,MateriasPrimas[],3,0),0)</f>
        <v>245.875</v>
      </c>
      <c r="I37" s="82"/>
      <c r="J37" s="82"/>
      <c r="K37" s="82"/>
      <c r="L37" s="112">
        <f>SUM(L35:L36)</f>
        <v>1452.4947499999998</v>
      </c>
      <c r="M37" s="82"/>
      <c r="N37" s="82"/>
      <c r="O37" s="82"/>
    </row>
    <row r="38" spans="1:15">
      <c r="A38" s="82"/>
      <c r="B38" s="82"/>
      <c r="C38" s="82"/>
      <c r="D38" s="82"/>
      <c r="E38" s="82"/>
      <c r="F38" s="92"/>
      <c r="G38" s="93"/>
      <c r="H38" s="96">
        <f>SUM(H35:H37)</f>
        <v>1748.2750000000001</v>
      </c>
      <c r="I38" s="82"/>
      <c r="J38" s="82"/>
      <c r="K38" s="82"/>
      <c r="L38" s="82"/>
      <c r="M38" s="82"/>
      <c r="N38" s="82"/>
      <c r="O38" s="82"/>
    </row>
    <row r="39" spans="1: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1:15">
      <c r="A40" s="82"/>
      <c r="B40" s="127" t="s">
        <v>819</v>
      </c>
      <c r="C40" s="127"/>
      <c r="D40" s="127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1:15">
      <c r="A41" s="82"/>
      <c r="B41" s="85" t="s">
        <v>790</v>
      </c>
      <c r="C41" s="85" t="s">
        <v>791</v>
      </c>
      <c r="D41" s="85" t="s">
        <v>792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1:15">
      <c r="A42" s="82"/>
      <c r="B42" s="88" t="s">
        <v>820</v>
      </c>
      <c r="C42" s="107">
        <v>0.05</v>
      </c>
      <c r="D42" s="88">
        <f>IFERROR(C42*VLOOKUP(B42,MateriasPrimas[],3,0),0)</f>
        <v>0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1:15">
      <c r="A43" s="82"/>
      <c r="B43" s="88" t="s">
        <v>29</v>
      </c>
      <c r="C43" s="107">
        <v>0.05</v>
      </c>
      <c r="D43" s="88">
        <f>IFERROR(C43*VLOOKUP(B43,MateriasPrimas[],3,0),0)</f>
        <v>474.95000000000005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1:15">
      <c r="A44" s="82"/>
      <c r="B44" s="88" t="s">
        <v>22</v>
      </c>
      <c r="C44" s="107">
        <f>1-SUM(C42:C43)</f>
        <v>0.9</v>
      </c>
      <c r="D44" s="88">
        <f>IFERROR(C44*VLOOKUP(B44,MateriasPrimas[],3,0),0)</f>
        <v>585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1:15">
      <c r="A45" s="82"/>
      <c r="B45" s="82"/>
      <c r="C45" s="82"/>
      <c r="D45" s="88">
        <f>SUM(D42:D44)</f>
        <v>1059.95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</sheetData>
  <mergeCells count="14">
    <mergeCell ref="B40:D40"/>
    <mergeCell ref="J22:L22"/>
    <mergeCell ref="B24:D24"/>
    <mergeCell ref="F24:H24"/>
    <mergeCell ref="J24:L24"/>
    <mergeCell ref="B33:D33"/>
    <mergeCell ref="F33:H33"/>
    <mergeCell ref="J33:L33"/>
    <mergeCell ref="B2:D2"/>
    <mergeCell ref="F2:H2"/>
    <mergeCell ref="J2:L2"/>
    <mergeCell ref="B13:D13"/>
    <mergeCell ref="F13:H13"/>
    <mergeCell ref="J13:L13"/>
  </mergeCells>
  <pageMargins left="0.7" right="0.7" top="0.75" bottom="0.75" header="0.51180555555555496" footer="0.51180555555555496"/>
  <pageSetup firstPageNumber="0" orientation="portrait" horizontalDpi="300" verticalDpi="30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Materias Primas</vt:lpstr>
      <vt:lpstr>Costos</vt:lpstr>
      <vt:lpstr>Inventario Materias Primas</vt:lpstr>
      <vt:lpstr>Inventario Productos</vt:lpstr>
      <vt:lpstr>Producción</vt:lpstr>
      <vt:lpstr>Costos KG</vt:lpstr>
      <vt:lpstr>Detergentes</vt:lpstr>
      <vt:lpstr>Ensayos</vt:lpstr>
      <vt:lpstr>Limpiadores</vt:lpstr>
      <vt:lpstr>Ambientadores y ceras</vt:lpstr>
      <vt:lpstr>Jabones</vt:lpstr>
      <vt:lpstr>'Costos'!_FilterDatabase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Laura Viviana Rueda Q.</cp:lastModifiedBy>
  <cp:revision>28</cp:revision>
  <cp:lastPrinted>2017-08-26T19:29:42Z</cp:lastPrinted>
  <dcterms:created xsi:type="dcterms:W3CDTF">2017-07-21T21:27:25Z</dcterms:created>
  <dcterms:modified xsi:type="dcterms:W3CDTF">2021-02-22T23:06:56Z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